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tiffa\Downloads\"/>
    </mc:Choice>
  </mc:AlternateContent>
  <xr:revisionPtr revIDLastSave="0" documentId="8_{6D6EEC84-3234-4D46-9CEC-29A0A13BD9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écapitulatif" sheetId="16" r:id="rId1"/>
    <sheet name="Donateurs" sheetId="92" r:id="rId2"/>
    <sheet name="Sheet4" sheetId="94" r:id="rId3"/>
    <sheet name="DATA  MARS" sheetId="77" r:id="rId4"/>
    <sheet name="Compte Principal 34 BCI" sheetId="79" r:id="rId5"/>
    <sheet name="Rapprochement Bancaire Cpte 34" sheetId="80" r:id="rId6"/>
    <sheet name="Sous-Compte 56 BCI" sheetId="81" r:id="rId7"/>
    <sheet name="Rapprochement Bancaire Cpte 56" sheetId="82" r:id="rId8"/>
    <sheet name="CAISSE Mars 21" sheetId="8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3" hidden="1">'DATA  MARS'!$A$11:$GT$415</definedName>
    <definedName name="_GoBack" localSheetId="6">'Sous-Compte 56 BCI'!#REF!</definedName>
    <definedName name="Départements">[1]Feuil6!$G$6:$G$14</definedName>
    <definedName name="Dépenses">[1]Feuil6!$A$6:$A$25</definedName>
  </definedNames>
  <calcPr calcId="191029"/>
  <pivotCaches>
    <pivotCache cacheId="0" r:id="rId3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94" l="1"/>
  <c r="AW8" i="94"/>
  <c r="AW9" i="94"/>
  <c r="AW10" i="94"/>
  <c r="AW11" i="94"/>
  <c r="AW12" i="94"/>
  <c r="AW13" i="94"/>
  <c r="AW14" i="94"/>
  <c r="AW15" i="94"/>
  <c r="AW16" i="94"/>
  <c r="AW17" i="94"/>
  <c r="AW18" i="94"/>
  <c r="AW19" i="94"/>
  <c r="AW20" i="94"/>
  <c r="AW21" i="94"/>
  <c r="AW22" i="94"/>
  <c r="AW6" i="94"/>
  <c r="AV9" i="94"/>
  <c r="AV13" i="94"/>
  <c r="AV17" i="94"/>
  <c r="AV21" i="94"/>
  <c r="AU7" i="94"/>
  <c r="AV7" i="94" s="1"/>
  <c r="AU8" i="94"/>
  <c r="AV8" i="94" s="1"/>
  <c r="AU9" i="94"/>
  <c r="AU10" i="94"/>
  <c r="AV10" i="94" s="1"/>
  <c r="AU11" i="94"/>
  <c r="AV11" i="94" s="1"/>
  <c r="AU12" i="94"/>
  <c r="AV12" i="94" s="1"/>
  <c r="AU13" i="94"/>
  <c r="AU14" i="94"/>
  <c r="AV14" i="94" s="1"/>
  <c r="AU15" i="94"/>
  <c r="AV15" i="94" s="1"/>
  <c r="AU16" i="94"/>
  <c r="AV16" i="94" s="1"/>
  <c r="AU17" i="94"/>
  <c r="AU18" i="94"/>
  <c r="AV18" i="94" s="1"/>
  <c r="AU19" i="94"/>
  <c r="AV19" i="94" s="1"/>
  <c r="AU20" i="94"/>
  <c r="AV20" i="94" s="1"/>
  <c r="AU21" i="94"/>
  <c r="AU22" i="94"/>
  <c r="AV22" i="94" s="1"/>
  <c r="AU6" i="94"/>
  <c r="AV6" i="94" s="1"/>
  <c r="AT7" i="94"/>
  <c r="AT8" i="94"/>
  <c r="AT9" i="94"/>
  <c r="AT10" i="94"/>
  <c r="AT11" i="94"/>
  <c r="AT12" i="94"/>
  <c r="AT13" i="94"/>
  <c r="AT14" i="94"/>
  <c r="AT15" i="94"/>
  <c r="AT16" i="94"/>
  <c r="AT17" i="94"/>
  <c r="AT18" i="94"/>
  <c r="AT19" i="94"/>
  <c r="AT20" i="94"/>
  <c r="AT21" i="94"/>
  <c r="AT22" i="94"/>
  <c r="AT6" i="94"/>
  <c r="H9" i="16" l="1"/>
  <c r="F136" i="83" l="1"/>
  <c r="F83" i="83"/>
  <c r="F75" i="83"/>
  <c r="F53" i="83"/>
  <c r="F141" i="83" s="1"/>
  <c r="F42" i="16"/>
  <c r="H42" i="16"/>
  <c r="F33" i="16"/>
  <c r="H32" i="16"/>
  <c r="F31" i="16"/>
  <c r="I48" i="16"/>
  <c r="H18" i="16" l="1"/>
  <c r="H17" i="16" l="1"/>
  <c r="H16" i="16" l="1"/>
  <c r="H15" i="16" l="1"/>
  <c r="H14" i="16" l="1"/>
  <c r="H11" i="16" l="1"/>
  <c r="H10" i="16" l="1"/>
  <c r="H8" i="16" l="1"/>
  <c r="H7" i="16" l="1"/>
  <c r="H6" i="16" l="1"/>
  <c r="C6" i="83" l="1"/>
  <c r="E12" i="83"/>
  <c r="E141" i="83" s="1"/>
  <c r="G141" i="83" s="1"/>
  <c r="C5" i="83" l="1"/>
  <c r="C7" i="83" s="1"/>
  <c r="H5" i="16"/>
  <c r="G12" i="83"/>
  <c r="G13" i="83" s="1"/>
  <c r="G14" i="83" s="1"/>
  <c r="G15" i="83" s="1"/>
  <c r="G16" i="83" s="1"/>
  <c r="G17" i="83" s="1"/>
  <c r="G18" i="83" s="1"/>
  <c r="G19" i="83" s="1"/>
  <c r="G20" i="83" s="1"/>
  <c r="G21" i="83" s="1"/>
  <c r="G22" i="83" s="1"/>
  <c r="G23" i="83" s="1"/>
  <c r="G24" i="83" s="1"/>
  <c r="G25" i="83" s="1"/>
  <c r="G26" i="83" s="1"/>
  <c r="G27" i="83" s="1"/>
  <c r="G28" i="83" s="1"/>
  <c r="G29" i="83" s="1"/>
  <c r="G30" i="83" s="1"/>
  <c r="G31" i="83" s="1"/>
  <c r="G32" i="83" s="1"/>
  <c r="G33" i="83" s="1"/>
  <c r="G34" i="83" s="1"/>
  <c r="G35" i="83" s="1"/>
  <c r="G36" i="83" s="1"/>
  <c r="G37" i="83" s="1"/>
  <c r="G38" i="83" s="1"/>
  <c r="G39" i="83" s="1"/>
  <c r="G40" i="83" s="1"/>
  <c r="G41" i="83" s="1"/>
  <c r="G42" i="83" s="1"/>
  <c r="G43" i="83" s="1"/>
  <c r="G44" i="83" s="1"/>
  <c r="G45" i="83" s="1"/>
  <c r="G46" i="83" s="1"/>
  <c r="G47" i="83" s="1"/>
  <c r="G48" i="83" s="1"/>
  <c r="G49" i="83" s="1"/>
  <c r="G50" i="83" s="1"/>
  <c r="G51" i="83" s="1"/>
  <c r="G52" i="83" s="1"/>
  <c r="G53" i="83" s="1"/>
  <c r="G54" i="83" s="1"/>
  <c r="G55" i="83" s="1"/>
  <c r="G56" i="83" s="1"/>
  <c r="G57" i="83" s="1"/>
  <c r="G58" i="83" s="1"/>
  <c r="G59" i="83" s="1"/>
  <c r="G60" i="83" s="1"/>
  <c r="G61" i="83" s="1"/>
  <c r="G62" i="83" s="1"/>
  <c r="G63" i="83" s="1"/>
  <c r="G64" i="83" s="1"/>
  <c r="G65" i="83" s="1"/>
  <c r="G66" i="83" s="1"/>
  <c r="G67" i="83" s="1"/>
  <c r="G68" i="83" s="1"/>
  <c r="G69" i="83" s="1"/>
  <c r="G70" i="83" s="1"/>
  <c r="G71" i="83" s="1"/>
  <c r="G72" i="83" s="1"/>
  <c r="G73" i="83" s="1"/>
  <c r="G74" i="83" s="1"/>
  <c r="G75" i="83" s="1"/>
  <c r="G76" i="83" s="1"/>
  <c r="G77" i="83" s="1"/>
  <c r="G78" i="83" s="1"/>
  <c r="G79" i="83" s="1"/>
  <c r="G80" i="83" s="1"/>
  <c r="G81" i="83" s="1"/>
  <c r="G82" i="83" s="1"/>
  <c r="G83" i="83" s="1"/>
  <c r="G84" i="83" s="1"/>
  <c r="G85" i="83" s="1"/>
  <c r="G86" i="83" s="1"/>
  <c r="G87" i="83" s="1"/>
  <c r="G88" i="83" s="1"/>
  <c r="G89" i="83" s="1"/>
  <c r="G90" i="83" s="1"/>
  <c r="G91" i="83" s="1"/>
  <c r="G92" i="83" s="1"/>
  <c r="G93" i="83" s="1"/>
  <c r="G94" i="83" s="1"/>
  <c r="G95" i="83" s="1"/>
  <c r="G96" i="83" s="1"/>
  <c r="G97" i="83" s="1"/>
  <c r="G98" i="83" s="1"/>
  <c r="G99" i="83" s="1"/>
  <c r="G100" i="83" s="1"/>
  <c r="G101" i="83" s="1"/>
  <c r="G102" i="83" s="1"/>
  <c r="G103" i="83" s="1"/>
  <c r="G104" i="83" s="1"/>
  <c r="G105" i="83" s="1"/>
  <c r="G106" i="83" s="1"/>
  <c r="G107" i="83" s="1"/>
  <c r="G108" i="83" s="1"/>
  <c r="G109" i="83" s="1"/>
  <c r="G110" i="83" s="1"/>
  <c r="G111" i="83" s="1"/>
  <c r="G112" i="83" s="1"/>
  <c r="G113" i="83" s="1"/>
  <c r="G114" i="83" s="1"/>
  <c r="G115" i="83" s="1"/>
  <c r="G116" i="83" s="1"/>
  <c r="G117" i="83" s="1"/>
  <c r="G118" i="83" s="1"/>
  <c r="G119" i="83" s="1"/>
  <c r="G120" i="83" s="1"/>
  <c r="G121" i="83" s="1"/>
  <c r="G122" i="83" s="1"/>
  <c r="G123" i="83" s="1"/>
  <c r="G124" i="83" s="1"/>
  <c r="G125" i="83" s="1"/>
  <c r="G126" i="83" s="1"/>
  <c r="G127" i="83" s="1"/>
  <c r="G128" i="83" s="1"/>
  <c r="G129" i="83" s="1"/>
  <c r="G130" i="83" s="1"/>
  <c r="G131" i="83" s="1"/>
  <c r="G132" i="83" s="1"/>
  <c r="G133" i="83" s="1"/>
  <c r="G134" i="83" s="1"/>
  <c r="G135" i="83" s="1"/>
  <c r="G136" i="83" s="1"/>
  <c r="G137" i="83" s="1"/>
  <c r="G138" i="83" s="1"/>
  <c r="G139" i="83" s="1"/>
  <c r="G140" i="83" s="1"/>
  <c r="I34" i="82" l="1"/>
  <c r="N32" i="82"/>
  <c r="K34" i="82" s="1"/>
  <c r="M32" i="82"/>
  <c r="G32" i="82"/>
  <c r="I18" i="82"/>
  <c r="F18" i="82"/>
  <c r="F32" i="82" s="1"/>
  <c r="J13" i="82"/>
  <c r="J11" i="82"/>
  <c r="I39" i="81"/>
  <c r="H15" i="81"/>
  <c r="J15" i="81" s="1"/>
  <c r="J16" i="81" s="1"/>
  <c r="J17" i="81" s="1"/>
  <c r="J18" i="81" s="1"/>
  <c r="J19" i="81" s="1"/>
  <c r="J20" i="81" s="1"/>
  <c r="J21" i="81" s="1"/>
  <c r="J22" i="81" s="1"/>
  <c r="J23" i="81" s="1"/>
  <c r="J24" i="81" s="1"/>
  <c r="J25" i="81" s="1"/>
  <c r="J26" i="81" s="1"/>
  <c r="J27" i="81" s="1"/>
  <c r="J28" i="81" s="1"/>
  <c r="J29" i="81" s="1"/>
  <c r="J30" i="81" s="1"/>
  <c r="J31" i="81" s="1"/>
  <c r="J32" i="81" s="1"/>
  <c r="J33" i="81" s="1"/>
  <c r="J34" i="81" s="1"/>
  <c r="J35" i="81" s="1"/>
  <c r="J36" i="81" s="1"/>
  <c r="J37" i="81" s="1"/>
  <c r="I34" i="80"/>
  <c r="N32" i="80"/>
  <c r="N36" i="80" s="1"/>
  <c r="M32" i="80"/>
  <c r="G32" i="80"/>
  <c r="I18" i="80"/>
  <c r="F18" i="80"/>
  <c r="F32" i="80" s="1"/>
  <c r="J13" i="80"/>
  <c r="J11" i="80"/>
  <c r="I27" i="79"/>
  <c r="H16" i="79"/>
  <c r="J16" i="79" s="1"/>
  <c r="J17" i="79" s="1"/>
  <c r="J18" i="79" s="1"/>
  <c r="J19" i="79" s="1"/>
  <c r="J20" i="79" s="1"/>
  <c r="J21" i="79" s="1"/>
  <c r="J22" i="79" s="1"/>
  <c r="J23" i="79" s="1"/>
  <c r="J24" i="79" s="1"/>
  <c r="J25" i="79" s="1"/>
  <c r="J26" i="79" s="1"/>
  <c r="F36" i="82" l="1"/>
  <c r="G34" i="82"/>
  <c r="D34" i="82"/>
  <c r="M36" i="82"/>
  <c r="M34" i="82"/>
  <c r="N36" i="82"/>
  <c r="H38" i="81"/>
  <c r="H40" i="81" s="1"/>
  <c r="H4" i="16" s="1"/>
  <c r="F36" i="80"/>
  <c r="G34" i="80"/>
  <c r="D34" i="80"/>
  <c r="M36" i="80"/>
  <c r="K34" i="80"/>
  <c r="M34" i="80"/>
  <c r="H27" i="79"/>
  <c r="H29" i="79" s="1"/>
  <c r="H3" i="16" s="1"/>
  <c r="G38" i="82" l="1"/>
  <c r="G36" i="82"/>
  <c r="G38" i="80"/>
  <c r="G36" i="80"/>
  <c r="C18" i="16" l="1"/>
  <c r="C42" i="16" s="1"/>
  <c r="J42" i="16" s="1"/>
  <c r="C17" i="16"/>
  <c r="C41" i="16" s="1"/>
  <c r="J41" i="16" s="1"/>
  <c r="C16" i="16"/>
  <c r="C40" i="16" s="1"/>
  <c r="J40" i="16" s="1"/>
  <c r="C15" i="16"/>
  <c r="C39" i="16" s="1"/>
  <c r="J39" i="16" s="1"/>
  <c r="C14" i="16"/>
  <c r="C38" i="16" s="1"/>
  <c r="J38" i="16" s="1"/>
  <c r="C13" i="16"/>
  <c r="C37" i="16" s="1"/>
  <c r="J37" i="16" s="1"/>
  <c r="C12" i="16"/>
  <c r="C36" i="16" s="1"/>
  <c r="J36" i="16" s="1"/>
  <c r="C11" i="16"/>
  <c r="C35" i="16" s="1"/>
  <c r="J35" i="16" s="1"/>
  <c r="C10" i="16"/>
  <c r="C34" i="16" s="1"/>
  <c r="J34" i="16" s="1"/>
  <c r="C9" i="16"/>
  <c r="C33" i="16" s="1"/>
  <c r="J33" i="16" s="1"/>
  <c r="C8" i="16"/>
  <c r="C32" i="16" s="1"/>
  <c r="J32" i="16" s="1"/>
  <c r="C7" i="16"/>
  <c r="C31" i="16" s="1"/>
  <c r="J31" i="16" s="1"/>
  <c r="C6" i="16"/>
  <c r="C30" i="16" s="1"/>
  <c r="C5" i="16"/>
  <c r="C44" i="16" s="1"/>
  <c r="J44" i="16" s="1"/>
  <c r="C4" i="16"/>
  <c r="C47" i="16" s="1"/>
  <c r="J47" i="16" s="1"/>
  <c r="C3" i="16"/>
  <c r="C46" i="16" s="1"/>
  <c r="J46" i="16" s="1"/>
  <c r="J30" i="16" l="1"/>
  <c r="J48" i="16" s="1"/>
  <c r="C48" i="16"/>
  <c r="F366" i="77"/>
  <c r="F365" i="77"/>
  <c r="F364" i="77"/>
  <c r="F363" i="77"/>
  <c r="F362" i="77"/>
  <c r="F361" i="77"/>
  <c r="F360" i="77"/>
  <c r="F359" i="77"/>
  <c r="F358" i="77"/>
  <c r="F382" i="77" l="1"/>
  <c r="F199" i="77"/>
  <c r="F127" i="77"/>
  <c r="F85" i="77"/>
  <c r="I77" i="16" l="1"/>
  <c r="J71" i="16"/>
  <c r="J57" i="16" l="1"/>
  <c r="J70" i="16" l="1"/>
  <c r="J69" i="16"/>
  <c r="J68" i="16"/>
  <c r="J67" i="16"/>
  <c r="J66" i="16"/>
  <c r="J65" i="16"/>
  <c r="J64" i="16"/>
  <c r="J63" i="16"/>
  <c r="J62" i="16"/>
  <c r="J61" i="16"/>
  <c r="J60" i="16"/>
  <c r="J59" i="16"/>
  <c r="C73" i="16"/>
  <c r="J73" i="16" s="1"/>
  <c r="C76" i="16"/>
  <c r="J76" i="16" s="1"/>
  <c r="C75" i="16"/>
  <c r="J75" i="16" s="1"/>
  <c r="C104" i="16"/>
  <c r="J58" i="16" l="1"/>
  <c r="J77" i="16" s="1"/>
  <c r="C77" i="16"/>
  <c r="J117" i="16" l="1"/>
  <c r="J98" i="16" l="1"/>
  <c r="J97" i="16"/>
  <c r="J96" i="16"/>
  <c r="J95" i="16"/>
  <c r="J94" i="16"/>
  <c r="J93" i="16"/>
  <c r="J92" i="16"/>
  <c r="J91" i="16"/>
  <c r="J90" i="16"/>
  <c r="J89" i="16"/>
  <c r="J88" i="16"/>
  <c r="J87" i="16"/>
  <c r="J86" i="16"/>
  <c r="J100" i="16"/>
  <c r="J103" i="16"/>
  <c r="J102" i="16"/>
  <c r="I104" i="16"/>
  <c r="J85" i="16" l="1"/>
  <c r="J104" i="16" s="1"/>
  <c r="C6" i="77" l="1"/>
  <c r="C5" i="77"/>
  <c r="I132" i="16"/>
  <c r="J125" i="16" l="1"/>
  <c r="J122" i="16" l="1"/>
  <c r="J118" i="16"/>
  <c r="J114" i="16"/>
  <c r="J128" i="16"/>
  <c r="J130" i="16"/>
  <c r="J131" i="16"/>
  <c r="J124" i="16"/>
  <c r="J123" i="16"/>
  <c r="J121" i="16"/>
  <c r="J120" i="16"/>
  <c r="J119" i="16"/>
  <c r="J116" i="16"/>
  <c r="J115" i="16"/>
  <c r="J113" i="16"/>
  <c r="G16" i="16"/>
  <c r="G17" i="16"/>
  <c r="G18" i="16"/>
  <c r="A18" i="16"/>
  <c r="A11" i="16"/>
  <c r="F17" i="16" l="1"/>
  <c r="F18" i="16"/>
  <c r="J126" i="16"/>
  <c r="J132" i="16" s="1"/>
  <c r="K132" i="16" s="1"/>
  <c r="C19" i="16"/>
  <c r="C49" i="16" s="1"/>
  <c r="D18" i="16" l="1"/>
  <c r="J149" i="16"/>
  <c r="F16" i="16" l="1"/>
  <c r="D17" i="16"/>
  <c r="J150" i="16"/>
  <c r="A17" i="16"/>
  <c r="J148" i="16"/>
  <c r="J147" i="16"/>
  <c r="J146" i="16"/>
  <c r="J145" i="16"/>
  <c r="J144" i="16"/>
  <c r="J143" i="16"/>
  <c r="J142" i="16"/>
  <c r="J141" i="16"/>
  <c r="J140" i="16"/>
  <c r="J154" i="16"/>
  <c r="J157" i="16"/>
  <c r="J156" i="16"/>
  <c r="D16" i="16" l="1"/>
  <c r="J152" i="16"/>
  <c r="J151" i="16"/>
  <c r="A16" i="16"/>
  <c r="J158" i="16" l="1"/>
  <c r="J176" i="16" l="1"/>
  <c r="F166" i="16" l="1"/>
  <c r="J200" i="16"/>
  <c r="J203" i="16"/>
  <c r="J184" i="16"/>
  <c r="J183" i="16"/>
  <c r="J182" i="16"/>
  <c r="C175" i="16" l="1"/>
  <c r="J175" i="16" s="1"/>
  <c r="C174" i="16"/>
  <c r="J174" i="16" s="1"/>
  <c r="C173" i="16"/>
  <c r="J173" i="16" s="1"/>
  <c r="C172" i="16"/>
  <c r="J172" i="16" s="1"/>
  <c r="C171" i="16"/>
  <c r="J171" i="16" s="1"/>
  <c r="C170" i="16"/>
  <c r="J170" i="16" s="1"/>
  <c r="C169" i="16"/>
  <c r="J169" i="16" s="1"/>
  <c r="C168" i="16"/>
  <c r="J168" i="16" s="1"/>
  <c r="C167" i="16"/>
  <c r="J167" i="16" s="1"/>
  <c r="C166" i="16"/>
  <c r="J166" i="16" s="1"/>
  <c r="C178" i="16"/>
  <c r="J178" i="16" s="1"/>
  <c r="C181" i="16"/>
  <c r="J181" i="16" s="1"/>
  <c r="C180" i="16" l="1"/>
  <c r="J180" i="16" s="1"/>
  <c r="J185" i="16" s="1"/>
  <c r="A22" i="16" l="1"/>
  <c r="H19" i="16" l="1"/>
  <c r="J211" i="16" l="1"/>
  <c r="J210" i="16"/>
  <c r="J209" i="16"/>
  <c r="J262" i="16"/>
  <c r="J235" i="16"/>
  <c r="J234" i="16"/>
  <c r="J232" i="16"/>
  <c r="E230" i="16"/>
  <c r="J230" i="16" s="1"/>
  <c r="E229" i="16"/>
  <c r="J229" i="16" s="1"/>
  <c r="E227" i="16"/>
  <c r="J227" i="16" s="1"/>
  <c r="H226" i="16"/>
  <c r="E226" i="16"/>
  <c r="F225" i="16"/>
  <c r="E225" i="16"/>
  <c r="E224" i="16"/>
  <c r="J224" i="16" s="1"/>
  <c r="I223" i="16"/>
  <c r="H223" i="16"/>
  <c r="E223" i="16"/>
  <c r="I222" i="16"/>
  <c r="E222" i="16"/>
  <c r="H221" i="16"/>
  <c r="E221" i="16"/>
  <c r="I220" i="16"/>
  <c r="J212" i="16"/>
  <c r="J196" i="16"/>
  <c r="G15" i="16"/>
  <c r="A15" i="16"/>
  <c r="G14" i="16"/>
  <c r="A14" i="16"/>
  <c r="G13" i="16"/>
  <c r="A13" i="16"/>
  <c r="G12" i="16"/>
  <c r="A12" i="16"/>
  <c r="G11" i="16"/>
  <c r="G10" i="16"/>
  <c r="A10" i="16"/>
  <c r="G9" i="16"/>
  <c r="A9" i="16"/>
  <c r="G8" i="16"/>
  <c r="A8" i="16"/>
  <c r="G7" i="16"/>
  <c r="A7" i="16"/>
  <c r="G6" i="16"/>
  <c r="A6" i="16"/>
  <c r="G5" i="16"/>
  <c r="A5" i="16"/>
  <c r="G4" i="16"/>
  <c r="J208" i="16"/>
  <c r="A4" i="16"/>
  <c r="G3" i="16"/>
  <c r="F3" i="16" s="1"/>
  <c r="A3" i="16"/>
  <c r="F5" i="16" l="1"/>
  <c r="F4" i="16"/>
  <c r="F7" i="16"/>
  <c r="F13" i="16"/>
  <c r="F15" i="16"/>
  <c r="F6" i="16"/>
  <c r="F8" i="16"/>
  <c r="F10" i="16"/>
  <c r="F9" i="16"/>
  <c r="F11" i="16"/>
  <c r="F12" i="16"/>
  <c r="F14" i="16"/>
  <c r="G19" i="16"/>
  <c r="B196" i="16"/>
  <c r="B200" i="16"/>
  <c r="B201" i="16"/>
  <c r="B194" i="16"/>
  <c r="B197" i="16"/>
  <c r="B198" i="16"/>
  <c r="B195" i="16"/>
  <c r="B199" i="16"/>
  <c r="J195" i="16"/>
  <c r="I237" i="16"/>
  <c r="J222" i="16"/>
  <c r="J205" i="16"/>
  <c r="J221" i="16"/>
  <c r="J193" i="16"/>
  <c r="J199" i="16"/>
  <c r="J194" i="16"/>
  <c r="J207" i="16"/>
  <c r="J202" i="16"/>
  <c r="J225" i="16"/>
  <c r="J223" i="16"/>
  <c r="J226" i="16"/>
  <c r="J220" i="16"/>
  <c r="D3" i="16" l="1"/>
  <c r="D12" i="16"/>
  <c r="B22" i="16"/>
  <c r="D9" i="16"/>
  <c r="D15" i="16"/>
  <c r="D4" i="16"/>
  <c r="D5" i="16"/>
  <c r="D11" i="16"/>
  <c r="D6" i="16"/>
  <c r="D8" i="16"/>
  <c r="D7" i="16"/>
  <c r="D14" i="16"/>
  <c r="D10" i="16"/>
  <c r="D13" i="16"/>
  <c r="F19" i="16"/>
  <c r="J198" i="16"/>
  <c r="J197" i="16"/>
  <c r="J201" i="16"/>
  <c r="C228" i="16"/>
  <c r="D19" i="16" l="1"/>
  <c r="G21" i="16" s="1"/>
  <c r="J213" i="16"/>
  <c r="C237" i="16"/>
  <c r="J228" i="16"/>
  <c r="J237" i="16" s="1"/>
  <c r="C2" i="77" l="1"/>
  <c r="G12" i="77" l="1"/>
  <c r="G13" i="77" s="1"/>
  <c r="G14" i="77" s="1"/>
  <c r="G15" i="77" s="1"/>
  <c r="G16" i="77" s="1"/>
  <c r="G17" i="77" s="1"/>
  <c r="G18" i="77" s="1"/>
  <c r="G19" i="77" s="1"/>
  <c r="G20" i="77" s="1"/>
  <c r="G21" i="77" s="1"/>
  <c r="G22" i="77" s="1"/>
  <c r="G23" i="77" s="1"/>
  <c r="G24" i="77" s="1"/>
  <c r="G25" i="77" s="1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G41" i="77" s="1"/>
  <c r="G42" i="77" s="1"/>
  <c r="G43" i="77" s="1"/>
  <c r="G44" i="77" s="1"/>
  <c r="G45" i="77" s="1"/>
  <c r="G46" i="77" s="1"/>
  <c r="G47" i="77" s="1"/>
  <c r="G48" i="77" s="1"/>
  <c r="G49" i="77" s="1"/>
  <c r="G50" i="77" s="1"/>
  <c r="G51" i="77" s="1"/>
  <c r="G52" i="77" s="1"/>
  <c r="G53" i="77" s="1"/>
  <c r="G54" i="77" s="1"/>
  <c r="G55" i="77" s="1"/>
  <c r="G56" i="77" s="1"/>
  <c r="G57" i="77" s="1"/>
  <c r="G58" i="77" s="1"/>
  <c r="G59" i="77" s="1"/>
  <c r="G60" i="77" s="1"/>
  <c r="G61" i="77" s="1"/>
  <c r="G62" i="77" s="1"/>
  <c r="G63" i="77" s="1"/>
  <c r="G64" i="77" s="1"/>
  <c r="G65" i="77" s="1"/>
  <c r="G66" i="77" s="1"/>
  <c r="G67" i="77" s="1"/>
  <c r="G68" i="77" s="1"/>
  <c r="G69" i="77" s="1"/>
  <c r="G70" i="77" s="1"/>
  <c r="G71" i="77" s="1"/>
  <c r="G72" i="77" s="1"/>
  <c r="G73" i="77" s="1"/>
  <c r="G74" i="77" s="1"/>
  <c r="G75" i="77" s="1"/>
  <c r="G76" i="77" s="1"/>
  <c r="G77" i="77" s="1"/>
  <c r="G78" i="77" s="1"/>
  <c r="G79" i="77" s="1"/>
  <c r="G80" i="77" s="1"/>
  <c r="G81" i="77" s="1"/>
  <c r="G82" i="77" s="1"/>
  <c r="G83" i="77" s="1"/>
  <c r="G84" i="77" s="1"/>
  <c r="G85" i="77" s="1"/>
  <c r="G86" i="77" s="1"/>
  <c r="G87" i="77" s="1"/>
  <c r="G88" i="77" s="1"/>
  <c r="G89" i="77" s="1"/>
  <c r="G90" i="77" s="1"/>
  <c r="G91" i="77" s="1"/>
  <c r="G92" i="77" s="1"/>
  <c r="G93" i="77" s="1"/>
  <c r="G94" i="77" s="1"/>
  <c r="G95" i="77" s="1"/>
  <c r="G96" i="77" s="1"/>
  <c r="G97" i="77" s="1"/>
  <c r="G98" i="77" s="1"/>
  <c r="G99" i="77" s="1"/>
  <c r="G100" i="77" s="1"/>
  <c r="G101" i="77" s="1"/>
  <c r="G102" i="77" s="1"/>
  <c r="G103" i="77" s="1"/>
  <c r="G104" i="77" s="1"/>
  <c r="G105" i="77" s="1"/>
  <c r="G106" i="77" s="1"/>
  <c r="G107" i="77" s="1"/>
  <c r="G108" i="77" s="1"/>
  <c r="G109" i="77" s="1"/>
  <c r="G110" i="77" s="1"/>
  <c r="G111" i="77" s="1"/>
  <c r="G112" i="77" s="1"/>
  <c r="G113" i="77" s="1"/>
  <c r="G114" i="77" s="1"/>
  <c r="G115" i="77" s="1"/>
  <c r="G116" i="77" s="1"/>
  <c r="G117" i="77" s="1"/>
  <c r="G118" i="77" s="1"/>
  <c r="G119" i="77" s="1"/>
  <c r="G120" i="77" s="1"/>
  <c r="G121" i="77" s="1"/>
  <c r="G122" i="77" s="1"/>
  <c r="G123" i="77" s="1"/>
  <c r="G124" i="77" s="1"/>
  <c r="G125" i="77" s="1"/>
  <c r="G126" i="77" s="1"/>
  <c r="G127" i="77" s="1"/>
  <c r="G128" i="77" s="1"/>
  <c r="G129" i="77" s="1"/>
  <c r="G130" i="77" s="1"/>
  <c r="G131" i="77" s="1"/>
  <c r="G132" i="77" s="1"/>
  <c r="G133" i="77" s="1"/>
  <c r="G134" i="77" s="1"/>
  <c r="G135" i="77" s="1"/>
  <c r="G136" i="77" s="1"/>
  <c r="G137" i="77" s="1"/>
  <c r="G138" i="77" s="1"/>
  <c r="G139" i="77" s="1"/>
  <c r="G140" i="77" s="1"/>
  <c r="G141" i="77" s="1"/>
  <c r="G142" i="77" s="1"/>
  <c r="G143" i="77" s="1"/>
  <c r="G144" i="77" s="1"/>
  <c r="G145" i="77" s="1"/>
  <c r="G146" i="77" s="1"/>
  <c r="G147" i="77" s="1"/>
  <c r="G148" i="77" s="1"/>
  <c r="G149" i="77" s="1"/>
  <c r="G150" i="77" s="1"/>
  <c r="G151" i="77" s="1"/>
  <c r="G152" i="77" s="1"/>
  <c r="G153" i="77" s="1"/>
  <c r="G154" i="77" s="1"/>
  <c r="G155" i="77" s="1"/>
  <c r="G156" i="77" s="1"/>
  <c r="G157" i="77" s="1"/>
  <c r="G158" i="77" s="1"/>
  <c r="G159" i="77" s="1"/>
  <c r="G160" i="77" s="1"/>
  <c r="G161" i="77" s="1"/>
  <c r="G162" i="77" s="1"/>
  <c r="G163" i="77" s="1"/>
  <c r="G164" i="77" s="1"/>
  <c r="G165" i="77" s="1"/>
  <c r="G166" i="77" s="1"/>
  <c r="G167" i="77" s="1"/>
  <c r="G168" i="77" s="1"/>
  <c r="G169" i="77" s="1"/>
  <c r="G170" i="77" s="1"/>
  <c r="G171" i="77" s="1"/>
  <c r="G172" i="77" s="1"/>
  <c r="G173" i="77" s="1"/>
  <c r="G174" i="77" s="1"/>
  <c r="G175" i="77" s="1"/>
  <c r="G176" i="77" s="1"/>
  <c r="G177" i="77" s="1"/>
  <c r="G178" i="77" s="1"/>
  <c r="G179" i="77" s="1"/>
  <c r="G180" i="77" s="1"/>
  <c r="G181" i="77" s="1"/>
  <c r="G182" i="77" s="1"/>
  <c r="G183" i="77" s="1"/>
  <c r="G184" i="77" s="1"/>
  <c r="G185" i="77" s="1"/>
  <c r="G186" i="77" s="1"/>
  <c r="G187" i="77" s="1"/>
  <c r="G188" i="77" s="1"/>
  <c r="G189" i="77" s="1"/>
  <c r="G190" i="77" s="1"/>
  <c r="G191" i="77" s="1"/>
  <c r="G192" i="77" s="1"/>
  <c r="G193" i="77" s="1"/>
  <c r="G194" i="77" s="1"/>
  <c r="G195" i="77" s="1"/>
  <c r="G196" i="77" s="1"/>
  <c r="G197" i="77" s="1"/>
  <c r="G198" i="77" s="1"/>
  <c r="G199" i="77" s="1"/>
  <c r="G200" i="77" s="1"/>
  <c r="G201" i="77" s="1"/>
  <c r="G202" i="77" s="1"/>
  <c r="G203" i="77" s="1"/>
  <c r="G204" i="77" s="1"/>
  <c r="G205" i="77" s="1"/>
  <c r="G206" i="77" s="1"/>
  <c r="G207" i="77" s="1"/>
  <c r="G208" i="77" s="1"/>
  <c r="G209" i="77" s="1"/>
  <c r="G210" i="77" s="1"/>
  <c r="G211" i="77" s="1"/>
  <c r="G212" i="77" s="1"/>
  <c r="G213" i="77" s="1"/>
  <c r="G214" i="77" s="1"/>
  <c r="G215" i="77" s="1"/>
  <c r="G216" i="77" s="1"/>
  <c r="G217" i="77" s="1"/>
  <c r="G218" i="77" s="1"/>
  <c r="G219" i="77" s="1"/>
  <c r="G220" i="77" s="1"/>
  <c r="G221" i="77" s="1"/>
  <c r="G222" i="77" s="1"/>
  <c r="G223" i="77" s="1"/>
  <c r="G224" i="77" s="1"/>
  <c r="G225" i="77" s="1"/>
  <c r="G226" i="77" s="1"/>
  <c r="G227" i="77" s="1"/>
  <c r="G228" i="77" s="1"/>
  <c r="G229" i="77" s="1"/>
  <c r="G230" i="77" s="1"/>
  <c r="G231" i="77" s="1"/>
  <c r="G232" i="77" s="1"/>
  <c r="G233" i="77" s="1"/>
  <c r="G234" i="77" s="1"/>
  <c r="G235" i="77" s="1"/>
  <c r="G236" i="77" s="1"/>
  <c r="G237" i="77" s="1"/>
  <c r="G238" i="77" s="1"/>
  <c r="G239" i="77" s="1"/>
  <c r="G240" i="77" s="1"/>
  <c r="G241" i="77" s="1"/>
  <c r="G242" i="77" s="1"/>
  <c r="G243" i="77" s="1"/>
  <c r="G244" i="77" s="1"/>
  <c r="G245" i="77" s="1"/>
  <c r="G246" i="77" s="1"/>
  <c r="G247" i="77" s="1"/>
  <c r="G248" i="77" s="1"/>
  <c r="G249" i="77" s="1"/>
  <c r="G250" i="77" s="1"/>
  <c r="G251" i="77" s="1"/>
  <c r="G252" i="77" s="1"/>
  <c r="G253" i="77" s="1"/>
  <c r="G254" i="77" s="1"/>
  <c r="G255" i="77" s="1"/>
  <c r="G256" i="77" s="1"/>
  <c r="G257" i="77" s="1"/>
  <c r="G258" i="77" s="1"/>
  <c r="G259" i="77" s="1"/>
  <c r="G260" i="77" s="1"/>
  <c r="G261" i="77" s="1"/>
  <c r="G262" i="77" s="1"/>
  <c r="G263" i="77" s="1"/>
  <c r="G264" i="77" s="1"/>
  <c r="G265" i="77" s="1"/>
  <c r="G266" i="77" s="1"/>
  <c r="G267" i="77" s="1"/>
  <c r="G268" i="77" s="1"/>
  <c r="G269" i="77" s="1"/>
  <c r="G270" i="77" s="1"/>
  <c r="G271" i="77" s="1"/>
  <c r="G272" i="77" s="1"/>
  <c r="G273" i="77" s="1"/>
  <c r="G274" i="77" s="1"/>
  <c r="G275" i="77" s="1"/>
  <c r="G276" i="77" s="1"/>
  <c r="G277" i="77" s="1"/>
  <c r="G278" i="77" s="1"/>
  <c r="G279" i="77" s="1"/>
  <c r="G280" i="77" s="1"/>
  <c r="G281" i="77" s="1"/>
  <c r="G282" i="77" s="1"/>
  <c r="G283" i="77" s="1"/>
  <c r="G284" i="77" s="1"/>
  <c r="G285" i="77" s="1"/>
  <c r="G286" i="77" s="1"/>
  <c r="G287" i="77" s="1"/>
  <c r="G288" i="77" s="1"/>
  <c r="G289" i="77" s="1"/>
  <c r="G290" i="77" s="1"/>
  <c r="G291" i="77" s="1"/>
  <c r="G292" i="77" s="1"/>
  <c r="G293" i="77" s="1"/>
  <c r="G294" i="77" s="1"/>
  <c r="G295" i="77" s="1"/>
  <c r="G296" i="77" s="1"/>
  <c r="G297" i="77" s="1"/>
  <c r="G298" i="77" s="1"/>
  <c r="G299" i="77" s="1"/>
  <c r="G300" i="77" s="1"/>
  <c r="G301" i="77" s="1"/>
  <c r="G302" i="77" s="1"/>
  <c r="G303" i="77" s="1"/>
  <c r="G304" i="77" s="1"/>
  <c r="G305" i="77" s="1"/>
  <c r="G306" i="77" s="1"/>
  <c r="G307" i="77" s="1"/>
  <c r="G308" i="77" s="1"/>
  <c r="G309" i="77" s="1"/>
  <c r="G310" i="77" s="1"/>
  <c r="G311" i="77" s="1"/>
  <c r="G312" i="77" s="1"/>
  <c r="G313" i="77" s="1"/>
  <c r="G314" i="77" s="1"/>
  <c r="G315" i="77" s="1"/>
  <c r="G316" i="77" s="1"/>
  <c r="G317" i="77" s="1"/>
  <c r="G318" i="77" s="1"/>
  <c r="G319" i="77" s="1"/>
  <c r="G320" i="77" s="1"/>
  <c r="G321" i="77" s="1"/>
  <c r="G322" i="77" s="1"/>
  <c r="G323" i="77" s="1"/>
  <c r="G324" i="77" s="1"/>
  <c r="G325" i="77" s="1"/>
  <c r="G326" i="77" s="1"/>
  <c r="G327" i="77" s="1"/>
  <c r="G328" i="77" s="1"/>
  <c r="G329" i="77" s="1"/>
  <c r="G330" i="77" s="1"/>
  <c r="G331" i="77" s="1"/>
  <c r="G332" i="77" s="1"/>
  <c r="G333" i="77" s="1"/>
  <c r="G334" i="77" s="1"/>
  <c r="G335" i="77" s="1"/>
  <c r="G336" i="77" s="1"/>
  <c r="G337" i="77" s="1"/>
  <c r="G338" i="77" s="1"/>
  <c r="G339" i="77" s="1"/>
  <c r="G340" i="77" s="1"/>
  <c r="G341" i="77" s="1"/>
  <c r="G342" i="77" s="1"/>
  <c r="G343" i="77" s="1"/>
  <c r="G344" i="77" s="1"/>
  <c r="G345" i="77" s="1"/>
  <c r="G346" i="77" s="1"/>
  <c r="G347" i="77" s="1"/>
  <c r="G348" i="77" s="1"/>
  <c r="G349" i="77" s="1"/>
  <c r="G350" i="77" s="1"/>
  <c r="G351" i="77" s="1"/>
  <c r="G352" i="77" s="1"/>
  <c r="G353" i="77" s="1"/>
  <c r="G354" i="77" s="1"/>
  <c r="G355" i="77" s="1"/>
  <c r="G356" i="77" s="1"/>
  <c r="G357" i="77" s="1"/>
  <c r="G358" i="77" s="1"/>
  <c r="G359" i="77" s="1"/>
  <c r="G360" i="77" s="1"/>
  <c r="G361" i="77" s="1"/>
  <c r="G362" i="77" s="1"/>
  <c r="G363" i="77" s="1"/>
  <c r="G364" i="77" s="1"/>
  <c r="G365" i="77" s="1"/>
  <c r="G366" i="77" s="1"/>
  <c r="G367" i="77" s="1"/>
  <c r="G368" i="77" s="1"/>
  <c r="G369" i="77" s="1"/>
  <c r="G370" i="77" s="1"/>
  <c r="G371" i="77" s="1"/>
  <c r="G372" i="77" s="1"/>
  <c r="G373" i="77" s="1"/>
  <c r="G374" i="77" s="1"/>
  <c r="G375" i="77" s="1"/>
  <c r="G376" i="77" s="1"/>
  <c r="G377" i="77" s="1"/>
  <c r="G378" i="77" s="1"/>
  <c r="G379" i="77" s="1"/>
  <c r="G380" i="77" s="1"/>
  <c r="G381" i="77" s="1"/>
  <c r="G382" i="77" s="1"/>
  <c r="G383" i="77" s="1"/>
  <c r="G384" i="77" s="1"/>
  <c r="G385" i="77" s="1"/>
  <c r="G386" i="77" s="1"/>
  <c r="G387" i="77" s="1"/>
  <c r="G388" i="77" s="1"/>
  <c r="G389" i="77" s="1"/>
  <c r="G390" i="77" s="1"/>
  <c r="G391" i="77" s="1"/>
  <c r="G392" i="77" s="1"/>
  <c r="G393" i="77" s="1"/>
  <c r="G394" i="77" s="1"/>
  <c r="G395" i="77" s="1"/>
  <c r="G396" i="77" s="1"/>
  <c r="G397" i="77" s="1"/>
  <c r="G398" i="77" s="1"/>
  <c r="G399" i="77" s="1"/>
  <c r="G400" i="77" s="1"/>
  <c r="G401" i="77" s="1"/>
  <c r="G402" i="77" s="1"/>
  <c r="G403" i="77" s="1"/>
  <c r="G404" i="77" s="1"/>
  <c r="G405" i="77" s="1"/>
  <c r="G406" i="77" s="1"/>
  <c r="G407" i="77" s="1"/>
  <c r="G408" i="77" s="1"/>
  <c r="G409" i="77" s="1"/>
  <c r="G410" i="77" s="1"/>
  <c r="G411" i="77" s="1"/>
  <c r="G412" i="77" s="1"/>
  <c r="G413" i="77" s="1"/>
  <c r="G414" i="77" s="1"/>
  <c r="C7" i="77"/>
  <c r="E5" i="16" l="1"/>
  <c r="I5" i="16" s="1"/>
  <c r="E4" i="16"/>
  <c r="I4" i="16" s="1"/>
  <c r="K47" i="16" s="1"/>
  <c r="E10" i="16"/>
  <c r="I10" i="16" s="1"/>
  <c r="K34" i="16" s="1"/>
  <c r="E15" i="16"/>
  <c r="I15" i="16" s="1"/>
  <c r="K39" i="16" s="1"/>
  <c r="E16" i="16"/>
  <c r="I16" i="16" s="1"/>
  <c r="K40" i="16" s="1"/>
  <c r="E13" i="16"/>
  <c r="I13" i="16" s="1"/>
  <c r="K37" i="16" s="1"/>
  <c r="E11" i="16"/>
  <c r="I11" i="16" s="1"/>
  <c r="K35" i="16" s="1"/>
  <c r="E12" i="16"/>
  <c r="I12" i="16" s="1"/>
  <c r="K36" i="16" s="1"/>
  <c r="E7" i="16"/>
  <c r="I7" i="16" s="1"/>
  <c r="K31" i="16" s="1"/>
  <c r="E9" i="16"/>
  <c r="I9" i="16" s="1"/>
  <c r="K33" i="16" s="1"/>
  <c r="E8" i="16"/>
  <c r="I8" i="16" s="1"/>
  <c r="K32" i="16" s="1"/>
  <c r="E18" i="16"/>
  <c r="I18" i="16" s="1"/>
  <c r="K42" i="16" s="1"/>
  <c r="E6" i="16"/>
  <c r="I6" i="16" s="1"/>
  <c r="K30" i="16" s="1"/>
  <c r="E14" i="16"/>
  <c r="I14" i="16" s="1"/>
  <c r="E17" i="16"/>
  <c r="I17" i="16" s="1"/>
  <c r="K41" i="16" s="1"/>
  <c r="E3" i="16"/>
  <c r="J5" i="16" l="1"/>
  <c r="K44" i="16"/>
  <c r="J14" i="16"/>
  <c r="K38" i="16"/>
  <c r="E19" i="16"/>
  <c r="C22" i="16" s="1"/>
  <c r="D22" i="16" s="1"/>
  <c r="J8" i="16"/>
  <c r="J11" i="16"/>
  <c r="J4" i="16"/>
  <c r="J9" i="16"/>
  <c r="J13" i="16"/>
  <c r="J15" i="16"/>
  <c r="J6" i="16"/>
  <c r="J7" i="16"/>
  <c r="J16" i="16"/>
  <c r="J17" i="16"/>
  <c r="J18" i="16"/>
  <c r="J12" i="16"/>
  <c r="J10" i="16"/>
  <c r="I3" i="16"/>
  <c r="K46" i="16" s="1"/>
  <c r="J3" i="16" l="1"/>
  <c r="I19" i="16"/>
  <c r="K48" i="16" l="1"/>
  <c r="D7" i="77"/>
  <c r="I20" i="16"/>
  <c r="J19" i="16"/>
  <c r="E22" i="16"/>
  <c r="K185" i="16"/>
  <c r="E6" i="77"/>
</calcChain>
</file>

<file path=xl/sharedStrings.xml><?xml version="1.0" encoding="utf-8"?>
<sst xmlns="http://schemas.openxmlformats.org/spreadsheetml/2006/main" count="4056" uniqueCount="704">
  <si>
    <t>Visa Compta</t>
  </si>
  <si>
    <t>Banque: BANQUE COMMERCIALE INTERNATIONALE</t>
  </si>
  <si>
    <t>Compte: 01100-37107255251-56</t>
  </si>
  <si>
    <t>Intitulé du compte: Projet PALF</t>
  </si>
  <si>
    <t>Date</t>
  </si>
  <si>
    <t>N°     pièce</t>
  </si>
  <si>
    <t>References</t>
  </si>
  <si>
    <t>Libellé</t>
  </si>
  <si>
    <t>Type depenses</t>
  </si>
  <si>
    <t>Département</t>
  </si>
  <si>
    <t>Code  budgétaire</t>
  </si>
  <si>
    <t>Débit</t>
  </si>
  <si>
    <t>Crédit</t>
  </si>
  <si>
    <t>Solde progressif</t>
  </si>
  <si>
    <t>Donateur</t>
  </si>
  <si>
    <t>Personnel</t>
  </si>
  <si>
    <t>Légal</t>
  </si>
  <si>
    <t>Rent &amp; Utilities</t>
  </si>
  <si>
    <t>office</t>
  </si>
  <si>
    <t>Management</t>
  </si>
  <si>
    <t>Telephone</t>
  </si>
  <si>
    <t>Office</t>
  </si>
  <si>
    <t>Total sorties</t>
  </si>
  <si>
    <t xml:space="preserve">Solde </t>
  </si>
  <si>
    <t>Compte: 01100-37107202652-34</t>
  </si>
  <si>
    <t xml:space="preserve"> Crédit </t>
  </si>
  <si>
    <t>Bonus</t>
  </si>
  <si>
    <t>Total Entrées</t>
  </si>
  <si>
    <t>Bank fees</t>
  </si>
  <si>
    <t>Relevé</t>
  </si>
  <si>
    <t>Services</t>
  </si>
  <si>
    <t>Investigation</t>
  </si>
  <si>
    <t>EAGLE NETWORK</t>
  </si>
  <si>
    <t xml:space="preserve">PROJET: </t>
  </si>
  <si>
    <t>Projet d'Appui à l'Application de la Loi sur la Faune sauvage-PALF</t>
  </si>
  <si>
    <t xml:space="preserve">La Coordinatrice </t>
  </si>
  <si>
    <t>Perrine ODIER</t>
  </si>
  <si>
    <t>Date__________  Signature _____________________</t>
  </si>
  <si>
    <t>Chef Comptable</t>
  </si>
  <si>
    <t>Ted Gessay KOUEMITOUKA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</si>
  <si>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</si>
  <si>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</si>
  <si>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</si>
  <si>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</si>
  <si>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</si>
  <si>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</si>
  <si>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</si>
  <si>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</si>
  <si>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</si>
  <si>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</si>
  <si>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</si>
  <si>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</si>
  <si>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</si>
  <si>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</si>
  <si>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</si>
  <si>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</si>
  <si>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</si>
  <si>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</si>
  <si>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</si>
  <si>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BCI Sous-Compte</t>
  </si>
  <si>
    <t>Lawyer fees</t>
  </si>
  <si>
    <t>Media</t>
  </si>
  <si>
    <t>Caisse</t>
  </si>
  <si>
    <t>Transfer fees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</si>
  <si>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</si>
  <si>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</si>
  <si>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</si>
  <si>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</si>
  <si>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</si>
  <si>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</si>
  <si>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</si>
  <si>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</si>
  <si>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</si>
  <si>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Jail visits</t>
  </si>
  <si>
    <t>Office Materials</t>
  </si>
  <si>
    <t>Oui</t>
  </si>
  <si>
    <t>Trust building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</si>
  <si>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</si>
  <si>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</si>
  <si>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</si>
  <si>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</si>
  <si>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</si>
  <si>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</si>
  <si>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</si>
  <si>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</si>
  <si>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</si>
  <si>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</si>
  <si>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</si>
  <si>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</si>
  <si>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</si>
  <si>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</si>
  <si>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</si>
  <si>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</si>
  <si>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</si>
  <si>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</si>
  <si>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</si>
  <si>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</si>
  <si>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</si>
  <si>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</si>
  <si>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</si>
  <si>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</si>
  <si>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</si>
  <si>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</si>
  <si>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</si>
  <si>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</si>
  <si>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</si>
  <si>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</si>
  <si>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</si>
  <si>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</si>
  <si>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Fichier comptable-Caisse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</si>
  <si>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</si>
  <si>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</si>
  <si>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</si>
  <si>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</si>
  <si>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</si>
  <si>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</si>
  <si>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</si>
  <si>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</si>
  <si>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</si>
  <si>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</si>
  <si>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</si>
  <si>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Legal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</si>
  <si>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</si>
  <si>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</si>
  <si>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</si>
  <si>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</si>
  <si>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</si>
  <si>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</si>
  <si>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</si>
  <si>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</si>
  <si>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</si>
  <si>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</si>
  <si>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</si>
  <si>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Virement</t>
  </si>
  <si>
    <t>Décharge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</si>
  <si>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</si>
  <si>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</si>
  <si>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</si>
  <si>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</si>
  <si>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</si>
  <si>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Remarque</t>
  </si>
  <si>
    <t>Naftali</t>
  </si>
  <si>
    <t>Merveille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</si>
  <si>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</si>
  <si>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Reçu caisse/I73X</t>
  </si>
  <si>
    <t>Reçu caisse/I55S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</si>
  <si>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</si>
  <si>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</si>
  <si>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</si>
  <si>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</si>
  <si>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</si>
  <si>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</si>
  <si>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</si>
  <si>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Internet</t>
  </si>
  <si>
    <t>I23c</t>
  </si>
  <si>
    <t>T44</t>
  </si>
  <si>
    <t>Travel subsistence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</si>
  <si>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</si>
  <si>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</si>
  <si>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</si>
  <si>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</si>
  <si>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</si>
  <si>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Montant en FCFA Centrale</t>
  </si>
  <si>
    <t>Média</t>
  </si>
  <si>
    <t>Supplément paiement Prime de fin d'année</t>
  </si>
  <si>
    <t>Hérick/Geisner</t>
  </si>
  <si>
    <t>Donation</t>
  </si>
  <si>
    <t>Reçu caisse/Hérick</t>
  </si>
  <si>
    <t>Recu caisse/Christian</t>
  </si>
  <si>
    <t>JANVIER</t>
  </si>
  <si>
    <t>BALANCE CAISSES ET BANQUE AU 31 JANVIER 2021</t>
  </si>
  <si>
    <t>Balance au          01 Janvier 2021</t>
  </si>
  <si>
    <t>Balance au 31 Janvier 2021</t>
  </si>
  <si>
    <t>Total entrée</t>
  </si>
  <si>
    <t>Hérick/Crépin</t>
  </si>
  <si>
    <t>Operations</t>
  </si>
  <si>
    <t>Service</t>
  </si>
  <si>
    <t>Frais de transfert charden farell/I23c</t>
  </si>
  <si>
    <t>Frais de consultation et de certificat médical/mr ROBERT</t>
  </si>
  <si>
    <t>Reçu caisse/Crépin</t>
  </si>
  <si>
    <t>Reçu caisse Hérick/Crépin</t>
  </si>
  <si>
    <t>Reçu caisse/Evariste</t>
  </si>
  <si>
    <t>Versement à Crepin/Hérick</t>
  </si>
  <si>
    <t>Réçu caisse/I23C</t>
  </si>
  <si>
    <t>Tiffany</t>
  </si>
  <si>
    <t>Reçu caisse/Ted</t>
  </si>
  <si>
    <t>ETAT DE RAPPROCHEMENT BANCAIRE</t>
  </si>
  <si>
    <t>Période :</t>
  </si>
  <si>
    <t>Référence :</t>
  </si>
  <si>
    <t>LIVRE DE BANQUE</t>
  </si>
  <si>
    <t>RELEVE DE COMPTE</t>
  </si>
  <si>
    <t>Compte :</t>
  </si>
  <si>
    <t>01100-37107202652 - 34</t>
  </si>
  <si>
    <t>Libelle</t>
  </si>
  <si>
    <t>Ecr N°</t>
  </si>
  <si>
    <t>Réf Titre</t>
  </si>
  <si>
    <t>Mouvement en XAF</t>
  </si>
  <si>
    <t>Débit (1)</t>
  </si>
  <si>
    <t>Crédit (2)</t>
  </si>
  <si>
    <t>a. Solde en fin du mois</t>
  </si>
  <si>
    <t>c. Solde en fin du mois</t>
  </si>
  <si>
    <t>Solde en fin</t>
  </si>
  <si>
    <t>solde en fin</t>
  </si>
  <si>
    <t xml:space="preserve">b. Ecritures non encore passées dans nos livres </t>
  </si>
  <si>
    <t>d.  Ecritures non encore passées à la
 Banque</t>
  </si>
  <si>
    <t>TOTAL A= (a+b)</t>
  </si>
  <si>
    <t>TOTAL B=(c+d)</t>
  </si>
  <si>
    <t>Totaux rapprochés</t>
  </si>
  <si>
    <t>Ecart à rechercher</t>
  </si>
  <si>
    <t>Tiffany GOBERT</t>
  </si>
  <si>
    <t>01100-37107255251-56</t>
  </si>
  <si>
    <t>Ted Gessay Kouemitouka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</si>
  <si>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</si>
  <si>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</si>
  <si>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</si>
  <si>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</si>
  <si>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</si>
  <si>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Solde au 28/02/2021</t>
  </si>
  <si>
    <t>RAPPORT FINANCIER MARS 2021</t>
  </si>
  <si>
    <t>Solde au 01/03/2021</t>
  </si>
  <si>
    <t>Retrait especes/appro caisse/bord n°3654433</t>
  </si>
  <si>
    <t>Retrait especes/appro caisse/bord n°3654435</t>
  </si>
  <si>
    <t>Retrait especes/appro caisse/bord n°3654434</t>
  </si>
  <si>
    <t>Retrait especes/appro caisse/bord n°3654436</t>
  </si>
  <si>
    <t>Retrait especes/appro caisse/bord n°3654437</t>
  </si>
  <si>
    <t>Retrait especes/appro caisse/bord n°3654438</t>
  </si>
  <si>
    <t>Cumul frais bancaire mois de mars compte 34/BCI</t>
  </si>
  <si>
    <t xml:space="preserve">Acompte honoraires contrat n°31/Pointe-Noire/maitre Anicet MOUSSAHOU-GOMA </t>
  </si>
  <si>
    <t xml:space="preserve">Acompte honoraires contrat n°32/Brazzaville/maitre Séverin </t>
  </si>
  <si>
    <t xml:space="preserve">Solde honoraires contrat n°28/Brazzaville/maitre Séverin </t>
  </si>
  <si>
    <t>Reglement fact Agence pluriel solutions/ loyer PALF MARS 2021</t>
  </si>
  <si>
    <t>Virement salaire mois Mars 2021/ TCHICAYA Hérick</t>
  </si>
  <si>
    <t>Virement salaire mois Mars  2021/ LELOUSSI Evariste</t>
  </si>
  <si>
    <t>Reglement facture honoraire du mois de Mars 2021/I23C/chq n°3643427</t>
  </si>
  <si>
    <t>Paiement salaire du mois de Mars 2021/MATOKO Geisner/chq n°3643429</t>
  </si>
  <si>
    <t>Paiement salaire du mois de Mars 2021/ MALONGA MERSY/chq n°3643430</t>
  </si>
  <si>
    <t>Paiement salaire du mois de Mars  2021/MININGOU Christian/chq n°3643431</t>
  </si>
  <si>
    <t>Paiement salaire du mois de Mars 2021/IBOUILI CREPIN/chq n°3643432</t>
  </si>
  <si>
    <t>Reglement salaire du mois de Mars 2021/ KOUENITOUKA TED/chq n°3643434</t>
  </si>
  <si>
    <t>Paiement salaire du mois de Mars 2021/MAHANGA Merveille/chq n°3643433</t>
  </si>
  <si>
    <t>Paiement salaire du mois de Mars 2021/Tiffany GOBERT/chq n°3643440</t>
  </si>
  <si>
    <t>Cumul frais bancaire mois de mars compte 56/BCI</t>
  </si>
  <si>
    <t>Fond Reçu de UE</t>
  </si>
  <si>
    <t>versement</t>
  </si>
  <si>
    <t>Reglement Facture Internet/mois de Mars 21/congo telecom</t>
  </si>
  <si>
    <t>Frais de visites geoles /Jack-Bénisson</t>
  </si>
  <si>
    <t xml:space="preserve"> Geisner</t>
  </si>
  <si>
    <t>Achat desinfectant 02 bouteilles/bureau</t>
  </si>
  <si>
    <t>Achat 05 POWER BANK VILLAON/10000MAH/BUREAU</t>
  </si>
  <si>
    <t>Achat 01 téléphone tecno spark 5</t>
  </si>
  <si>
    <t>Achat gel hydroalcoolique pour les mains/staff PALF</t>
  </si>
  <si>
    <t>Bonus mois de Février 2021/Crepin</t>
  </si>
  <si>
    <t>Bonus mois de Février 2021/Jack-Bénisson</t>
  </si>
  <si>
    <t>Bonus mois de Février 2021/Geisner</t>
  </si>
  <si>
    <t>Achat 02 bouteilles de bactigel/1l et 500ml</t>
  </si>
  <si>
    <t>Bonus mois de Février 2021/Hérick</t>
  </si>
  <si>
    <t>Achat pagne staff PALF à l'occasion du 08 mars 2021</t>
  </si>
  <si>
    <t>Reglement facture E²C/Janvier-Février 2021/bureau PALF</t>
  </si>
  <si>
    <t>Bonus mois de Février 2021/I23C</t>
  </si>
  <si>
    <t>Bonus mois de Février 2021/P29</t>
  </si>
  <si>
    <t>Travel expense</t>
  </si>
  <si>
    <t>Achat lait et papier toilette</t>
  </si>
  <si>
    <t>Reglement fact LCDE/Janvier-Février 2021/ bureau PALF</t>
  </si>
  <si>
    <t>achat 50 litres de Gazoil/groupe electrogène</t>
  </si>
  <si>
    <t xml:space="preserve"> Frais de transfert charden farell/I23c et P29</t>
  </si>
  <si>
    <t xml:space="preserve"> Frais de transfert charden farell/Evariste</t>
  </si>
  <si>
    <t>Achat clavier ordinateur bureau</t>
  </si>
  <si>
    <t xml:space="preserve"> Frais de transfert charden farell/P29</t>
  </si>
  <si>
    <t>Frais de transfert charden farell/Evariste</t>
  </si>
  <si>
    <t>Achat crédit téléphonique/Hérick,Crépin,Tiffany</t>
  </si>
  <si>
    <t>Frais de transfert charden farell/Hérick</t>
  </si>
  <si>
    <t>Reglement prestation Technicienne de Surface mois de Mars 2021/MFIELO</t>
  </si>
  <si>
    <t>Achat credit telephonique pour I23C</t>
  </si>
  <si>
    <t>Frais de transfert charden Farell/i23c</t>
  </si>
  <si>
    <t>Achat 02 cartouches sp311/imprimante RICOH</t>
  </si>
  <si>
    <t>Frais de transfert charden Farell/crépin</t>
  </si>
  <si>
    <t>Achat Billet Brazzaville-Dolisie/Christian</t>
  </si>
  <si>
    <t>Food Allowance Mission Dolisie du 04 au 06/03/21/Christian</t>
  </si>
  <si>
    <t>Frais d'hôtel Mission Dolisie du 04 au 06/03/2021/Christian</t>
  </si>
  <si>
    <t>Achat Billet Dolisie-Brazzaville/Christian</t>
  </si>
  <si>
    <t>Achat Billet Brazzaville-Ouesso/Christian</t>
  </si>
  <si>
    <t>Food Allowance Mission Ouesso du 09 au 11/03/21/Christian</t>
  </si>
  <si>
    <t>Frais d'hôtel Mission Ouesso du 09 au 11/03/2021/Christian</t>
  </si>
  <si>
    <t>Achat Billet Ouesso-Brazzaville/Christian</t>
  </si>
  <si>
    <t>Achat des produit pharmaceutique pour le prévenu Robert</t>
  </si>
  <si>
    <t>Frais  consultation et certificat médical pour le prévenu Robert à BZV</t>
  </si>
  <si>
    <t>Food allowance Ms Ouesso du 23 au 25/03/21/Christian</t>
  </si>
  <si>
    <t>Frais d'hôtel Ms à Ouesso du 23 au 25/03/2021/Christian</t>
  </si>
  <si>
    <t>Achat produits pharmaceutique-Ordonnance médical Robert (paludisme)</t>
  </si>
  <si>
    <t>Frais Examen médical  prévenus Robert à BZV</t>
  </si>
  <si>
    <t>Achat biberon,javel,savon et couches pour mandrill</t>
  </si>
  <si>
    <t>Achat 1 boite lait en poudre(cowbell) pour mandrill</t>
  </si>
  <si>
    <t>Achat alcool, flagyl comprimé, efferalgan sirop, gants-5 sachets sels</t>
  </si>
  <si>
    <t>Achat thermometre medical pour le mandrill</t>
  </si>
  <si>
    <t>Cumul frais transport local mois de mars/Christian</t>
  </si>
  <si>
    <t>Cumul frais de 4 Prévenus à Brazzaville/Christian</t>
  </si>
  <si>
    <t>Frais d'Hôtel Ms OP à Dolisie  du 18 au 20/03/2021 /Crépin</t>
  </si>
  <si>
    <t>Achat rames de papier et chemises cartonnées pour la procédures Gendarmerie</t>
  </si>
  <si>
    <t>Reçu caisse tiffany/Crépin</t>
  </si>
  <si>
    <t>Frais d'impression de la procédure de la gendarmerie</t>
  </si>
  <si>
    <t>Frais d'impression de la procédure EF</t>
  </si>
  <si>
    <t>Achat carburant pour la Gendarmerie OP à Dolisie/Crépin</t>
  </si>
  <si>
    <t>Achat Billet Dolisie-Brazzaville/Crépin</t>
  </si>
  <si>
    <t>Frais d'Hôtel Ms OP à Dolisie  du 20 au 25/03/2021/Crépin</t>
  </si>
  <si>
    <t>Food Allowance Ms OP à Dolisie du 18 au 25/03/2021/Crépin</t>
  </si>
  <si>
    <t>Achat Billet Brazzaville-Pointe-Noire/Crépin</t>
  </si>
  <si>
    <t>Achat Billet Pointe Noire-Brazzaville/Crépin</t>
  </si>
  <si>
    <t>Cumul frais transport local mois de mars/Crépin</t>
  </si>
  <si>
    <t>Frais d'Hôtel Ms  à P/N  du 28/03/2021 au 01/04/2021/Crépin</t>
  </si>
  <si>
    <t>Food Allowance Ms à P/N du 28/03/ au 01/04/2021 /Crépin</t>
  </si>
  <si>
    <t>Achat Billet Brazzaville-Dolisie/Evariste</t>
  </si>
  <si>
    <t>Frais d'Hôtel Ms OP à Dolisie du 17 au 18/03/21/Evariste</t>
  </si>
  <si>
    <t>Food allowance Ms OP à Dolisie du 17 au 22/3/2021/Evariste</t>
  </si>
  <si>
    <t>Frais d'Hôtel Ms OP à Dolisie du 18 au 22/03/21/Evariste</t>
  </si>
  <si>
    <t>Achat Billet Dolisie-Brazzaville/Evariste</t>
  </si>
  <si>
    <t>Cumul frais transport local mois de mars 2021/Evariste</t>
  </si>
  <si>
    <t>Récu caisse/Geis</t>
  </si>
  <si>
    <t>Reçu caisse Evariste/Geis</t>
  </si>
  <si>
    <t>Reçu caisse tiffany/Geis</t>
  </si>
  <si>
    <t>Reçu caisse I23C/Geis</t>
  </si>
  <si>
    <t>achat coartem et thermometre</t>
  </si>
  <si>
    <t>Récu caisse Evariste /Geis</t>
  </si>
  <si>
    <t>Frais d'Hôtel Ms OP à Dolisie du 17 au 18  mars 2021 à 23heures/Geis</t>
  </si>
  <si>
    <t>Frais d'Hôtel Ms OP à Dolisie du 19 au 22 mars /Geis</t>
  </si>
  <si>
    <t>Food allowance Ms OP à Dolisie du 17 au 22 mars/Geis</t>
  </si>
  <si>
    <t>Achat billet Brazzaville-Dolisie/Geis</t>
  </si>
  <si>
    <t>Achat Billet Dolisie-Brazzaville/Geis</t>
  </si>
  <si>
    <t>Cumul frais visite geôle à Dolisie/Geis</t>
  </si>
  <si>
    <t>Achat Billet Brazzaville-Dolisie/Hérick</t>
  </si>
  <si>
    <t>Frais d'Hôtel Ms OP à Dolisie du 17 au 18 mars/Hérick</t>
  </si>
  <si>
    <t xml:space="preserve">Frais d'Etablissement la grosse cas IBONGA </t>
  </si>
  <si>
    <t>Court fees</t>
  </si>
  <si>
    <t xml:space="preserve">photocopie photos cas Arly pour les pv gendarmerie </t>
  </si>
  <si>
    <t xml:space="preserve">Impression procédure gendarmerie cas Arly à Dolisie </t>
  </si>
  <si>
    <t>Achat Billet Dolisie - BZV/Hérick</t>
  </si>
  <si>
    <t>Frais d'Hôtel Ms OP à Dolisie du 18 au 25 mars/Hérick</t>
  </si>
  <si>
    <t>Food allowance Ms OP à Dolisie du 17 au 25/Hérick</t>
  </si>
  <si>
    <t>Cumul frais transport local mois de mars/Hérick</t>
  </si>
  <si>
    <t>Cumul frais ration des prévenus à Dolisie/Hérick</t>
  </si>
  <si>
    <t>Frais achat Jus avec les EF en civil au restaurant</t>
  </si>
  <si>
    <t>Food allowance Mission Oyo du 1 au 6 mars 2020/I23C</t>
  </si>
  <si>
    <t>Frais d'Hôtel Mission Oyo du 1 au 4/03 (cfr mission Oyo)/I23C</t>
  </si>
  <si>
    <t>Frais d'Hôtel Mission Gamboma du 4 au 6/03 (cfr mission Gamboma)/I23C</t>
  </si>
  <si>
    <t>Food allowance mission PN-Dol-Mossendjo du 10 au 20 mars 2021/I23C</t>
  </si>
  <si>
    <t>Frais d'Hôtel du 10 au 13 mars 2021/Mission A Pointe-Noire/I23C</t>
  </si>
  <si>
    <t>Frais d'Hôtel  du 15 au 17 mars 2021/Mission A Mossendjo/I23C</t>
  </si>
  <si>
    <t>Frais transport Mossendjo-Dolisie/I23C</t>
  </si>
  <si>
    <t>Frais d'Hôtel du 19 au 20 mars à Nkayi/I23C</t>
  </si>
  <si>
    <t>Food allowance mission PN du 26 au 31 mars 2021/I23C</t>
  </si>
  <si>
    <t>Achat billet  d'avion PN-BZ (retour à Brazzaville)I23C</t>
  </si>
  <si>
    <t xml:space="preserve"> Frais d'Hôtel  Ms à  PN  du 26 au 31 mars 2021 /I23C</t>
  </si>
  <si>
    <t>Cumul frais transport local mois mars/I23C</t>
  </si>
  <si>
    <t>Reçu Caisse/JB</t>
  </si>
  <si>
    <t>Frais consulation et certificat médical  Prévenu Robert/JB</t>
  </si>
  <si>
    <t>Achat produit anti-palu pour le prévenu Robert/JB</t>
  </si>
  <si>
    <t>Frais Consultation Cardiologue pour prévenu Robert/JB</t>
  </si>
  <si>
    <t>Frais Consultation pour le détenu  Robert à l'HCAPM/JB</t>
  </si>
  <si>
    <t>Achat produit pharmaceutique-Ordonnance  prévenu Robert/JB</t>
  </si>
  <si>
    <t>Frais Examens médical pour détenu Robert (NTS-GERA-Glycémie V-Céat-Trausi)/JB</t>
  </si>
  <si>
    <t>Frais Examens médical pour détenu Robert (HDL-LOL-C-Cholestérol-Triglycénide)</t>
  </si>
  <si>
    <t>Reçu Caisse Christian/JB</t>
  </si>
  <si>
    <t xml:space="preserve">Achat produit pharmaceutique -Ordonnance prévenu Robert/JB </t>
  </si>
  <si>
    <t>Frais Examens médical (E.CBU+ATB) prévenu Robert/JB</t>
  </si>
  <si>
    <t>Cumul frais transport local mois de Mars/JB</t>
  </si>
  <si>
    <t>Cumul frais Visite geôle mois de mars/JB</t>
  </si>
  <si>
    <t>Food allowance Mission sibiti-komono-madingou du 01/03 au 06/03/P29</t>
  </si>
  <si>
    <t>Frais de transport LOUDIMA-SIBITI/P29</t>
  </si>
  <si>
    <t>Frais de transport Sibiti-Madingou/P29</t>
  </si>
  <si>
    <t>Frais d'Hôtel du 01/03 au 04/03 Mission sibiti/P29</t>
  </si>
  <si>
    <t>Achat billet Madingou-Brazzaville/P29</t>
  </si>
  <si>
    <t>Frais d'Hôtel du 04 au 06/03 Mission Madingou/P29</t>
  </si>
  <si>
    <t>Food Allowance Ms Makoua-Owando-Ewo du 10 au 20/03/P29</t>
  </si>
  <si>
    <t>Frais d'Hôtel Ms Makoua du 10 au 13/03/P29</t>
  </si>
  <si>
    <t>Frais de transport Makoua-Owando/P29</t>
  </si>
  <si>
    <t>Frais d'Hôtel Ms Owando du 13 au 16/03/P29</t>
  </si>
  <si>
    <t>Frais de transport Owando-Boundji-Ewo/P29</t>
  </si>
  <si>
    <t>Frais d'Hôtel Ms Ewo du 16 au 20/03/P29</t>
  </si>
  <si>
    <t>Food allowance Ms Boundji-Ngoko-Okoyo du 29 mars au 5 avril/P29</t>
  </si>
  <si>
    <t>Cumul frais transport local mois de mars/P29</t>
  </si>
  <si>
    <t>Cumul frais achat boisson avec les informateurs/P29</t>
  </si>
  <si>
    <t>Cumul frais transport local mois de mars/Merveille</t>
  </si>
  <si>
    <t>Cumul frais transport local mois de Mars  2021/Ted</t>
  </si>
  <si>
    <t>Reçu caisse/Tiffany</t>
  </si>
  <si>
    <t>Achat billet Brazzaville- Dolisie/Tiffany</t>
  </si>
  <si>
    <t>Supplement bagage cage</t>
  </si>
  <si>
    <t>Food allowance Ms OP à Dolisie du 18 au 23/03/21/Tiffany</t>
  </si>
  <si>
    <t>Trust Building</t>
  </si>
  <si>
    <t>Reçu caisse Evariste/Tiffany</t>
  </si>
  <si>
    <t>Bonus Opération 8 agents de la gendarmerie</t>
  </si>
  <si>
    <t>Bonus Opération 5 agents des EF</t>
  </si>
  <si>
    <t>Frais  d'Hotel Ms OP à Dolisie du 18 au 23/03/21/Tiffany</t>
  </si>
  <si>
    <t>Achat Billet Dolisie- Brazzaville/Tiffany</t>
  </si>
  <si>
    <t>Supplément bagage cage</t>
  </si>
  <si>
    <t>Achat billet Brazzaville- Pointe Noire/Tiffany</t>
  </si>
  <si>
    <t xml:space="preserve">Frais  d'Hotel Ms à PN du 28/03 au 01/04/Tiffany </t>
  </si>
  <si>
    <t xml:space="preserve">Food allowance Ms à PN du 28/03 au 01/04/Tiffany </t>
  </si>
  <si>
    <t>Reçu caisse Crépin/Tiffany</t>
  </si>
  <si>
    <t>Cumul frais transport local mois de mars/Tiffany</t>
  </si>
  <si>
    <t>Achat billet Pointe Noire- Brazzaville/Tiffany</t>
  </si>
  <si>
    <t>Reglement Facture de gardiennage mois de février 2021</t>
  </si>
  <si>
    <t>AVAAZ 2020</t>
  </si>
  <si>
    <t>PALF</t>
  </si>
  <si>
    <t>RALFF</t>
  </si>
  <si>
    <t>5.6</t>
  </si>
  <si>
    <t>1.1.1.1</t>
  </si>
  <si>
    <t>1.1.2.1</t>
  </si>
  <si>
    <t>1.1.1.7</t>
  </si>
  <si>
    <t>1.1.1.4</t>
  </si>
  <si>
    <t>1.1.1.9</t>
  </si>
  <si>
    <t>4.2</t>
  </si>
  <si>
    <t>CONGO</t>
  </si>
  <si>
    <t>5.2.2</t>
  </si>
  <si>
    <t>MTN/Achat carte de recharge Avril  2021/Staff PALF/Media</t>
  </si>
  <si>
    <t>MTN/Achat carte de recharge  Avril /Staff PALF/Legal</t>
  </si>
  <si>
    <t>MTN/Achat carte de recharge Avril 2021/Staff PALF/Management</t>
  </si>
  <si>
    <t>4.6</t>
  </si>
  <si>
    <t>Airtel/Achat carte de recharge Avril 2021/Staff PALF/Legal</t>
  </si>
  <si>
    <t>Airtel/Achat carte de recharge Avril 2021/Staff PALF/Media</t>
  </si>
  <si>
    <t>Airtel/Achat carte de recharge Avril 2021/Staff PALF/Management</t>
  </si>
  <si>
    <t>Reglt CNSS Janv-Fev-Mars  21/PALF/Chq n°3643441/Evariste</t>
  </si>
  <si>
    <t>Reglt CNSS Janv-Fev-Mars  21/PALF/Chq n°3643441//P29</t>
  </si>
  <si>
    <t>Reglt CNSS Janv-Fev-Mars  21/PALF/Chq n°3643441//Hérick</t>
  </si>
  <si>
    <t>Reglt CNSS Janv-Fev-Mars  21/PALF/Chq n°3643441//Jack</t>
  </si>
  <si>
    <t>Reglt CNSS Janv-Fev-Mars  21/PALF/Chq n°3643441//Crépin</t>
  </si>
  <si>
    <t>Reglt CNSS Janv-Fev-Mars  21/PALF/Chq n°3643441//Ted</t>
  </si>
  <si>
    <t>Reglt CNSS Janv-Fev-Mars  21/PALF/Chq n°3643441//Merveille</t>
  </si>
  <si>
    <t>Reglt CNSS Janv-Fev-Mars  21/PALF/Chq n°3643441//Geisner</t>
  </si>
  <si>
    <t>Reglt CNSS Janv-Fev-Mars  21/PALF/Chq n°3643441//Christian</t>
  </si>
  <si>
    <t>4.5</t>
  </si>
  <si>
    <t>Bonus média/Evariste</t>
  </si>
  <si>
    <t>Avance bonus média/Evariste</t>
  </si>
  <si>
    <t>4.3</t>
  </si>
  <si>
    <t>4.4</t>
  </si>
  <si>
    <t>Achat eau bureau/03Bobone/Bureau PALF</t>
  </si>
  <si>
    <t>MO-Entretien général du jardin bureau PALF</t>
  </si>
  <si>
    <t>MO pour le constat dans les toilettes Bureau PALF/ Plombier</t>
  </si>
  <si>
    <t>Frais de test covid19/Tiffany</t>
  </si>
  <si>
    <t>Trust building/ Carte sim pour les informateurs/Evariste</t>
  </si>
  <si>
    <t>Trust building/Carte sim pour les informateurs/Evariste</t>
  </si>
  <si>
    <t>Bonus Opération à brazzaville/Geisner</t>
  </si>
  <si>
    <t>NO WILDLIFE CRIME</t>
  </si>
  <si>
    <t>Bonus Opération  à brazzaville/Hérick</t>
  </si>
  <si>
    <t>Solde bonus média/Evariste</t>
  </si>
  <si>
    <t>Bonus Opération à  brazzaville/Crépin</t>
  </si>
  <si>
    <t>Bonus Operation à Dolisie/Geisner</t>
  </si>
  <si>
    <t>Bonus Operation à Dolisie/Evariste</t>
  </si>
  <si>
    <t>Airtel/Achat carte de recharge Mars 2021/Staff PALF/Legal</t>
  </si>
  <si>
    <t>Airtel/Achat carte de recharge Mars 2021/Staff PALF/Media</t>
  </si>
  <si>
    <t>Airtel/Achat carte de recharge Mars 2021/Staff PALF/Management</t>
  </si>
  <si>
    <t>MTN/Achat carte de recharge  Mars  /Staff PALF/Legal</t>
  </si>
  <si>
    <t>MTN/Achat carte de recharge Mars  2021/Staff PALF/Media</t>
  </si>
  <si>
    <t>MTN/Achat carte de recharge Mars 2021/Staff PALF/Management</t>
  </si>
  <si>
    <t>2.2</t>
  </si>
  <si>
    <t>1.3.2</t>
  </si>
  <si>
    <t>Reçu caisse /Crépin</t>
  </si>
  <si>
    <t>Versement à Geis/I23C</t>
  </si>
  <si>
    <t>Versement  à Tiffany/Crépin</t>
  </si>
  <si>
    <t>Versement à Geisner/Evariste</t>
  </si>
  <si>
    <t>Versement  à Tiffany/Evariste</t>
  </si>
  <si>
    <t>Versement  à Geisner/Evariste</t>
  </si>
  <si>
    <t>Versement  à Hérick/Evariste</t>
  </si>
  <si>
    <t>Versement à Crépin/Evariste</t>
  </si>
  <si>
    <t>Versement à Evariste/Tiffany</t>
  </si>
  <si>
    <t>Versement  à Geisner/Tiffany</t>
  </si>
  <si>
    <t>Versement à Crépin /Tiffany</t>
  </si>
  <si>
    <t>Reçu caisse/Merveille</t>
  </si>
  <si>
    <t>Recu caisse/P29</t>
  </si>
  <si>
    <t>Versement à JB/Christian</t>
  </si>
  <si>
    <t>Reçu caisse Evariste/Crépin</t>
  </si>
  <si>
    <t xml:space="preserve">Reçu caisse Evariste/Hérick </t>
  </si>
  <si>
    <t>Reçu caisseTiffany/Evariste</t>
  </si>
  <si>
    <t>Frais d'Hôtel OP à Dolisie du 18 au 20/03/2021/Geis</t>
  </si>
  <si>
    <t>Achat boissons au Gendarme en civil</t>
  </si>
  <si>
    <t>Sum of Spent</t>
  </si>
  <si>
    <t>Total Sum of Received</t>
  </si>
  <si>
    <t>Sum of Received</t>
  </si>
  <si>
    <t>Total Sum of Spent</t>
  </si>
  <si>
    <t>BALANCE 1 Mars 2021</t>
  </si>
  <si>
    <t>TOTAL RECU EN Mars</t>
  </si>
  <si>
    <t>TOTAL DEPENSE EN Mars</t>
  </si>
  <si>
    <t>BALANCE 31 Mars 2021</t>
  </si>
  <si>
    <t>Journal n°3/21</t>
  </si>
  <si>
    <t xml:space="preserve">Report de solde du 01/04/2021 </t>
  </si>
  <si>
    <t>Reglement gardiennage mois de février 2021</t>
  </si>
  <si>
    <t>Agios du 31/01 au 28/02</t>
  </si>
  <si>
    <t>Cotisation WEB-Bank</t>
  </si>
  <si>
    <t>Frais S/VIRT EMIS</t>
  </si>
  <si>
    <t>DU 01 AU 31 Mars  2021</t>
  </si>
  <si>
    <t xml:space="preserve"> Solde rapporché au 31/03/2021∑(1)-(2)</t>
  </si>
  <si>
    <t>Fait à Brazzaville, le 05/04/2021</t>
  </si>
  <si>
    <t>Report de solde du 01/03/2021</t>
  </si>
  <si>
    <t>Laywers fees</t>
  </si>
  <si>
    <t>Achat carte de recharge MTN mois d'avril 2021/Staff PALF</t>
  </si>
  <si>
    <t>Achat carte de recharge AIRTEL mois d'Avril 2021/Staff PALF</t>
  </si>
  <si>
    <t>Frais sur VRT/EMIS sur le paiement du loyer</t>
  </si>
  <si>
    <t>Paiement CNSS Janvier,Février Mars 2021/agent PALF/3643441</t>
  </si>
  <si>
    <t>FRAIS sur VRT/EMIS Sur salaire</t>
  </si>
  <si>
    <t>DU 01 AU 31 Mars 2021</t>
  </si>
  <si>
    <t>Reglement facture honoraire du mois de Mars 2021/I23C</t>
  </si>
  <si>
    <t>chq n°3643427</t>
  </si>
  <si>
    <t>Report au 01/03/21</t>
  </si>
  <si>
    <t>Paiement salaire du mois de Mars 2021/P29 /chq n°3643428</t>
  </si>
  <si>
    <t>Team Building</t>
  </si>
  <si>
    <t xml:space="preserve">MTN/Achat carte de recharge Avril  2021/Staff PALF/investigation </t>
  </si>
  <si>
    <t>Airtel/Achat carte de recharge Avril 2021/Staff PALF/investigation</t>
  </si>
  <si>
    <t xml:space="preserve">Airtel/Achat carte de recharge Mars 2021/Staff PALF/investigation </t>
  </si>
  <si>
    <t xml:space="preserve">MTN/Achat carte de recharge Mars  2021/Staff PALF/investigation </t>
  </si>
  <si>
    <t>Frais avocat</t>
  </si>
  <si>
    <t>Achat adaptateur pour bouilloire</t>
  </si>
  <si>
    <t xml:space="preserve">Impression photos gendarmerie et EF à Dolisie cas Arly </t>
  </si>
  <si>
    <t>Achat billet Brazzaville-Dolisie/Crépin</t>
  </si>
  <si>
    <t>Cumul frais de transport local mois de Mars 2021/ Geisner</t>
  </si>
  <si>
    <t>Frais de transport  Dolisie-Nkayi/ I23C</t>
  </si>
  <si>
    <t>Frais transport Oyo-Gamboma/I23C</t>
  </si>
  <si>
    <t>Achat billet BZ-Oyo /I23C</t>
  </si>
  <si>
    <t>Achat billet Brazzaville-Pointe Noire /I23C</t>
  </si>
  <si>
    <t>Frais transport Pointe-Noire - Dolisie /I23C</t>
  </si>
  <si>
    <t>Frais transport  Dolisie-Mossendjo /I23C</t>
  </si>
  <si>
    <t>Frais d'Hôtel  du 13 au 15 mars 2021/I23C</t>
  </si>
  <si>
    <t xml:space="preserve">Achat billet Nkayi-Brazzaville </t>
  </si>
  <si>
    <t>Achat billet d'avion  Brazzaville-Pointe Noire/I23C</t>
  </si>
  <si>
    <t>Achat billet Brazzaville-Loudima/P29</t>
  </si>
  <si>
    <t>Achat billet Brazzaville-Makoua/P29</t>
  </si>
  <si>
    <t>Achat billet Ewo-Brazzaville/P29</t>
  </si>
  <si>
    <t>Achat billet Brazzaville-Owando/P29</t>
  </si>
  <si>
    <t>Frais d'Hôtel  du 18 au 20 mars /I23C</t>
  </si>
  <si>
    <t>Frais d'Hôtel du 17 au 20 mars /I23C</t>
  </si>
  <si>
    <t>achat couverture,Pour Mandrill</t>
  </si>
  <si>
    <t>Achat papaye pastèque pour le Mandrill</t>
  </si>
  <si>
    <t>Cumul frais achat boissons et repas avec les informateurs/I23C</t>
  </si>
  <si>
    <t xml:space="preserve"> Frais achat bananes pour mandrill</t>
  </si>
  <si>
    <t>Étiquettes de lignes</t>
  </si>
  <si>
    <t>Total général</t>
  </si>
  <si>
    <t>Étiquettes de colonnes</t>
  </si>
  <si>
    <t>BALANCE CAISSES ET BANQUE AU 31 Mars  2021</t>
  </si>
  <si>
    <t>MARS</t>
  </si>
  <si>
    <t>Balance au          01 Mars  2021</t>
  </si>
  <si>
    <t>Balance au 31 Mars 2021</t>
  </si>
  <si>
    <t>Activiste</t>
  </si>
  <si>
    <t>Frais de transport Gamboma-Brazzaville /I23C</t>
  </si>
  <si>
    <t>Achat banana-Eau minérale pour Mandrill/Evariste</t>
  </si>
  <si>
    <t xml:space="preserve"> Frais achat jus pour les gendarmes</t>
  </si>
  <si>
    <t>Frais de transport SIBITI-KOMONO-SIBITI/P29</t>
  </si>
  <si>
    <t>Frais achat jus  pour les gendarmes</t>
  </si>
  <si>
    <t>RALFF-CO1937</t>
  </si>
  <si>
    <t>RALFF-CO1938</t>
  </si>
  <si>
    <t>RALFF-CO1939</t>
  </si>
  <si>
    <t>RALFF-CO1940</t>
  </si>
  <si>
    <t>RALFF-CO1941</t>
  </si>
  <si>
    <t>RALFF-CO1942</t>
  </si>
  <si>
    <t>RALFF-CO1943</t>
  </si>
  <si>
    <t>RALFF-CO1944</t>
  </si>
  <si>
    <t>RALFF-CO1945</t>
  </si>
  <si>
    <t>RALFF-CO1946</t>
  </si>
  <si>
    <t>RALFF-CO1947</t>
  </si>
  <si>
    <t>RALFF-CO1948</t>
  </si>
  <si>
    <t>RALFF-CO1949</t>
  </si>
  <si>
    <t>RALFF-CO1950</t>
  </si>
  <si>
    <t>RALFF-CO1951</t>
  </si>
  <si>
    <t>RALFF-CO1952</t>
  </si>
  <si>
    <t>RALFF-CO1953</t>
  </si>
  <si>
    <t>RALFF-CO1954</t>
  </si>
  <si>
    <t>RALFF-CO1955</t>
  </si>
  <si>
    <t>RALFF-CO1956</t>
  </si>
  <si>
    <t>RALFF-CO1957</t>
  </si>
  <si>
    <t>RALFF-CO1958</t>
  </si>
  <si>
    <t>RALFF-CO1959</t>
  </si>
  <si>
    <t>RALFF-CO1960</t>
  </si>
  <si>
    <t>RALFF-CO1961</t>
  </si>
  <si>
    <t>RALFF-CO1962</t>
  </si>
  <si>
    <t>RALFF-CO1963</t>
  </si>
  <si>
    <t>RALFF-CO1964</t>
  </si>
  <si>
    <t>RALFF-CO1965</t>
  </si>
  <si>
    <t>RALFF-CO1966</t>
  </si>
  <si>
    <t>RALFF-CO1967</t>
  </si>
  <si>
    <t>RALFF-CO1968</t>
  </si>
  <si>
    <t>RALFF-CO1969</t>
  </si>
  <si>
    <t>RALFF-CO1970</t>
  </si>
  <si>
    <t>RALFF-CO1971</t>
  </si>
  <si>
    <t>RALFF-CO1972</t>
  </si>
  <si>
    <t>RALFF-CO1973</t>
  </si>
  <si>
    <t>RALFF-CO1974</t>
  </si>
  <si>
    <t>RALFF-CO1975</t>
  </si>
  <si>
    <t>RALFF-CO1976</t>
  </si>
  <si>
    <t>RALFF-CO1977</t>
  </si>
  <si>
    <t>RALFF-CO1978</t>
  </si>
  <si>
    <t>RALFF-CO1979</t>
  </si>
  <si>
    <t>RALFF-CO1980</t>
  </si>
  <si>
    <t>RALFF-CO1981</t>
  </si>
  <si>
    <t>RALFF-CO1982</t>
  </si>
  <si>
    <t>RALFF-CO1983</t>
  </si>
  <si>
    <t>RALFF-CO1984</t>
  </si>
  <si>
    <t>RALFF-CO1985</t>
  </si>
  <si>
    <t>RALFF-CO1986</t>
  </si>
  <si>
    <t>RALFF-CO1987</t>
  </si>
  <si>
    <t>RALFF-CO1988</t>
  </si>
  <si>
    <t>RALFF-CO1989</t>
  </si>
  <si>
    <t>RALFF-CO1990</t>
  </si>
  <si>
    <t>RALFF-CO1991</t>
  </si>
  <si>
    <t>RALFF-CO1992</t>
  </si>
  <si>
    <t>RALFF-CO1993</t>
  </si>
  <si>
    <t>RALFF-CO1994</t>
  </si>
  <si>
    <t>RALFF-CO1995</t>
  </si>
  <si>
    <t>RALFF-CO1996</t>
  </si>
  <si>
    <t>RALFF-CO1997</t>
  </si>
  <si>
    <t>RALFF-CO1998</t>
  </si>
  <si>
    <t>RALFF-CO1999</t>
  </si>
  <si>
    <t>RALFF-CO2000</t>
  </si>
  <si>
    <t>RALFF-CO2001</t>
  </si>
  <si>
    <t>RALFF-CO2002</t>
  </si>
  <si>
    <t>RALFF-CO2003</t>
  </si>
  <si>
    <t>RALFF-CO2004</t>
  </si>
  <si>
    <t>RALFF-CO2005</t>
  </si>
  <si>
    <t>RALFF-CO2006</t>
  </si>
  <si>
    <t>RALFF-CO2007</t>
  </si>
  <si>
    <t>RALFF-CO2008</t>
  </si>
  <si>
    <t>RALFF-CO2009</t>
  </si>
  <si>
    <t>RALFF-CO2010</t>
  </si>
  <si>
    <t>RALFF-CO2011</t>
  </si>
  <si>
    <t>RALFF-CO2012</t>
  </si>
  <si>
    <t>RALFF-CO2013</t>
  </si>
  <si>
    <t>RALFF-CO2014</t>
  </si>
  <si>
    <t>RALFF-CO2015</t>
  </si>
  <si>
    <t>RALFF-CO2016</t>
  </si>
  <si>
    <t>RALFF-CO2017</t>
  </si>
  <si>
    <t>RALFF-CO2018</t>
  </si>
  <si>
    <t>RALFF-CO2019</t>
  </si>
  <si>
    <t>RALFF-CO2020</t>
  </si>
  <si>
    <t>RALFF-CO2021</t>
  </si>
  <si>
    <t>RALFF-CO2022</t>
  </si>
  <si>
    <t>RALFF-CO2023</t>
  </si>
  <si>
    <t>RALFF-CO2024</t>
  </si>
  <si>
    <t>RALFF-CO2025</t>
  </si>
  <si>
    <t>RALFF-CO2026</t>
  </si>
  <si>
    <t>RALFF-CO2027</t>
  </si>
  <si>
    <t>RALFF-CO2028</t>
  </si>
  <si>
    <t>RALFF-CO2029</t>
  </si>
  <si>
    <t>RALFF-CO2030</t>
  </si>
  <si>
    <t>RALFF-CO2031</t>
  </si>
  <si>
    <t>RALFF-CO2032</t>
  </si>
  <si>
    <t>RALFF-CO2033</t>
  </si>
  <si>
    <t>RALFF-CO2034</t>
  </si>
  <si>
    <t>RALFF-CO2035</t>
  </si>
  <si>
    <t>RALFF-CO2036</t>
  </si>
  <si>
    <t>RALFF-CO2037</t>
  </si>
  <si>
    <t>RALFF-CO2038</t>
  </si>
  <si>
    <t>RALFF-CO2039</t>
  </si>
  <si>
    <t>RALFF-CO2040</t>
  </si>
  <si>
    <t>RALFF-CO2041</t>
  </si>
  <si>
    <t>RALFF-CO2042</t>
  </si>
  <si>
    <t>RALFF-CO2043</t>
  </si>
  <si>
    <t>RALFF-CO2044</t>
  </si>
  <si>
    <t>RALFF-CO2045</t>
  </si>
  <si>
    <t>RALFF-CO2046</t>
  </si>
  <si>
    <t>RALFF-CO2047</t>
  </si>
  <si>
    <t>RALFF-CO2048</t>
  </si>
  <si>
    <t>RALFF-CO2049</t>
  </si>
  <si>
    <t>RALFF-CO2050</t>
  </si>
  <si>
    <t>RALFF-CO2051</t>
  </si>
  <si>
    <t>RALFF-CO2052</t>
  </si>
  <si>
    <t>RALFF-CO2053</t>
  </si>
  <si>
    <t>RALFF-CO2054</t>
  </si>
  <si>
    <t>RALFF-CO2055</t>
  </si>
  <si>
    <t>RALFF-CO2056</t>
  </si>
  <si>
    <t>RALFF-CO2057</t>
  </si>
  <si>
    <t>RALFF-CO2058</t>
  </si>
  <si>
    <t>RALFF-CO2059</t>
  </si>
  <si>
    <t>RALFF-CO2060</t>
  </si>
  <si>
    <t>RALFF-CO2061</t>
  </si>
  <si>
    <t>RALFF-CO2062</t>
  </si>
  <si>
    <t>RALFF-CO2063</t>
  </si>
  <si>
    <t>RALFF-CO2064</t>
  </si>
  <si>
    <t>RALFF-CO2065</t>
  </si>
  <si>
    <t>RALFF-CO2066</t>
  </si>
  <si>
    <t>RALFF-CO2067</t>
  </si>
  <si>
    <t>RALFF-CO2068</t>
  </si>
  <si>
    <t>RALFF-CO2069</t>
  </si>
  <si>
    <t>RALFF-CO2070</t>
  </si>
  <si>
    <t>RALFF-CO2071</t>
  </si>
  <si>
    <t>RALFF-CO2072</t>
  </si>
  <si>
    <t>RALFF-CO2073</t>
  </si>
  <si>
    <t>RALFF-CO2074</t>
  </si>
  <si>
    <t>RALFF-CO2075</t>
  </si>
  <si>
    <t>RALFF-CO2076</t>
  </si>
  <si>
    <t>RALFF-CO2077</t>
  </si>
  <si>
    <t>RALFF-CO2078</t>
  </si>
  <si>
    <t>RALFF-CO2079</t>
  </si>
  <si>
    <t>RALFF-CO2080</t>
  </si>
  <si>
    <t>RALFF-CO2081</t>
  </si>
  <si>
    <t>RALFF-CO2082</t>
  </si>
  <si>
    <t>RALFF-CO2083</t>
  </si>
  <si>
    <t>RALFF-CO2084</t>
  </si>
  <si>
    <t>RALFF-CO2085</t>
  </si>
  <si>
    <t>RALFF-CO2086</t>
  </si>
  <si>
    <t>RALFF-CO2087</t>
  </si>
  <si>
    <t>RALFF-CO2088</t>
  </si>
  <si>
    <t>RALFF-CO2089</t>
  </si>
  <si>
    <t>RALFF-CO2090</t>
  </si>
  <si>
    <t>RALFF-CO2091</t>
  </si>
  <si>
    <t>RALFF-CO2092</t>
  </si>
  <si>
    <t>Equipment</t>
  </si>
  <si>
    <t>Flight</t>
  </si>
  <si>
    <t>USFWS-EAGLE</t>
  </si>
  <si>
    <t>Paiement salaire du mois de Mars 2021/P29/chq n°3643428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</si>
</sst>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€_-;\-* #,##0.00\ _€_-;_-* &quot;-&quot;??\ _€_-;_-@_-"/>
    <numFmt numFmtId="165" formatCode="_-* #,##0\ _F_C_F_A_-;\-* #,##0\ _F_C_F_A_-;_-* &quot;-&quot;\ _F_C_F_A_-;_-@_-"/>
    <numFmt numFmtId="166" formatCode="d/m/yy;@"/>
    <numFmt numFmtId="167" formatCode="_-* #,##0\ _€_-;\-* #,##0\ _€_-;_-* &quot;-&quot;??\ _€_-;_-@_-"/>
    <numFmt numFmtId="168" formatCode="#,##0\ &quot;F&quot;;[Red]#,##0\ &quot;F&quot;"/>
    <numFmt numFmtId="169" formatCode="[$-40C]d\-mmm;@"/>
    <numFmt numFmtId="170" formatCode="_-* #,##0\ _€_-;\-* #,##0\ _€_-;_-* &quot;-&quot;??\ _€_-;_-@"/>
    <numFmt numFmtId="171" formatCode="[$-409]d\-mmm\-yy;@"/>
    <numFmt numFmtId="172" formatCode="_-* #,##0.0\ _€_-;\-* #,##0.0\ _€_-;_-* &quot;-&quot;??\ _€_-;_-@_-"/>
    <numFmt numFmtId="173" formatCode="dd/mm/yy;@"/>
    <numFmt numFmtId="174" formatCode="_(* #,##0_);_(* \(#,##0\);_(* &quot;-&quot;??_);_(@_)"/>
    <numFmt numFmtId="175" formatCode="[$-40C]General"/>
    <numFmt numFmtId="176" formatCode="[$-40C]0"/>
    <numFmt numFmtId="177" formatCode="&quot; &quot;#,##0&quot;    &quot;;&quot;-&quot;#,##0&quot;    &quot;;&quot; -&quot;#&quot;    &quot;;&quot; &quot;@&quot; &quot;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rgb="FF92D050"/>
      <name val="Arial Narrow"/>
      <family val="2"/>
    </font>
    <font>
      <b/>
      <sz val="9"/>
      <name val="Arial Narrow"/>
      <family val="2"/>
    </font>
    <font>
      <b/>
      <sz val="9"/>
      <color rgb="FF92D05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i/>
      <u/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name val="Times New Roman"/>
      <family val="1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9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8" tint="-0.249977111117893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24" fillId="0" borderId="0"/>
    <xf numFmtId="165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0" fillId="0" borderId="0" applyBorder="0" applyProtection="0"/>
  </cellStyleXfs>
  <cellXfs count="620">
    <xf numFmtId="0" fontId="0" fillId="0" borderId="0" xfId="0"/>
    <xf numFmtId="0" fontId="0" fillId="0" borderId="0" xfId="0" applyFill="1"/>
    <xf numFmtId="166" fontId="3" fillId="0" borderId="0" xfId="0" applyNumberFormat="1" applyFont="1" applyFill="1" applyAlignment="1">
      <alignment horizontal="left"/>
    </xf>
    <xf numFmtId="0" fontId="3" fillId="0" borderId="0" xfId="0" applyFont="1"/>
    <xf numFmtId="167" fontId="4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168" fontId="5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67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/>
    <xf numFmtId="0" fontId="5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/>
    <xf numFmtId="167" fontId="0" fillId="0" borderId="0" xfId="0" applyNumberFormat="1" applyBorder="1"/>
    <xf numFmtId="0" fontId="0" fillId="0" borderId="1" xfId="0" applyBorder="1"/>
    <xf numFmtId="0" fontId="0" fillId="0" borderId="0" xfId="0" applyFill="1" applyBorder="1"/>
    <xf numFmtId="0" fontId="3" fillId="0" borderId="3" xfId="0" applyFont="1" applyBorder="1"/>
    <xf numFmtId="0" fontId="3" fillId="0" borderId="1" xfId="0" applyFont="1" applyBorder="1"/>
    <xf numFmtId="167" fontId="0" fillId="0" borderId="0" xfId="0" applyNumberFormat="1"/>
    <xf numFmtId="169" fontId="11" fillId="0" borderId="1" xfId="2" applyNumberFormat="1" applyFont="1" applyBorder="1"/>
    <xf numFmtId="0" fontId="3" fillId="0" borderId="1" xfId="0" applyFont="1" applyFill="1" applyBorder="1"/>
    <xf numFmtId="167" fontId="3" fillId="0" borderId="1" xfId="1" applyNumberFormat="1" applyFont="1" applyFill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67" fontId="0" fillId="0" borderId="0" xfId="1" applyNumberFormat="1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NumberFormat="1" applyFont="1" applyBorder="1"/>
    <xf numFmtId="0" fontId="12" fillId="0" borderId="0" xfId="0" applyFont="1"/>
    <xf numFmtId="167" fontId="22" fillId="0" borderId="1" xfId="1" applyNumberFormat="1" applyFont="1" applyBorder="1"/>
    <xf numFmtId="0" fontId="0" fillId="0" borderId="0" xfId="0" applyFill="1" applyAlignment="1"/>
    <xf numFmtId="167" fontId="0" fillId="0" borderId="0" xfId="1" applyNumberFormat="1" applyFont="1" applyFill="1" applyProtection="1"/>
    <xf numFmtId="0" fontId="0" fillId="0" borderId="1" xfId="0" applyFill="1" applyBorder="1" applyAlignment="1"/>
    <xf numFmtId="167" fontId="0" fillId="0" borderId="1" xfId="0" applyNumberFormat="1" applyFill="1" applyBorder="1" applyAlignment="1"/>
    <xf numFmtId="167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25" fillId="6" borderId="1" xfId="3" applyNumberFormat="1" applyFont="1" applyFill="1" applyBorder="1"/>
    <xf numFmtId="0" fontId="25" fillId="6" borderId="1" xfId="3" applyFont="1" applyFill="1" applyBorder="1"/>
    <xf numFmtId="0" fontId="26" fillId="0" borderId="1" xfId="0" applyFont="1" applyFill="1" applyBorder="1" applyAlignment="1"/>
    <xf numFmtId="167" fontId="0" fillId="0" borderId="0" xfId="0" applyNumberFormat="1" applyAlignment="1">
      <alignment vertical="center"/>
    </xf>
    <xf numFmtId="0" fontId="26" fillId="0" borderId="0" xfId="0" applyFont="1" applyFill="1" applyBorder="1" applyAlignment="1"/>
    <xf numFmtId="0" fontId="27" fillId="0" borderId="0" xfId="0" applyFont="1" applyBorder="1" applyAlignment="1">
      <alignment vertical="center"/>
    </xf>
    <xf numFmtId="167" fontId="28" fillId="0" borderId="0" xfId="1" applyNumberFormat="1" applyFont="1" applyBorder="1" applyProtection="1">
      <protection locked="0"/>
    </xf>
    <xf numFmtId="167" fontId="29" fillId="0" borderId="0" xfId="1" applyNumberFormat="1" applyFont="1" applyBorder="1" applyProtection="1">
      <protection locked="0"/>
    </xf>
    <xf numFmtId="167" fontId="26" fillId="0" borderId="0" xfId="0" applyNumberFormat="1" applyFont="1" applyFill="1" applyBorder="1" applyAlignment="1"/>
    <xf numFmtId="167" fontId="27" fillId="0" borderId="0" xfId="0" applyNumberFormat="1" applyFont="1" applyBorder="1" applyAlignment="1">
      <alignment vertical="center"/>
    </xf>
    <xf numFmtId="0" fontId="30" fillId="0" borderId="0" xfId="0" applyFont="1" applyAlignment="1"/>
    <xf numFmtId="0" fontId="8" fillId="0" borderId="0" xfId="0" applyFont="1" applyAlignment="1"/>
    <xf numFmtId="0" fontId="9" fillId="7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 applyAlignment="1"/>
    <xf numFmtId="167" fontId="8" fillId="0" borderId="0" xfId="1" applyNumberFormat="1" applyFont="1" applyFill="1" applyProtection="1"/>
    <xf numFmtId="167" fontId="9" fillId="0" borderId="3" xfId="1" applyNumberFormat="1" applyFont="1" applyFill="1" applyBorder="1" applyAlignment="1" applyProtection="1">
      <alignment vertical="center" wrapText="1"/>
    </xf>
    <xf numFmtId="167" fontId="9" fillId="0" borderId="3" xfId="1" applyNumberFormat="1" applyFont="1" applyFill="1" applyBorder="1" applyAlignment="1" applyProtection="1">
      <alignment horizontal="center" vertical="center" wrapText="1"/>
    </xf>
    <xf numFmtId="167" fontId="8" fillId="10" borderId="5" xfId="1" applyNumberFormat="1" applyFont="1" applyFill="1" applyBorder="1" applyAlignment="1" applyProtection="1">
      <alignment horizontal="center" vertical="center"/>
    </xf>
    <xf numFmtId="0" fontId="32" fillId="10" borderId="6" xfId="0" applyFont="1" applyFill="1" applyBorder="1" applyAlignment="1"/>
    <xf numFmtId="167" fontId="8" fillId="10" borderId="6" xfId="1" applyNumberFormat="1" applyFont="1" applyFill="1" applyBorder="1" applyProtection="1"/>
    <xf numFmtId="167" fontId="8" fillId="10" borderId="6" xfId="0" applyNumberFormat="1" applyFont="1" applyFill="1" applyBorder="1" applyAlignment="1"/>
    <xf numFmtId="167" fontId="8" fillId="0" borderId="3" xfId="1" applyNumberFormat="1" applyFont="1" applyBorder="1" applyProtection="1"/>
    <xf numFmtId="167" fontId="0" fillId="0" borderId="1" xfId="1" applyNumberFormat="1" applyFont="1" applyFill="1" applyBorder="1" applyProtection="1"/>
    <xf numFmtId="167" fontId="8" fillId="0" borderId="7" xfId="1" applyNumberFormat="1" applyFont="1" applyFill="1" applyBorder="1" applyProtection="1"/>
    <xf numFmtId="167" fontId="8" fillId="0" borderId="1" xfId="0" applyNumberFormat="1" applyFont="1" applyFill="1" applyBorder="1" applyAlignment="1"/>
    <xf numFmtId="167" fontId="8" fillId="0" borderId="1" xfId="1" applyNumberFormat="1" applyFont="1" applyFill="1" applyBorder="1" applyProtection="1"/>
    <xf numFmtId="167" fontId="33" fillId="0" borderId="1" xfId="1" applyNumberFormat="1" applyFont="1" applyFill="1" applyBorder="1" applyProtection="1"/>
    <xf numFmtId="167" fontId="1" fillId="0" borderId="1" xfId="1" applyNumberFormat="1" applyFont="1" applyFill="1" applyBorder="1" applyProtection="1"/>
    <xf numFmtId="167" fontId="9" fillId="10" borderId="5" xfId="1" applyNumberFormat="1" applyFont="1" applyFill="1" applyBorder="1" applyAlignment="1" applyProtection="1">
      <alignment horizontal="left"/>
    </xf>
    <xf numFmtId="167" fontId="9" fillId="10" borderId="6" xfId="1" applyNumberFormat="1" applyFont="1" applyFill="1" applyBorder="1" applyAlignment="1" applyProtection="1">
      <alignment horizontal="left"/>
    </xf>
    <xf numFmtId="167" fontId="8" fillId="10" borderId="1" xfId="0" applyNumberFormat="1" applyFont="1" applyFill="1" applyBorder="1" applyAlignment="1"/>
    <xf numFmtId="0" fontId="9" fillId="0" borderId="5" xfId="0" applyFont="1" applyFill="1" applyBorder="1" applyAlignment="1"/>
    <xf numFmtId="167" fontId="8" fillId="0" borderId="1" xfId="1" applyNumberFormat="1" applyFont="1" applyFill="1" applyBorder="1" applyAlignment="1" applyProtection="1"/>
    <xf numFmtId="167" fontId="8" fillId="0" borderId="7" xfId="1" applyNumberFormat="1" applyFont="1" applyBorder="1" applyProtection="1"/>
    <xf numFmtId="167" fontId="34" fillId="0" borderId="1" xfId="1" applyNumberFormat="1" applyFont="1" applyBorder="1" applyProtection="1"/>
    <xf numFmtId="167" fontId="34" fillId="0" borderId="0" xfId="1" applyNumberFormat="1" applyFont="1" applyProtection="1"/>
    <xf numFmtId="167" fontId="24" fillId="0" borderId="1" xfId="0" applyNumberFormat="1" applyFont="1" applyBorder="1" applyAlignment="1"/>
    <xf numFmtId="0" fontId="32" fillId="10" borderId="5" xfId="0" applyFont="1" applyFill="1" applyBorder="1" applyAlignment="1"/>
    <xf numFmtId="167" fontId="0" fillId="0" borderId="1" xfId="1" applyNumberFormat="1" applyFont="1" applyBorder="1" applyProtection="1"/>
    <xf numFmtId="167" fontId="8" fillId="0" borderId="1" xfId="0" applyNumberFormat="1" applyFont="1" applyBorder="1" applyAlignment="1"/>
    <xf numFmtId="0" fontId="2" fillId="11" borderId="1" xfId="0" applyFont="1" applyFill="1" applyBorder="1"/>
    <xf numFmtId="167" fontId="2" fillId="11" borderId="1" xfId="1" applyNumberFormat="1" applyFont="1" applyFill="1" applyBorder="1"/>
    <xf numFmtId="0" fontId="0" fillId="5" borderId="0" xfId="0" applyFill="1"/>
    <xf numFmtId="0" fontId="2" fillId="0" borderId="1" xfId="0" applyFont="1" applyFill="1" applyBorder="1"/>
    <xf numFmtId="167" fontId="37" fillId="0" borderId="0" xfId="0" applyNumberFormat="1" applyFont="1"/>
    <xf numFmtId="0" fontId="37" fillId="0" borderId="0" xfId="0" applyFont="1"/>
    <xf numFmtId="167" fontId="12" fillId="0" borderId="0" xfId="0" applyNumberFormat="1" applyFont="1"/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7" fontId="30" fillId="0" borderId="7" xfId="1" applyNumberFormat="1" applyFont="1" applyBorder="1" applyProtection="1"/>
    <xf numFmtId="167" fontId="33" fillId="0" borderId="7" xfId="1" applyNumberFormat="1" applyFont="1" applyBorder="1" applyProtection="1"/>
    <xf numFmtId="167" fontId="33" fillId="0" borderId="1" xfId="1" applyNumberFormat="1" applyFont="1" applyBorder="1" applyAlignment="1" applyProtection="1">
      <alignment vertical="center"/>
    </xf>
    <xf numFmtId="167" fontId="33" fillId="5" borderId="1" xfId="1" applyNumberFormat="1" applyFont="1" applyFill="1" applyBorder="1" applyProtection="1"/>
    <xf numFmtId="167" fontId="22" fillId="0" borderId="3" xfId="1" applyNumberFormat="1" applyFont="1" applyFill="1" applyBorder="1" applyProtection="1"/>
    <xf numFmtId="167" fontId="33" fillId="5" borderId="1" xfId="1" applyNumberFormat="1" applyFont="1" applyFill="1" applyBorder="1" applyAlignment="1" applyProtection="1">
      <alignment vertical="center"/>
    </xf>
    <xf numFmtId="167" fontId="1" fillId="0" borderId="0" xfId="1" applyNumberFormat="1" applyFont="1" applyFill="1" applyProtection="1"/>
    <xf numFmtId="167" fontId="33" fillId="0" borderId="1" xfId="1" applyNumberFormat="1" applyFont="1" applyFill="1" applyBorder="1" applyAlignment="1" applyProtection="1">
      <alignment horizontal="center" vertical="center"/>
    </xf>
    <xf numFmtId="167" fontId="21" fillId="0" borderId="7" xfId="1" applyNumberFormat="1" applyFont="1" applyFill="1" applyBorder="1" applyProtection="1"/>
    <xf numFmtId="167" fontId="38" fillId="0" borderId="0" xfId="1" applyNumberFormat="1" applyFont="1" applyBorder="1" applyProtection="1">
      <protection locked="0"/>
    </xf>
    <xf numFmtId="0" fontId="10" fillId="0" borderId="1" xfId="0" applyFont="1" applyFill="1" applyBorder="1" applyAlignment="1"/>
    <xf numFmtId="0" fontId="39" fillId="0" borderId="1" xfId="0" applyFont="1" applyBorder="1" applyAlignment="1">
      <alignment vertical="center"/>
    </xf>
    <xf numFmtId="167" fontId="40" fillId="0" borderId="1" xfId="1" applyNumberFormat="1" applyFont="1" applyBorder="1" applyProtection="1">
      <protection locked="0"/>
    </xf>
    <xf numFmtId="167" fontId="41" fillId="0" borderId="1" xfId="1" applyNumberFormat="1" applyFont="1" applyBorder="1" applyProtection="1">
      <protection locked="0"/>
    </xf>
    <xf numFmtId="0" fontId="1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2" fillId="0" borderId="0" xfId="0" applyFont="1" applyFill="1" applyBorder="1" applyAlignment="1"/>
    <xf numFmtId="0" fontId="44" fillId="0" borderId="0" xfId="0" applyFont="1" applyAlignment="1">
      <alignment vertical="center"/>
    </xf>
    <xf numFmtId="167" fontId="9" fillId="0" borderId="3" xfId="1" applyNumberFormat="1" applyFont="1" applyFill="1" applyBorder="1" applyAlignment="1" applyProtection="1">
      <alignment horizontal="center" vertical="center" wrapText="1"/>
    </xf>
    <xf numFmtId="167" fontId="3" fillId="0" borderId="3" xfId="1" applyNumberFormat="1" applyFont="1" applyFill="1" applyBorder="1"/>
    <xf numFmtId="167" fontId="3" fillId="0" borderId="2" xfId="1" applyNumberFormat="1" applyFont="1" applyFill="1" applyBorder="1"/>
    <xf numFmtId="0" fontId="2" fillId="0" borderId="0" xfId="0" applyFont="1" applyFill="1"/>
    <xf numFmtId="0" fontId="2" fillId="0" borderId="0" xfId="0" applyFont="1"/>
    <xf numFmtId="14" fontId="35" fillId="0" borderId="0" xfId="0" applyNumberFormat="1" applyFont="1" applyFill="1" applyBorder="1"/>
    <xf numFmtId="0" fontId="16" fillId="0" borderId="1" xfId="0" applyFont="1" applyBorder="1"/>
    <xf numFmtId="167" fontId="2" fillId="0" borderId="1" xfId="1" applyNumberFormat="1" applyFont="1" applyFill="1" applyBorder="1"/>
    <xf numFmtId="167" fontId="16" fillId="0" borderId="1" xfId="1" applyNumberFormat="1" applyFont="1" applyFill="1" applyBorder="1"/>
    <xf numFmtId="0" fontId="2" fillId="0" borderId="1" xfId="0" applyFont="1" applyBorder="1"/>
    <xf numFmtId="0" fontId="36" fillId="0" borderId="1" xfId="0" applyFont="1" applyFill="1" applyBorder="1"/>
    <xf numFmtId="0" fontId="0" fillId="0" borderId="1" xfId="0" applyFill="1" applyBorder="1"/>
    <xf numFmtId="167" fontId="0" fillId="0" borderId="1" xfId="1" applyNumberFormat="1" applyFont="1" applyFill="1" applyBorder="1"/>
    <xf numFmtId="167" fontId="0" fillId="0" borderId="0" xfId="0" applyNumberFormat="1" applyFill="1"/>
    <xf numFmtId="0" fontId="0" fillId="0" borderId="1" xfId="0" applyFont="1" applyFill="1" applyBorder="1"/>
    <xf numFmtId="167" fontId="2" fillId="0" borderId="0" xfId="0" applyNumberFormat="1" applyFont="1" applyFill="1"/>
    <xf numFmtId="167" fontId="36" fillId="0" borderId="3" xfId="1" applyNumberFormat="1" applyFont="1" applyFill="1" applyBorder="1"/>
    <xf numFmtId="0" fontId="2" fillId="11" borderId="0" xfId="0" applyFont="1" applyFill="1"/>
    <xf numFmtId="14" fontId="35" fillId="13" borderId="1" xfId="0" applyNumberFormat="1" applyFont="1" applyFill="1" applyBorder="1"/>
    <xf numFmtId="0" fontId="0" fillId="11" borderId="1" xfId="0" applyFill="1" applyBorder="1"/>
    <xf numFmtId="14" fontId="42" fillId="0" borderId="0" xfId="0" applyNumberFormat="1" applyFont="1" applyFill="1" applyBorder="1"/>
    <xf numFmtId="0" fontId="12" fillId="0" borderId="0" xfId="0" applyFont="1" applyFill="1" applyAlignment="1"/>
    <xf numFmtId="0" fontId="9" fillId="15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41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7" fontId="8" fillId="0" borderId="0" xfId="1" applyNumberFormat="1" applyFont="1" applyFill="1" applyBorder="1" applyProtection="1"/>
    <xf numFmtId="167" fontId="8" fillId="19" borderId="5" xfId="1" applyNumberFormat="1" applyFont="1" applyFill="1" applyBorder="1" applyAlignment="1" applyProtection="1">
      <alignment horizontal="center" vertical="center"/>
    </xf>
    <xf numFmtId="0" fontId="32" fillId="19" borderId="6" xfId="0" applyFont="1" applyFill="1" applyBorder="1" applyAlignment="1"/>
    <xf numFmtId="167" fontId="8" fillId="19" borderId="6" xfId="1" applyNumberFormat="1" applyFont="1" applyFill="1" applyBorder="1" applyProtection="1"/>
    <xf numFmtId="167" fontId="8" fillId="19" borderId="6" xfId="0" applyNumberFormat="1" applyFont="1" applyFill="1" applyBorder="1" applyAlignment="1"/>
    <xf numFmtId="167" fontId="8" fillId="0" borderId="3" xfId="1" applyNumberFormat="1" applyFont="1" applyFill="1" applyBorder="1" applyProtection="1"/>
    <xf numFmtId="167" fontId="41" fillId="0" borderId="1" xfId="1" applyNumberFormat="1" applyFont="1" applyFill="1" applyBorder="1" applyProtection="1"/>
    <xf numFmtId="167" fontId="46" fillId="0" borderId="1" xfId="1" applyNumberFormat="1" applyFont="1" applyFill="1" applyBorder="1" applyAlignment="1" applyProtection="1">
      <alignment horizontal="center" vertical="center"/>
    </xf>
    <xf numFmtId="167" fontId="40" fillId="0" borderId="1" xfId="1" applyNumberFormat="1" applyFont="1" applyFill="1" applyBorder="1" applyProtection="1"/>
    <xf numFmtId="167" fontId="46" fillId="0" borderId="1" xfId="1" applyNumberFormat="1" applyFont="1" applyFill="1" applyBorder="1" applyProtection="1"/>
    <xf numFmtId="167" fontId="40" fillId="0" borderId="0" xfId="1" applyNumberFormat="1" applyFont="1" applyFill="1" applyBorder="1" applyProtection="1"/>
    <xf numFmtId="167" fontId="9" fillId="19" borderId="5" xfId="1" applyNumberFormat="1" applyFont="1" applyFill="1" applyBorder="1" applyAlignment="1" applyProtection="1">
      <alignment horizontal="left"/>
    </xf>
    <xf numFmtId="167" fontId="9" fillId="19" borderId="6" xfId="1" applyNumberFormat="1" applyFont="1" applyFill="1" applyBorder="1" applyAlignment="1" applyProtection="1">
      <alignment horizontal="left"/>
    </xf>
    <xf numFmtId="167" fontId="8" fillId="19" borderId="1" xfId="0" applyNumberFormat="1" applyFont="1" applyFill="1" applyBorder="1" applyAlignment="1"/>
    <xf numFmtId="167" fontId="47" fillId="0" borderId="1" xfId="1" applyNumberFormat="1" applyFont="1" applyFill="1" applyBorder="1" applyProtection="1"/>
    <xf numFmtId="3" fontId="41" fillId="0" borderId="1" xfId="0" applyNumberFormat="1" applyFont="1" applyFill="1" applyBorder="1" applyAlignment="1">
      <alignment vertical="center"/>
    </xf>
    <xf numFmtId="167" fontId="47" fillId="0" borderId="0" xfId="1" applyNumberFormat="1" applyFont="1" applyFill="1" applyBorder="1" applyProtection="1"/>
    <xf numFmtId="167" fontId="24" fillId="0" borderId="1" xfId="0" applyNumberFormat="1" applyFont="1" applyFill="1" applyBorder="1" applyAlignment="1"/>
    <xf numFmtId="0" fontId="32" fillId="19" borderId="5" xfId="0" applyFont="1" applyFill="1" applyBorder="1" applyAlignment="1"/>
    <xf numFmtId="167" fontId="48" fillId="0" borderId="3" xfId="1" applyNumberFormat="1" applyFont="1" applyFill="1" applyBorder="1" applyProtection="1"/>
    <xf numFmtId="167" fontId="46" fillId="0" borderId="7" xfId="1" applyNumberFormat="1" applyFont="1" applyFill="1" applyBorder="1" applyProtection="1"/>
    <xf numFmtId="167" fontId="46" fillId="20" borderId="1" xfId="1" applyNumberFormat="1" applyFont="1" applyFill="1" applyBorder="1" applyProtection="1"/>
    <xf numFmtId="167" fontId="46" fillId="20" borderId="1" xfId="1" applyNumberFormat="1" applyFont="1" applyFill="1" applyBorder="1" applyAlignment="1" applyProtection="1">
      <alignment vertical="center"/>
    </xf>
    <xf numFmtId="167" fontId="49" fillId="0" borderId="7" xfId="1" applyNumberFormat="1" applyFont="1" applyFill="1" applyBorder="1" applyProtection="1"/>
    <xf numFmtId="167" fontId="49" fillId="0" borderId="1" xfId="1" applyNumberFormat="1" applyFont="1" applyFill="1" applyBorder="1" applyProtection="1"/>
    <xf numFmtId="167" fontId="46" fillId="0" borderId="1" xfId="1" applyNumberFormat="1" applyFont="1" applyFill="1" applyBorder="1" applyAlignment="1" applyProtection="1">
      <alignment vertical="center"/>
    </xf>
    <xf numFmtId="167" fontId="41" fillId="0" borderId="0" xfId="0" applyNumberFormat="1" applyFont="1" applyFill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3" fillId="0" borderId="1" xfId="0" applyFont="1" applyFill="1" applyBorder="1" applyAlignment="1"/>
    <xf numFmtId="167" fontId="33" fillId="0" borderId="7" xfId="1" applyNumberFormat="1" applyFont="1" applyFill="1" applyBorder="1" applyProtection="1"/>
    <xf numFmtId="167" fontId="33" fillId="0" borderId="1" xfId="0" applyNumberFormat="1" applyFont="1" applyFill="1" applyBorder="1" applyAlignment="1"/>
    <xf numFmtId="167" fontId="12" fillId="0" borderId="0" xfId="0" applyNumberFormat="1" applyFont="1" applyAlignment="1">
      <alignment vertical="center"/>
    </xf>
    <xf numFmtId="0" fontId="50" fillId="14" borderId="0" xfId="0" applyFont="1" applyFill="1" applyAlignment="1"/>
    <xf numFmtId="0" fontId="0" fillId="0" borderId="0" xfId="0" applyFont="1" applyFill="1" applyAlignment="1"/>
    <xf numFmtId="167" fontId="21" fillId="0" borderId="7" xfId="1" applyNumberFormat="1" applyFont="1" applyBorder="1" applyProtection="1"/>
    <xf numFmtId="167" fontId="21" fillId="0" borderId="1" xfId="1" applyNumberFormat="1" applyFont="1" applyFill="1" applyBorder="1" applyProtection="1"/>
    <xf numFmtId="167" fontId="50" fillId="0" borderId="0" xfId="0" applyNumberFormat="1" applyFont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3" fontId="0" fillId="0" borderId="0" xfId="0" applyNumberFormat="1" applyFill="1"/>
    <xf numFmtId="3" fontId="2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167" fontId="36" fillId="5" borderId="1" xfId="1" applyNumberFormat="1" applyFont="1" applyFill="1" applyBorder="1"/>
    <xf numFmtId="3" fontId="0" fillId="5" borderId="0" xfId="0" applyNumberFormat="1" applyFill="1"/>
    <xf numFmtId="167" fontId="22" fillId="0" borderId="3" xfId="1" applyNumberFormat="1" applyFont="1" applyBorder="1"/>
    <xf numFmtId="14" fontId="50" fillId="14" borderId="1" xfId="0" applyNumberFormat="1" applyFont="1" applyFill="1" applyBorder="1" applyAlignment="1"/>
    <xf numFmtId="0" fontId="50" fillId="14" borderId="1" xfId="0" applyFont="1" applyFill="1" applyBorder="1" applyAlignment="1"/>
    <xf numFmtId="167" fontId="50" fillId="14" borderId="1" xfId="1" applyNumberFormat="1" applyFont="1" applyFill="1" applyBorder="1" applyProtection="1"/>
    <xf numFmtId="0" fontId="0" fillId="21" borderId="0" xfId="0" applyFill="1" applyAlignment="1"/>
    <xf numFmtId="0" fontId="0" fillId="5" borderId="0" xfId="0" applyFill="1" applyAlignment="1"/>
    <xf numFmtId="0" fontId="10" fillId="22" borderId="0" xfId="0" applyFont="1" applyFill="1"/>
    <xf numFmtId="0" fontId="10" fillId="23" borderId="0" xfId="0" applyFont="1" applyFill="1"/>
    <xf numFmtId="167" fontId="10" fillId="23" borderId="0" xfId="1" applyNumberFormat="1" applyFont="1" applyFill="1"/>
    <xf numFmtId="0" fontId="10" fillId="23" borderId="0" xfId="0" applyFont="1" applyFill="1" applyAlignment="1">
      <alignment horizontal="left"/>
    </xf>
    <xf numFmtId="0" fontId="52" fillId="24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10" fillId="23" borderId="0" xfId="1" applyNumberFormat="1" applyFont="1" applyFill="1" applyAlignment="1">
      <alignment horizontal="right"/>
    </xf>
    <xf numFmtId="3" fontId="50" fillId="14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50" fillId="14" borderId="1" xfId="0" applyFont="1" applyFill="1" applyBorder="1" applyAlignment="1">
      <alignment horizontal="center"/>
    </xf>
    <xf numFmtId="0" fontId="10" fillId="23" borderId="0" xfId="0" applyFont="1" applyFill="1" applyAlignment="1">
      <alignment horizontal="center"/>
    </xf>
    <xf numFmtId="167" fontId="9" fillId="0" borderId="3" xfId="1" applyNumberFormat="1" applyFont="1" applyFill="1" applyBorder="1" applyAlignment="1" applyProtection="1">
      <alignment horizontal="center" vertical="center" wrapText="1"/>
    </xf>
    <xf numFmtId="167" fontId="12" fillId="25" borderId="0" xfId="0" applyNumberFormat="1" applyFont="1" applyFill="1" applyAlignment="1">
      <alignment vertical="center"/>
    </xf>
    <xf numFmtId="0" fontId="50" fillId="14" borderId="0" xfId="0" applyFont="1" applyFill="1" applyBorder="1" applyAlignment="1"/>
    <xf numFmtId="167" fontId="29" fillId="0" borderId="1" xfId="1" applyNumberFormat="1" applyFont="1" applyBorder="1" applyProtection="1">
      <protection locked="0"/>
    </xf>
    <xf numFmtId="167" fontId="8" fillId="3" borderId="3" xfId="1" applyNumberFormat="1" applyFont="1" applyFill="1" applyBorder="1" applyProtection="1"/>
    <xf numFmtId="0" fontId="26" fillId="3" borderId="1" xfId="0" applyFont="1" applyFill="1" applyBorder="1" applyAlignment="1"/>
    <xf numFmtId="167" fontId="0" fillId="3" borderId="1" xfId="1" applyNumberFormat="1" applyFont="1" applyFill="1" applyBorder="1" applyProtection="1"/>
    <xf numFmtId="167" fontId="8" fillId="3" borderId="1" xfId="1" applyNumberFormat="1" applyFont="1" applyFill="1" applyBorder="1" applyProtection="1"/>
    <xf numFmtId="167" fontId="8" fillId="3" borderId="7" xfId="1" applyNumberFormat="1" applyFont="1" applyFill="1" applyBorder="1" applyProtection="1"/>
    <xf numFmtId="0" fontId="0" fillId="3" borderId="0" xfId="0" applyFill="1" applyAlignment="1">
      <alignment vertical="center"/>
    </xf>
    <xf numFmtId="167" fontId="1" fillId="3" borderId="1" xfId="1" applyNumberFormat="1" applyFont="1" applyFill="1" applyBorder="1" applyProtection="1"/>
    <xf numFmtId="167" fontId="8" fillId="3" borderId="1" xfId="0" applyNumberFormat="1" applyFont="1" applyFill="1" applyBorder="1" applyAlignment="1"/>
    <xf numFmtId="0" fontId="0" fillId="26" borderId="1" xfId="0" applyFill="1" applyBorder="1" applyAlignment="1"/>
    <xf numFmtId="165" fontId="0" fillId="26" borderId="1" xfId="4" applyFont="1" applyFill="1" applyBorder="1" applyAlignment="1"/>
    <xf numFmtId="167" fontId="33" fillId="0" borderId="1" xfId="1" applyNumberFormat="1" applyFont="1" applyBorder="1"/>
    <xf numFmtId="167" fontId="9" fillId="0" borderId="3" xfId="1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/>
    <xf numFmtId="167" fontId="8" fillId="0" borderId="1" xfId="0" applyNumberFormat="1" applyFont="1" applyFill="1" applyBorder="1" applyAlignment="1">
      <alignment vertical="center"/>
    </xf>
    <xf numFmtId="170" fontId="8" fillId="0" borderId="3" xfId="0" applyNumberFormat="1" applyFont="1" applyFill="1" applyBorder="1"/>
    <xf numFmtId="169" fontId="45" fillId="0" borderId="1" xfId="2" applyNumberFormat="1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3" xfId="0" applyFont="1" applyBorder="1"/>
    <xf numFmtId="0" fontId="8" fillId="0" borderId="1" xfId="0" applyFont="1" applyFill="1" applyBorder="1" applyAlignment="1">
      <alignment horizontal="left"/>
    </xf>
    <xf numFmtId="167" fontId="8" fillId="0" borderId="3" xfId="0" applyNumberFormat="1" applyFont="1" applyFill="1" applyBorder="1" applyAlignment="1">
      <alignment vertical="center"/>
    </xf>
    <xf numFmtId="170" fontId="33" fillId="0" borderId="3" xfId="0" applyNumberFormat="1" applyFont="1" applyFill="1" applyBorder="1"/>
    <xf numFmtId="167" fontId="33" fillId="0" borderId="3" xfId="1" applyNumberFormat="1" applyFont="1" applyBorder="1"/>
    <xf numFmtId="0" fontId="10" fillId="24" borderId="1" xfId="0" applyFont="1" applyFill="1" applyBorder="1" applyAlignment="1"/>
    <xf numFmtId="0" fontId="39" fillId="24" borderId="1" xfId="0" applyFont="1" applyFill="1" applyBorder="1" applyAlignment="1">
      <alignment vertical="center"/>
    </xf>
    <xf numFmtId="167" fontId="40" fillId="24" borderId="1" xfId="1" applyNumberFormat="1" applyFont="1" applyFill="1" applyBorder="1" applyProtection="1">
      <protection locked="0"/>
    </xf>
    <xf numFmtId="167" fontId="41" fillId="24" borderId="1" xfId="1" applyNumberFormat="1" applyFont="1" applyFill="1" applyBorder="1" applyProtection="1">
      <protection locked="0"/>
    </xf>
    <xf numFmtId="167" fontId="8" fillId="5" borderId="1" xfId="1" applyNumberFormat="1" applyFont="1" applyFill="1" applyBorder="1" applyProtection="1"/>
    <xf numFmtId="167" fontId="33" fillId="24" borderId="1" xfId="1" applyNumberFormat="1" applyFont="1" applyFill="1" applyBorder="1" applyProtection="1"/>
    <xf numFmtId="167" fontId="8" fillId="24" borderId="1" xfId="0" applyNumberFormat="1" applyFont="1" applyFill="1" applyBorder="1" applyAlignment="1"/>
    <xf numFmtId="167" fontId="8" fillId="0" borderId="1" xfId="1" applyNumberFormat="1" applyFont="1" applyBorder="1" applyProtection="1"/>
    <xf numFmtId="167" fontId="8" fillId="24" borderId="1" xfId="1" applyNumberFormat="1" applyFont="1" applyFill="1" applyBorder="1" applyProtection="1"/>
    <xf numFmtId="167" fontId="33" fillId="5" borderId="1" xfId="0" applyNumberFormat="1" applyFont="1" applyFill="1" applyBorder="1" applyAlignment="1"/>
    <xf numFmtId="167" fontId="33" fillId="0" borderId="1" xfId="1" applyNumberFormat="1" applyFont="1" applyBorder="1" applyProtection="1"/>
    <xf numFmtId="167" fontId="33" fillId="0" borderId="0" xfId="1" applyNumberFormat="1" applyFont="1" applyProtection="1"/>
    <xf numFmtId="0" fontId="9" fillId="0" borderId="1" xfId="0" applyFont="1" applyFill="1" applyBorder="1" applyAlignment="1"/>
    <xf numFmtId="0" fontId="9" fillId="5" borderId="1" xfId="0" applyFont="1" applyFill="1" applyBorder="1" applyAlignment="1"/>
    <xf numFmtId="0" fontId="9" fillId="24" borderId="1" xfId="0" applyFont="1" applyFill="1" applyBorder="1" applyAlignment="1"/>
    <xf numFmtId="0" fontId="33" fillId="5" borderId="1" xfId="0" applyFont="1" applyFill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167" fontId="33" fillId="0" borderId="3" xfId="1" applyNumberFormat="1" applyFont="1" applyFill="1" applyBorder="1" applyProtection="1"/>
    <xf numFmtId="0" fontId="53" fillId="0" borderId="0" xfId="0" applyFont="1" applyAlignment="1">
      <alignment vertical="center"/>
    </xf>
    <xf numFmtId="3" fontId="2" fillId="27" borderId="0" xfId="1" applyNumberFormat="1" applyFont="1" applyFill="1" applyAlignment="1" applyProtection="1">
      <alignment horizontal="right"/>
    </xf>
    <xf numFmtId="172" fontId="41" fillId="0" borderId="1" xfId="1" applyNumberFormat="1" applyFont="1" applyBorder="1" applyProtection="1">
      <protection locked="0"/>
    </xf>
    <xf numFmtId="172" fontId="41" fillId="24" borderId="1" xfId="1" applyNumberFormat="1" applyFont="1" applyFill="1" applyBorder="1" applyProtection="1">
      <protection locked="0"/>
    </xf>
    <xf numFmtId="0" fontId="54" fillId="0" borderId="0" xfId="0" applyFont="1" applyFill="1" applyAlignment="1"/>
    <xf numFmtId="167" fontId="9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167" fontId="57" fillId="0" borderId="0" xfId="1" applyNumberFormat="1" applyFont="1" applyBorder="1" applyProtection="1">
      <protection locked="0"/>
    </xf>
    <xf numFmtId="167" fontId="21" fillId="0" borderId="1" xfId="1" applyNumberFormat="1" applyFont="1" applyFill="1" applyBorder="1" applyAlignment="1" applyProtection="1">
      <alignment horizontal="center" vertical="center"/>
    </xf>
    <xf numFmtId="167" fontId="21" fillId="5" borderId="1" xfId="1" applyNumberFormat="1" applyFont="1" applyFill="1" applyBorder="1" applyProtection="1"/>
    <xf numFmtId="167" fontId="21" fillId="24" borderId="1" xfId="1" applyNumberFormat="1" applyFont="1" applyFill="1" applyBorder="1" applyProtection="1"/>
    <xf numFmtId="0" fontId="21" fillId="5" borderId="1" xfId="0" applyFont="1" applyFill="1" applyBorder="1" applyAlignment="1">
      <alignment vertical="center"/>
    </xf>
    <xf numFmtId="167" fontId="21" fillId="0" borderId="1" xfId="1" applyNumberFormat="1" applyFont="1" applyBorder="1" applyProtection="1"/>
    <xf numFmtId="0" fontId="22" fillId="5" borderId="0" xfId="0" applyFont="1" applyFill="1" applyBorder="1" applyAlignment="1">
      <alignment vertical="center"/>
    </xf>
    <xf numFmtId="167" fontId="56" fillId="0" borderId="0" xfId="0" applyNumberFormat="1" applyFont="1" applyAlignment="1">
      <alignment vertical="center"/>
    </xf>
    <xf numFmtId="0" fontId="50" fillId="5" borderId="0" xfId="0" applyFont="1" applyFill="1" applyAlignment="1"/>
    <xf numFmtId="0" fontId="50" fillId="5" borderId="0" xfId="0" applyFont="1" applyFill="1" applyBorder="1" applyAlignment="1"/>
    <xf numFmtId="0" fontId="55" fillId="0" borderId="0" xfId="0" applyFont="1" applyFill="1" applyBorder="1" applyAlignment="1"/>
    <xf numFmtId="0" fontId="12" fillId="5" borderId="0" xfId="0" applyFont="1" applyFill="1" applyAlignment="1"/>
    <xf numFmtId="167" fontId="9" fillId="0" borderId="3" xfId="1" applyNumberFormat="1" applyFont="1" applyFill="1" applyBorder="1" applyAlignment="1" applyProtection="1">
      <alignment horizontal="center" vertical="center" wrapText="1"/>
    </xf>
    <xf numFmtId="0" fontId="54" fillId="5" borderId="0" xfId="0" applyFont="1" applyFill="1" applyAlignment="1"/>
    <xf numFmtId="167" fontId="8" fillId="0" borderId="3" xfId="1" applyNumberFormat="1" applyFont="1" applyFill="1" applyBorder="1"/>
    <xf numFmtId="0" fontId="36" fillId="0" borderId="0" xfId="0" applyFont="1" applyFill="1" applyAlignment="1"/>
    <xf numFmtId="167" fontId="2" fillId="0" borderId="0" xfId="0" applyNumberFormat="1" applyFont="1" applyAlignment="1">
      <alignment vertical="center"/>
    </xf>
    <xf numFmtId="0" fontId="3" fillId="0" borderId="0" xfId="0" applyFont="1" applyFill="1" applyBorder="1" applyAlignment="1"/>
    <xf numFmtId="0" fontId="59" fillId="0" borderId="0" xfId="0" applyFont="1" applyFill="1" applyAlignment="1"/>
    <xf numFmtId="0" fontId="36" fillId="5" borderId="0" xfId="0" applyFont="1" applyFill="1" applyAlignment="1"/>
    <xf numFmtId="0" fontId="36" fillId="0" borderId="0" xfId="0" applyFont="1" applyFill="1" applyBorder="1" applyAlignment="1"/>
    <xf numFmtId="0" fontId="3" fillId="0" borderId="14" xfId="0" applyFont="1" applyFill="1" applyBorder="1" applyAlignment="1"/>
    <xf numFmtId="167" fontId="9" fillId="0" borderId="3" xfId="1" applyNumberFormat="1" applyFont="1" applyFill="1" applyBorder="1" applyAlignment="1" applyProtection="1">
      <alignment horizontal="center" vertical="center" wrapText="1"/>
    </xf>
    <xf numFmtId="170" fontId="8" fillId="0" borderId="1" xfId="0" applyNumberFormat="1" applyFont="1" applyFill="1" applyBorder="1"/>
    <xf numFmtId="170" fontId="33" fillId="0" borderId="1" xfId="0" applyNumberFormat="1" applyFont="1" applyFill="1" applyBorder="1"/>
    <xf numFmtId="14" fontId="35" fillId="0" borderId="1" xfId="0" applyNumberFormat="1" applyFont="1" applyFill="1" applyBorder="1"/>
    <xf numFmtId="0" fontId="60" fillId="0" borderId="1" xfId="0" applyFont="1" applyBorder="1"/>
    <xf numFmtId="0" fontId="60" fillId="0" borderId="0" xfId="0" applyFont="1" applyFill="1" applyBorder="1" applyAlignment="1">
      <alignment vertical="center"/>
    </xf>
    <xf numFmtId="14" fontId="60" fillId="0" borderId="14" xfId="0" applyNumberFormat="1" applyFont="1" applyFill="1" applyBorder="1" applyAlignment="1"/>
    <xf numFmtId="0" fontId="60" fillId="5" borderId="1" xfId="0" applyFont="1" applyFill="1" applyBorder="1" applyAlignment="1">
      <alignment vertical="center"/>
    </xf>
    <xf numFmtId="0" fontId="60" fillId="0" borderId="1" xfId="0" applyFont="1" applyFill="1" applyBorder="1" applyAlignment="1">
      <alignment vertical="center"/>
    </xf>
    <xf numFmtId="0" fontId="60" fillId="0" borderId="1" xfId="0" applyFont="1" applyFill="1" applyBorder="1" applyAlignment="1"/>
    <xf numFmtId="0" fontId="60" fillId="0" borderId="1" xfId="0" applyFont="1" applyFill="1" applyBorder="1" applyAlignment="1">
      <alignment horizontal="center"/>
    </xf>
    <xf numFmtId="0" fontId="60" fillId="0" borderId="14" xfId="0" applyFont="1" applyBorder="1"/>
    <xf numFmtId="14" fontId="60" fillId="0" borderId="1" xfId="0" applyNumberFormat="1" applyFont="1" applyFill="1" applyBorder="1" applyAlignment="1"/>
    <xf numFmtId="0" fontId="60" fillId="5" borderId="1" xfId="0" applyFont="1" applyFill="1" applyBorder="1" applyAlignment="1"/>
    <xf numFmtId="0" fontId="60" fillId="0" borderId="1" xfId="0" applyFont="1" applyBorder="1" applyAlignment="1">
      <alignment horizontal="center" vertical="center"/>
    </xf>
    <xf numFmtId="0" fontId="60" fillId="5" borderId="1" xfId="0" applyFont="1" applyFill="1" applyBorder="1"/>
    <xf numFmtId="0" fontId="60" fillId="0" borderId="1" xfId="0" applyFont="1" applyFill="1" applyBorder="1"/>
    <xf numFmtId="0" fontId="60" fillId="0" borderId="3" xfId="0" applyFont="1" applyFill="1" applyBorder="1" applyAlignment="1">
      <alignment horizontal="center"/>
    </xf>
    <xf numFmtId="0" fontId="60" fillId="0" borderId="14" xfId="0" applyFont="1" applyFill="1" applyBorder="1"/>
    <xf numFmtId="0" fontId="60" fillId="5" borderId="1" xfId="0" applyFont="1" applyFill="1" applyBorder="1" applyAlignment="1">
      <alignment horizontal="center"/>
    </xf>
    <xf numFmtId="0" fontId="60" fillId="0" borderId="3" xfId="0" applyFont="1" applyFill="1" applyBorder="1" applyAlignment="1"/>
    <xf numFmtId="168" fontId="62" fillId="3" borderId="0" xfId="0" applyNumberFormat="1" applyFont="1" applyFill="1"/>
    <xf numFmtId="167" fontId="5" fillId="0" borderId="1" xfId="1" applyNumberFormat="1" applyFont="1" applyFill="1" applyBorder="1"/>
    <xf numFmtId="0" fontId="63" fillId="0" borderId="0" xfId="0" applyFont="1" applyFill="1"/>
    <xf numFmtId="0" fontId="63" fillId="0" borderId="0" xfId="0" applyFont="1"/>
    <xf numFmtId="0" fontId="64" fillId="0" borderId="0" xfId="0" applyFont="1" applyFill="1"/>
    <xf numFmtId="173" fontId="63" fillId="0" borderId="0" xfId="0" applyNumberFormat="1" applyFont="1" applyFill="1" applyAlignment="1">
      <alignment horizontal="center"/>
    </xf>
    <xf numFmtId="1" fontId="63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center"/>
    </xf>
    <xf numFmtId="3" fontId="63" fillId="0" borderId="0" xfId="5" applyNumberFormat="1" applyFont="1" applyFill="1" applyAlignment="1">
      <alignment horizontal="center"/>
    </xf>
    <xf numFmtId="174" fontId="63" fillId="0" borderId="0" xfId="5" applyNumberFormat="1" applyFont="1" applyFill="1" applyAlignment="1">
      <alignment horizontal="center"/>
    </xf>
    <xf numFmtId="0" fontId="63" fillId="28" borderId="0" xfId="0" applyFont="1" applyFill="1"/>
    <xf numFmtId="173" fontId="66" fillId="5" borderId="0" xfId="0" applyNumberFormat="1" applyFont="1" applyFill="1"/>
    <xf numFmtId="1" fontId="64" fillId="0" borderId="0" xfId="0" applyNumberFormat="1" applyFont="1" applyFill="1" applyAlignment="1">
      <alignment horizontal="left"/>
    </xf>
    <xf numFmtId="0" fontId="64" fillId="0" borderId="0" xfId="0" applyFont="1"/>
    <xf numFmtId="0" fontId="64" fillId="0" borderId="0" xfId="0" applyFont="1" applyFill="1" applyAlignment="1">
      <alignment horizontal="center"/>
    </xf>
    <xf numFmtId="0" fontId="25" fillId="3" borderId="0" xfId="0" applyFont="1" applyFill="1"/>
    <xf numFmtId="0" fontId="67" fillId="0" borderId="0" xfId="0" applyFont="1" applyFill="1" applyAlignment="1">
      <alignment horizontal="left"/>
    </xf>
    <xf numFmtId="0" fontId="64" fillId="0" borderId="0" xfId="0" applyFont="1" applyFill="1" applyBorder="1"/>
    <xf numFmtId="3" fontId="63" fillId="0" borderId="0" xfId="0" applyNumberFormat="1" applyFont="1"/>
    <xf numFmtId="14" fontId="63" fillId="0" borderId="13" xfId="0" applyNumberFormat="1" applyFont="1" applyBorder="1"/>
    <xf numFmtId="0" fontId="63" fillId="0" borderId="13" xfId="0" applyFont="1" applyBorder="1"/>
    <xf numFmtId="3" fontId="64" fillId="0" borderId="13" xfId="0" applyNumberFormat="1" applyFont="1" applyBorder="1"/>
    <xf numFmtId="3" fontId="63" fillId="0" borderId="13" xfId="0" applyNumberFormat="1" applyFont="1" applyBorder="1"/>
    <xf numFmtId="0" fontId="64" fillId="0" borderId="0" xfId="0" applyFont="1" applyFill="1" applyBorder="1" applyAlignment="1"/>
    <xf numFmtId="0" fontId="63" fillId="0" borderId="0" xfId="0" applyFont="1" applyAlignment="1"/>
    <xf numFmtId="14" fontId="63" fillId="0" borderId="1" xfId="0" applyNumberFormat="1" applyFont="1" applyBorder="1"/>
    <xf numFmtId="0" fontId="63" fillId="0" borderId="1" xfId="0" applyFont="1" applyBorder="1"/>
    <xf numFmtId="3" fontId="63" fillId="0" borderId="1" xfId="0" applyNumberFormat="1" applyFont="1" applyBorder="1"/>
    <xf numFmtId="14" fontId="68" fillId="0" borderId="1" xfId="0" applyNumberFormat="1" applyFont="1" applyBorder="1"/>
    <xf numFmtId="0" fontId="69" fillId="0" borderId="1" xfId="0" applyFont="1" applyFill="1" applyBorder="1" applyAlignment="1">
      <alignment horizontal="left" vertical="center"/>
    </xf>
    <xf numFmtId="0" fontId="68" fillId="0" borderId="1" xfId="0" applyFont="1" applyBorder="1"/>
    <xf numFmtId="3" fontId="68" fillId="0" borderId="1" xfId="0" applyNumberFormat="1" applyFont="1" applyBorder="1"/>
    <xf numFmtId="14" fontId="63" fillId="0" borderId="12" xfId="0" applyNumberFormat="1" applyFont="1" applyBorder="1"/>
    <xf numFmtId="3" fontId="63" fillId="0" borderId="12" xfId="0" applyNumberFormat="1" applyFont="1" applyBorder="1"/>
    <xf numFmtId="0" fontId="63" fillId="0" borderId="12" xfId="0" applyFont="1" applyBorder="1"/>
    <xf numFmtId="3" fontId="64" fillId="0" borderId="19" xfId="0" applyNumberFormat="1" applyFont="1" applyBorder="1"/>
    <xf numFmtId="0" fontId="64" fillId="29" borderId="13" xfId="0" applyFont="1" applyFill="1" applyBorder="1"/>
    <xf numFmtId="3" fontId="63" fillId="30" borderId="13" xfId="0" applyNumberFormat="1" applyFont="1" applyFill="1" applyBorder="1"/>
    <xf numFmtId="3" fontId="63" fillId="29" borderId="13" xfId="0" applyNumberFormat="1" applyFont="1" applyFill="1" applyBorder="1"/>
    <xf numFmtId="0" fontId="70" fillId="0" borderId="13" xfId="0" applyFont="1" applyBorder="1"/>
    <xf numFmtId="3" fontId="70" fillId="0" borderId="13" xfId="0" applyNumberFormat="1" applyFont="1" applyBorder="1"/>
    <xf numFmtId="0" fontId="70" fillId="0" borderId="0" xfId="0" applyFont="1"/>
    <xf numFmtId="3" fontId="70" fillId="3" borderId="13" xfId="0" applyNumberFormat="1" applyFont="1" applyFill="1" applyBorder="1"/>
    <xf numFmtId="0" fontId="63" fillId="3" borderId="0" xfId="0" applyFont="1" applyFill="1"/>
    <xf numFmtId="0" fontId="64" fillId="0" borderId="0" xfId="0" applyFont="1" applyBorder="1"/>
    <xf numFmtId="0" fontId="64" fillId="0" borderId="0" xfId="0" applyFont="1" applyAlignment="1"/>
    <xf numFmtId="0" fontId="0" fillId="0" borderId="0" xfId="0" applyBorder="1"/>
    <xf numFmtId="0" fontId="61" fillId="3" borderId="0" xfId="0" applyFont="1" applyFill="1"/>
    <xf numFmtId="167" fontId="5" fillId="0" borderId="2" xfId="1" applyNumberFormat="1" applyFont="1" applyFill="1" applyBorder="1"/>
    <xf numFmtId="167" fontId="0" fillId="3" borderId="0" xfId="0" applyNumberFormat="1" applyFill="1" applyBorder="1"/>
    <xf numFmtId="0" fontId="5" fillId="28" borderId="3" xfId="0" applyFont="1" applyFill="1" applyBorder="1"/>
    <xf numFmtId="0" fontId="9" fillId="28" borderId="3" xfId="0" applyFont="1" applyFill="1" applyBorder="1" applyAlignment="1">
      <alignment horizontal="left"/>
    </xf>
    <xf numFmtId="167" fontId="5" fillId="28" borderId="3" xfId="1" applyNumberFormat="1" applyFont="1" applyFill="1" applyBorder="1"/>
    <xf numFmtId="167" fontId="4" fillId="0" borderId="3" xfId="1" applyNumberFormat="1" applyFont="1" applyFill="1" applyBorder="1"/>
    <xf numFmtId="0" fontId="9" fillId="28" borderId="1" xfId="0" applyFont="1" applyFill="1" applyBorder="1" applyAlignment="1">
      <alignment horizontal="left"/>
    </xf>
    <xf numFmtId="0" fontId="5" fillId="28" borderId="1" xfId="0" applyFont="1" applyFill="1" applyBorder="1"/>
    <xf numFmtId="0" fontId="5" fillId="28" borderId="1" xfId="0" applyFont="1" applyFill="1" applyBorder="1" applyAlignment="1">
      <alignment vertical="center"/>
    </xf>
    <xf numFmtId="0" fontId="9" fillId="28" borderId="1" xfId="0" applyFont="1" applyFill="1" applyBorder="1"/>
    <xf numFmtId="167" fontId="5" fillId="28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60" fillId="0" borderId="0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60" fillId="0" borderId="1" xfId="0" applyFont="1" applyBorder="1" applyAlignment="1"/>
    <xf numFmtId="3" fontId="0" fillId="0" borderId="0" xfId="1" applyNumberFormat="1" applyFont="1" applyFill="1" applyAlignment="1" applyProtection="1"/>
    <xf numFmtId="3" fontId="50" fillId="14" borderId="1" xfId="1" applyNumberFormat="1" applyFont="1" applyFill="1" applyBorder="1" applyAlignment="1" applyProtection="1"/>
    <xf numFmtId="3" fontId="10" fillId="23" borderId="0" xfId="1" applyNumberFormat="1" applyFont="1" applyFill="1" applyAlignment="1"/>
    <xf numFmtId="0" fontId="60" fillId="0" borderId="1" xfId="0" applyFont="1" applyBorder="1" applyAlignment="1">
      <alignment horizontal="center"/>
    </xf>
    <xf numFmtId="0" fontId="60" fillId="0" borderId="1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/>
    </xf>
    <xf numFmtId="0" fontId="60" fillId="5" borderId="1" xfId="0" applyFont="1" applyFill="1" applyBorder="1" applyAlignment="1">
      <alignment horizontal="center" vertical="center"/>
    </xf>
    <xf numFmtId="167" fontId="60" fillId="5" borderId="1" xfId="1" applyNumberFormat="1" applyFont="1" applyFill="1" applyBorder="1" applyAlignment="1">
      <alignment horizontal="center" vertical="center" wrapText="1"/>
    </xf>
    <xf numFmtId="167" fontId="60" fillId="0" borderId="1" xfId="1" applyNumberFormat="1" applyFont="1" applyFill="1" applyBorder="1" applyAlignment="1">
      <alignment horizontal="center" vertical="center" wrapText="1"/>
    </xf>
    <xf numFmtId="0" fontId="60" fillId="5" borderId="0" xfId="0" applyFont="1" applyFill="1" applyBorder="1" applyAlignment="1">
      <alignment horizontal="center" vertical="center"/>
    </xf>
    <xf numFmtId="0" fontId="60" fillId="5" borderId="14" xfId="0" applyFont="1" applyFill="1" applyBorder="1" applyAlignment="1">
      <alignment horizontal="center" vertical="center"/>
    </xf>
    <xf numFmtId="0" fontId="60" fillId="5" borderId="14" xfId="0" applyFont="1" applyFill="1" applyBorder="1" applyAlignment="1">
      <alignment horizontal="center"/>
    </xf>
    <xf numFmtId="0" fontId="12" fillId="3" borderId="0" xfId="0" applyFont="1" applyFill="1" applyAlignment="1"/>
    <xf numFmtId="0" fontId="72" fillId="0" borderId="0" xfId="0" applyFont="1" applyFill="1" applyAlignment="1"/>
    <xf numFmtId="167" fontId="60" fillId="0" borderId="1" xfId="1" applyNumberFormat="1" applyFont="1" applyFill="1" applyBorder="1"/>
    <xf numFmtId="0" fontId="60" fillId="0" borderId="1" xfId="0" applyFont="1" applyBorder="1" applyAlignment="1">
      <alignment vertical="center"/>
    </xf>
    <xf numFmtId="0" fontId="60" fillId="5" borderId="3" xfId="0" applyFont="1" applyFill="1" applyBorder="1" applyAlignment="1">
      <alignment horizontal="center"/>
    </xf>
    <xf numFmtId="167" fontId="60" fillId="5" borderId="14" xfId="1" applyNumberFormat="1" applyFont="1" applyFill="1" applyBorder="1" applyAlignment="1">
      <alignment horizontal="center" vertical="center" wrapText="1"/>
    </xf>
    <xf numFmtId="0" fontId="60" fillId="0" borderId="0" xfId="0" applyFont="1"/>
    <xf numFmtId="170" fontId="60" fillId="0" borderId="1" xfId="0" applyNumberFormat="1" applyFont="1" applyFill="1" applyBorder="1"/>
    <xf numFmtId="0" fontId="60" fillId="0" borderId="7" xfId="0" applyFont="1" applyBorder="1"/>
    <xf numFmtId="0" fontId="60" fillId="5" borderId="14" xfId="0" applyFont="1" applyFill="1" applyBorder="1"/>
    <xf numFmtId="3" fontId="60" fillId="5" borderId="1" xfId="1" applyNumberFormat="1" applyFont="1" applyFill="1" applyBorder="1" applyAlignment="1" applyProtection="1">
      <alignment horizontal="center"/>
    </xf>
    <xf numFmtId="3" fontId="60" fillId="5" borderId="3" xfId="1" applyNumberFormat="1" applyFont="1" applyFill="1" applyBorder="1" applyAlignment="1" applyProtection="1"/>
    <xf numFmtId="167" fontId="60" fillId="5" borderId="1" xfId="1" applyNumberFormat="1" applyFont="1" applyFill="1" applyBorder="1" applyProtection="1"/>
    <xf numFmtId="0" fontId="60" fillId="0" borderId="3" xfId="0" applyFont="1" applyBorder="1"/>
    <xf numFmtId="0" fontId="60" fillId="0" borderId="1" xfId="0" applyFont="1" applyFill="1" applyBorder="1" applyAlignment="1">
      <alignment horizontal="left"/>
    </xf>
    <xf numFmtId="167" fontId="60" fillId="0" borderId="1" xfId="0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horizontal="left"/>
    </xf>
    <xf numFmtId="0" fontId="60" fillId="5" borderId="1" xfId="2" applyFont="1" applyFill="1" applyBorder="1" applyAlignment="1" applyProtection="1"/>
    <xf numFmtId="176" fontId="60" fillId="0" borderId="20" xfId="2" applyNumberFormat="1" applyFont="1" applyFill="1" applyBorder="1" applyAlignment="1">
      <alignment horizontal="left" vertical="top"/>
    </xf>
    <xf numFmtId="176" fontId="60" fillId="0" borderId="20" xfId="2" applyNumberFormat="1" applyFont="1" applyFill="1" applyBorder="1" applyAlignment="1">
      <alignment vertical="top"/>
    </xf>
    <xf numFmtId="176" fontId="60" fillId="0" borderId="20" xfId="2" applyNumberFormat="1" applyFont="1" applyFill="1" applyBorder="1" applyAlignment="1">
      <alignment vertical="top" wrapText="1"/>
    </xf>
    <xf numFmtId="176" fontId="60" fillId="0" borderId="21" xfId="2" applyNumberFormat="1" applyFont="1" applyFill="1" applyBorder="1" applyAlignment="1">
      <alignment horizontal="left" vertical="top"/>
    </xf>
    <xf numFmtId="175" fontId="60" fillId="0" borderId="20" xfId="2" applyNumberFormat="1" applyFont="1" applyFill="1" applyBorder="1" applyAlignment="1">
      <alignment vertical="top"/>
    </xf>
    <xf numFmtId="0" fontId="64" fillId="0" borderId="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0" fontId="60" fillId="0" borderId="3" xfId="0" applyNumberFormat="1" applyFont="1" applyFill="1" applyBorder="1" applyAlignment="1"/>
    <xf numFmtId="0" fontId="60" fillId="5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vertical="center"/>
    </xf>
    <xf numFmtId="0" fontId="60" fillId="0" borderId="1" xfId="0" applyFont="1" applyFill="1" applyBorder="1" applyAlignment="1">
      <alignment horizontal="left" vertical="center"/>
    </xf>
    <xf numFmtId="0" fontId="60" fillId="5" borderId="3" xfId="0" applyFont="1" applyFill="1" applyBorder="1" applyAlignment="1">
      <alignment vertical="center"/>
    </xf>
    <xf numFmtId="14" fontId="60" fillId="0" borderId="0" xfId="0" applyNumberFormat="1" applyFont="1" applyFill="1" applyBorder="1" applyAlignment="1"/>
    <xf numFmtId="0" fontId="60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vertical="center"/>
    </xf>
    <xf numFmtId="0" fontId="60" fillId="0" borderId="4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0" fillId="5" borderId="14" xfId="0" applyFont="1" applyFill="1" applyBorder="1" applyAlignment="1">
      <alignment vertical="center"/>
    </xf>
    <xf numFmtId="0" fontId="60" fillId="0" borderId="4" xfId="0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/>
    </xf>
    <xf numFmtId="0" fontId="60" fillId="5" borderId="7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/>
    </xf>
    <xf numFmtId="0" fontId="60" fillId="5" borderId="11" xfId="0" applyFont="1" applyFill="1" applyBorder="1" applyAlignment="1">
      <alignment horizontal="center"/>
    </xf>
    <xf numFmtId="0" fontId="60" fillId="5" borderId="9" xfId="0" applyFont="1" applyFill="1" applyBorder="1" applyAlignment="1">
      <alignment horizontal="center"/>
    </xf>
    <xf numFmtId="167" fontId="60" fillId="0" borderId="3" xfId="1" applyNumberFormat="1" applyFont="1" applyFill="1" applyBorder="1" applyAlignment="1">
      <alignment horizontal="right"/>
    </xf>
    <xf numFmtId="167" fontId="60" fillId="0" borderId="1" xfId="1" applyNumberFormat="1" applyFont="1" applyBorder="1" applyAlignment="1">
      <alignment horizontal="right"/>
    </xf>
    <xf numFmtId="167" fontId="60" fillId="0" borderId="3" xfId="1" applyNumberFormat="1" applyFont="1" applyBorder="1" applyAlignment="1">
      <alignment horizontal="right"/>
    </xf>
    <xf numFmtId="167" fontId="60" fillId="0" borderId="1" xfId="1" applyNumberFormat="1" applyFont="1" applyFill="1" applyBorder="1" applyAlignment="1">
      <alignment horizontal="right"/>
    </xf>
    <xf numFmtId="167" fontId="60" fillId="5" borderId="1" xfId="1" applyNumberFormat="1" applyFont="1" applyFill="1" applyBorder="1" applyAlignment="1">
      <alignment horizontal="right"/>
    </xf>
    <xf numFmtId="167" fontId="60" fillId="0" borderId="14" xfId="1" applyNumberFormat="1" applyFont="1" applyFill="1" applyBorder="1" applyAlignment="1">
      <alignment horizontal="right"/>
    </xf>
    <xf numFmtId="3" fontId="60" fillId="0" borderId="1" xfId="0" applyNumberFormat="1" applyFont="1" applyBorder="1" applyAlignment="1">
      <alignment horizontal="right" vertical="center"/>
    </xf>
    <xf numFmtId="167" fontId="60" fillId="5" borderId="14" xfId="1" applyNumberFormat="1" applyFont="1" applyFill="1" applyBorder="1" applyAlignment="1">
      <alignment horizontal="right"/>
    </xf>
    <xf numFmtId="167" fontId="60" fillId="0" borderId="1" xfId="1" applyNumberFormat="1" applyFont="1" applyBorder="1" applyAlignment="1" applyProtection="1">
      <alignment horizontal="right"/>
    </xf>
    <xf numFmtId="0" fontId="60" fillId="0" borderId="1" xfId="0" applyFont="1" applyBorder="1" applyAlignment="1">
      <alignment horizontal="right" vertical="center"/>
    </xf>
    <xf numFmtId="3" fontId="60" fillId="5" borderId="1" xfId="0" applyNumberFormat="1" applyFont="1" applyFill="1" applyBorder="1" applyAlignment="1">
      <alignment horizontal="right" vertical="center"/>
    </xf>
    <xf numFmtId="167" fontId="60" fillId="0" borderId="1" xfId="0" applyNumberFormat="1" applyFont="1" applyFill="1" applyBorder="1" applyAlignment="1">
      <alignment horizontal="right" vertical="center"/>
    </xf>
    <xf numFmtId="3" fontId="60" fillId="0" borderId="14" xfId="0" applyNumberFormat="1" applyFont="1" applyBorder="1" applyAlignment="1">
      <alignment horizontal="right"/>
    </xf>
    <xf numFmtId="177" fontId="60" fillId="0" borderId="20" xfId="6" applyNumberFormat="1" applyFont="1" applyFill="1" applyBorder="1" applyAlignment="1">
      <alignment horizontal="right" vertical="top" wrapText="1"/>
    </xf>
    <xf numFmtId="3" fontId="60" fillId="0" borderId="1" xfId="0" applyNumberFormat="1" applyFont="1" applyBorder="1" applyAlignment="1">
      <alignment horizontal="right"/>
    </xf>
    <xf numFmtId="170" fontId="60" fillId="0" borderId="3" xfId="0" applyNumberFormat="1" applyFont="1" applyFill="1" applyBorder="1" applyAlignment="1">
      <alignment horizontal="right"/>
    </xf>
    <xf numFmtId="167" fontId="60" fillId="0" borderId="3" xfId="0" applyNumberFormat="1" applyFont="1" applyFill="1" applyBorder="1" applyAlignment="1">
      <alignment horizontal="right" vertical="center"/>
    </xf>
    <xf numFmtId="3" fontId="60" fillId="0" borderId="1" xfId="1" applyNumberFormat="1" applyFont="1" applyBorder="1" applyAlignment="1" applyProtection="1">
      <alignment horizontal="right"/>
    </xf>
    <xf numFmtId="3" fontId="60" fillId="0" borderId="1" xfId="0" applyNumberFormat="1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/>
    <xf numFmtId="167" fontId="5" fillId="2" borderId="1" xfId="1" applyNumberFormat="1" applyFont="1" applyFill="1" applyBorder="1"/>
    <xf numFmtId="0" fontId="5" fillId="2" borderId="3" xfId="0" applyFont="1" applyFill="1" applyBorder="1"/>
    <xf numFmtId="0" fontId="5" fillId="2" borderId="1" xfId="0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67" fontId="6" fillId="0" borderId="0" xfId="1" applyNumberFormat="1" applyFont="1" applyFill="1"/>
    <xf numFmtId="0" fontId="9" fillId="0" borderId="3" xfId="0" applyFont="1" applyFill="1" applyBorder="1" applyAlignment="1">
      <alignment horizontal="center"/>
    </xf>
    <xf numFmtId="0" fontId="0" fillId="0" borderId="3" xfId="0" applyFill="1" applyBorder="1"/>
    <xf numFmtId="0" fontId="12" fillId="0" borderId="1" xfId="0" applyFont="1" applyFill="1" applyBorder="1"/>
    <xf numFmtId="0" fontId="0" fillId="5" borderId="1" xfId="0" applyFill="1" applyBorder="1"/>
    <xf numFmtId="167" fontId="12" fillId="0" borderId="0" xfId="1" applyNumberFormat="1" applyFont="1"/>
    <xf numFmtId="0" fontId="73" fillId="0" borderId="1" xfId="0" applyFont="1" applyFill="1" applyBorder="1"/>
    <xf numFmtId="0" fontId="74" fillId="0" borderId="0" xfId="0" applyFont="1" applyFill="1"/>
    <xf numFmtId="3" fontId="74" fillId="0" borderId="0" xfId="0" applyNumberFormat="1" applyFont="1" applyFill="1"/>
    <xf numFmtId="0" fontId="74" fillId="11" borderId="0" xfId="0" applyFont="1" applyFill="1"/>
    <xf numFmtId="167" fontId="12" fillId="0" borderId="0" xfId="0" applyNumberFormat="1" applyFont="1" applyFill="1" applyAlignment="1"/>
    <xf numFmtId="167" fontId="9" fillId="0" borderId="3" xfId="1" applyNumberFormat="1" applyFont="1" applyFill="1" applyBorder="1" applyAlignment="1" applyProtection="1">
      <alignment horizontal="center" vertical="center" wrapText="1"/>
    </xf>
    <xf numFmtId="0" fontId="60" fillId="5" borderId="3" xfId="0" applyFont="1" applyFill="1" applyBorder="1"/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7" fillId="0" borderId="5" xfId="0" applyFont="1" applyFill="1" applyBorder="1" applyAlignment="1"/>
    <xf numFmtId="167" fontId="33" fillId="0" borderId="1" xfId="0" applyNumberFormat="1" applyFont="1" applyBorder="1" applyAlignment="1"/>
    <xf numFmtId="0" fontId="77" fillId="0" borderId="0" xfId="0" applyFont="1" applyFill="1" applyBorder="1" applyAlignment="1"/>
    <xf numFmtId="0" fontId="77" fillId="0" borderId="1" xfId="0" applyFont="1" applyFill="1" applyBorder="1" applyAlignment="1"/>
    <xf numFmtId="167" fontId="33" fillId="0" borderId="3" xfId="1" applyNumberFormat="1" applyFont="1" applyBorder="1" applyProtection="1"/>
    <xf numFmtId="167" fontId="1" fillId="0" borderId="1" xfId="1" applyNumberFormat="1" applyFont="1" applyBorder="1" applyProtection="1"/>
    <xf numFmtId="167" fontId="33" fillId="25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0" fontId="3" fillId="0" borderId="10" xfId="0" applyFont="1" applyBorder="1"/>
    <xf numFmtId="0" fontId="60" fillId="0" borderId="1" xfId="0" applyFont="1" applyBorder="1" applyAlignment="1">
      <alignment horizontal="right"/>
    </xf>
    <xf numFmtId="0" fontId="60" fillId="0" borderId="7" xfId="0" applyFont="1" applyBorder="1" applyAlignment="1"/>
    <xf numFmtId="0" fontId="60" fillId="5" borderId="20" xfId="0" applyFont="1" applyFill="1" applyBorder="1" applyAlignment="1">
      <alignment vertical="center"/>
    </xf>
    <xf numFmtId="176" fontId="60" fillId="0" borderId="1" xfId="2" applyNumberFormat="1" applyFont="1" applyFill="1" applyBorder="1" applyAlignment="1">
      <alignment horizontal="left" vertical="top"/>
    </xf>
    <xf numFmtId="0" fontId="60" fillId="5" borderId="7" xfId="0" applyFont="1" applyFill="1" applyBorder="1"/>
    <xf numFmtId="0" fontId="60" fillId="0" borderId="7" xfId="0" applyFont="1" applyFill="1" applyBorder="1"/>
    <xf numFmtId="0" fontId="60" fillId="0" borderId="20" xfId="0" applyFont="1" applyFill="1" applyBorder="1" applyAlignment="1">
      <alignment vertical="center"/>
    </xf>
    <xf numFmtId="176" fontId="60" fillId="0" borderId="1" xfId="2" applyNumberFormat="1" applyFont="1" applyFill="1" applyBorder="1" applyAlignment="1">
      <alignment vertical="top"/>
    </xf>
    <xf numFmtId="0" fontId="60" fillId="0" borderId="3" xfId="0" applyFont="1" applyFill="1" applyBorder="1"/>
    <xf numFmtId="0" fontId="60" fillId="0" borderId="21" xfId="0" applyFont="1" applyBorder="1"/>
    <xf numFmtId="0" fontId="60" fillId="5" borderId="7" xfId="0" applyFont="1" applyFill="1" applyBorder="1" applyAlignment="1">
      <alignment vertical="center"/>
    </xf>
    <xf numFmtId="0" fontId="60" fillId="0" borderId="20" xfId="0" applyFont="1" applyFill="1" applyBorder="1"/>
    <xf numFmtId="0" fontId="60" fillId="0" borderId="9" xfId="0" applyFont="1" applyBorder="1" applyAlignment="1"/>
    <xf numFmtId="0" fontId="60" fillId="0" borderId="20" xfId="0" applyFont="1" applyBorder="1" applyAlignment="1">
      <alignment vertical="center"/>
    </xf>
    <xf numFmtId="176" fontId="60" fillId="31" borderId="1" xfId="2" applyNumberFormat="1" applyFont="1" applyFill="1" applyBorder="1" applyAlignment="1">
      <alignment horizontal="left" vertical="top"/>
    </xf>
    <xf numFmtId="0" fontId="60" fillId="0" borderId="7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left"/>
    </xf>
    <xf numFmtId="0" fontId="60" fillId="0" borderId="7" xfId="0" applyFont="1" applyBorder="1" applyAlignment="1">
      <alignment vertical="center"/>
    </xf>
    <xf numFmtId="0" fontId="60" fillId="0" borderId="7" xfId="0" applyFont="1" applyFill="1" applyBorder="1" applyAlignment="1">
      <alignment vertical="center"/>
    </xf>
    <xf numFmtId="0" fontId="60" fillId="0" borderId="21" xfId="0" applyFont="1" applyBorder="1" applyAlignment="1"/>
    <xf numFmtId="0" fontId="60" fillId="0" borderId="21" xfId="0" applyFont="1" applyBorder="1" applyAlignment="1">
      <alignment vertical="center"/>
    </xf>
    <xf numFmtId="176" fontId="60" fillId="0" borderId="7" xfId="2" applyNumberFormat="1" applyFont="1" applyFill="1" applyBorder="1" applyAlignment="1">
      <alignment vertical="top"/>
    </xf>
    <xf numFmtId="0" fontId="60" fillId="0" borderId="20" xfId="0" applyFont="1" applyBorder="1"/>
    <xf numFmtId="0" fontId="60" fillId="0" borderId="21" xfId="0" applyFont="1" applyFill="1" applyBorder="1"/>
    <xf numFmtId="0" fontId="60" fillId="0" borderId="21" xfId="0" applyFont="1" applyFill="1" applyBorder="1" applyAlignment="1">
      <alignment vertical="center"/>
    </xf>
    <xf numFmtId="170" fontId="60" fillId="0" borderId="1" xfId="0" applyNumberFormat="1" applyFont="1" applyFill="1" applyBorder="1" applyAlignment="1"/>
    <xf numFmtId="0" fontId="60" fillId="0" borderId="0" xfId="0" applyFont="1" applyFill="1"/>
    <xf numFmtId="176" fontId="60" fillId="31" borderId="1" xfId="2" applyNumberFormat="1" applyFont="1" applyFill="1" applyBorder="1" applyAlignment="1">
      <alignment horizontal="left"/>
    </xf>
    <xf numFmtId="14" fontId="60" fillId="0" borderId="20" xfId="0" applyNumberFormat="1" applyFont="1" applyFill="1" applyBorder="1" applyAlignment="1"/>
    <xf numFmtId="170" fontId="60" fillId="0" borderId="14" xfId="0" applyNumberFormat="1" applyFont="1" applyFill="1" applyBorder="1"/>
    <xf numFmtId="14" fontId="60" fillId="0" borderId="3" xfId="0" applyNumberFormat="1" applyFont="1" applyFill="1" applyBorder="1" applyAlignment="1"/>
    <xf numFmtId="0" fontId="60" fillId="0" borderId="14" xfId="0" applyFont="1" applyBorder="1" applyAlignment="1">
      <alignment vertical="center"/>
    </xf>
    <xf numFmtId="176" fontId="60" fillId="31" borderId="1" xfId="2" applyNumberFormat="1" applyFont="1" applyFill="1" applyBorder="1" applyAlignment="1">
      <alignment vertical="top"/>
    </xf>
    <xf numFmtId="0" fontId="60" fillId="0" borderId="3" xfId="0" applyFont="1" applyBorder="1" applyAlignment="1">
      <alignment vertical="center"/>
    </xf>
    <xf numFmtId="0" fontId="60" fillId="0" borderId="0" xfId="0" applyFont="1" applyFill="1" applyBorder="1"/>
    <xf numFmtId="176" fontId="60" fillId="0" borderId="14" xfId="2" applyNumberFormat="1" applyFont="1" applyFill="1" applyBorder="1" applyAlignment="1">
      <alignment vertical="top"/>
    </xf>
    <xf numFmtId="0" fontId="60" fillId="0" borderId="14" xfId="0" applyFont="1" applyFill="1" applyBorder="1" applyAlignment="1"/>
    <xf numFmtId="167" fontId="60" fillId="0" borderId="14" xfId="0" applyNumberFormat="1" applyFont="1" applyFill="1" applyBorder="1" applyAlignment="1">
      <alignment vertical="center"/>
    </xf>
    <xf numFmtId="0" fontId="60" fillId="0" borderId="20" xfId="0" applyFont="1" applyBorder="1" applyAlignment="1"/>
    <xf numFmtId="0" fontId="60" fillId="0" borderId="0" xfId="0" applyFont="1" applyBorder="1"/>
    <xf numFmtId="0" fontId="60" fillId="5" borderId="14" xfId="2" applyFont="1" applyFill="1" applyBorder="1" applyAlignment="1" applyProtection="1"/>
    <xf numFmtId="3" fontId="60" fillId="5" borderId="20" xfId="0" applyNumberFormat="1" applyFont="1" applyFill="1" applyBorder="1" applyAlignment="1">
      <alignment horizontal="right" vertical="center"/>
    </xf>
    <xf numFmtId="177" fontId="60" fillId="0" borderId="1" xfId="6" applyNumberFormat="1" applyFont="1" applyFill="1" applyBorder="1" applyAlignment="1">
      <alignment horizontal="right" vertical="top" wrapText="1"/>
    </xf>
    <xf numFmtId="3" fontId="60" fillId="5" borderId="3" xfId="0" applyNumberFormat="1" applyFont="1" applyFill="1" applyBorder="1" applyAlignment="1">
      <alignment horizontal="right" vertical="center"/>
    </xf>
    <xf numFmtId="167" fontId="60" fillId="0" borderId="20" xfId="1" applyNumberFormat="1" applyFont="1" applyFill="1" applyBorder="1" applyAlignment="1">
      <alignment horizontal="right"/>
    </xf>
    <xf numFmtId="177" fontId="60" fillId="0" borderId="3" xfId="6" applyNumberFormat="1" applyFont="1" applyFill="1" applyBorder="1" applyAlignment="1">
      <alignment horizontal="right" vertical="top" wrapText="1"/>
    </xf>
    <xf numFmtId="167" fontId="60" fillId="0" borderId="20" xfId="1" applyNumberFormat="1" applyFont="1" applyBorder="1" applyAlignment="1">
      <alignment horizontal="right"/>
    </xf>
    <xf numFmtId="0" fontId="60" fillId="0" borderId="3" xfId="0" applyFont="1" applyFill="1" applyBorder="1" applyAlignment="1">
      <alignment horizontal="right" vertical="center"/>
    </xf>
    <xf numFmtId="3" fontId="60" fillId="0" borderId="14" xfId="0" applyNumberFormat="1" applyFont="1" applyBorder="1" applyAlignment="1">
      <alignment horizontal="right" vertical="center"/>
    </xf>
    <xf numFmtId="167" fontId="60" fillId="0" borderId="14" xfId="1" applyNumberFormat="1" applyFont="1" applyBorder="1" applyAlignment="1">
      <alignment horizontal="right"/>
    </xf>
    <xf numFmtId="3" fontId="60" fillId="0" borderId="20" xfId="0" applyNumberFormat="1" applyFont="1" applyBorder="1" applyAlignment="1">
      <alignment horizontal="right" vertical="center"/>
    </xf>
    <xf numFmtId="167" fontId="60" fillId="0" borderId="14" xfId="0" applyNumberFormat="1" applyFont="1" applyFill="1" applyBorder="1" applyAlignment="1">
      <alignment horizontal="right" vertical="center"/>
    </xf>
    <xf numFmtId="3" fontId="60" fillId="0" borderId="3" xfId="0" applyNumberFormat="1" applyFont="1" applyFill="1" applyBorder="1" applyAlignment="1">
      <alignment horizontal="right" vertical="center"/>
    </xf>
    <xf numFmtId="167" fontId="60" fillId="5" borderId="3" xfId="1" applyNumberFormat="1" applyFont="1" applyFill="1" applyBorder="1" applyAlignment="1">
      <alignment horizontal="right"/>
    </xf>
    <xf numFmtId="3" fontId="60" fillId="0" borderId="21" xfId="0" applyNumberFormat="1" applyFont="1" applyBorder="1" applyAlignment="1">
      <alignment horizontal="right" vertical="center"/>
    </xf>
    <xf numFmtId="3" fontId="60" fillId="0" borderId="3" xfId="0" applyNumberFormat="1" applyFont="1" applyBorder="1" applyAlignment="1">
      <alignment horizontal="right" vertical="center"/>
    </xf>
    <xf numFmtId="170" fontId="60" fillId="0" borderId="20" xfId="0" applyNumberFormat="1" applyFont="1" applyFill="1" applyBorder="1" applyAlignment="1">
      <alignment horizontal="right"/>
    </xf>
    <xf numFmtId="0" fontId="60" fillId="0" borderId="20" xfId="0" applyFont="1" applyFill="1" applyBorder="1" applyAlignment="1">
      <alignment horizontal="right" vertical="center"/>
    </xf>
    <xf numFmtId="3" fontId="60" fillId="0" borderId="20" xfId="0" applyNumberFormat="1" applyFont="1" applyBorder="1" applyAlignment="1">
      <alignment horizontal="right"/>
    </xf>
    <xf numFmtId="167" fontId="60" fillId="0" borderId="14" xfId="1" applyNumberFormat="1" applyFont="1" applyBorder="1" applyAlignment="1" applyProtection="1">
      <alignment horizontal="right"/>
    </xf>
    <xf numFmtId="167" fontId="60" fillId="0" borderId="20" xfId="1" applyNumberFormat="1" applyFont="1" applyBorder="1" applyAlignment="1" applyProtection="1">
      <alignment horizontal="right"/>
    </xf>
    <xf numFmtId="177" fontId="60" fillId="0" borderId="1" xfId="6" applyNumberFormat="1" applyFont="1" applyFill="1" applyBorder="1" applyAlignment="1">
      <alignment horizontal="center" vertical="top" wrapText="1"/>
    </xf>
    <xf numFmtId="167" fontId="60" fillId="5" borderId="20" xfId="1" applyNumberFormat="1" applyFont="1" applyFill="1" applyBorder="1" applyAlignment="1">
      <alignment horizontal="right"/>
    </xf>
    <xf numFmtId="167" fontId="60" fillId="0" borderId="20" xfId="0" applyNumberFormat="1" applyFont="1" applyFill="1" applyBorder="1" applyAlignment="1">
      <alignment horizontal="right" vertical="center"/>
    </xf>
    <xf numFmtId="0" fontId="60" fillId="5" borderId="20" xfId="0" applyFont="1" applyFill="1" applyBorder="1" applyAlignment="1"/>
    <xf numFmtId="176" fontId="60" fillId="0" borderId="1" xfId="2" applyNumberFormat="1" applyFont="1" applyFill="1" applyBorder="1" applyAlignment="1">
      <alignment vertical="top" wrapText="1"/>
    </xf>
    <xf numFmtId="0" fontId="60" fillId="0" borderId="20" xfId="0" applyFont="1" applyFill="1" applyBorder="1" applyAlignment="1"/>
    <xf numFmtId="0" fontId="60" fillId="0" borderId="20" xfId="0" applyFont="1" applyFill="1" applyBorder="1" applyAlignment="1">
      <alignment horizontal="center"/>
    </xf>
    <xf numFmtId="176" fontId="60" fillId="0" borderId="3" xfId="2" applyNumberFormat="1" applyFont="1" applyFill="1" applyBorder="1" applyAlignment="1">
      <alignment vertical="top" wrapText="1"/>
    </xf>
    <xf numFmtId="0" fontId="60" fillId="5" borderId="2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 vertical="center"/>
    </xf>
    <xf numFmtId="167" fontId="60" fillId="5" borderId="0" xfId="1" applyNumberFormat="1" applyFont="1" applyFill="1" applyBorder="1" applyAlignment="1">
      <alignment horizontal="center" vertical="center" wrapText="1"/>
    </xf>
    <xf numFmtId="14" fontId="60" fillId="0" borderId="1" xfId="0" applyNumberFormat="1" applyFont="1" applyFill="1" applyBorder="1" applyAlignment="1">
      <alignment horizontal="center"/>
    </xf>
    <xf numFmtId="167" fontId="2" fillId="28" borderId="1" xfId="1" applyNumberFormat="1" applyFont="1" applyFill="1" applyBorder="1"/>
    <xf numFmtId="0" fontId="12" fillId="0" borderId="0" xfId="0" applyFont="1" applyFill="1" applyBorder="1" applyAlignment="1"/>
    <xf numFmtId="0" fontId="12" fillId="0" borderId="14" xfId="0" applyFont="1" applyFill="1" applyBorder="1" applyAlignment="1"/>
    <xf numFmtId="170" fontId="60" fillId="0" borderId="14" xfId="0" applyNumberFormat="1" applyFont="1" applyFill="1" applyBorder="1" applyAlignment="1"/>
    <xf numFmtId="0" fontId="60" fillId="0" borderId="14" xfId="0" applyFont="1" applyFill="1" applyBorder="1" applyAlignment="1">
      <alignment horizontal="left" vertical="center"/>
    </xf>
    <xf numFmtId="167" fontId="60" fillId="5" borderId="3" xfId="1" applyNumberFormat="1" applyFont="1" applyFill="1" applyBorder="1" applyAlignment="1">
      <alignment horizontal="center" vertical="center" wrapText="1"/>
    </xf>
    <xf numFmtId="14" fontId="60" fillId="0" borderId="0" xfId="0" applyNumberFormat="1" applyFont="1" applyFill="1" applyAlignment="1"/>
    <xf numFmtId="3" fontId="60" fillId="0" borderId="0" xfId="0" applyNumberFormat="1" applyFont="1" applyAlignment="1">
      <alignment horizontal="right"/>
    </xf>
    <xf numFmtId="0" fontId="60" fillId="5" borderId="21" xfId="0" applyFont="1" applyFill="1" applyBorder="1" applyAlignment="1">
      <alignment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1" fontId="9" fillId="0" borderId="14" xfId="0" applyNumberFormat="1" applyFont="1" applyFill="1" applyBorder="1" applyAlignment="1">
      <alignment horizontal="center" vertical="center"/>
    </xf>
    <xf numFmtId="171" fontId="9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7" fontId="9" fillId="0" borderId="14" xfId="1" applyNumberFormat="1" applyFont="1" applyFill="1" applyBorder="1" applyAlignment="1" applyProtection="1">
      <alignment horizontal="center" vertical="center" wrapText="1"/>
    </xf>
    <xf numFmtId="167" fontId="9" fillId="0" borderId="3" xfId="1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51" fillId="23" borderId="0" xfId="0" applyFont="1" applyFill="1" applyAlignment="1">
      <alignment horizontal="center"/>
    </xf>
    <xf numFmtId="0" fontId="58" fillId="23" borderId="0" xfId="0" applyFont="1" applyFill="1" applyAlignment="1">
      <alignment horizontal="center"/>
    </xf>
    <xf numFmtId="0" fontId="65" fillId="0" borderId="15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29" borderId="1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7">
    <cellStyle name="Excel Built-in Comma" xfId="6" xr:uid="{00000000-0005-0000-0000-000000000000}"/>
    <cellStyle name="Excel Built-in Normal" xfId="2" xr:uid="{00000000-0005-0000-0000-000001000000}"/>
    <cellStyle name="Milliers" xfId="1" builtinId="3"/>
    <cellStyle name="Milliers [0]" xfId="4" builtinId="6"/>
    <cellStyle name="Milliers 3" xfId="5" xr:uid="{00000000-0005-0000-0000-000004000000}"/>
    <cellStyle name="Normal" xfId="0" builtinId="0"/>
    <cellStyle name="Normal_Total expenses by date" xfId="3" xr:uid="{00000000-0005-0000-0000-000006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8" name="Image 2" descr="Description : Logo mef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251460</xdr:colOff>
      <xdr:row>0</xdr:row>
      <xdr:rowOff>142875</xdr:rowOff>
    </xdr:from>
    <xdr:to>
      <xdr:col>8</xdr:col>
      <xdr:colOff>99060</xdr:colOff>
      <xdr:row>3</xdr:row>
      <xdr:rowOff>158115</xdr:rowOff>
    </xdr:to>
    <xdr:pic>
      <xdr:nvPicPr>
        <xdr:cNvPr id="9" name="Image 5" descr="Description : téléchargement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5937885" y="142875"/>
          <a:ext cx="74295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939165</xdr:colOff>
      <xdr:row>1</xdr:row>
      <xdr:rowOff>57150</xdr:rowOff>
    </xdr:from>
    <xdr:to>
      <xdr:col>5</xdr:col>
      <xdr:colOff>337185</xdr:colOff>
      <xdr:row>4</xdr:row>
      <xdr:rowOff>64770</xdr:rowOff>
    </xdr:to>
    <xdr:pic>
      <xdr:nvPicPr>
        <xdr:cNvPr id="10" name="Image 6" descr="Description : téléchargement (1)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247650"/>
          <a:ext cx="2493645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729616</xdr:colOff>
      <xdr:row>0</xdr:row>
      <xdr:rowOff>123826</xdr:rowOff>
    </xdr:from>
    <xdr:ext cx="1120139" cy="716279"/>
    <xdr:pic>
      <xdr:nvPicPr>
        <xdr:cNvPr id="11" name="Image 4" descr="eaglelogo.jp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11391" y="12382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523875</xdr:colOff>
      <xdr:row>0</xdr:row>
      <xdr:rowOff>0</xdr:rowOff>
    </xdr:from>
    <xdr:to>
      <xdr:col>3</xdr:col>
      <xdr:colOff>257175</xdr:colOff>
      <xdr:row>4</xdr:row>
      <xdr:rowOff>30480</xdr:rowOff>
    </xdr:to>
    <xdr:pic>
      <xdr:nvPicPr>
        <xdr:cNvPr id="12" name="Image 6" descr="E:\PALF_logo_new_1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60007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21995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0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9145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0</xdr:row>
      <xdr:rowOff>0</xdr:rowOff>
    </xdr:from>
    <xdr:ext cx="76200" cy="228600"/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219950" y="4838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0</xdr:row>
      <xdr:rowOff>0</xdr:rowOff>
    </xdr:from>
    <xdr:ext cx="19050" cy="209550"/>
    <xdr:sp macro="" textlink="">
      <xdr:nvSpPr>
        <xdr:cNvPr id="10" name="Text Box 3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791450" y="48387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220980</xdr:colOff>
      <xdr:row>0</xdr:row>
      <xdr:rowOff>152400</xdr:rowOff>
    </xdr:from>
    <xdr:to>
      <xdr:col>2</xdr:col>
      <xdr:colOff>228600</xdr:colOff>
      <xdr:row>3</xdr:row>
      <xdr:rowOff>175260</xdr:rowOff>
    </xdr:to>
    <xdr:pic>
      <xdr:nvPicPr>
        <xdr:cNvPr id="11" name="Image 2" descr="Description : Logo mefe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1327785</xdr:colOff>
      <xdr:row>0</xdr:row>
      <xdr:rowOff>28575</xdr:rowOff>
    </xdr:from>
    <xdr:to>
      <xdr:col>9</xdr:col>
      <xdr:colOff>2423160</xdr:colOff>
      <xdr:row>3</xdr:row>
      <xdr:rowOff>43815</xdr:rowOff>
    </xdr:to>
    <xdr:pic>
      <xdr:nvPicPr>
        <xdr:cNvPr id="12" name="Image 5" descr="Description : téléchargement.pn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7557135" y="28575"/>
          <a:ext cx="109537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339090</xdr:colOff>
      <xdr:row>0</xdr:row>
      <xdr:rowOff>180975</xdr:rowOff>
    </xdr:from>
    <xdr:to>
      <xdr:col>8</xdr:col>
      <xdr:colOff>394335</xdr:colOff>
      <xdr:row>3</xdr:row>
      <xdr:rowOff>188595</xdr:rowOff>
    </xdr:to>
    <xdr:pic>
      <xdr:nvPicPr>
        <xdr:cNvPr id="13" name="Image 6" descr="Description : téléchargement (1).pn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90" y="180975"/>
          <a:ext cx="9220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34291</xdr:colOff>
      <xdr:row>0</xdr:row>
      <xdr:rowOff>28576</xdr:rowOff>
    </xdr:from>
    <xdr:ext cx="1120139" cy="716279"/>
    <xdr:pic>
      <xdr:nvPicPr>
        <xdr:cNvPr id="14" name="Image 4" descr="eaglelogo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49791" y="285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3</xdr:col>
      <xdr:colOff>561975</xdr:colOff>
      <xdr:row>0</xdr:row>
      <xdr:rowOff>133350</xdr:rowOff>
    </xdr:from>
    <xdr:to>
      <xdr:col>4</xdr:col>
      <xdr:colOff>561975</xdr:colOff>
      <xdr:row>4</xdr:row>
      <xdr:rowOff>163830</xdr:rowOff>
    </xdr:to>
    <xdr:pic>
      <xdr:nvPicPr>
        <xdr:cNvPr id="15" name="Image 6" descr="E:\PALF_logo_new_1.jpg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7620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12" name="Image 2" descr="Description : Logo mefe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375285</xdr:colOff>
      <xdr:row>0</xdr:row>
      <xdr:rowOff>152400</xdr:rowOff>
    </xdr:from>
    <xdr:to>
      <xdr:col>7</xdr:col>
      <xdr:colOff>613410</xdr:colOff>
      <xdr:row>3</xdr:row>
      <xdr:rowOff>167640</xdr:rowOff>
    </xdr:to>
    <xdr:pic>
      <xdr:nvPicPr>
        <xdr:cNvPr id="13" name="Image 5" descr="Description : téléchargement.pn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6528435" y="152400"/>
          <a:ext cx="107632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605790</xdr:colOff>
      <xdr:row>0</xdr:row>
      <xdr:rowOff>180975</xdr:rowOff>
    </xdr:from>
    <xdr:to>
      <xdr:col>5</xdr:col>
      <xdr:colOff>3810</xdr:colOff>
      <xdr:row>3</xdr:row>
      <xdr:rowOff>188595</xdr:rowOff>
    </xdr:to>
    <xdr:pic>
      <xdr:nvPicPr>
        <xdr:cNvPr id="14" name="Image 6" descr="Description : téléchargement (1).pn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80975"/>
          <a:ext cx="33985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167641</xdr:colOff>
      <xdr:row>0</xdr:row>
      <xdr:rowOff>104776</xdr:rowOff>
    </xdr:from>
    <xdr:ext cx="1120139" cy="716279"/>
    <xdr:pic>
      <xdr:nvPicPr>
        <xdr:cNvPr id="15" name="Image 9" descr="eaglelogo.jpg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97191" y="1047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3</xdr:col>
      <xdr:colOff>85725</xdr:colOff>
      <xdr:row>4</xdr:row>
      <xdr:rowOff>11430</xdr:rowOff>
    </xdr:to>
    <xdr:pic>
      <xdr:nvPicPr>
        <xdr:cNvPr id="16" name="Image 6" descr="E:\PALF_logo_new_1.jpg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7620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46760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0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03910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220980</xdr:colOff>
      <xdr:row>0</xdr:row>
      <xdr:rowOff>152400</xdr:rowOff>
    </xdr:from>
    <xdr:to>
      <xdr:col>2</xdr:col>
      <xdr:colOff>228600</xdr:colOff>
      <xdr:row>3</xdr:row>
      <xdr:rowOff>175260</xdr:rowOff>
    </xdr:to>
    <xdr:pic>
      <xdr:nvPicPr>
        <xdr:cNvPr id="14" name="Image 2" descr="Description : Logo mefe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1327785</xdr:colOff>
      <xdr:row>0</xdr:row>
      <xdr:rowOff>28575</xdr:rowOff>
    </xdr:from>
    <xdr:to>
      <xdr:col>9</xdr:col>
      <xdr:colOff>2423160</xdr:colOff>
      <xdr:row>3</xdr:row>
      <xdr:rowOff>43815</xdr:rowOff>
    </xdr:to>
    <xdr:pic>
      <xdr:nvPicPr>
        <xdr:cNvPr id="15" name="Image 5" descr="Description : téléchargement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7557135" y="28575"/>
          <a:ext cx="109537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339090</xdr:colOff>
      <xdr:row>0</xdr:row>
      <xdr:rowOff>180975</xdr:rowOff>
    </xdr:from>
    <xdr:to>
      <xdr:col>8</xdr:col>
      <xdr:colOff>394335</xdr:colOff>
      <xdr:row>3</xdr:row>
      <xdr:rowOff>188595</xdr:rowOff>
    </xdr:to>
    <xdr:pic>
      <xdr:nvPicPr>
        <xdr:cNvPr id="16" name="Image 6" descr="Description : téléchargement (1)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90" y="180975"/>
          <a:ext cx="9220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34291</xdr:colOff>
      <xdr:row>0</xdr:row>
      <xdr:rowOff>28576</xdr:rowOff>
    </xdr:from>
    <xdr:ext cx="1120139" cy="716279"/>
    <xdr:pic>
      <xdr:nvPicPr>
        <xdr:cNvPr id="17" name="Image 4" descr="eaglelogo.jp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73641" y="285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3</xdr:col>
      <xdr:colOff>561975</xdr:colOff>
      <xdr:row>0</xdr:row>
      <xdr:rowOff>133350</xdr:rowOff>
    </xdr:from>
    <xdr:to>
      <xdr:col>4</xdr:col>
      <xdr:colOff>561975</xdr:colOff>
      <xdr:row>4</xdr:row>
      <xdr:rowOff>78105</xdr:rowOff>
    </xdr:to>
    <xdr:pic>
      <xdr:nvPicPr>
        <xdr:cNvPr id="18" name="Image 6" descr="E:\PALF_logo_new_1.jp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7620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septembre/compta%2030%20SPTE/Compta_Perrine_3009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Fichier%20comptable-Merveille%20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P29-Comptabilit&#233;%2020_03_2021%20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Fichier%20comptable-ted%20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Compta_Tiffany%20Mars%202021-1.2%20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_CREPIN%20du%2031-08-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_comptable_Dalia_au_21_Aout_2020%20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bilit&#233;%20Evariste%20du%2021%20ao&#251;t%202020%20vf%20OK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_21_08_20_%20Herick%20_Harmonis&#233;e(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bilit&#233;%20i23c%20au%2019%20Ao&#251;t%202020%20corrig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%20PALF%20JB%20actualis&#233;e%20ce%2021.08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ort%20Fin\RAF\RF\Rapport_20\RALFF%2020\2021\RF%20F&#233;vrier%202021\Rapport%20Financier%20mois%20de%20f&#233;vrier%202021\PALF%20Rapport%20Financier%20F&#233;vrier%20%202021_HB_3.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_%20comptable_%20Jospin%20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P29-Comptabilit&#233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%20comptable-Shely%20A%20(1)%20(1)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Fichier%20comptable-ted%20(1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ff/AppData/Local/Microsoft/Windows/INetCache/Content.Outlook/BTO9MOI8/RAPPORT%20FINANCIER%20JUILLET%20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Rapport%20Fin/RAF/RF/Rapport_20/RALFF%2020/2021/RF%20F&#233;vrier%202021/Rapport%20Financier%20mois%20de%20f&#233;vrier%202021/PALF%20Rapport%20Financier%20F&#233;vrier%20%202021_HB_3.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rochement%20bancaire\MOIS%20DE%20FEVRIER%202021\Etat%20de%20rapprochement%20f&#233;vrier%2021\Rapprochement%20%20F&#233;vrier%202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rochement%20bancaire\Mois%20de%20Mars%202021\Rapprochement%20%20Mars%20%20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Rapprochement%20bancaire\Mois%20de%20Mars%202021\Caisse-PALF%20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Compta%20Christian%20actuais&#233;e%20au%2011_03_21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mars%202021/Compta%20mars%2021/COMPTA_CREPIN%20du%2002-04-2021%20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mars%202021/Compta%20mars%2021/Comptabilit&#233;%20Evariste%2031%20mars%202021%20O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mars%202021/Compta%20mars%2021/Fichier%20Compta%20matoko%20Geisner%20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Actu_Compta_29_03_21_%20Herick%20%20_Harmonis&#233;e%20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Comptabilit&#233;%20i23c%20au%2020_03_2021%20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LFF\Compta%20mars%202021\COMPTA%20PALF%20JB%20actualis&#233;e%20ce%2002.04.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Merveille"/>
      <sheetName val="compta Merveille mars 2021"/>
      <sheetName val="compta Merveille mars 2021 (2)"/>
      <sheetName val="Cumul frais transport local"/>
    </sheetNames>
    <sheetDataSet>
      <sheetData sheetId="0" refreshError="1"/>
      <sheetData sheetId="1" refreshError="1"/>
      <sheetData sheetId="2" refreshError="1"/>
      <sheetData sheetId="3">
        <row r="95">
          <cell r="G95">
            <v>6000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ok"/>
      <sheetName val="Cumul frais transport local"/>
      <sheetName val="Cumul frais trust build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93">
          <cell r="G693">
            <v>167700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  <sheetName val="Cumul frais transport local"/>
    </sheetNames>
    <sheetDataSet>
      <sheetData sheetId="0" refreshError="1"/>
      <sheetData sheetId="1">
        <row r="31">
          <cell r="G31">
            <v>65300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ok"/>
      <sheetName val="Cumul frais transport"/>
    </sheetNames>
    <sheetDataSet>
      <sheetData sheetId="0"/>
      <sheetData sheetId="1">
        <row r="49">
          <cell r="G49">
            <v>-11700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Feuil5"/>
      <sheetName val="Donateurs"/>
      <sheetName val="DATA  FEVR"/>
      <sheetName val="Compte Principal 34 BCI"/>
      <sheetName val="Rapprochement Bancaire Cpte 34"/>
      <sheetName val="Sous-Compte 56 BCI"/>
      <sheetName val="Rapprochement Bancaire Cpte 56"/>
      <sheetName val="CAISSE Fev 21"/>
    </sheetNames>
    <sheetDataSet>
      <sheetData sheetId="0">
        <row r="3">
          <cell r="I3">
            <v>10113263</v>
          </cell>
        </row>
        <row r="4">
          <cell r="I4">
            <v>6219904</v>
          </cell>
        </row>
        <row r="5">
          <cell r="I5">
            <v>1148337</v>
          </cell>
        </row>
        <row r="6">
          <cell r="I6">
            <v>7670</v>
          </cell>
        </row>
        <row r="7">
          <cell r="I7">
            <v>4710</v>
          </cell>
        </row>
        <row r="8">
          <cell r="I8">
            <v>9295</v>
          </cell>
        </row>
        <row r="9">
          <cell r="I9">
            <v>-25100</v>
          </cell>
        </row>
        <row r="10">
          <cell r="I10">
            <v>7384</v>
          </cell>
        </row>
        <row r="11">
          <cell r="I11">
            <v>61300</v>
          </cell>
        </row>
        <row r="12">
          <cell r="I12">
            <v>233614</v>
          </cell>
        </row>
        <row r="13">
          <cell r="I13">
            <v>249769</v>
          </cell>
        </row>
        <row r="14">
          <cell r="I14">
            <v>4500</v>
          </cell>
        </row>
        <row r="15">
          <cell r="I15">
            <v>-6000</v>
          </cell>
        </row>
        <row r="16">
          <cell r="I16">
            <v>72200</v>
          </cell>
        </row>
        <row r="19">
          <cell r="I19">
            <v>9300</v>
          </cell>
        </row>
        <row r="20">
          <cell r="I20">
            <v>-14000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Feuil5"/>
      <sheetName val="Donateurs"/>
      <sheetName val="DATA  FEVR"/>
      <sheetName val="Compte Principal 34 BCI"/>
      <sheetName val="Rapprochement Bancaire Cpte 34"/>
      <sheetName val="Sous-Compte 56 BCI"/>
      <sheetName val="Rapprochement Bancaire Cpte 56"/>
      <sheetName val="CAISSE Fev 21"/>
    </sheetNames>
    <sheetDataSet>
      <sheetData sheetId="0"/>
      <sheetData sheetId="1"/>
      <sheetData sheetId="2"/>
      <sheetData sheetId="3">
        <row r="7">
          <cell r="C7">
            <v>18096145.99927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s compte bancaire compte 56"/>
      <sheetName val="Raprochement bancaire Compte 56"/>
      <sheetName val="Compte principal 34 banque"/>
      <sheetName val="Raprochement bancaire compte 34"/>
      <sheetName val="Compte principal journal banque"/>
      <sheetName val=" compte bancaire compte 56"/>
    </sheetNames>
    <sheetDataSet>
      <sheetData sheetId="0">
        <row r="36">
          <cell r="H36">
            <v>6219904</v>
          </cell>
        </row>
      </sheetData>
      <sheetData sheetId="1"/>
      <sheetData sheetId="2">
        <row r="30">
          <cell r="H30">
            <v>10113263</v>
          </cell>
        </row>
      </sheetData>
      <sheetData sheetId="3"/>
      <sheetData sheetId="4">
        <row r="30">
          <cell r="H30">
            <v>10113263</v>
          </cell>
        </row>
      </sheetData>
      <sheetData sheetId="5">
        <row r="36">
          <cell r="H36">
            <v>6219904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s compte bancaire compte 56"/>
      <sheetName val="Raprochement bancaire Compte 56"/>
      <sheetName val="Compte principal 34 banque"/>
      <sheetName val="Raprochement bancaire compte 34"/>
    </sheetNames>
    <sheetDataSet>
      <sheetData sheetId="0">
        <row r="40">
          <cell r="H40">
            <v>28018507</v>
          </cell>
        </row>
      </sheetData>
      <sheetData sheetId="1" refreshError="1"/>
      <sheetData sheetId="2">
        <row r="29">
          <cell r="H29">
            <v>2957378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sse PALF"/>
      <sheetName val="Caisse avril 20"/>
      <sheetName val=" Caisse mai 20"/>
      <sheetName val="JUIN 20"/>
      <sheetName val="juil 20"/>
      <sheetName val="aout"/>
      <sheetName val="caisse sept 20"/>
      <sheetName val="caisse oCT 20 (2)"/>
      <sheetName val="caisse NOV 20 "/>
      <sheetName val="caisse Décembre 2020"/>
      <sheetName val="caisse Février 2021  "/>
      <sheetName val="caisse Janvier 2021"/>
      <sheetName val=" Caisse Mars 2021"/>
      <sheetName val="Feuil1"/>
      <sheetName val="Feuil2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C7">
            <v>1148337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"/>
      <sheetName val="compta ok (2)"/>
      <sheetName val="cumul frais transport local"/>
      <sheetName val="Cumul frais Jail visit"/>
    </sheetNames>
    <sheetDataSet>
      <sheetData sheetId="0" refreshError="1"/>
      <sheetData sheetId="1" refreshError="1"/>
      <sheetData sheetId="2">
        <row r="488">
          <cell r="G488">
            <v>-450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 dépenses"/>
      <sheetName val="Liste1"/>
      <sheetName val="COMPTA_CREPIN"/>
      <sheetName val="COMPTA_CREPIN (2) ok"/>
      <sheetName val="Cumul frais transport"/>
      <sheetName val="cumul frais trust building"/>
    </sheetNames>
    <sheetDataSet>
      <sheetData sheetId="0" refreshError="1"/>
      <sheetData sheetId="1" refreshError="1"/>
      <sheetData sheetId="2" refreshError="1"/>
      <sheetData sheetId="3">
        <row r="3450">
          <cell r="G3450">
            <v>12510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 dépenses"/>
      <sheetName val="compta"/>
      <sheetName val="compta ok"/>
      <sheetName val="Cumul frais transport local"/>
      <sheetName val="Feuil4"/>
    </sheetNames>
    <sheetDataSet>
      <sheetData sheetId="0" refreshError="1"/>
      <sheetData sheetId="1" refreshError="1"/>
      <sheetData sheetId="2">
        <row r="2721">
          <cell r="G2721">
            <v>2895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"/>
      <sheetName val="COMPTA (2)"/>
      <sheetName val="Cumul frais transport local"/>
      <sheetName val="Cumul frais visite geôle"/>
    </sheetNames>
    <sheetDataSet>
      <sheetData sheetId="0"/>
      <sheetData sheetId="1"/>
      <sheetData sheetId="2">
        <row r="379">
          <cell r="G379">
            <v>62040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compta"/>
      <sheetName val="compta ok"/>
      <sheetName val="Cumul frais transport"/>
      <sheetName val="Cumul frais jail visits"/>
      <sheetName val="Frais trust building"/>
    </sheetNames>
    <sheetDataSet>
      <sheetData sheetId="0" refreshError="1"/>
      <sheetData sheetId="1" refreshError="1"/>
      <sheetData sheetId="2">
        <row r="2815">
          <cell r="G2815">
            <v>183.5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frais transport"/>
      <sheetName val="Trust build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714">
          <cell r="G4714">
            <v>-36500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ok"/>
      <sheetName val="Cumul frais visite geôle ok"/>
      <sheetName val="Cumul frais transport local ok"/>
    </sheetNames>
    <sheetDataSet>
      <sheetData sheetId="0" refreshError="1"/>
      <sheetData sheetId="1">
        <row r="3077">
          <cell r="G3077">
            <v>71200</v>
          </cell>
        </row>
      </sheetData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J2018-3" refreshedDate="44305.637689699077" createdVersion="3" refreshedVersion="3" minRefreshableVersion="3" recordCount="403" xr:uid="{00000000-000A-0000-FFFF-FFFF00000000}">
  <cacheSource type="worksheet">
    <worksheetSource ref="A11:O414" sheet="DATA  MARS"/>
  </cacheSource>
  <cacheFields count="15">
    <cacheField name="Date" numFmtId="14">
      <sharedItems containsSemiMixedTypes="0" containsNonDate="0" containsDate="1" containsString="0" minDate="2021-03-01T00:00:00" maxDate="2021-04-01T00:00:00"/>
    </cacheField>
    <cacheField name="Details" numFmtId="0">
      <sharedItems/>
    </cacheField>
    <cacheField name="Type de dépenses" numFmtId="0">
      <sharedItems containsBlank="1" count="24">
        <m/>
        <s v="Versement"/>
        <s v="Internet"/>
        <s v="Telephone"/>
        <s v="Bonus"/>
        <s v="Jail visits"/>
        <s v="Transport"/>
        <s v="Travel subsistence"/>
        <s v="Transfer fees"/>
        <s v="Office Materials"/>
        <s v="Equipment"/>
        <s v="Services"/>
        <s v="Lawyer fees"/>
        <s v="Personnel"/>
        <s v="Rent &amp; Utilities"/>
        <s v="Travel expense"/>
        <s v="Donation"/>
        <s v="Trust building"/>
        <s v="Court fees"/>
        <s v="Bank fees"/>
        <s v="Flight"/>
        <s v="Travel Expenses" u="1"/>
        <s v="Transport " u="1"/>
        <s v="Travel expenses " u="1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000" maxValue="28506579"/>
    </cacheField>
    <cacheField name="Spent" numFmtId="0">
      <sharedItems containsString="0" containsBlank="1" containsNumber="1" containsInteger="1" minValue="0" maxValue="2000000"/>
    </cacheField>
    <cacheField name="Balance" numFmtId="167">
      <sharedItems containsSemiMixedTypes="0" containsString="0" containsNumber="1" minValue="13067317.99927" maxValue="42583896.99927"/>
    </cacheField>
    <cacheField name="Name" numFmtId="0">
      <sharedItems containsBlank="1" count="19">
        <m/>
        <s v="Caisse"/>
        <s v="I23C"/>
        <s v="Jack-Bénisson"/>
        <s v="P29"/>
        <s v="Merveille"/>
        <s v="BCI"/>
        <s v="Crépin"/>
        <s v="Geisner"/>
        <s v="Christian"/>
        <s v="Evariste"/>
        <s v="BCI Sous-Compte"/>
        <s v="Herick"/>
        <s v="Tiffany"/>
        <s v="Ted"/>
        <s v="I73X"/>
        <s v="I55S"/>
        <s v="Perrine Odier" u="1"/>
        <s v="T44" u="1"/>
      </sharedItems>
    </cacheField>
    <cacheField name="Receipt" numFmtId="0">
      <sharedItems containsBlank="1" containsMixedTypes="1" containsNumber="1" containsInteger="1" minValue="3643424" maxValue="3654438"/>
    </cacheField>
    <cacheField name="Donor" numFmtId="0">
      <sharedItems containsBlank="1" count="11">
        <m/>
        <s v="UE"/>
        <s v="USFWS-EAGLE"/>
        <s v="AVAAZ 2020"/>
        <s v="NO WILDLIFE CRIME"/>
        <s v="CIDT" u="1"/>
        <s v="ECF" u="1"/>
        <s v="Wildcat" u="1"/>
        <s v="EU" u="1"/>
        <s v="AVAAZ" u="1"/>
        <s v="EAGLE-USFWS" u="1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3">
  <r>
    <d v="2021-03-01T00:00:00"/>
    <s v="Solde au 01/03/2021"/>
    <x v="0"/>
    <m/>
    <m/>
    <m/>
    <n v="18096145.99927"/>
    <x v="0"/>
    <m/>
    <x v="0"/>
    <m/>
    <m/>
    <m/>
    <m/>
    <m/>
  </r>
  <r>
    <d v="2021-03-01T00:00:00"/>
    <s v="Jack-Bénisson"/>
    <x v="1"/>
    <m/>
    <m/>
    <n v="34000"/>
    <n v="18062145.99927"/>
    <x v="1"/>
    <m/>
    <x v="0"/>
    <m/>
    <m/>
    <m/>
    <m/>
    <m/>
  </r>
  <r>
    <d v="2021-03-01T00:00:00"/>
    <s v="Merveille"/>
    <x v="1"/>
    <m/>
    <m/>
    <n v="16000"/>
    <n v="18046145.99927"/>
    <x v="1"/>
    <m/>
    <x v="0"/>
    <m/>
    <m/>
    <m/>
    <m/>
    <m/>
  </r>
  <r>
    <d v="2021-03-01T00:00:00"/>
    <s v="Reglement Facture Internet/mois de Mars 21/congo telecom"/>
    <x v="2"/>
    <s v="Office"/>
    <m/>
    <n v="89175"/>
    <n v="17956970.99927"/>
    <x v="1"/>
    <s v="Oui"/>
    <x v="1"/>
    <s v="RALFF"/>
    <s v="CONGO"/>
    <s v="RALFF-CO1937"/>
    <s v="4.5"/>
    <m/>
  </r>
  <r>
    <d v="2021-03-01T00:00:00"/>
    <s v="Airtel/Achat carte de recharge Mars 2021/Staff PALF/investigation "/>
    <x v="3"/>
    <s v="Investigation"/>
    <m/>
    <n v="42000"/>
    <n v="17914970.99927"/>
    <x v="1"/>
    <s v="Oui"/>
    <x v="1"/>
    <s v="RALFF"/>
    <s v="CONGO"/>
    <s v="RALFF-CO1938"/>
    <s v="4.6"/>
    <m/>
  </r>
  <r>
    <d v="2021-03-01T00:00:00"/>
    <s v="Airtel/Achat carte de recharge Mars 2021/Staff PALF/Legal"/>
    <x v="3"/>
    <s v="Legal"/>
    <m/>
    <n v="83000"/>
    <n v="17831970.99927"/>
    <x v="1"/>
    <s v="Oui"/>
    <x v="1"/>
    <s v="RALFF"/>
    <s v="CONGO"/>
    <s v="RALFF-CO1939"/>
    <s v="4.6"/>
    <m/>
  </r>
  <r>
    <d v="2021-03-01T00:00:00"/>
    <s v="Airtel/Achat carte de recharge Mars 2021/Staff PALF/Media"/>
    <x v="3"/>
    <s v="Media"/>
    <m/>
    <n v="11000"/>
    <n v="17820970.99927"/>
    <x v="1"/>
    <s v="Oui"/>
    <x v="1"/>
    <s v="RALFF"/>
    <s v="CONGO"/>
    <s v="RALFF-CO1940"/>
    <s v="4.6"/>
    <m/>
  </r>
  <r>
    <d v="2021-03-01T00:00:00"/>
    <s v="Airtel/Achat carte de recharge Mars 2021/Staff PALF/Management"/>
    <x v="3"/>
    <s v="Management"/>
    <m/>
    <n v="53000"/>
    <n v="17767970.99927"/>
    <x v="1"/>
    <s v="Oui"/>
    <x v="1"/>
    <s v="RALFF"/>
    <s v="CONGO"/>
    <s v="RALFF-CO1941"/>
    <s v="4.6"/>
    <m/>
  </r>
  <r>
    <d v="2021-03-01T00:00:00"/>
    <s v="MTN/Achat carte de recharge Mars  2021/Staff PALF/investigation "/>
    <x v="3"/>
    <s v="Investigation"/>
    <m/>
    <n v="40000"/>
    <n v="17727970.99927"/>
    <x v="1"/>
    <s v="Oui"/>
    <x v="1"/>
    <s v="RALFF"/>
    <s v="CONGO"/>
    <s v="RALFF-CO1942"/>
    <s v="4.6"/>
    <m/>
  </r>
  <r>
    <d v="2021-03-01T00:00:00"/>
    <s v="MTN/Achat carte de recharge  Mars  /Staff PALF/Legal"/>
    <x v="3"/>
    <s v="Legal"/>
    <m/>
    <n v="72000"/>
    <n v="17655970.99927"/>
    <x v="1"/>
    <s v="Oui"/>
    <x v="1"/>
    <s v="RALFF"/>
    <s v="CONGO"/>
    <s v="RALFF-CO1943"/>
    <s v="4.6"/>
    <m/>
  </r>
  <r>
    <d v="2021-03-01T00:00:00"/>
    <s v="MTN/Achat carte de recharge Mars  2021/Staff PALF/Media"/>
    <x v="3"/>
    <s v="Media"/>
    <m/>
    <n v="10000"/>
    <n v="17645970.99927"/>
    <x v="1"/>
    <s v="Oui"/>
    <x v="1"/>
    <s v="RALFF"/>
    <s v="CONGO"/>
    <s v="RALFF-CO1944"/>
    <s v="4.6"/>
    <m/>
  </r>
  <r>
    <d v="2021-03-01T00:00:00"/>
    <s v="MTN/Achat carte de recharge Mars 2021/Staff PALF/Management"/>
    <x v="3"/>
    <s v="Management"/>
    <m/>
    <n v="61000"/>
    <n v="17584970.99927"/>
    <x v="1"/>
    <s v="Oui"/>
    <x v="1"/>
    <s v="RALFF"/>
    <s v="CONGO"/>
    <s v="RALFF-CO1945"/>
    <s v="4.6"/>
    <m/>
  </r>
  <r>
    <d v="2021-03-01T00:00:00"/>
    <s v="Bonus média/Evariste"/>
    <x v="4"/>
    <s v="Media"/>
    <m/>
    <n v="50000"/>
    <n v="17534970.99927"/>
    <x v="1"/>
    <s v="Décharge"/>
    <x v="2"/>
    <s v="PALF"/>
    <s v="CONGO"/>
    <m/>
    <m/>
    <m/>
  </r>
  <r>
    <d v="2021-03-01T00:00:00"/>
    <s v="Jack-Bénisson"/>
    <x v="1"/>
    <m/>
    <m/>
    <n v="10000"/>
    <n v="17524970.99927"/>
    <x v="1"/>
    <m/>
    <x v="0"/>
    <m/>
    <m/>
    <m/>
    <m/>
    <m/>
  </r>
  <r>
    <d v="2021-03-01T00:00:00"/>
    <s v="Frais de visites geoles /Jack-Bénisson"/>
    <x v="5"/>
    <s v="Legal"/>
    <m/>
    <n v="14000"/>
    <n v="17510970.99927"/>
    <x v="1"/>
    <s v="Décharge"/>
    <x v="2"/>
    <s v="PALF"/>
    <s v="CONGO"/>
    <m/>
    <m/>
    <m/>
  </r>
  <r>
    <d v="2021-03-01T00:00:00"/>
    <s v="Achat billet BZ-Oyo /I23C"/>
    <x v="6"/>
    <s v="Investigation"/>
    <m/>
    <n v="10000"/>
    <n v="17500970.99927"/>
    <x v="2"/>
    <s v="Oui"/>
    <x v="1"/>
    <s v="RALFF"/>
    <s v="CONGO"/>
    <s v="RALFF-CO1946"/>
    <s v="2.2"/>
    <m/>
  </r>
  <r>
    <d v="2021-03-01T00:00:00"/>
    <s v="Food allowance Mission Oyo du 1 au 6 mars 2020/I23C"/>
    <x v="7"/>
    <s v="Investigation"/>
    <m/>
    <n v="50000"/>
    <n v="17450970.99927"/>
    <x v="2"/>
    <s v="Décharge"/>
    <x v="1"/>
    <s v="RALFF"/>
    <s v="CONGO"/>
    <s v="RALFF-CO1947"/>
    <s v="1.3.2"/>
    <m/>
  </r>
  <r>
    <d v="2021-03-01T00:00:00"/>
    <s v="Reçu Caisse/JB"/>
    <x v="1"/>
    <m/>
    <n v="34000"/>
    <m/>
    <n v="17484970.99927"/>
    <x v="3"/>
    <m/>
    <x v="0"/>
    <m/>
    <m/>
    <m/>
    <m/>
    <m/>
  </r>
  <r>
    <d v="2021-03-01T00:00:00"/>
    <s v="Frais consulation et certificat médical  Prévenu Robert/JB"/>
    <x v="5"/>
    <s v="Legal"/>
    <m/>
    <n v="30000"/>
    <n v="17454970.99927"/>
    <x v="3"/>
    <s v="Oui"/>
    <x v="2"/>
    <s v="PALF"/>
    <s v="CONGO"/>
    <m/>
    <m/>
    <m/>
  </r>
  <r>
    <d v="2021-03-01T00:00:00"/>
    <s v="Reçu Caisse/JB"/>
    <x v="1"/>
    <m/>
    <n v="10000"/>
    <m/>
    <n v="17464970.99927"/>
    <x v="3"/>
    <m/>
    <x v="0"/>
    <m/>
    <m/>
    <m/>
    <m/>
    <m/>
  </r>
  <r>
    <d v="2021-03-01T00:00:00"/>
    <s v="Achat produit anti-palu pour le prévenu Robert/JB"/>
    <x v="5"/>
    <s v="Legal"/>
    <m/>
    <n v="4000"/>
    <n v="17460970.99927"/>
    <x v="3"/>
    <s v="Oui"/>
    <x v="3"/>
    <s v="PALF"/>
    <s v="CONGO"/>
    <m/>
    <m/>
    <m/>
  </r>
  <r>
    <d v="2021-03-01T00:00:00"/>
    <s v="Food allowance Mission sibiti-komono-madingou du 01/03 au 06/03/P29"/>
    <x v="7"/>
    <s v="Investigation"/>
    <m/>
    <n v="50000"/>
    <n v="17410970.99927"/>
    <x v="4"/>
    <s v="Décharge"/>
    <x v="1"/>
    <s v="RALFF"/>
    <s v="CONGO"/>
    <s v="RALFF-CO1948"/>
    <s v="1.3.2"/>
    <m/>
  </r>
  <r>
    <d v="2021-03-01T00:00:00"/>
    <s v="Achat billet Brazzaville-Loudima/P29"/>
    <x v="6"/>
    <s v="Investigation"/>
    <m/>
    <n v="9000"/>
    <n v="17401970.99927"/>
    <x v="4"/>
    <s v="Oui"/>
    <x v="1"/>
    <s v="RALFF"/>
    <s v="CONGO"/>
    <s v="RALFF-CO1949"/>
    <s v="2.2"/>
    <m/>
  </r>
  <r>
    <d v="2021-03-01T00:00:00"/>
    <s v="Frais de transport LOUDIMA-SIBITI/P29"/>
    <x v="6"/>
    <s v="Investigation"/>
    <m/>
    <n v="4000"/>
    <n v="17397970.99927"/>
    <x v="4"/>
    <s v="Oui"/>
    <x v="3"/>
    <s v="PALF"/>
    <s v="CONGO"/>
    <m/>
    <m/>
    <m/>
  </r>
  <r>
    <d v="2021-03-01T00:00:00"/>
    <s v="Reçu caisse/Merveille"/>
    <x v="1"/>
    <m/>
    <n v="16000"/>
    <m/>
    <n v="17413970.99927"/>
    <x v="5"/>
    <m/>
    <x v="0"/>
    <m/>
    <m/>
    <m/>
    <m/>
    <m/>
  </r>
  <r>
    <d v="2021-03-02T00:00:00"/>
    <s v="Retrait especes/appro caisse/bord n°3654433"/>
    <x v="1"/>
    <m/>
    <m/>
    <n v="1000000"/>
    <n v="16413970.99927"/>
    <x v="6"/>
    <n v="3654433"/>
    <x v="0"/>
    <m/>
    <m/>
    <m/>
    <m/>
    <m/>
  </r>
  <r>
    <d v="2021-03-02T00:00:00"/>
    <s v=" Geisner"/>
    <x v="1"/>
    <m/>
    <m/>
    <n v="14000"/>
    <n v="16399970.99927"/>
    <x v="1"/>
    <m/>
    <x v="0"/>
    <m/>
    <m/>
    <m/>
    <m/>
    <m/>
  </r>
  <r>
    <d v="2021-03-02T00:00:00"/>
    <s v="Merveille"/>
    <x v="1"/>
    <m/>
    <m/>
    <n v="10000"/>
    <n v="16389970.99927"/>
    <x v="1"/>
    <m/>
    <x v="0"/>
    <m/>
    <m/>
    <m/>
    <m/>
    <m/>
  </r>
  <r>
    <d v="2021-03-02T00:00:00"/>
    <s v="I23c"/>
    <x v="1"/>
    <m/>
    <m/>
    <n v="119000"/>
    <n v="16270970.99927"/>
    <x v="1"/>
    <m/>
    <x v="0"/>
    <m/>
    <m/>
    <m/>
    <m/>
    <m/>
  </r>
  <r>
    <d v="2021-03-02T00:00:00"/>
    <s v="P29"/>
    <x v="1"/>
    <m/>
    <m/>
    <n v="118000"/>
    <n v="16152970.99927"/>
    <x v="1"/>
    <m/>
    <x v="0"/>
    <m/>
    <m/>
    <m/>
    <m/>
    <m/>
  </r>
  <r>
    <d v="2021-03-02T00:00:00"/>
    <s v="Frais de transfert charden farell/I23c"/>
    <x v="8"/>
    <s v="Office"/>
    <m/>
    <n v="7110"/>
    <n v="16145860.99927"/>
    <x v="1"/>
    <s v="Oui"/>
    <x v="1"/>
    <s v="RALFF"/>
    <s v="CONGO"/>
    <s v="RALFF-CO1950"/>
    <s v="5.6"/>
    <m/>
  </r>
  <r>
    <d v="2021-03-02T00:00:00"/>
    <s v="Achat adaptateur pour bouilloire"/>
    <x v="9"/>
    <s v="Office"/>
    <m/>
    <n v="1500"/>
    <n v="16144360.99927"/>
    <x v="1"/>
    <s v="Oui"/>
    <x v="1"/>
    <s v="RALFF"/>
    <s v="CONGO"/>
    <s v="RALFF-CO1951"/>
    <s v="4.3"/>
    <m/>
  </r>
  <r>
    <d v="2021-03-02T00:00:00"/>
    <s v="Achat desinfectant 02 bouteilles/bureau"/>
    <x v="9"/>
    <s v="Office"/>
    <m/>
    <n v="7000"/>
    <n v="16137360.99927"/>
    <x v="1"/>
    <s v="Oui"/>
    <x v="3"/>
    <s v="PALF"/>
    <s v="CONGO"/>
    <m/>
    <m/>
    <m/>
  </r>
  <r>
    <d v="2021-03-02T00:00:00"/>
    <s v="Achat 05 POWER BANK VILLAON/10000MAH/BUREAU"/>
    <x v="9"/>
    <s v="Office"/>
    <m/>
    <n v="55000"/>
    <n v="16082360.99927"/>
    <x v="1"/>
    <s v="Oui"/>
    <x v="1"/>
    <s v="RALFF"/>
    <s v="CONGO"/>
    <s v="RALFF-CO1952"/>
    <s v="4.3"/>
    <m/>
  </r>
  <r>
    <d v="2021-03-02T00:00:00"/>
    <s v="Achat 01 téléphone tecno spark 5"/>
    <x v="10"/>
    <s v="Investigation"/>
    <m/>
    <n v="85000"/>
    <n v="15997360.99927"/>
    <x v="1"/>
    <s v="Oui"/>
    <x v="1"/>
    <s v="RALFF"/>
    <s v="CONGO"/>
    <s v="RALFF-CO1953"/>
    <s v="4.6"/>
    <m/>
  </r>
  <r>
    <d v="2021-03-02T00:00:00"/>
    <s v="Achat gel hydroalcoolique pour les mains/staff PALF"/>
    <x v="9"/>
    <s v="Office"/>
    <m/>
    <n v="18000"/>
    <n v="15979360.99927"/>
    <x v="1"/>
    <s v="Oui"/>
    <x v="1"/>
    <s v="RALFF"/>
    <s v="CONGO"/>
    <s v="RALFF-CO1954"/>
    <s v="4.3"/>
    <m/>
  </r>
  <r>
    <d v="2021-03-02T00:00:00"/>
    <s v="Jack-Bénisson"/>
    <x v="1"/>
    <m/>
    <m/>
    <n v="40000"/>
    <n v="15939360.99927"/>
    <x v="1"/>
    <m/>
    <x v="0"/>
    <m/>
    <m/>
    <m/>
    <m/>
    <m/>
  </r>
  <r>
    <d v="2021-03-02T00:00:00"/>
    <s v="Crépin"/>
    <x v="1"/>
    <m/>
    <m/>
    <n v="10000"/>
    <n v="15929360.99927"/>
    <x v="1"/>
    <m/>
    <x v="0"/>
    <m/>
    <m/>
    <m/>
    <m/>
    <m/>
  </r>
  <r>
    <d v="2021-03-02T00:00:00"/>
    <s v="BCI"/>
    <x v="1"/>
    <m/>
    <n v="1000000"/>
    <m/>
    <n v="16929360.99927"/>
    <x v="1"/>
    <m/>
    <x v="0"/>
    <m/>
    <m/>
    <m/>
    <m/>
    <m/>
  </r>
  <r>
    <d v="2021-03-02T00:00:00"/>
    <s v="Reçu caisse/Crépin"/>
    <x v="1"/>
    <m/>
    <n v="10000"/>
    <m/>
    <n v="16939360.99927"/>
    <x v="7"/>
    <m/>
    <x v="0"/>
    <m/>
    <m/>
    <m/>
    <m/>
    <m/>
  </r>
  <r>
    <d v="2021-03-02T00:00:00"/>
    <s v="Récu caisse/Geis"/>
    <x v="1"/>
    <m/>
    <n v="14000"/>
    <m/>
    <n v="16953360.99927"/>
    <x v="8"/>
    <m/>
    <x v="0"/>
    <m/>
    <m/>
    <m/>
    <m/>
    <m/>
  </r>
  <r>
    <d v="2021-03-02T00:00:00"/>
    <s v="Réçu caisse/I23C"/>
    <x v="1"/>
    <m/>
    <n v="119000"/>
    <m/>
    <n v="17072360.99927"/>
    <x v="2"/>
    <m/>
    <x v="0"/>
    <m/>
    <m/>
    <m/>
    <m/>
    <m/>
  </r>
  <r>
    <d v="2021-03-02T00:00:00"/>
    <s v="Reçu Caisse/JB"/>
    <x v="1"/>
    <m/>
    <n v="40000"/>
    <m/>
    <n v="17112360.99927"/>
    <x v="3"/>
    <m/>
    <x v="0"/>
    <m/>
    <m/>
    <m/>
    <m/>
    <m/>
  </r>
  <r>
    <d v="2021-03-02T00:00:00"/>
    <s v="Frais Consultation Cardiologue pour prévenu Robert/JB"/>
    <x v="5"/>
    <s v="Legal"/>
    <m/>
    <n v="30000"/>
    <n v="17082360.99927"/>
    <x v="3"/>
    <s v="Décharge"/>
    <x v="3"/>
    <s v="PALF"/>
    <s v="CONGO"/>
    <m/>
    <m/>
    <m/>
  </r>
  <r>
    <d v="2021-03-02T00:00:00"/>
    <s v="Reçu caisse/Merveille"/>
    <x v="1"/>
    <m/>
    <n v="10000"/>
    <m/>
    <n v="17092360.99927"/>
    <x v="5"/>
    <m/>
    <x v="0"/>
    <m/>
    <m/>
    <m/>
    <m/>
    <m/>
  </r>
  <r>
    <d v="2021-03-03T00:00:00"/>
    <s v="Frais de transport SIBITI-KOMONO-SIBITI/P29"/>
    <x v="6"/>
    <s v="Investigation"/>
    <m/>
    <n v="4000"/>
    <n v="17088360.99927"/>
    <x v="4"/>
    <s v="Oui"/>
    <x v="3"/>
    <s v="PALF"/>
    <s v="CONGO"/>
    <m/>
    <m/>
    <m/>
  </r>
  <r>
    <d v="2021-03-03T00:00:00"/>
    <s v="Bonus mois de Février 2021/Crepin"/>
    <x v="4"/>
    <s v="Legal"/>
    <m/>
    <n v="50000"/>
    <n v="17038360.99927"/>
    <x v="1"/>
    <s v="Décharge"/>
    <x v="3"/>
    <s v="PALF"/>
    <s v="CONGO"/>
    <m/>
    <m/>
    <m/>
  </r>
  <r>
    <d v="2021-03-03T00:00:00"/>
    <s v="Bonus mois de Février 2021/Jack-Bénisson"/>
    <x v="4"/>
    <s v="Legal"/>
    <m/>
    <n v="10000"/>
    <n v="17028360.99927"/>
    <x v="1"/>
    <s v="Décharge"/>
    <x v="3"/>
    <s v="PALF"/>
    <s v="CONGO"/>
    <m/>
    <m/>
    <m/>
  </r>
  <r>
    <d v="2021-03-03T00:00:00"/>
    <s v="Bonus mois de Février 2021/Geisner"/>
    <x v="4"/>
    <s v="Legal"/>
    <m/>
    <n v="20000"/>
    <n v="17008360.99927"/>
    <x v="1"/>
    <s v="Décharge"/>
    <x v="3"/>
    <s v="PALF"/>
    <s v="CONGO"/>
    <m/>
    <m/>
    <m/>
  </r>
  <r>
    <d v="2021-03-03T00:00:00"/>
    <s v="Achat 02 bouteilles de bactigel/1l et 500ml"/>
    <x v="9"/>
    <s v="Office"/>
    <m/>
    <n v="7500"/>
    <n v="17000860.99927"/>
    <x v="1"/>
    <s v="Oui"/>
    <x v="3"/>
    <s v="PALF"/>
    <s v="CONGO"/>
    <m/>
    <m/>
    <m/>
  </r>
  <r>
    <d v="2021-03-03T00:00:00"/>
    <s v="Christian"/>
    <x v="1"/>
    <m/>
    <m/>
    <n v="76000"/>
    <n v="16924860.99927"/>
    <x v="1"/>
    <m/>
    <x v="0"/>
    <m/>
    <m/>
    <m/>
    <m/>
    <m/>
  </r>
  <r>
    <d v="2021-03-03T00:00:00"/>
    <s v="Bonus mois de Février 2021/Hérick"/>
    <x v="4"/>
    <s v="Legal"/>
    <m/>
    <n v="50000"/>
    <n v="16874860.99927"/>
    <x v="1"/>
    <s v="Décharge"/>
    <x v="3"/>
    <s v="PALF"/>
    <s v="CONGO"/>
    <m/>
    <m/>
    <m/>
  </r>
  <r>
    <d v="2021-03-03T00:00:00"/>
    <s v="Jack-Bénisson"/>
    <x v="1"/>
    <m/>
    <m/>
    <n v="12000"/>
    <n v="16862860.99927"/>
    <x v="1"/>
    <m/>
    <x v="0"/>
    <m/>
    <m/>
    <m/>
    <m/>
    <m/>
  </r>
  <r>
    <d v="2021-03-03T00:00:00"/>
    <s v="Evariste"/>
    <x v="1"/>
    <m/>
    <m/>
    <n v="10000"/>
    <n v="16852860.99927"/>
    <x v="1"/>
    <m/>
    <x v="0"/>
    <m/>
    <m/>
    <m/>
    <m/>
    <m/>
  </r>
  <r>
    <d v="2021-03-03T00:00:00"/>
    <s v="MO pour le constat dans les toilettes Bureau PALF/ Plombier"/>
    <x v="11"/>
    <s v="Office"/>
    <m/>
    <n v="2000"/>
    <n v="16850860.99927"/>
    <x v="1"/>
    <s v="Oui"/>
    <x v="3"/>
    <s v="PALF"/>
    <s v="CONGO"/>
    <m/>
    <m/>
    <m/>
  </r>
  <r>
    <d v="2021-03-03T00:00:00"/>
    <s v="Achat Billet Brazzaville-Dolisie/Christian"/>
    <x v="6"/>
    <s v="Legal"/>
    <m/>
    <n v="10000"/>
    <n v="16840860.99927"/>
    <x v="9"/>
    <s v="Oui"/>
    <x v="1"/>
    <s v="RALFF"/>
    <s v="CONGO"/>
    <s v="RALFF-CO1955"/>
    <s v="2.2"/>
    <m/>
  </r>
  <r>
    <d v="2021-03-03T00:00:00"/>
    <s v="Recu caisse/Christian"/>
    <x v="1"/>
    <m/>
    <n v="76000"/>
    <m/>
    <n v="16916860.99927"/>
    <x v="9"/>
    <m/>
    <x v="0"/>
    <m/>
    <m/>
    <m/>
    <m/>
    <m/>
  </r>
  <r>
    <d v="2021-03-03T00:00:00"/>
    <s v="Reçu caisse/Evariste"/>
    <x v="1"/>
    <m/>
    <n v="10000"/>
    <m/>
    <n v="16926860.99927"/>
    <x v="10"/>
    <m/>
    <x v="0"/>
    <m/>
    <m/>
    <m/>
    <m/>
    <m/>
  </r>
  <r>
    <d v="2021-03-03T00:00:00"/>
    <s v="Reçu Caisse/JB"/>
    <x v="1"/>
    <m/>
    <n v="12000"/>
    <m/>
    <n v="16938860.99927"/>
    <x v="3"/>
    <m/>
    <x v="0"/>
    <m/>
    <m/>
    <m/>
    <m/>
    <m/>
  </r>
  <r>
    <d v="2021-03-03T00:00:00"/>
    <s v="Recu caisse/P29"/>
    <x v="1"/>
    <m/>
    <n v="118000"/>
    <m/>
    <n v="17056860.99927"/>
    <x v="4"/>
    <m/>
    <x v="0"/>
    <m/>
    <m/>
    <m/>
    <m/>
    <m/>
  </r>
  <r>
    <d v="2021-03-04T00:00:00"/>
    <s v="Acompte honoraires contrat n°31/Pointe-Noire/maitre Anicet MOUSSAHOU-GOMA "/>
    <x v="12"/>
    <s v="Legal"/>
    <m/>
    <n v="200000"/>
    <n v="16856860.99927"/>
    <x v="11"/>
    <n v="3643424"/>
    <x v="1"/>
    <s v="RALFF"/>
    <s v="CONGO"/>
    <s v="RALFF-CO1956"/>
    <s v="5.2.2"/>
    <m/>
  </r>
  <r>
    <d v="2021-03-04T00:00:00"/>
    <s v="Crépin"/>
    <x v="1"/>
    <m/>
    <m/>
    <n v="10000"/>
    <n v="16846860.99927"/>
    <x v="1"/>
    <m/>
    <x v="0"/>
    <m/>
    <m/>
    <m/>
    <m/>
    <m/>
  </r>
  <r>
    <d v="2021-03-04T00:00:00"/>
    <s v="MO-Entretien général du jardin bureau PALF"/>
    <x v="11"/>
    <s v="Office"/>
    <m/>
    <n v="18000"/>
    <n v="16828860.99927"/>
    <x v="1"/>
    <s v="Oui"/>
    <x v="3"/>
    <s v="PALF"/>
    <s v="CONGO"/>
    <m/>
    <m/>
    <m/>
  </r>
  <r>
    <d v="2021-03-04T00:00:00"/>
    <s v="Food Allowance Mission Dolisie du 04 au 06/03/21/Christian"/>
    <x v="7"/>
    <s v="Legal"/>
    <m/>
    <n v="20000"/>
    <n v="16808860.99927"/>
    <x v="9"/>
    <s v="Décharge"/>
    <x v="1"/>
    <s v="RALFF"/>
    <s v="CONGO"/>
    <s v="RALFF-CO1957"/>
    <s v="1.3.2"/>
    <m/>
  </r>
  <r>
    <d v="2021-03-04T00:00:00"/>
    <s v="Frais d'hôtel Mission Dolisie du 04 au 06/03/2021/Christian"/>
    <x v="7"/>
    <s v="Legal"/>
    <m/>
    <n v="30000"/>
    <n v="16778860.99927"/>
    <x v="9"/>
    <s v="Oui"/>
    <x v="1"/>
    <s v="RALFF"/>
    <s v="CONGO"/>
    <s v="RALFF-CO1958"/>
    <s v="1.3.2"/>
    <m/>
  </r>
  <r>
    <d v="2021-03-04T00:00:00"/>
    <s v="Reçu caisse/Crépin"/>
    <x v="1"/>
    <m/>
    <n v="10000"/>
    <m/>
    <n v="16788860.99927"/>
    <x v="7"/>
    <m/>
    <x v="0"/>
    <m/>
    <m/>
    <m/>
    <m/>
    <m/>
  </r>
  <r>
    <d v="2021-03-04T00:00:00"/>
    <s v="Frais d'Hôtel Mission Oyo du 1 au 4/03 (cfr mission Oyo)/I23C"/>
    <x v="7"/>
    <s v="Investigation"/>
    <m/>
    <n v="45000"/>
    <n v="16743860.99927"/>
    <x v="2"/>
    <s v="Oui"/>
    <x v="1"/>
    <s v="RALFF"/>
    <s v="CONGO"/>
    <s v="RALFF-CO1959"/>
    <s v="1.3.2"/>
    <m/>
  </r>
  <r>
    <d v="2021-03-04T00:00:00"/>
    <s v="Frais transport Oyo-Gamboma/I23C"/>
    <x v="6"/>
    <s v="Investigation"/>
    <m/>
    <n v="5000"/>
    <n v="16738860.99927"/>
    <x v="2"/>
    <s v="Oui"/>
    <x v="1"/>
    <s v="RALFF"/>
    <s v="CONGO"/>
    <s v="RALFF-CO1960"/>
    <s v="2.2"/>
    <m/>
  </r>
  <r>
    <d v="2021-03-04T00:00:00"/>
    <s v="Frais de transport Sibiti-Madingou/P29"/>
    <x v="6"/>
    <s v="Investigation"/>
    <m/>
    <n v="8000"/>
    <n v="16730860.99927"/>
    <x v="4"/>
    <s v="Oui"/>
    <x v="3"/>
    <s v="PALF"/>
    <s v="CONGO"/>
    <m/>
    <m/>
    <m/>
  </r>
  <r>
    <d v="2021-03-04T00:00:00"/>
    <s v="Frais d'Hôtel du 01/03 au 04/03 Mission sibiti/P29"/>
    <x v="7"/>
    <s v="Investigation"/>
    <m/>
    <n v="45000"/>
    <n v="16685860.99927"/>
    <x v="4"/>
    <s v="Oui"/>
    <x v="1"/>
    <s v="RALFF"/>
    <s v="CONGO"/>
    <s v="RALFF-CO1961"/>
    <s v="1.3.2"/>
    <m/>
  </r>
  <r>
    <d v="2021-03-05T00:00:00"/>
    <s v="Acompte honoraires contrat n°32/Brazzaville/maitre Séverin "/>
    <x v="12"/>
    <s v="Legal"/>
    <m/>
    <n v="200000"/>
    <n v="16485860.99927"/>
    <x v="11"/>
    <n v="3643425"/>
    <x v="1"/>
    <s v="RALFF"/>
    <s v="CONGO"/>
    <s v="RALFF-CO1962"/>
    <s v="5.2.2"/>
    <m/>
  </r>
  <r>
    <d v="2021-03-05T00:00:00"/>
    <s v="Bonus Opération à brazzaville/Geisner"/>
    <x v="4"/>
    <s v="Operations"/>
    <m/>
    <n v="10000"/>
    <n v="16475860.99927"/>
    <x v="1"/>
    <s v="Décharge"/>
    <x v="4"/>
    <s v="PALF"/>
    <s v="CONGO"/>
    <m/>
    <m/>
    <m/>
  </r>
  <r>
    <d v="2021-03-05T00:00:00"/>
    <s v="Bonus Opération  à brazzaville/Hérick"/>
    <x v="4"/>
    <s v="Operations"/>
    <m/>
    <n v="50000"/>
    <n v="16425860.99927"/>
    <x v="1"/>
    <s v="Décharge"/>
    <x v="4"/>
    <s v="PALF"/>
    <s v="CONGO"/>
    <m/>
    <m/>
    <m/>
  </r>
  <r>
    <d v="2021-03-05T00:00:00"/>
    <s v="Achat pagne staff PALF à l'occasion du 08 mars 2021"/>
    <x v="13"/>
    <s v="Team Building"/>
    <m/>
    <n v="182000"/>
    <n v="16243860.99927"/>
    <x v="1"/>
    <s v="Oui"/>
    <x v="3"/>
    <s v="PALF"/>
    <s v="CONGO"/>
    <m/>
    <m/>
    <m/>
  </r>
  <r>
    <d v="2021-03-05T00:00:00"/>
    <s v="Solde bonus média/Evariste"/>
    <x v="4"/>
    <s v="Media"/>
    <m/>
    <n v="47000"/>
    <n v="16196860.99927"/>
    <x v="1"/>
    <s v="Décharge"/>
    <x v="3"/>
    <s v="PALF"/>
    <s v="CONGO"/>
    <m/>
    <m/>
    <m/>
  </r>
  <r>
    <d v="2021-03-05T00:00:00"/>
    <s v="Bonus Opération à  brazzaville/Crépin"/>
    <x v="4"/>
    <s v="Operations"/>
    <m/>
    <n v="50000"/>
    <n v="16146860.99927"/>
    <x v="1"/>
    <s v="Décharge"/>
    <x v="4"/>
    <s v="PALF"/>
    <s v="CONGO"/>
    <m/>
    <m/>
    <m/>
  </r>
  <r>
    <d v="2021-03-05T00:00:00"/>
    <s v="Achat Billet Dolisie-Brazzaville/Christian"/>
    <x v="6"/>
    <s v="Legal"/>
    <m/>
    <n v="10000"/>
    <n v="16136860.99927"/>
    <x v="9"/>
    <s v="Oui"/>
    <x v="1"/>
    <s v="RALFF"/>
    <s v="CONGO"/>
    <s v="RALFF-CO1963"/>
    <s v="2.2"/>
    <m/>
  </r>
  <r>
    <d v="2021-03-05T00:00:00"/>
    <s v="Achat billet Madingou-Brazzaville/P29"/>
    <x v="6"/>
    <s v="Investigation"/>
    <m/>
    <n v="8000"/>
    <n v="16128860.99927"/>
    <x v="4"/>
    <s v="Oui"/>
    <x v="1"/>
    <s v="RALFF"/>
    <s v="CONGO"/>
    <s v="RALFF-CO1964"/>
    <s v="2.2"/>
    <m/>
  </r>
  <r>
    <d v="2021-03-06T00:00:00"/>
    <s v="Frais d'Hôtel Mission Gamboma du 4 au 6/03 (cfr mission Gamboma)/I23C"/>
    <x v="7"/>
    <s v="Investigation"/>
    <m/>
    <n v="30000"/>
    <n v="16098860.99927"/>
    <x v="2"/>
    <s v="Oui"/>
    <x v="1"/>
    <s v="RALFF"/>
    <s v="CONGO"/>
    <s v="RALFF-CO1965"/>
    <s v="1.3.2"/>
    <m/>
  </r>
  <r>
    <d v="2021-03-06T00:00:00"/>
    <s v="Frais de transport Gamboma-Brazzaville /I23C"/>
    <x v="6"/>
    <s v="Investigation"/>
    <m/>
    <n v="10000"/>
    <n v="16088860.99927"/>
    <x v="2"/>
    <s v="Oui"/>
    <x v="1"/>
    <s v="RALFF"/>
    <s v="CONGO"/>
    <s v="RALFF-CO1966"/>
    <s v="2.2"/>
    <m/>
  </r>
  <r>
    <d v="2021-03-06T00:00:00"/>
    <s v="Frais d'Hôtel du 04 au 06/03 Mission Madingou/P29"/>
    <x v="7"/>
    <s v="Investigation"/>
    <m/>
    <n v="30000"/>
    <n v="16058860.99927"/>
    <x v="4"/>
    <s v="Oui"/>
    <x v="1"/>
    <s v="RALFF"/>
    <s v="CONGO"/>
    <s v="RALFF-CO1967"/>
    <s v="1.3.2"/>
    <m/>
  </r>
  <r>
    <d v="2021-03-08T00:00:00"/>
    <s v="Retrait especes/appro caisse/bord n°3654435"/>
    <x v="1"/>
    <m/>
    <m/>
    <n v="1000000"/>
    <n v="15058860.99927"/>
    <x v="6"/>
    <n v="3654435"/>
    <x v="0"/>
    <m/>
    <m/>
    <m/>
    <m/>
    <m/>
  </r>
  <r>
    <d v="2021-03-08T00:00:00"/>
    <s v="Reglement facture E²C/Janvier-Février 2021/bureau PALF"/>
    <x v="14"/>
    <s v="Office"/>
    <m/>
    <n v="52733"/>
    <n v="15006127.99927"/>
    <x v="1"/>
    <s v="Oui"/>
    <x v="1"/>
    <s v="RALFF"/>
    <s v="CONGO"/>
    <s v="RALFF-CO1968"/>
    <s v="4.4"/>
    <m/>
  </r>
  <r>
    <d v="2021-03-08T00:00:00"/>
    <s v="Bonus mois de Février 2021/I23C"/>
    <x v="4"/>
    <s v="Investigation"/>
    <m/>
    <n v="50000"/>
    <n v="14956127.99927"/>
    <x v="1"/>
    <s v="Décharge"/>
    <x v="3"/>
    <s v="PALF"/>
    <s v="CONGO"/>
    <m/>
    <m/>
    <m/>
  </r>
  <r>
    <d v="2021-03-08T00:00:00"/>
    <s v="Bonus mois de Février 2021/P29"/>
    <x v="4"/>
    <s v="Investigation"/>
    <m/>
    <n v="20000"/>
    <n v="14936127.99927"/>
    <x v="1"/>
    <s v="Décharge"/>
    <x v="3"/>
    <s v="PALF"/>
    <s v="CONGO"/>
    <m/>
    <m/>
    <m/>
  </r>
  <r>
    <d v="2021-03-08T00:00:00"/>
    <s v="BCI"/>
    <x v="1"/>
    <m/>
    <n v="1000000"/>
    <m/>
    <n v="15936127.99927"/>
    <x v="1"/>
    <m/>
    <x v="0"/>
    <m/>
    <m/>
    <m/>
    <m/>
    <m/>
  </r>
  <r>
    <d v="2021-03-08T00:00:00"/>
    <s v="Achat eau bureau/03Bobone/Bureau PALF"/>
    <x v="14"/>
    <s v="Office"/>
    <m/>
    <n v="13500"/>
    <n v="15922627.99927"/>
    <x v="1"/>
    <s v="Oui"/>
    <x v="3"/>
    <s v="PALF"/>
    <s v="CONGO"/>
    <m/>
    <m/>
    <m/>
  </r>
  <r>
    <d v="2021-03-08T00:00:00"/>
    <s v="Christian"/>
    <x v="1"/>
    <m/>
    <m/>
    <n v="96000"/>
    <n v="15826627.99927"/>
    <x v="1"/>
    <m/>
    <x v="0"/>
    <m/>
    <m/>
    <m/>
    <m/>
    <m/>
  </r>
  <r>
    <d v="2021-03-08T00:00:00"/>
    <s v="Frais de test covid19/Tiffany"/>
    <x v="15"/>
    <s v="Management"/>
    <m/>
    <n v="20000"/>
    <n v="15806627.99927"/>
    <x v="1"/>
    <s v="Oui"/>
    <x v="3"/>
    <s v="PALF"/>
    <s v="CONGO"/>
    <m/>
    <m/>
    <m/>
  </r>
  <r>
    <d v="2021-03-08T00:00:00"/>
    <s v="Merveille"/>
    <x v="1"/>
    <m/>
    <m/>
    <n v="10000"/>
    <n v="15796627.99927"/>
    <x v="1"/>
    <m/>
    <x v="0"/>
    <m/>
    <m/>
    <m/>
    <m/>
    <m/>
  </r>
  <r>
    <d v="2021-03-08T00:00:00"/>
    <s v="Evariste"/>
    <x v="1"/>
    <m/>
    <m/>
    <n v="10000"/>
    <n v="15786627.99927"/>
    <x v="1"/>
    <m/>
    <x v="0"/>
    <m/>
    <m/>
    <m/>
    <m/>
    <m/>
  </r>
  <r>
    <d v="2021-03-08T00:00:00"/>
    <s v="Hérick"/>
    <x v="1"/>
    <m/>
    <m/>
    <n v="10000"/>
    <n v="15776627.99927"/>
    <x v="1"/>
    <m/>
    <x v="0"/>
    <m/>
    <m/>
    <m/>
    <m/>
    <m/>
  </r>
  <r>
    <d v="2021-03-08T00:00:00"/>
    <s v="Achat Billet Brazzaville-Ouesso/Christian"/>
    <x v="6"/>
    <s v="Legal"/>
    <m/>
    <n v="20000"/>
    <n v="15756627.99927"/>
    <x v="9"/>
    <s v="Oui"/>
    <x v="1"/>
    <s v="RALFF"/>
    <s v="CONGO"/>
    <s v="RALFF-CO1969"/>
    <s v="2.2"/>
    <m/>
  </r>
  <r>
    <d v="2021-03-08T00:00:00"/>
    <s v="Recu caisse/Christian"/>
    <x v="1"/>
    <m/>
    <n v="96000"/>
    <m/>
    <n v="15852627.99927"/>
    <x v="9"/>
    <m/>
    <x v="0"/>
    <m/>
    <m/>
    <m/>
    <m/>
    <m/>
  </r>
  <r>
    <d v="2021-03-08T00:00:00"/>
    <s v="Reçu caisse/Hérick"/>
    <x v="1"/>
    <m/>
    <n v="10000"/>
    <m/>
    <n v="15862627.99927"/>
    <x v="12"/>
    <m/>
    <x v="0"/>
    <m/>
    <m/>
    <m/>
    <m/>
    <m/>
  </r>
  <r>
    <d v="2021-03-09T00:00:00"/>
    <s v="I23c"/>
    <x v="1"/>
    <m/>
    <m/>
    <n v="100000"/>
    <n v="15762627.99927"/>
    <x v="1"/>
    <m/>
    <x v="0"/>
    <m/>
    <m/>
    <m/>
    <m/>
    <m/>
  </r>
  <r>
    <d v="2021-03-09T00:00:00"/>
    <s v="P29"/>
    <x v="1"/>
    <m/>
    <m/>
    <n v="100000"/>
    <n v="15662627.99927"/>
    <x v="1"/>
    <m/>
    <x v="0"/>
    <m/>
    <m/>
    <m/>
    <m/>
    <m/>
  </r>
  <r>
    <d v="2021-03-09T00:00:00"/>
    <s v="Food Allowance Mission Ouesso du 09 au 11/03/21/Christian"/>
    <x v="7"/>
    <s v="Legal"/>
    <m/>
    <n v="20000"/>
    <n v="15642627.99927"/>
    <x v="9"/>
    <s v="Décharge"/>
    <x v="1"/>
    <s v="RALFF"/>
    <s v="CONGO"/>
    <s v="RALFF-CO1970"/>
    <s v="1.3.2"/>
    <m/>
  </r>
  <r>
    <d v="2021-03-09T00:00:00"/>
    <s v="Reçu caisse/Evariste"/>
    <x v="1"/>
    <m/>
    <n v="10000"/>
    <m/>
    <n v="15652627.99927"/>
    <x v="10"/>
    <m/>
    <x v="0"/>
    <m/>
    <m/>
    <m/>
    <m/>
    <m/>
  </r>
  <r>
    <d v="2021-03-09T00:00:00"/>
    <s v="Réçu caisse/I23C"/>
    <x v="1"/>
    <m/>
    <n v="100000"/>
    <m/>
    <n v="15752627.99927"/>
    <x v="2"/>
    <m/>
    <x v="0"/>
    <m/>
    <m/>
    <m/>
    <m/>
    <m/>
  </r>
  <r>
    <d v="2021-03-09T00:00:00"/>
    <s v="Achat billet Brazzaville-Pointe Noire /I23C"/>
    <x v="6"/>
    <s v="Investigation"/>
    <m/>
    <n v="15000"/>
    <n v="15737627.99927"/>
    <x v="2"/>
    <s v="Oui"/>
    <x v="1"/>
    <s v="RALFF"/>
    <s v="CONGO"/>
    <s v="RALFF-CO1971"/>
    <s v="2.2"/>
    <m/>
  </r>
  <r>
    <d v="2021-03-09T00:00:00"/>
    <s v="Recu caisse/P29"/>
    <x v="1"/>
    <m/>
    <n v="100000"/>
    <m/>
    <n v="15837627.99927"/>
    <x v="4"/>
    <m/>
    <x v="0"/>
    <m/>
    <m/>
    <m/>
    <m/>
    <m/>
  </r>
  <r>
    <d v="2021-03-09T00:00:00"/>
    <s v="Achat billet Brazzaville-Makoua/P29"/>
    <x v="6"/>
    <s v="Investigation"/>
    <m/>
    <n v="15000"/>
    <n v="15822627.99927"/>
    <x v="4"/>
    <s v="Oui"/>
    <x v="1"/>
    <s v="RALFF"/>
    <s v="CONGO"/>
    <s v="RALFF-CO1972"/>
    <s v="2.2"/>
    <m/>
  </r>
  <r>
    <d v="2021-03-09T00:00:00"/>
    <s v="Food Allowance Ms Makoua-Owando-Ewo du 10 au 20/03/P29"/>
    <x v="7"/>
    <s v="Investigation"/>
    <m/>
    <n v="100000"/>
    <n v="15722627.99927"/>
    <x v="4"/>
    <s v="Décharge"/>
    <x v="1"/>
    <s v="RALFF"/>
    <s v="CONGO"/>
    <s v="RALFF-CO1973"/>
    <s v="1.3.2"/>
    <m/>
  </r>
  <r>
    <d v="2021-03-09T00:00:00"/>
    <s v="Reçu caisse/Merveille"/>
    <x v="1"/>
    <m/>
    <n v="10000"/>
    <m/>
    <n v="15732627.99927"/>
    <x v="5"/>
    <m/>
    <x v="0"/>
    <m/>
    <m/>
    <m/>
    <m/>
    <m/>
  </r>
  <r>
    <d v="2021-03-10T00:00:00"/>
    <s v="Achat lait et papier toilette"/>
    <x v="9"/>
    <s v="Office"/>
    <m/>
    <n v="10250"/>
    <n v="15722377.99927"/>
    <x v="1"/>
    <s v="Oui"/>
    <x v="3"/>
    <s v="PALF"/>
    <s v="CONGO"/>
    <m/>
    <m/>
    <m/>
  </r>
  <r>
    <d v="2021-03-10T00:00:00"/>
    <s v="Achat Billet Ouesso-Brazzaville/Christian"/>
    <x v="6"/>
    <s v="Legal"/>
    <m/>
    <n v="20000"/>
    <n v="15702377.99927"/>
    <x v="9"/>
    <s v="Oui"/>
    <x v="1"/>
    <s v="RALFF"/>
    <s v="CONGO"/>
    <s v="RALFF-CO1974"/>
    <s v="2.2"/>
    <m/>
  </r>
  <r>
    <d v="2021-03-10T00:00:00"/>
    <s v="Food allowance mission PN-Dol-Mossendjo du 10 au 20 mars 2021/I23C"/>
    <x v="7"/>
    <s v="Investigation"/>
    <m/>
    <n v="100000"/>
    <n v="15602377.99927"/>
    <x v="2"/>
    <s v="Décharge"/>
    <x v="1"/>
    <s v="RALFF"/>
    <s v="CONGO"/>
    <s v="RALFF-CO1975"/>
    <s v="1.3.2"/>
    <m/>
  </r>
  <r>
    <d v="2021-03-11T00:00:00"/>
    <s v="Reglement fact LCDE/Janvier-Février 2021/ bureau PALF"/>
    <x v="14"/>
    <s v="Office"/>
    <m/>
    <n v="12700"/>
    <n v="15589677.99927"/>
    <x v="1"/>
    <s v="Oui"/>
    <x v="1"/>
    <s v="RALFF"/>
    <s v="CONGO"/>
    <s v="RALFF-CO1976"/>
    <s v="4.4"/>
    <m/>
  </r>
  <r>
    <d v="2021-03-11T00:00:00"/>
    <s v="achat 50 litres de Gazoil/groupe electrogène"/>
    <x v="14"/>
    <s v="Office"/>
    <m/>
    <n v="24000"/>
    <n v="15565677.99927"/>
    <x v="1"/>
    <s v="Oui"/>
    <x v="1"/>
    <s v="RALFF"/>
    <s v="CONGO"/>
    <s v="RALFF-CO1977"/>
    <s v="4.4"/>
    <m/>
  </r>
  <r>
    <d v="2021-03-11T00:00:00"/>
    <s v="Jack-Bénisson"/>
    <x v="1"/>
    <m/>
    <m/>
    <n v="10000"/>
    <n v="15555677.99927"/>
    <x v="1"/>
    <m/>
    <x v="0"/>
    <m/>
    <m/>
    <m/>
    <m/>
    <m/>
  </r>
  <r>
    <d v="2021-03-11T00:00:00"/>
    <s v="Frais d'hôtel Mission Ouesso du 09 au 11/03/2021/Christian"/>
    <x v="7"/>
    <s v="Legal"/>
    <m/>
    <n v="30000"/>
    <n v="15525677.99927"/>
    <x v="9"/>
    <s v="Oui"/>
    <x v="1"/>
    <s v="RALFF"/>
    <s v="CONGO"/>
    <s v="RALFF-CO1978"/>
    <s v="1.3.2"/>
    <m/>
  </r>
  <r>
    <d v="2021-03-12T00:00:00"/>
    <s v="I23c"/>
    <x v="1"/>
    <m/>
    <m/>
    <n v="230000"/>
    <n v="15295677.99927"/>
    <x v="1"/>
    <m/>
    <x v="0"/>
    <m/>
    <m/>
    <m/>
    <m/>
    <m/>
  </r>
  <r>
    <d v="2021-03-12T00:00:00"/>
    <s v="Tiffany"/>
    <x v="1"/>
    <m/>
    <m/>
    <n v="25000"/>
    <n v="15270677.99927"/>
    <x v="1"/>
    <m/>
    <x v="0"/>
    <m/>
    <m/>
    <m/>
    <m/>
    <m/>
  </r>
  <r>
    <d v="2021-03-12T00:00:00"/>
    <s v="P29"/>
    <x v="1"/>
    <m/>
    <m/>
    <n v="211000"/>
    <n v="15059677.99927"/>
    <x v="1"/>
    <m/>
    <x v="0"/>
    <m/>
    <m/>
    <m/>
    <m/>
    <m/>
  </r>
  <r>
    <d v="2021-03-12T00:00:00"/>
    <s v=" Frais de transfert charden farell/I23c et P29"/>
    <x v="8"/>
    <s v="Office"/>
    <m/>
    <n v="13230"/>
    <n v="15046447.99927"/>
    <x v="1"/>
    <s v="Oui"/>
    <x v="1"/>
    <s v="RALFF"/>
    <s v="CONGO"/>
    <s v="RALFF-CO1979"/>
    <s v="5.6"/>
    <m/>
  </r>
  <r>
    <d v="2021-03-12T00:00:00"/>
    <s v="Réçu caisse/I23C"/>
    <x v="1"/>
    <m/>
    <n v="230000"/>
    <m/>
    <n v="15276447.99927"/>
    <x v="2"/>
    <m/>
    <x v="0"/>
    <m/>
    <m/>
    <m/>
    <m/>
    <m/>
  </r>
  <r>
    <d v="2021-03-12T00:00:00"/>
    <s v="Reçu Caisse/JB"/>
    <x v="1"/>
    <m/>
    <n v="10000"/>
    <m/>
    <n v="15286447.99927"/>
    <x v="3"/>
    <m/>
    <x v="0"/>
    <m/>
    <m/>
    <m/>
    <m/>
    <m/>
  </r>
  <r>
    <d v="2021-03-12T00:00:00"/>
    <s v="Recu caisse/P29"/>
    <x v="1"/>
    <m/>
    <n v="211000"/>
    <m/>
    <n v="15497447.99927"/>
    <x v="4"/>
    <m/>
    <x v="0"/>
    <m/>
    <m/>
    <m/>
    <m/>
    <m/>
  </r>
  <r>
    <d v="2021-03-12T00:00:00"/>
    <s v="Reçu caisse/Tiffany"/>
    <x v="1"/>
    <m/>
    <n v="25000"/>
    <m/>
    <n v="15522447.99927"/>
    <x v="13"/>
    <m/>
    <x v="0"/>
    <m/>
    <m/>
    <m/>
    <m/>
    <m/>
  </r>
  <r>
    <d v="2021-03-13T00:00:00"/>
    <s v="Frais d'Hôtel du 10 au 13 mars 2021/Mission A Pointe-Noire/I23C"/>
    <x v="7"/>
    <s v="Investigation"/>
    <m/>
    <n v="45000"/>
    <n v="15477447.99927"/>
    <x v="2"/>
    <s v="Oui"/>
    <x v="1"/>
    <s v="RALFF"/>
    <s v="CONGO"/>
    <s v="RALFF-CO1980"/>
    <s v="1.3.2"/>
    <m/>
  </r>
  <r>
    <d v="2021-03-13T00:00:00"/>
    <s v="Frais transport Pointe-Noire - Dolisie /I23C"/>
    <x v="6"/>
    <s v="Investigation"/>
    <m/>
    <n v="8000"/>
    <n v="15469447.99927"/>
    <x v="2"/>
    <s v="Oui"/>
    <x v="3"/>
    <s v="PALF"/>
    <s v="CONGO"/>
    <m/>
    <m/>
    <m/>
  </r>
  <r>
    <d v="2021-03-13T00:00:00"/>
    <s v="Frais d'Hôtel Ms Makoua du 10 au 13/03/P29"/>
    <x v="7"/>
    <s v="Investigation"/>
    <m/>
    <n v="45000"/>
    <n v="15424447.99927"/>
    <x v="4"/>
    <s v="Oui"/>
    <x v="1"/>
    <s v="RALFF"/>
    <s v="CONGO"/>
    <s v="RALFF-CO1981"/>
    <s v="1.3.2"/>
    <m/>
  </r>
  <r>
    <d v="2021-03-13T00:00:00"/>
    <s v="Frais de transport Makoua-Owando/P29"/>
    <x v="6"/>
    <s v="Investigation"/>
    <m/>
    <n v="5000"/>
    <n v="15419447.99927"/>
    <x v="4"/>
    <s v="Décharge"/>
    <x v="3"/>
    <s v="PALF"/>
    <s v="CONGO"/>
    <m/>
    <m/>
    <m/>
  </r>
  <r>
    <d v="2021-03-15T00:00:00"/>
    <s v="Christian"/>
    <x v="1"/>
    <m/>
    <m/>
    <n v="15000"/>
    <n v="15404447.99927"/>
    <x v="1"/>
    <m/>
    <x v="0"/>
    <m/>
    <m/>
    <m/>
    <m/>
    <m/>
  </r>
  <r>
    <d v="2021-03-15T00:00:00"/>
    <s v="Recu caisse/Christian"/>
    <x v="1"/>
    <m/>
    <n v="15000"/>
    <m/>
    <n v="15419447.99927"/>
    <x v="9"/>
    <m/>
    <x v="0"/>
    <m/>
    <m/>
    <m/>
    <m/>
    <m/>
  </r>
  <r>
    <d v="2021-03-15T00:00:00"/>
    <s v="Frais d'Hôtel  du 13 au 15 mars 2021/I23C"/>
    <x v="7"/>
    <s v="Investigation"/>
    <m/>
    <n v="30000"/>
    <n v="15389447.99927"/>
    <x v="2"/>
    <s v="Oui"/>
    <x v="1"/>
    <s v="RALFF"/>
    <s v="CONGO"/>
    <s v="RALFF-CO1982"/>
    <s v="1.3.2"/>
    <m/>
  </r>
  <r>
    <d v="2021-03-15T00:00:00"/>
    <s v="Frais transport  Dolisie-Mossendjo /I23C"/>
    <x v="6"/>
    <s v="Investigation"/>
    <m/>
    <n v="15000"/>
    <n v="15374447.99927"/>
    <x v="2"/>
    <s v="Oui"/>
    <x v="3"/>
    <s v="PALF"/>
    <s v="CONGO"/>
    <m/>
    <m/>
    <m/>
  </r>
  <r>
    <d v="2021-03-15T00:00:00"/>
    <s v="Frais avocat"/>
    <x v="12"/>
    <s v="Legal"/>
    <m/>
    <n v="25000"/>
    <n v="15349447.99927"/>
    <x v="13"/>
    <s v="Oui"/>
    <x v="3"/>
    <s v="PALF"/>
    <s v="CONGO"/>
    <m/>
    <m/>
    <m/>
  </r>
  <r>
    <d v="2021-03-16T00:00:00"/>
    <s v="Retrait especes/appro caisse/bord n°3654434"/>
    <x v="1"/>
    <m/>
    <m/>
    <n v="1000000"/>
    <n v="14349447.99927"/>
    <x v="6"/>
    <n v="3654434"/>
    <x v="0"/>
    <m/>
    <m/>
    <m/>
    <m/>
    <m/>
  </r>
  <r>
    <d v="2021-03-16T00:00:00"/>
    <s v="Reglement Facture de gardiennage mois de février 2021"/>
    <x v="11"/>
    <s v="Office"/>
    <m/>
    <n v="143000"/>
    <n v="14206447.99927"/>
    <x v="6"/>
    <s v="Virement"/>
    <x v="3"/>
    <s v="PALF"/>
    <s v="CONGO"/>
    <m/>
    <m/>
    <m/>
  </r>
  <r>
    <d v="2021-03-16T00:00:00"/>
    <s v="Solde honoraires contrat n°28/Brazzaville/maitre Séverin "/>
    <x v="12"/>
    <s v="Legal"/>
    <m/>
    <n v="300000"/>
    <n v="13906447.99927"/>
    <x v="11"/>
    <n v="3643426"/>
    <x v="1"/>
    <s v="RALFF"/>
    <s v="CONGO"/>
    <s v="RALFF-CO1983"/>
    <s v="5.2.2"/>
    <m/>
  </r>
  <r>
    <d v="2021-03-16T00:00:00"/>
    <s v="Geisner"/>
    <x v="1"/>
    <m/>
    <m/>
    <n v="12000"/>
    <n v="13894447.99927"/>
    <x v="1"/>
    <m/>
    <x v="0"/>
    <m/>
    <m/>
    <m/>
    <m/>
    <m/>
  </r>
  <r>
    <d v="2021-03-16T00:00:00"/>
    <s v="BCI"/>
    <x v="1"/>
    <m/>
    <n v="1000000"/>
    <m/>
    <n v="14894447.99927"/>
    <x v="1"/>
    <m/>
    <x v="0"/>
    <m/>
    <m/>
    <m/>
    <m/>
    <m/>
  </r>
  <r>
    <d v="2021-03-16T00:00:00"/>
    <s v="Geisner"/>
    <x v="1"/>
    <m/>
    <m/>
    <n v="35100"/>
    <n v="14859347.99927"/>
    <x v="1"/>
    <m/>
    <x v="0"/>
    <m/>
    <m/>
    <m/>
    <m/>
    <m/>
  </r>
  <r>
    <d v="2021-03-16T00:00:00"/>
    <s v="Hérick"/>
    <x v="1"/>
    <m/>
    <m/>
    <n v="130000"/>
    <n v="14729347.99927"/>
    <x v="1"/>
    <m/>
    <x v="0"/>
    <m/>
    <m/>
    <m/>
    <m/>
    <m/>
  </r>
  <r>
    <d v="2021-03-16T00:00:00"/>
    <s v="Achat Billet Brazzaville-Dolisie/Evariste"/>
    <x v="6"/>
    <s v="Operations"/>
    <m/>
    <n v="10000"/>
    <n v="14719347.99927"/>
    <x v="10"/>
    <s v="Oui"/>
    <x v="1"/>
    <s v="RALFF"/>
    <s v="CONGO"/>
    <s v="RALFF-CO1984"/>
    <s v="2.2"/>
    <m/>
  </r>
  <r>
    <d v="2021-03-16T00:00:00"/>
    <s v="Récu caisse/Geis"/>
    <x v="1"/>
    <m/>
    <n v="35100"/>
    <m/>
    <n v="14754447.99927"/>
    <x v="8"/>
    <m/>
    <x v="0"/>
    <m/>
    <m/>
    <m/>
    <m/>
    <m/>
  </r>
  <r>
    <d v="2021-03-16T00:00:00"/>
    <s v="Récu caisse/Geis"/>
    <x v="1"/>
    <m/>
    <n v="12000"/>
    <m/>
    <n v="14766447.99927"/>
    <x v="8"/>
    <m/>
    <x v="0"/>
    <m/>
    <m/>
    <m/>
    <m/>
    <m/>
  </r>
  <r>
    <d v="2021-03-16T00:00:00"/>
    <s v="Achat billet Brazzaville-Dolisie/Geis"/>
    <x v="6"/>
    <s v="Operations"/>
    <m/>
    <n v="10000"/>
    <n v="14756447.99927"/>
    <x v="8"/>
    <s v="Oui"/>
    <x v="1"/>
    <s v="RALFF"/>
    <s v="CONGO"/>
    <s v="RALFF-CO1985"/>
    <s v="2.2"/>
    <m/>
  </r>
  <r>
    <d v="2021-03-16T00:00:00"/>
    <s v="Reçu caisse/Hérick"/>
    <x v="1"/>
    <m/>
    <n v="130000"/>
    <m/>
    <n v="14886447.99927"/>
    <x v="12"/>
    <m/>
    <x v="0"/>
    <m/>
    <m/>
    <m/>
    <m/>
    <m/>
  </r>
  <r>
    <d v="2021-03-16T00:00:00"/>
    <s v="Achat Billet Brazzaville-Dolisie/Hérick"/>
    <x v="6"/>
    <s v="Operations"/>
    <m/>
    <n v="10000"/>
    <n v="14876447.99927"/>
    <x v="12"/>
    <s v="Oui"/>
    <x v="1"/>
    <s v="RALFF"/>
    <s v="CONGO"/>
    <s v="RALFF-CO1986"/>
    <s v="2.2"/>
    <m/>
  </r>
  <r>
    <d v="2021-03-16T00:00:00"/>
    <s v="Frais d'Hôtel Ms Owando du 13 au 16/03/P29"/>
    <x v="7"/>
    <s v="Investigation"/>
    <m/>
    <n v="45000"/>
    <n v="14831447.99927"/>
    <x v="4"/>
    <s v="Oui"/>
    <x v="1"/>
    <s v="RALFF"/>
    <s v="CONGO"/>
    <s v="RALFF-CO1987"/>
    <s v="1.3.2"/>
    <m/>
  </r>
  <r>
    <d v="2021-03-16T00:00:00"/>
    <s v="Frais de transport Owando-Boundji-Ewo/P29"/>
    <x v="6"/>
    <s v="Investigation"/>
    <m/>
    <n v="10000"/>
    <n v="14821447.99927"/>
    <x v="4"/>
    <s v="Décharge"/>
    <x v="3"/>
    <s v="PALF"/>
    <s v="CONGO"/>
    <m/>
    <m/>
    <m/>
  </r>
  <r>
    <d v="2021-03-17T00:00:00"/>
    <s v="Crépin"/>
    <x v="1"/>
    <m/>
    <m/>
    <n v="76000"/>
    <n v="14745447.99927"/>
    <x v="1"/>
    <m/>
    <x v="0"/>
    <m/>
    <m/>
    <m/>
    <m/>
    <m/>
  </r>
  <r>
    <d v="2021-03-17T00:00:00"/>
    <s v="Tiffany"/>
    <x v="1"/>
    <m/>
    <m/>
    <n v="76000"/>
    <n v="14669447.99927"/>
    <x v="1"/>
    <m/>
    <x v="0"/>
    <m/>
    <m/>
    <m/>
    <m/>
    <m/>
  </r>
  <r>
    <d v="2021-03-17T00:00:00"/>
    <s v="Evariste"/>
    <x v="1"/>
    <m/>
    <m/>
    <n v="176000"/>
    <n v="14493447.99927"/>
    <x v="1"/>
    <m/>
    <x v="0"/>
    <m/>
    <m/>
    <m/>
    <m/>
    <m/>
  </r>
  <r>
    <d v="2021-03-17T00:00:00"/>
    <s v="Evariste"/>
    <x v="1"/>
    <m/>
    <m/>
    <n v="30000"/>
    <n v="14463447.99927"/>
    <x v="1"/>
    <m/>
    <x v="0"/>
    <m/>
    <m/>
    <m/>
    <m/>
    <m/>
  </r>
  <r>
    <d v="2021-03-17T00:00:00"/>
    <s v=" Frais de transfert charden farell/Evariste"/>
    <x v="8"/>
    <s v="Office"/>
    <m/>
    <n v="5280"/>
    <n v="14458167.99927"/>
    <x v="1"/>
    <s v="Oui"/>
    <x v="1"/>
    <s v="RALFF"/>
    <s v="CONGO"/>
    <s v="RALFF-CO1988"/>
    <s v="5.6"/>
    <m/>
  </r>
  <r>
    <d v="2021-03-17T00:00:00"/>
    <s v="Christian"/>
    <x v="1"/>
    <m/>
    <m/>
    <n v="30000"/>
    <n v="14428167.99927"/>
    <x v="1"/>
    <m/>
    <x v="0"/>
    <m/>
    <m/>
    <m/>
    <m/>
    <m/>
  </r>
  <r>
    <d v="2021-03-17T00:00:00"/>
    <s v="Achat clavier ordinateur bureau"/>
    <x v="10"/>
    <s v="Office"/>
    <m/>
    <n v="25000"/>
    <n v="14403167.99927"/>
    <x v="1"/>
    <s v="Oui"/>
    <x v="1"/>
    <s v="RALFF"/>
    <s v="CONGO"/>
    <s v="RALFF-CO1989"/>
    <s v="4.3"/>
    <m/>
  </r>
  <r>
    <d v="2021-03-17T00:00:00"/>
    <s v="Christian"/>
    <x v="1"/>
    <m/>
    <m/>
    <n v="12000"/>
    <n v="14391167.99927"/>
    <x v="1"/>
    <m/>
    <x v="0"/>
    <m/>
    <m/>
    <m/>
    <m/>
    <m/>
  </r>
  <r>
    <d v="2021-03-17T00:00:00"/>
    <s v="Recu caisse/Christian"/>
    <x v="1"/>
    <m/>
    <n v="30000"/>
    <m/>
    <n v="14421167.99927"/>
    <x v="9"/>
    <m/>
    <x v="0"/>
    <m/>
    <m/>
    <m/>
    <m/>
    <m/>
  </r>
  <r>
    <d v="2021-03-17T00:00:00"/>
    <s v="Recu caisse/Christian"/>
    <x v="1"/>
    <m/>
    <n v="12000"/>
    <m/>
    <n v="14433167.99927"/>
    <x v="9"/>
    <m/>
    <x v="0"/>
    <m/>
    <m/>
    <m/>
    <m/>
    <m/>
  </r>
  <r>
    <d v="2021-03-17T00:00:00"/>
    <s v="Achat biberon,javel,savon et couches pour mandrill"/>
    <x v="7"/>
    <s v="Operations"/>
    <m/>
    <n v="5600"/>
    <n v="14427567.99927"/>
    <x v="9"/>
    <s v="Oui"/>
    <x v="3"/>
    <s v="PALF"/>
    <s v="CONGO"/>
    <m/>
    <m/>
    <m/>
  </r>
  <r>
    <d v="2021-03-17T00:00:00"/>
    <s v="Achat 1 boite lait en poudre(cowbell) pour mandrill"/>
    <x v="7"/>
    <s v="Operations"/>
    <m/>
    <n v="1250"/>
    <n v="14426317.99927"/>
    <x v="9"/>
    <s v="Oui"/>
    <x v="3"/>
    <s v="PALF"/>
    <s v="CONGO"/>
    <m/>
    <m/>
    <m/>
  </r>
  <r>
    <d v="2021-03-17T00:00:00"/>
    <s v="Achat alcool, flagyl comprimé, efferalgan sirop, gants-5 sachets sels"/>
    <x v="7"/>
    <s v="Operations"/>
    <m/>
    <n v="8030"/>
    <n v="14418287.99927"/>
    <x v="9"/>
    <s v="Oui"/>
    <x v="3"/>
    <s v="PALF"/>
    <s v="CONGO"/>
    <m/>
    <m/>
    <m/>
  </r>
  <r>
    <d v="2021-03-17T00:00:00"/>
    <s v="Achat thermometre medical pour le mandrill"/>
    <x v="7"/>
    <s v="Operations"/>
    <m/>
    <n v="1100"/>
    <n v="14417187.99927"/>
    <x v="9"/>
    <s v="Oui"/>
    <x v="3"/>
    <s v="PALF"/>
    <s v="CONGO"/>
    <m/>
    <m/>
    <m/>
  </r>
  <r>
    <d v="2021-03-17T00:00:00"/>
    <s v="Reçu caisse/Crépin"/>
    <x v="1"/>
    <m/>
    <n v="76000"/>
    <m/>
    <n v="14493187.99927"/>
    <x v="7"/>
    <m/>
    <x v="0"/>
    <m/>
    <m/>
    <m/>
    <m/>
    <m/>
  </r>
  <r>
    <d v="2021-03-17T00:00:00"/>
    <s v="Achat billet Brazzaville-Dolisie/Crépin"/>
    <x v="6"/>
    <s v="Operations"/>
    <m/>
    <n v="10000"/>
    <n v="14483187.99927"/>
    <x v="7"/>
    <s v="Oui"/>
    <x v="1"/>
    <s v="RALFF"/>
    <s v="CONGO"/>
    <s v="RALFF-CO1990"/>
    <s v="2.2"/>
    <m/>
  </r>
  <r>
    <d v="2021-03-17T00:00:00"/>
    <s v="Reçu caisse/Evariste"/>
    <x v="1"/>
    <m/>
    <n v="176000"/>
    <m/>
    <n v="14659187.99927"/>
    <x v="10"/>
    <m/>
    <x v="0"/>
    <m/>
    <m/>
    <m/>
    <m/>
    <m/>
  </r>
  <r>
    <d v="2021-03-17T00:00:00"/>
    <s v="Reçu caisse/Evariste"/>
    <x v="1"/>
    <m/>
    <n v="30000"/>
    <m/>
    <n v="14689187.99927"/>
    <x v="10"/>
    <m/>
    <x v="0"/>
    <m/>
    <m/>
    <m/>
    <m/>
    <m/>
  </r>
  <r>
    <d v="2021-03-17T00:00:00"/>
    <s v="Versement à Geisner/Evariste"/>
    <x v="1"/>
    <m/>
    <m/>
    <n v="103000"/>
    <n v="14586187.99927"/>
    <x v="10"/>
    <m/>
    <x v="0"/>
    <m/>
    <m/>
    <m/>
    <m/>
    <m/>
  </r>
  <r>
    <d v="2021-03-17T00:00:00"/>
    <s v="Food allowance Ms OP à Dolisie du 17 au 22/3/2021/Evariste"/>
    <x v="7"/>
    <s v="Operations"/>
    <m/>
    <n v="50000"/>
    <n v="14536187.99927"/>
    <x v="10"/>
    <s v="Décharge"/>
    <x v="1"/>
    <s v="RALFF"/>
    <s v="CONGO"/>
    <s v="RALFF-CO1991"/>
    <s v="1.3.2"/>
    <m/>
  </r>
  <r>
    <d v="2021-03-17T00:00:00"/>
    <s v="Frais d'Hôtel Ms OP à Dolisie du 17 au 18  mars 2021 à 23heures/Geis"/>
    <x v="7"/>
    <s v="Operations"/>
    <m/>
    <n v="30000"/>
    <n v="14506187.99927"/>
    <x v="8"/>
    <s v="Oui"/>
    <x v="1"/>
    <s v="RALFF"/>
    <s v="CONGO"/>
    <s v="RALFF-CO1992"/>
    <s v="1.3.2"/>
    <m/>
  </r>
  <r>
    <d v="2021-03-17T00:00:00"/>
    <s v="Food allowance Ms OP à Dolisie du 17 au 22 mars/Geis"/>
    <x v="7"/>
    <s v="Operations"/>
    <m/>
    <n v="50000"/>
    <n v="14456187.99927"/>
    <x v="8"/>
    <s v="Décharge"/>
    <x v="1"/>
    <s v="RALFF"/>
    <s v="CONGO"/>
    <s v="RALFF-CO1993"/>
    <s v="1.3.2"/>
    <m/>
  </r>
  <r>
    <d v="2021-03-17T00:00:00"/>
    <s v="Frais d'Hôtel  du 15 au 17 mars 2021/Mission A Mossendjo/I23C"/>
    <x v="7"/>
    <s v="Investigation"/>
    <m/>
    <n v="30000"/>
    <n v="14426187.99927"/>
    <x v="2"/>
    <s v="Oui"/>
    <x v="1"/>
    <s v="RALFF"/>
    <s v="CONGO"/>
    <s v="RALFF-CO1994"/>
    <s v="1.3.2"/>
    <m/>
  </r>
  <r>
    <d v="2021-03-17T00:00:00"/>
    <s v="Frais transport Mossendjo-Dolisie/I23C"/>
    <x v="6"/>
    <s v="Investigation"/>
    <m/>
    <n v="15000"/>
    <n v="14411187.99927"/>
    <x v="2"/>
    <s v="Oui"/>
    <x v="3"/>
    <s v="PALF"/>
    <s v="CONGO"/>
    <m/>
    <m/>
    <m/>
  </r>
  <r>
    <d v="2021-03-17T00:00:00"/>
    <s v="Reçu caisse/Tiffany"/>
    <x v="1"/>
    <m/>
    <n v="160000"/>
    <m/>
    <n v="14571187.99927"/>
    <x v="13"/>
    <m/>
    <x v="0"/>
    <m/>
    <m/>
    <m/>
    <m/>
    <m/>
  </r>
  <r>
    <d v="2021-03-17T00:00:00"/>
    <s v="Reçu caisse/Tiffany"/>
    <x v="1"/>
    <m/>
    <n v="76000"/>
    <m/>
    <n v="14647187.99927"/>
    <x v="13"/>
    <m/>
    <x v="0"/>
    <m/>
    <m/>
    <m/>
    <m/>
    <m/>
  </r>
  <r>
    <d v="2021-03-17T00:00:00"/>
    <s v="Achat billet Brazzaville- Dolisie/Tiffany"/>
    <x v="6"/>
    <s v="Operations"/>
    <m/>
    <n v="10000"/>
    <n v="14637187.99927"/>
    <x v="13"/>
    <s v="Oui"/>
    <x v="1"/>
    <s v="RALFF"/>
    <s v="CONGO"/>
    <s v="RALFF-CO1995"/>
    <s v="2.2"/>
    <m/>
  </r>
  <r>
    <d v="2021-03-18T00:00:00"/>
    <s v="Retrait especes/appro caisse/bord n°3654436"/>
    <x v="1"/>
    <m/>
    <m/>
    <n v="1000000"/>
    <n v="13637187.99927"/>
    <x v="6"/>
    <n v="3654436"/>
    <x v="0"/>
    <m/>
    <m/>
    <m/>
    <m/>
    <m/>
  </r>
  <r>
    <d v="2021-03-18T00:00:00"/>
    <s v="Reglement fact Agence pluriel solutions/ loyer PALF MARS 2021"/>
    <x v="14"/>
    <s v="Office"/>
    <m/>
    <n v="500000"/>
    <n v="13137187.99927"/>
    <x v="11"/>
    <s v="Virement"/>
    <x v="1"/>
    <s v="RALFF"/>
    <s v="CONGO"/>
    <s v="RALFF-CO1996"/>
    <s v="4.2"/>
    <m/>
  </r>
  <r>
    <d v="2021-03-18T00:00:00"/>
    <s v="Christian"/>
    <x v="1"/>
    <m/>
    <m/>
    <n v="30000"/>
    <n v="13107187.99927"/>
    <x v="1"/>
    <m/>
    <x v="0"/>
    <m/>
    <m/>
    <m/>
    <m/>
    <m/>
  </r>
  <r>
    <d v="2021-03-18T00:00:00"/>
    <s v="P29"/>
    <x v="1"/>
    <m/>
    <m/>
    <n v="29000"/>
    <n v="13078187.99927"/>
    <x v="1"/>
    <m/>
    <x v="0"/>
    <m/>
    <m/>
    <m/>
    <m/>
    <m/>
  </r>
  <r>
    <d v="2021-03-18T00:00:00"/>
    <s v=" Frais de transfert charden farell/P29"/>
    <x v="8"/>
    <s v="Office"/>
    <m/>
    <n v="870"/>
    <n v="13077317.99927"/>
    <x v="1"/>
    <s v="Oui"/>
    <x v="1"/>
    <s v="RALFF"/>
    <s v="CONGO"/>
    <s v="RALFF-CO1997"/>
    <s v="5.6"/>
    <m/>
  </r>
  <r>
    <d v="2021-03-18T00:00:00"/>
    <s v="Merveille"/>
    <x v="1"/>
    <m/>
    <m/>
    <n v="10000"/>
    <n v="13067317.99927"/>
    <x v="1"/>
    <m/>
    <x v="0"/>
    <m/>
    <m/>
    <m/>
    <m/>
    <m/>
  </r>
  <r>
    <d v="2021-03-18T00:00:00"/>
    <s v="BCI"/>
    <x v="1"/>
    <m/>
    <n v="1000000"/>
    <m/>
    <n v="14067317.99927"/>
    <x v="1"/>
    <m/>
    <x v="0"/>
    <m/>
    <m/>
    <m/>
    <m/>
    <m/>
  </r>
  <r>
    <d v="2021-03-18T00:00:00"/>
    <s v="Recu caisse/Christian"/>
    <x v="1"/>
    <m/>
    <n v="30000"/>
    <m/>
    <n v="14097317.99927"/>
    <x v="9"/>
    <m/>
    <x v="0"/>
    <m/>
    <m/>
    <m/>
    <m/>
    <m/>
  </r>
  <r>
    <d v="2021-03-18T00:00:00"/>
    <s v="Food Allowance Ms OP à Dolisie du 18 au 25/03/2021/Crépin"/>
    <x v="7"/>
    <s v="Operations"/>
    <m/>
    <n v="70000"/>
    <n v="14027317.99927"/>
    <x v="7"/>
    <s v="Décharge"/>
    <x v="1"/>
    <s v="RALFF"/>
    <s v="CONGO"/>
    <s v="RALFF-CO1998"/>
    <s v="1.3.2"/>
    <m/>
  </r>
  <r>
    <d v="2021-03-18T00:00:00"/>
    <s v="Frais d'Hôtel Ms OP à Dolisie du 17 au 18/03/21/Evariste"/>
    <x v="7"/>
    <s v="Operations"/>
    <m/>
    <n v="15000"/>
    <n v="14012317.99927"/>
    <x v="10"/>
    <s v="Oui"/>
    <x v="1"/>
    <s v="RALFF"/>
    <s v="CONGO"/>
    <s v="RALFF-CO1999"/>
    <s v="1.3.2"/>
    <m/>
  </r>
  <r>
    <d v="2021-03-18T00:00:00"/>
    <s v="Reçu caisse Evariste/Geis"/>
    <x v="1"/>
    <m/>
    <n v="103000"/>
    <m/>
    <n v="14115317.99927"/>
    <x v="8"/>
    <m/>
    <x v="0"/>
    <m/>
    <m/>
    <m/>
    <m/>
    <m/>
  </r>
  <r>
    <d v="2021-03-18T00:00:00"/>
    <s v="Frais d'Hôtel Ms OP à Dolisie du 17 au 18 mars/Hérick"/>
    <x v="7"/>
    <s v="Operations"/>
    <m/>
    <n v="15000"/>
    <n v="14100317.99927"/>
    <x v="12"/>
    <s v="Oui"/>
    <x v="1"/>
    <s v="RALFF"/>
    <s v="CONGO"/>
    <s v="RALFF-CO2000"/>
    <s v="1.3.2"/>
    <m/>
  </r>
  <r>
    <d v="2021-03-18T00:00:00"/>
    <s v="Recu caisse/P29"/>
    <x v="1"/>
    <m/>
    <n v="29000"/>
    <m/>
    <n v="14129317.99927"/>
    <x v="4"/>
    <m/>
    <x v="0"/>
    <m/>
    <m/>
    <m/>
    <m/>
    <m/>
  </r>
  <r>
    <d v="2021-03-18T00:00:00"/>
    <s v="Supplement bagage cage"/>
    <x v="6"/>
    <s v="Operations"/>
    <m/>
    <n v="2000"/>
    <n v="14127317.99927"/>
    <x v="13"/>
    <s v="Oui"/>
    <x v="1"/>
    <s v="RALFF"/>
    <s v="CONGO"/>
    <s v="RALFF-CO2001"/>
    <s v="2.2"/>
    <m/>
  </r>
  <r>
    <d v="2021-03-18T00:00:00"/>
    <s v="Food allowance Ms OP à Dolisie du 18 au 23/03/21/Tiffany"/>
    <x v="7"/>
    <s v="Operations"/>
    <m/>
    <n v="50000"/>
    <n v="14077317.99927"/>
    <x v="13"/>
    <s v="Décharge"/>
    <x v="1"/>
    <s v="RALFF"/>
    <s v="CONGO"/>
    <s v="RALFF-CO2002"/>
    <s v="1.3.2"/>
    <m/>
  </r>
  <r>
    <d v="2021-03-19T00:00:00"/>
    <s v="Fond Reçu de UE"/>
    <x v="16"/>
    <m/>
    <n v="28506579"/>
    <m/>
    <n v="42583896.99927"/>
    <x v="11"/>
    <s v="Relevé"/>
    <x v="1"/>
    <s v="RALFF"/>
    <s v="CONGO"/>
    <m/>
    <m/>
    <m/>
  </r>
  <r>
    <d v="2021-03-19T00:00:00"/>
    <s v="Tiffany"/>
    <x v="1"/>
    <m/>
    <m/>
    <n v="160000"/>
    <n v="42423896.99927"/>
    <x v="1"/>
    <m/>
    <x v="0"/>
    <m/>
    <m/>
    <m/>
    <m/>
    <m/>
  </r>
  <r>
    <d v="2021-03-19T00:00:00"/>
    <s v="I23c"/>
    <x v="1"/>
    <m/>
    <m/>
    <n v="156000"/>
    <n v="42267896.99927"/>
    <x v="1"/>
    <m/>
    <x v="0"/>
    <m/>
    <m/>
    <m/>
    <m/>
    <m/>
  </r>
  <r>
    <d v="2021-03-19T00:00:00"/>
    <s v="Frais de transfert charden farell/I23c"/>
    <x v="8"/>
    <s v="Office"/>
    <m/>
    <n v="4680"/>
    <n v="42263216.99927"/>
    <x v="1"/>
    <s v="Oui"/>
    <x v="1"/>
    <s v="RALFF"/>
    <s v="CONGO"/>
    <s v="RALFF-CO2003"/>
    <s v="5.6"/>
    <m/>
  </r>
  <r>
    <d v="2021-03-19T00:00:00"/>
    <s v="Recu caisse/Christian"/>
    <x v="1"/>
    <m/>
    <n v="20000"/>
    <m/>
    <n v="42283216.99927"/>
    <x v="9"/>
    <m/>
    <x v="0"/>
    <m/>
    <m/>
    <m/>
    <m/>
    <m/>
  </r>
  <r>
    <d v="2021-03-19T00:00:00"/>
    <s v="Achat des produit pharmaceutique pour le prévenu Robert"/>
    <x v="5"/>
    <s v="Legal"/>
    <m/>
    <n v="10815"/>
    <n v="42272401.99927"/>
    <x v="9"/>
    <s v="Oui"/>
    <x v="3"/>
    <s v="PALF"/>
    <s v="CONGO"/>
    <m/>
    <m/>
    <m/>
  </r>
  <r>
    <d v="2021-03-19T00:00:00"/>
    <s v="Frais  consultation et certificat médical pour le prévenu Robert à BZV"/>
    <x v="5"/>
    <s v="Legal"/>
    <m/>
    <n v="30000"/>
    <n v="42242401.99927"/>
    <x v="9"/>
    <s v="Oui"/>
    <x v="3"/>
    <s v="PALF"/>
    <s v="CONGO"/>
    <m/>
    <m/>
    <m/>
  </r>
  <r>
    <d v="2021-03-19T00:00:00"/>
    <s v="Cumul frais de 4 Prévenus à Brazzaville/Christian"/>
    <x v="5"/>
    <s v="Legal"/>
    <m/>
    <n v="12000"/>
    <n v="42230401.99927"/>
    <x v="9"/>
    <s v="Décharge"/>
    <x v="3"/>
    <s v="PALF"/>
    <s v="CONGO"/>
    <m/>
    <m/>
    <m/>
  </r>
  <r>
    <d v="2021-03-19T00:00:00"/>
    <s v="Frais achat jus  pour les gendarmes"/>
    <x v="17"/>
    <s v="Operations"/>
    <m/>
    <n v="1000"/>
    <n v="42229401.99927"/>
    <x v="7"/>
    <s v="Décharge"/>
    <x v="3"/>
    <s v="PALF"/>
    <s v="CONGO"/>
    <m/>
    <m/>
    <m/>
  </r>
  <r>
    <d v="2021-03-19T00:00:00"/>
    <s v="Frais achat jus  pour les gendarmes"/>
    <x v="17"/>
    <s v="Operations"/>
    <m/>
    <n v="1000"/>
    <n v="42228401.99927"/>
    <x v="8"/>
    <s v="Décharge"/>
    <x v="3"/>
    <s v="PALF"/>
    <s v="CONGO"/>
    <m/>
    <m/>
    <m/>
  </r>
  <r>
    <d v="2021-03-19T00:00:00"/>
    <s v="Reçu caisseTiffany/Evariste"/>
    <x v="1"/>
    <m/>
    <n v="2000"/>
    <m/>
    <n v="42230401.99927"/>
    <x v="10"/>
    <m/>
    <x v="0"/>
    <m/>
    <m/>
    <m/>
    <m/>
    <m/>
  </r>
  <r>
    <d v="2021-03-19T00:00:00"/>
    <s v=" Frais achat jus pour les gendarmes"/>
    <x v="17"/>
    <s v="Operations"/>
    <m/>
    <n v="2000"/>
    <n v="42228401.99927"/>
    <x v="10"/>
    <s v="Décharge"/>
    <x v="3"/>
    <s v="PALF"/>
    <s v="CONGO"/>
    <m/>
    <m/>
    <m/>
  </r>
  <r>
    <d v="2021-03-19T00:00:00"/>
    <s v="Achat banana-Eau minérale pour Mandrill/Evariste"/>
    <x v="7"/>
    <s v="Operations"/>
    <m/>
    <n v="1000"/>
    <n v="42227401.99927"/>
    <x v="10"/>
    <s v="Décharge"/>
    <x v="3"/>
    <s v="PALF"/>
    <s v="CONGO"/>
    <m/>
    <m/>
    <m/>
  </r>
  <r>
    <d v="2021-03-19T00:00:00"/>
    <s v="Reçu caisse tiffany/Geis"/>
    <x v="1"/>
    <m/>
    <n v="1000"/>
    <m/>
    <n v="42228401.99927"/>
    <x v="8"/>
    <m/>
    <x v="0"/>
    <m/>
    <m/>
    <m/>
    <m/>
    <m/>
  </r>
  <r>
    <d v="2021-03-19T00:00:00"/>
    <s v="achat couverture,Pour Mandrill"/>
    <x v="7"/>
    <s v="Operations"/>
    <m/>
    <n v="15000"/>
    <n v="42213401.99927"/>
    <x v="8"/>
    <s v="Oui"/>
    <x v="3"/>
    <s v="PALF"/>
    <s v="CONGO"/>
    <m/>
    <m/>
    <m/>
  </r>
  <r>
    <d v="2021-03-19T00:00:00"/>
    <s v="Achat papaye pastèque pour le Mandrill"/>
    <x v="7"/>
    <s v="Operations"/>
    <m/>
    <n v="2000"/>
    <n v="42211401.99927"/>
    <x v="8"/>
    <s v="Décharge"/>
    <x v="3"/>
    <s v="PALF"/>
    <s v="CONGO"/>
    <m/>
    <m/>
    <m/>
  </r>
  <r>
    <d v="2021-03-19T00:00:00"/>
    <s v="Reçu caisse I23C/Geis"/>
    <x v="1"/>
    <m/>
    <n v="28000"/>
    <m/>
    <n v="42239401.99927"/>
    <x v="8"/>
    <m/>
    <x v="0"/>
    <m/>
    <m/>
    <m/>
    <m/>
    <m/>
  </r>
  <r>
    <d v="2021-03-19T00:00:00"/>
    <s v="Frais d'Hôtel OP à Dolisie du 18 au 20/03/2021/Geis"/>
    <x v="7"/>
    <s v="Operations"/>
    <m/>
    <n v="70000"/>
    <n v="42169401.99927"/>
    <x v="8"/>
    <s v="Oui"/>
    <x v="1"/>
    <s v="RALFF"/>
    <s v="CONGO"/>
    <s v="RALFF-CO2004"/>
    <s v="1.3.2"/>
    <m/>
  </r>
  <r>
    <d v="2021-03-19T00:00:00"/>
    <s v="Frais d'Etablissement la grosse cas IBONGA "/>
    <x v="18"/>
    <s v="Legal"/>
    <m/>
    <n v="50000"/>
    <n v="42119401.99927"/>
    <x v="12"/>
    <s v="Décharge"/>
    <x v="3"/>
    <s v="PALF"/>
    <s v="CONGO"/>
    <m/>
    <m/>
    <m/>
  </r>
  <r>
    <d v="2021-03-19T00:00:00"/>
    <s v="Frais achat Jus avec les EF en civil au restaurant"/>
    <x v="17"/>
    <s v="Operations"/>
    <m/>
    <n v="1500"/>
    <n v="42117901.99927"/>
    <x v="12"/>
    <s v="Décharge"/>
    <x v="3"/>
    <s v="PALF"/>
    <s v="CONGO"/>
    <m/>
    <m/>
    <m/>
  </r>
  <r>
    <d v="2021-03-19T00:00:00"/>
    <s v="Réçu caisse/I23C"/>
    <x v="1"/>
    <m/>
    <n v="156000"/>
    <m/>
    <n v="42273901.99927"/>
    <x v="2"/>
    <m/>
    <x v="0"/>
    <m/>
    <m/>
    <m/>
    <m/>
    <m/>
  </r>
  <r>
    <d v="2021-03-19T00:00:00"/>
    <s v="Versement à Geis/I23C"/>
    <x v="1"/>
    <m/>
    <m/>
    <n v="28000"/>
    <n v="42245901.99927"/>
    <x v="2"/>
    <m/>
    <x v="0"/>
    <m/>
    <m/>
    <m/>
    <m/>
    <m/>
  </r>
  <r>
    <d v="2021-03-19T00:00:00"/>
    <s v="Frais d'Hôtel  du 18 au 20 mars /I23C"/>
    <x v="7"/>
    <s v="Operations"/>
    <m/>
    <n v="70000"/>
    <n v="42175901.99927"/>
    <x v="2"/>
    <s v="Oui"/>
    <x v="3"/>
    <s v="PALF"/>
    <s v="CONGO"/>
    <m/>
    <m/>
    <m/>
  </r>
  <r>
    <d v="2021-03-19T00:00:00"/>
    <s v="Frais d'Hôtel du 17 au 20 mars /I23C"/>
    <x v="7"/>
    <s v="Operations"/>
    <m/>
    <n v="45000"/>
    <n v="42130901.99927"/>
    <x v="2"/>
    <s v="Oui"/>
    <x v="1"/>
    <s v="RALFF"/>
    <s v="CONGO"/>
    <s v="RALFF-CO2005"/>
    <s v="1.3.2"/>
    <m/>
  </r>
  <r>
    <d v="2021-03-19T00:00:00"/>
    <s v="Frais de transport  Dolisie-Nkayi/ I23C"/>
    <x v="6"/>
    <s v="Operations"/>
    <m/>
    <n v="30000"/>
    <n v="42100901.99927"/>
    <x v="2"/>
    <s v="Oui"/>
    <x v="3"/>
    <s v="PALF"/>
    <s v="CONGO"/>
    <m/>
    <m/>
    <m/>
  </r>
  <r>
    <d v="2021-03-19T00:00:00"/>
    <s v="Achat billet Ewo-Brazzaville/P29"/>
    <x v="6"/>
    <s v="Investigation"/>
    <m/>
    <n v="15000"/>
    <n v="42085901.99927"/>
    <x v="4"/>
    <s v="Oui"/>
    <x v="1"/>
    <s v="RALFF"/>
    <s v="CONGO"/>
    <s v="RALFF-CO2006"/>
    <s v="2.2"/>
    <m/>
  </r>
  <r>
    <d v="2021-03-19T00:00:00"/>
    <s v="Reçu caisse/Merveille"/>
    <x v="1"/>
    <m/>
    <n v="10000"/>
    <m/>
    <n v="42095901.99927"/>
    <x v="5"/>
    <m/>
    <x v="0"/>
    <m/>
    <m/>
    <m/>
    <m/>
    <m/>
  </r>
  <r>
    <d v="2021-03-19T00:00:00"/>
    <s v="Achat boissons au Gendarme en civil"/>
    <x v="17"/>
    <s v="Operations"/>
    <m/>
    <n v="2000"/>
    <n v="42093901.99927"/>
    <x v="13"/>
    <s v="Oui"/>
    <x v="3"/>
    <s v="PALF"/>
    <s v="CONGO"/>
    <m/>
    <m/>
    <m/>
  </r>
  <r>
    <d v="2021-03-19T00:00:00"/>
    <s v="Versement à Evariste/Tiffany"/>
    <x v="1"/>
    <m/>
    <m/>
    <n v="2000"/>
    <n v="42091901.99927"/>
    <x v="13"/>
    <m/>
    <x v="0"/>
    <m/>
    <m/>
    <m/>
    <m/>
    <m/>
  </r>
  <r>
    <d v="2021-03-19T00:00:00"/>
    <s v="Versement  à Geisner/Tiffany"/>
    <x v="1"/>
    <m/>
    <m/>
    <n v="1000"/>
    <n v="42090901.99927"/>
    <x v="13"/>
    <m/>
    <x v="0"/>
    <m/>
    <m/>
    <m/>
    <m/>
    <m/>
  </r>
  <r>
    <d v="2021-03-20T00:00:00"/>
    <s v="Evariste"/>
    <x v="1"/>
    <m/>
    <m/>
    <n v="482000"/>
    <n v="41608901.99927"/>
    <x v="1"/>
    <m/>
    <x v="0"/>
    <m/>
    <m/>
    <m/>
    <m/>
    <m/>
  </r>
  <r>
    <d v="2021-03-20T00:00:00"/>
    <s v="Frais de transfert charden farell/Evariste"/>
    <x v="8"/>
    <s v="Office"/>
    <m/>
    <n v="14460"/>
    <n v="41594441.99927"/>
    <x v="1"/>
    <s v="Oui"/>
    <x v="1"/>
    <s v="RALFF"/>
    <s v="CONGO"/>
    <s v="RALFF-CO2007"/>
    <s v="5.6"/>
    <m/>
  </r>
  <r>
    <d v="2021-03-20T00:00:00"/>
    <s v="Christian"/>
    <x v="1"/>
    <m/>
    <m/>
    <n v="20000"/>
    <n v="41574441.99927"/>
    <x v="1"/>
    <m/>
    <x v="0"/>
    <m/>
    <m/>
    <m/>
    <m/>
    <m/>
  </r>
  <r>
    <d v="2021-03-20T00:00:00"/>
    <s v="Frais d'Hôtel Ms OP à Dolisie  du 18 au 20/03/2021 /Crépin"/>
    <x v="7"/>
    <s v="Operations"/>
    <m/>
    <n v="30000"/>
    <n v="41544441.99927"/>
    <x v="7"/>
    <s v="Oui"/>
    <x v="1"/>
    <s v="RALFF"/>
    <s v="CONGO"/>
    <s v="RALFF-CO2008"/>
    <s v="1.3.2"/>
    <m/>
  </r>
  <r>
    <d v="2021-03-20T00:00:00"/>
    <s v="Reçu caisse/Evariste"/>
    <x v="1"/>
    <m/>
    <n v="482000"/>
    <m/>
    <n v="42026441.99927"/>
    <x v="10"/>
    <m/>
    <x v="0"/>
    <m/>
    <m/>
    <m/>
    <m/>
    <m/>
  </r>
  <r>
    <d v="2021-03-20T00:00:00"/>
    <s v="Versement  à Tiffany/Evariste"/>
    <x v="1"/>
    <m/>
    <m/>
    <n v="91000"/>
    <n v="41935441.99927"/>
    <x v="10"/>
    <m/>
    <x v="0"/>
    <m/>
    <m/>
    <m/>
    <m/>
    <m/>
  </r>
  <r>
    <d v="2021-03-20T00:00:00"/>
    <s v="Versement  à Geisner/Evariste"/>
    <x v="1"/>
    <m/>
    <m/>
    <n v="137000"/>
    <n v="41798441.99927"/>
    <x v="10"/>
    <m/>
    <x v="0"/>
    <m/>
    <m/>
    <m/>
    <m/>
    <m/>
  </r>
  <r>
    <d v="2021-03-20T00:00:00"/>
    <s v="Versement  à Hérick/Evariste"/>
    <x v="1"/>
    <m/>
    <m/>
    <n v="101000"/>
    <n v="41697441.99927"/>
    <x v="10"/>
    <m/>
    <x v="0"/>
    <m/>
    <m/>
    <m/>
    <m/>
    <m/>
  </r>
  <r>
    <d v="2021-03-20T00:00:00"/>
    <s v="Versement à Crépin/Evariste"/>
    <x v="1"/>
    <m/>
    <m/>
    <n v="91000"/>
    <n v="41606441.99927"/>
    <x v="10"/>
    <m/>
    <x v="0"/>
    <m/>
    <m/>
    <m/>
    <m/>
    <m/>
  </r>
  <r>
    <d v="2021-03-20T00:00:00"/>
    <s v="achat coartem et thermometre"/>
    <x v="5"/>
    <s v="Legal"/>
    <m/>
    <n v="4760"/>
    <n v="41601681.99927"/>
    <x v="8"/>
    <s v="Décharge"/>
    <x v="3"/>
    <s v="PALF"/>
    <s v="CONGO"/>
    <m/>
    <m/>
    <m/>
  </r>
  <r>
    <d v="2021-03-20T00:00:00"/>
    <s v="Récu caisse Evariste /Geis"/>
    <x v="1"/>
    <m/>
    <n v="137000"/>
    <m/>
    <n v="41738681.99927"/>
    <x v="8"/>
    <m/>
    <x v="0"/>
    <m/>
    <m/>
    <m/>
    <m/>
    <m/>
  </r>
  <r>
    <d v="2021-03-20T00:00:00"/>
    <s v="Frais d'Hôtel du 19 au 20 mars à Nkayi/I23C"/>
    <x v="7"/>
    <s v="Operations"/>
    <m/>
    <n v="15000"/>
    <n v="41723681.99927"/>
    <x v="2"/>
    <s v="Oui"/>
    <x v="1"/>
    <s v="RALFF"/>
    <s v="CONGO"/>
    <s v="RALFF-CO2009"/>
    <s v="1.3.2"/>
    <m/>
  </r>
  <r>
    <d v="2021-03-20T00:00:00"/>
    <s v="Achat billet Nkayi-Brazzaville "/>
    <x v="6"/>
    <s v="Investigation"/>
    <m/>
    <n v="8000"/>
    <n v="41715681.99927"/>
    <x v="2"/>
    <s v="Oui"/>
    <x v="1"/>
    <s v="RALFF"/>
    <s v="CONGO"/>
    <s v="RALFF-CO2010"/>
    <s v="2.2"/>
    <m/>
  </r>
  <r>
    <d v="2021-03-20T00:00:00"/>
    <s v="Frais d'Hôtel Ms Ewo du 16 au 20/03/P29"/>
    <x v="7"/>
    <s v="Investigation"/>
    <m/>
    <n v="60000"/>
    <n v="41655681.99927"/>
    <x v="4"/>
    <s v="Décharge"/>
    <x v="1"/>
    <s v="RALFF"/>
    <s v="CONGO"/>
    <s v="RALFF-CO2011"/>
    <s v="1.3.2"/>
    <m/>
  </r>
  <r>
    <d v="2021-03-20T00:00:00"/>
    <s v="Cumul frais transport local mois de Mars  2021/Ted"/>
    <x v="6"/>
    <s v="Management"/>
    <m/>
    <n v="4000"/>
    <n v="41651681.99927"/>
    <x v="14"/>
    <s v="Décharge"/>
    <x v="1"/>
    <s v="RALFF"/>
    <s v="CONGO"/>
    <s v="RALFF-CO2012"/>
    <s v="2.2"/>
    <m/>
  </r>
  <r>
    <d v="2021-03-20T00:00:00"/>
    <s v="Reçu caisse Evariste/Tiffany"/>
    <x v="1"/>
    <m/>
    <n v="91000"/>
    <m/>
    <n v="41742681.99927"/>
    <x v="13"/>
    <m/>
    <x v="0"/>
    <m/>
    <m/>
    <m/>
    <m/>
    <m/>
  </r>
  <r>
    <d v="2021-03-20T00:00:00"/>
    <s v="Bonus Opération 8 agents de la gendarmerie"/>
    <x v="4"/>
    <s v="Operations"/>
    <m/>
    <n v="80000"/>
    <n v="41662681.99927"/>
    <x v="13"/>
    <s v="Oui"/>
    <x v="3"/>
    <s v="PALF"/>
    <s v="CONGO"/>
    <m/>
    <m/>
    <m/>
  </r>
  <r>
    <d v="2021-03-20T00:00:00"/>
    <s v="Bonus Opération 5 agents des EF"/>
    <x v="4"/>
    <s v="Operations"/>
    <m/>
    <n v="50000"/>
    <n v="41612681.99927"/>
    <x v="13"/>
    <s v="Oui"/>
    <x v="3"/>
    <s v="PALF"/>
    <s v="CONGO"/>
    <m/>
    <m/>
    <m/>
  </r>
  <r>
    <d v="2021-03-21T00:00:00"/>
    <s v="Frais d'Hôtel Ms OP à Dolisie du 18 au 22/03/21/Evariste"/>
    <x v="7"/>
    <s v="Operations"/>
    <m/>
    <n v="60000"/>
    <n v="41552681.99927"/>
    <x v="10"/>
    <s v="Oui"/>
    <x v="1"/>
    <s v="RALFF"/>
    <s v="CONGO"/>
    <s v="RALFF-CO2013"/>
    <s v="1.3.2"/>
    <m/>
  </r>
  <r>
    <d v="2021-03-21T00:00:00"/>
    <s v="Frais d'Hôtel Ms OP à Dolisie du 19 au 22 mars /Geis"/>
    <x v="7"/>
    <s v="Operations"/>
    <m/>
    <n v="45000"/>
    <n v="41507681.99927"/>
    <x v="8"/>
    <s v="Oui"/>
    <x v="1"/>
    <s v="RALFF"/>
    <s v="CONGO"/>
    <s v="RALFF-CO2014"/>
    <s v="1.3.2"/>
    <m/>
  </r>
  <r>
    <d v="2021-03-22T00:00:00"/>
    <s v="Jack-Bénisson"/>
    <x v="1"/>
    <m/>
    <m/>
    <n v="10000"/>
    <n v="41497681.99927"/>
    <x v="1"/>
    <m/>
    <x v="0"/>
    <m/>
    <m/>
    <m/>
    <m/>
    <m/>
  </r>
  <r>
    <d v="2021-03-22T00:00:00"/>
    <s v="Christian"/>
    <x v="1"/>
    <m/>
    <m/>
    <n v="99000"/>
    <n v="41398681.99927"/>
    <x v="1"/>
    <m/>
    <x v="0"/>
    <m/>
    <m/>
    <m/>
    <m/>
    <m/>
  </r>
  <r>
    <d v="2021-03-22T00:00:00"/>
    <s v="Achat crédit téléphonique/Hérick,Crépin,Tiffany"/>
    <x v="3"/>
    <s v="Office"/>
    <m/>
    <n v="15000"/>
    <n v="41383681.99927"/>
    <x v="1"/>
    <s v="Oui"/>
    <x v="3"/>
    <s v="PALF"/>
    <s v="CONGO"/>
    <m/>
    <m/>
    <m/>
  </r>
  <r>
    <d v="2021-03-22T00:00:00"/>
    <s v="Hérick"/>
    <x v="1"/>
    <m/>
    <m/>
    <n v="149000"/>
    <n v="41234681.99927"/>
    <x v="1"/>
    <m/>
    <x v="0"/>
    <m/>
    <m/>
    <m/>
    <m/>
    <m/>
  </r>
  <r>
    <d v="2021-03-22T00:00:00"/>
    <s v="Frais de transfert charden farell/Hérick"/>
    <x v="8"/>
    <s v="Office"/>
    <m/>
    <n v="4470"/>
    <n v="41230211.99927"/>
    <x v="1"/>
    <s v="Oui"/>
    <x v="1"/>
    <s v="RALFF"/>
    <s v="CONGO"/>
    <s v="RALFF-CO2015"/>
    <s v="5.6"/>
    <m/>
  </r>
  <r>
    <d v="2021-03-22T00:00:00"/>
    <s v="Recu caisse/Christian"/>
    <x v="1"/>
    <m/>
    <n v="99000"/>
    <m/>
    <n v="41329211.99927"/>
    <x v="9"/>
    <m/>
    <x v="0"/>
    <m/>
    <m/>
    <m/>
    <m/>
    <m/>
  </r>
  <r>
    <d v="2021-03-22T00:00:00"/>
    <s v="Achat Billet Brazzaville-Ouesso/Christian"/>
    <x v="6"/>
    <s v="Legal"/>
    <m/>
    <n v="20000"/>
    <n v="41309211.99927"/>
    <x v="9"/>
    <s v="Oui"/>
    <x v="1"/>
    <s v="RALFF"/>
    <s v="CONGO"/>
    <s v="RALFF-CO2016"/>
    <s v="2.2"/>
    <m/>
  </r>
  <r>
    <d v="2021-03-22T00:00:00"/>
    <s v="Achat rames de papier et chemises cartonnées pour la procédures Gendarmerie"/>
    <x v="9"/>
    <s v="Legal"/>
    <m/>
    <n v="7500"/>
    <n v="41301711.99927"/>
    <x v="7"/>
    <s v="Oui"/>
    <x v="1"/>
    <s v="RALFF"/>
    <s v="CONGO"/>
    <s v="RALFF-CO2017"/>
    <s v="4.3"/>
    <m/>
  </r>
  <r>
    <d v="2021-03-22T00:00:00"/>
    <s v="Reçu caisse tiffany/Crépin"/>
    <x v="1"/>
    <m/>
    <n v="25000"/>
    <m/>
    <n v="41326711.99927"/>
    <x v="7"/>
    <m/>
    <x v="0"/>
    <m/>
    <m/>
    <m/>
    <m/>
    <m/>
  </r>
  <r>
    <d v="2021-03-22T00:00:00"/>
    <s v="Reçu caisse Evariste/Crépin"/>
    <x v="1"/>
    <m/>
    <n v="91000"/>
    <m/>
    <n v="41417711.99927"/>
    <x v="7"/>
    <m/>
    <x v="0"/>
    <m/>
    <m/>
    <m/>
    <m/>
    <m/>
  </r>
  <r>
    <d v="2021-03-22T00:00:00"/>
    <s v="Reçu caisse Hérick/Crépin"/>
    <x v="1"/>
    <m/>
    <n v="62000"/>
    <m/>
    <n v="41479711.99927"/>
    <x v="7"/>
    <m/>
    <x v="0"/>
    <m/>
    <m/>
    <m/>
    <m/>
    <m/>
  </r>
  <r>
    <d v="2021-03-22T00:00:00"/>
    <s v="Achat Billet Dolisie-Brazzaville/Evariste"/>
    <x v="6"/>
    <s v="Operations"/>
    <m/>
    <n v="10000"/>
    <n v="41469711.99927"/>
    <x v="10"/>
    <s v="Oui"/>
    <x v="1"/>
    <s v="RALFF"/>
    <s v="CONGO"/>
    <s v="RALFF-CO2018"/>
    <s v="2.2"/>
    <m/>
  </r>
  <r>
    <d v="2021-03-22T00:00:00"/>
    <s v="Achat Billet Dolisie-Brazzaville/Geis"/>
    <x v="6"/>
    <s v="Operations"/>
    <m/>
    <n v="10000"/>
    <n v="41459711.99927"/>
    <x v="8"/>
    <s v="Oui"/>
    <x v="1"/>
    <s v="RALFF"/>
    <s v="CONGO"/>
    <s v="RALFF-CO2019"/>
    <s v="2.2"/>
    <m/>
  </r>
  <r>
    <d v="2021-03-22T00:00:00"/>
    <s v="Cumul frais de transport local mois de Mars 2021/ Geisner"/>
    <x v="6"/>
    <s v="Legal"/>
    <m/>
    <n v="48300"/>
    <n v="41411411.99927"/>
    <x v="8"/>
    <s v="Décharge"/>
    <x v="1"/>
    <s v="RALFF"/>
    <s v="CONGO"/>
    <s v="RALFF-CO2020"/>
    <s v="2.2"/>
    <m/>
  </r>
  <r>
    <d v="2021-03-22T00:00:00"/>
    <s v="Cumul frais visite geôle à Dolisie/Geis"/>
    <x v="5"/>
    <s v="Legal"/>
    <m/>
    <n v="16900"/>
    <n v="41394511.99927"/>
    <x v="8"/>
    <s v="Décharge"/>
    <x v="3"/>
    <s v="PALF"/>
    <s v="CONGO"/>
    <m/>
    <m/>
    <m/>
  </r>
  <r>
    <d v="2021-03-22T00:00:00"/>
    <s v="Reçu caisse Evariste/Hérick "/>
    <x v="1"/>
    <m/>
    <n v="101000"/>
    <m/>
    <n v="41495511.99927"/>
    <x v="12"/>
    <m/>
    <x v="0"/>
    <m/>
    <m/>
    <m/>
    <m/>
    <m/>
  </r>
  <r>
    <d v="2021-03-22T00:00:00"/>
    <s v="Reçu caisse/Hérick"/>
    <x v="1"/>
    <m/>
    <n v="149000"/>
    <m/>
    <n v="41644511.99927"/>
    <x v="12"/>
    <m/>
    <x v="0"/>
    <m/>
    <m/>
    <m/>
    <m/>
    <m/>
  </r>
  <r>
    <d v="2021-03-22T00:00:00"/>
    <s v="Versement à Crepin/Hérick"/>
    <x v="1"/>
    <m/>
    <m/>
    <n v="62000"/>
    <n v="41582511.99927"/>
    <x v="12"/>
    <m/>
    <x v="0"/>
    <m/>
    <m/>
    <m/>
    <m/>
    <m/>
  </r>
  <r>
    <d v="2021-03-22T00:00:00"/>
    <s v="Reçu Caisse/JB"/>
    <x v="1"/>
    <m/>
    <n v="10000"/>
    <m/>
    <n v="41592511.99927"/>
    <x v="3"/>
    <m/>
    <x v="0"/>
    <m/>
    <m/>
    <m/>
    <m/>
    <m/>
  </r>
  <r>
    <d v="2021-03-22T00:00:00"/>
    <s v="Frais  d'Hotel Ms OP à Dolisie du 18 au 23/03/21/Tiffany"/>
    <x v="7"/>
    <s v="Operations"/>
    <m/>
    <n v="75000"/>
    <n v="41517511.99927"/>
    <x v="13"/>
    <s v="Oui"/>
    <x v="1"/>
    <s v="RALFF"/>
    <s v="CONGO"/>
    <s v="RALFF-CO2021"/>
    <s v="1.3.2"/>
    <m/>
  </r>
  <r>
    <d v="2021-03-22T00:00:00"/>
    <s v="Achat Billet Dolisie- Brazzaville/Tiffany"/>
    <x v="6"/>
    <s v="Operations"/>
    <m/>
    <n v="10000"/>
    <n v="41507511.99927"/>
    <x v="13"/>
    <s v="Oui"/>
    <x v="1"/>
    <s v="RALFF"/>
    <s v="CONGO"/>
    <s v="RALFF-CO2022"/>
    <s v="2.2"/>
    <m/>
  </r>
  <r>
    <d v="2021-03-23T00:00:00"/>
    <s v="Food allowance Ms Ouesso du 23 au 25/03/21/Christian"/>
    <x v="7"/>
    <s v="Legal"/>
    <m/>
    <n v="20000"/>
    <n v="41487511.99927"/>
    <x v="9"/>
    <s v="Décharge"/>
    <x v="1"/>
    <s v="RALFF"/>
    <s v="CONGO"/>
    <s v="RALFF-CO2023"/>
    <s v="1.3.2"/>
    <m/>
  </r>
  <r>
    <d v="2021-03-23T00:00:00"/>
    <s v="Impression photos gendarmerie et EF à Dolisie cas Arly "/>
    <x v="9"/>
    <s v="Legal"/>
    <m/>
    <n v="4200"/>
    <n v="41483311.99927"/>
    <x v="12"/>
    <s v="Oui"/>
    <x v="1"/>
    <s v="RALFF"/>
    <s v="CONGO"/>
    <s v="RALFF-CO2024"/>
    <s v="4.3"/>
    <m/>
  </r>
  <r>
    <d v="2021-03-23T00:00:00"/>
    <s v="photocopie photos cas Arly pour les pv gendarmerie "/>
    <x v="9"/>
    <s v="Legal"/>
    <m/>
    <n v="375"/>
    <n v="41482936.99927"/>
    <x v="12"/>
    <s v="Décharge"/>
    <x v="3"/>
    <s v="PALF"/>
    <s v="CONGO"/>
    <m/>
    <m/>
    <m/>
  </r>
  <r>
    <d v="2021-03-23T00:00:00"/>
    <s v="Impression procédure gendarmerie cas Arly à Dolisie "/>
    <x v="9"/>
    <s v="Legal"/>
    <m/>
    <n v="4875"/>
    <n v="41478061.99927"/>
    <x v="12"/>
    <s v="Oui"/>
    <x v="1"/>
    <s v="RALFF"/>
    <s v="CONGO"/>
    <s v="RALFF-CO2025"/>
    <s v="4.3"/>
    <m/>
  </r>
  <r>
    <d v="2021-03-23T00:00:00"/>
    <s v="Supplément bagage cage"/>
    <x v="6"/>
    <s v="Operations"/>
    <m/>
    <n v="2000"/>
    <n v="41476061.99927"/>
    <x v="13"/>
    <s v="Oui"/>
    <x v="1"/>
    <s v="RALFF"/>
    <s v="CONGO"/>
    <s v="RALFF-CO2026"/>
    <s v="2.2"/>
    <m/>
  </r>
  <r>
    <d v="2021-03-24T00:00:00"/>
    <s v="Retrait especes/appro caisse/bord n°3654437"/>
    <x v="1"/>
    <m/>
    <m/>
    <n v="1000000"/>
    <n v="40476061.99927"/>
    <x v="6"/>
    <n v="3654437"/>
    <x v="0"/>
    <m/>
    <m/>
    <m/>
    <m/>
    <m/>
  </r>
  <r>
    <d v="2021-03-24T00:00:00"/>
    <s v="Virement salaire mois Mars 2021/ TCHICAYA Hérick"/>
    <x v="13"/>
    <s v="Legal"/>
    <m/>
    <n v="326000"/>
    <n v="40150061.99927"/>
    <x v="11"/>
    <s v="Virement"/>
    <x v="1"/>
    <s v="RALFF"/>
    <s v="CONGO"/>
    <s v="RALFF-CO2027"/>
    <s v="1.1.1.7"/>
    <m/>
  </r>
  <r>
    <d v="2021-03-24T00:00:00"/>
    <s v="Virement salaire mois Mars  2021/ LELOUSSI Evariste"/>
    <x v="13"/>
    <s v="Media"/>
    <m/>
    <n v="230000"/>
    <n v="39920061.99927"/>
    <x v="11"/>
    <s v="Virement"/>
    <x v="1"/>
    <s v="RALFF"/>
    <s v="CONGO"/>
    <s v="RALFF-CO2028"/>
    <s v="1.1.1.4"/>
    <m/>
  </r>
  <r>
    <d v="2021-03-24T00:00:00"/>
    <s v="Reglement facture honoraire du mois de Mars 2021/I23C/chq n°3643427"/>
    <x v="13"/>
    <s v="Investigation"/>
    <m/>
    <n v="400000"/>
    <n v="39520061.99927"/>
    <x v="11"/>
    <n v="3643427"/>
    <x v="1"/>
    <s v="RALFF"/>
    <s v="CONGO"/>
    <s v="RALFF-CO2029"/>
    <s v="1.1.1.9"/>
    <m/>
  </r>
  <r>
    <d v="2021-03-24T00:00:00"/>
    <s v="Paiement salaire du mois de Mars 2021/P29 /chq n°3643428"/>
    <x v="13"/>
    <s v="Investigation"/>
    <m/>
    <n v="191000"/>
    <n v="39329061.99927"/>
    <x v="11"/>
    <n v="3643428"/>
    <x v="1"/>
    <s v="RALFF"/>
    <s v="CONGO"/>
    <s v="RALFF-CO2030"/>
    <s v="1.1.1.9"/>
    <m/>
  </r>
  <r>
    <d v="2021-03-24T00:00:00"/>
    <s v="Paiement salaire du mois de Mars 2021/MATOKO Geisner/chq n°3643429"/>
    <x v="13"/>
    <s v="Legal"/>
    <m/>
    <n v="193600"/>
    <n v="39135461.99927"/>
    <x v="11"/>
    <n v="3643429"/>
    <x v="1"/>
    <s v="RALFF"/>
    <s v="CONGO"/>
    <s v="RALFF-CO2031"/>
    <s v="1.1.1.7"/>
    <m/>
  </r>
  <r>
    <d v="2021-03-24T00:00:00"/>
    <s v="Paiement salaire du mois de Mars 2021/ MALONGA MERSY/chq n°3643430"/>
    <x v="13"/>
    <s v="Legal"/>
    <m/>
    <n v="308000"/>
    <n v="38827461.99927"/>
    <x v="11"/>
    <n v="3643430"/>
    <x v="1"/>
    <s v="RALFF"/>
    <s v="CONGO"/>
    <s v="RALFF-CO2032"/>
    <s v="1.1.1.7"/>
    <m/>
  </r>
  <r>
    <d v="2021-03-24T00:00:00"/>
    <s v="Paiement salaire du mois de Mars  2021/MININGOU Christian/chq n°3643431"/>
    <x v="13"/>
    <s v="Legal"/>
    <m/>
    <n v="193600"/>
    <n v="38633861.99927"/>
    <x v="11"/>
    <n v="3643431"/>
    <x v="1"/>
    <s v="RALFF"/>
    <s v="CONGO"/>
    <s v="RALFF-CO2033"/>
    <s v="1.1.1.7"/>
    <m/>
  </r>
  <r>
    <d v="2021-03-24T00:00:00"/>
    <s v="Paiement salaire du mois de Mars 2021/IBOUILI CREPIN/chq n°3643432"/>
    <x v="13"/>
    <s v="Legal"/>
    <m/>
    <n v="356500"/>
    <n v="38277361.99927"/>
    <x v="11"/>
    <n v="3643432"/>
    <x v="1"/>
    <s v="RALFF"/>
    <s v="CONGO"/>
    <s v="RALFF-CO2034"/>
    <s v="1.1.1.7"/>
    <m/>
  </r>
  <r>
    <d v="2021-03-24T00:00:00"/>
    <s v="Reglement salaire du mois de Mars 2021/ KOUENITOUKA TED/chq n°3643434"/>
    <x v="13"/>
    <s v="Management"/>
    <m/>
    <n v="400000"/>
    <n v="37877361.99927"/>
    <x v="11"/>
    <n v="3643434"/>
    <x v="1"/>
    <s v="RALFF"/>
    <s v="CONGO"/>
    <s v="RALFF-CO2035"/>
    <s v="1.1.2.1"/>
    <m/>
  </r>
  <r>
    <d v="2021-03-24T00:00:00"/>
    <s v="Paiement salaire du mois de Mars 2021/MAHANGA Merveille/chq n°3643433"/>
    <x v="13"/>
    <s v="Management"/>
    <m/>
    <n v="275000"/>
    <n v="37602361.99927"/>
    <x v="11"/>
    <n v="3643433"/>
    <x v="1"/>
    <s v="RALFF"/>
    <s v="CONGO"/>
    <s v="RALFF-CO2036"/>
    <s v="1.1.2.1"/>
    <m/>
  </r>
  <r>
    <d v="2021-03-24T00:00:00"/>
    <s v="Paiement salaire du mois de Mars 2021/Tiffany GOBERT/chq n°3643440"/>
    <x v="13"/>
    <s v="Management"/>
    <m/>
    <n v="827611"/>
    <n v="36774750.99927"/>
    <x v="11"/>
    <n v="3643440"/>
    <x v="1"/>
    <s v="RALFF"/>
    <s v="CONGO"/>
    <s v="RALFF-CO2037"/>
    <s v="1.1.1.1"/>
    <m/>
  </r>
  <r>
    <d v="2021-03-24T00:00:00"/>
    <s v="MTN/Achat carte de recharge Avril  2021/Staff PALF/investigation "/>
    <x v="3"/>
    <s v="Investigation"/>
    <m/>
    <n v="40000"/>
    <n v="36734750.99927"/>
    <x v="11"/>
    <n v="3643437"/>
    <x v="1"/>
    <s v="RALFF"/>
    <s v="CONGO"/>
    <s v="RALFF-CO2038"/>
    <s v="4.6"/>
    <m/>
  </r>
  <r>
    <d v="2021-03-24T00:00:00"/>
    <s v="MTN/Achat carte de recharge  Avril /Staff PALF/Legal"/>
    <x v="3"/>
    <s v="Legal"/>
    <m/>
    <n v="61000"/>
    <n v="36673750.99927"/>
    <x v="11"/>
    <n v="3643437"/>
    <x v="1"/>
    <s v="RALFF"/>
    <s v="CONGO"/>
    <s v="RALFF-CO2039"/>
    <s v="4.6"/>
    <m/>
  </r>
  <r>
    <d v="2021-03-24T00:00:00"/>
    <s v="MTN/Achat carte de recharge Avril  2021/Staff PALF/Media"/>
    <x v="3"/>
    <s v="Media"/>
    <m/>
    <n v="10000"/>
    <n v="36663750.99927"/>
    <x v="11"/>
    <n v="3643437"/>
    <x v="1"/>
    <s v="RALFF"/>
    <s v="CONGO"/>
    <s v="RALFF-CO2040"/>
    <s v="4.6"/>
    <m/>
  </r>
  <r>
    <d v="2021-03-24T00:00:00"/>
    <s v="MTN/Achat carte de recharge Avril 2021/Staff PALF/Management"/>
    <x v="3"/>
    <s v="Management"/>
    <m/>
    <n v="61000"/>
    <n v="36602750.99927"/>
    <x v="11"/>
    <n v="3643437"/>
    <x v="1"/>
    <s v="RALFF"/>
    <s v="CONGO"/>
    <s v="RALFF-CO2041"/>
    <s v="4.6"/>
    <m/>
  </r>
  <r>
    <d v="2021-03-24T00:00:00"/>
    <s v="Airtel/Achat carte de recharge Avril 2021/Staff PALF/investigation"/>
    <x v="3"/>
    <s v="Investigation"/>
    <m/>
    <n v="42000"/>
    <n v="36560750.99927"/>
    <x v="11"/>
    <n v="3643436"/>
    <x v="1"/>
    <s v="RALFF"/>
    <s v="CONGO"/>
    <s v="RALFF-CO2042"/>
    <s v="4.6"/>
    <m/>
  </r>
  <r>
    <d v="2021-03-24T00:00:00"/>
    <s v="Airtel/Achat carte de recharge Avril 2021/Staff PALF/Legal"/>
    <x v="3"/>
    <s v="Legal"/>
    <m/>
    <n v="94000"/>
    <n v="36466750.99927"/>
    <x v="11"/>
    <n v="3643436"/>
    <x v="1"/>
    <s v="RALFF"/>
    <s v="CONGO"/>
    <s v="RALFF-CO2043"/>
    <s v="4.6"/>
    <m/>
  </r>
  <r>
    <d v="2021-03-24T00:00:00"/>
    <s v="Airtel/Achat carte de recharge Avril 2021/Staff PALF/Media"/>
    <x v="3"/>
    <s v="Media"/>
    <m/>
    <n v="11000"/>
    <n v="36455750.99927"/>
    <x v="11"/>
    <n v="3643436"/>
    <x v="1"/>
    <s v="RALFF"/>
    <s v="CONGO"/>
    <s v="RALFF-CO2044"/>
    <s v="4.6"/>
    <m/>
  </r>
  <r>
    <d v="2021-03-24T00:00:00"/>
    <s v="Airtel/Achat carte de recharge Avril 2021/Staff PALF/Management"/>
    <x v="3"/>
    <s v="Management"/>
    <m/>
    <n v="22000"/>
    <n v="36433750.99927"/>
    <x v="11"/>
    <n v="3643436"/>
    <x v="1"/>
    <s v="RALFF"/>
    <s v="CONGO"/>
    <s v="RALFF-CO2045"/>
    <s v="4.6"/>
    <m/>
  </r>
  <r>
    <d v="2021-03-24T00:00:00"/>
    <s v="Evariste"/>
    <x v="1"/>
    <m/>
    <m/>
    <n v="10000"/>
    <n v="36423750.99927"/>
    <x v="1"/>
    <m/>
    <x v="0"/>
    <m/>
    <m/>
    <m/>
    <m/>
    <m/>
  </r>
  <r>
    <d v="2021-03-24T00:00:00"/>
    <s v="Bonus média/Evariste"/>
    <x v="4"/>
    <s v="Media"/>
    <m/>
    <n v="104000"/>
    <n v="36319750.99927"/>
    <x v="1"/>
    <s v="Décharge"/>
    <x v="3"/>
    <s v="PALF"/>
    <s v="CONGO"/>
    <m/>
    <m/>
    <m/>
  </r>
  <r>
    <d v="2021-03-24T00:00:00"/>
    <s v="Crépin"/>
    <x v="1"/>
    <m/>
    <m/>
    <n v="20000"/>
    <n v="36299750.99927"/>
    <x v="1"/>
    <m/>
    <x v="0"/>
    <m/>
    <m/>
    <m/>
    <m/>
    <m/>
  </r>
  <r>
    <d v="2021-03-24T00:00:00"/>
    <s v="Frais de transfert charden farell/Hérick"/>
    <x v="8"/>
    <s v="Office"/>
    <m/>
    <n v="600"/>
    <n v="36299150.99927"/>
    <x v="1"/>
    <s v="Oui"/>
    <x v="1"/>
    <s v="RALFF"/>
    <s v="CONGO"/>
    <s v="RALFF-CO2046"/>
    <s v="5.6"/>
    <m/>
  </r>
  <r>
    <d v="2021-03-24T00:00:00"/>
    <s v="I23c"/>
    <x v="1"/>
    <m/>
    <m/>
    <n v="76200"/>
    <n v="36222950.99927"/>
    <x v="1"/>
    <m/>
    <x v="0"/>
    <m/>
    <m/>
    <m/>
    <m/>
    <m/>
  </r>
  <r>
    <d v="2021-03-24T00:00:00"/>
    <s v="Reglement prestation Technicienne de Surface mois de Mars 2021/MFIELO"/>
    <x v="11"/>
    <s v="Office"/>
    <m/>
    <n v="110000"/>
    <n v="36112950.99927"/>
    <x v="1"/>
    <s v="Oui"/>
    <x v="3"/>
    <s v="PALF"/>
    <s v="CONGO"/>
    <m/>
    <m/>
    <m/>
  </r>
  <r>
    <d v="2021-03-24T00:00:00"/>
    <s v="BCI"/>
    <x v="1"/>
    <m/>
    <n v="1000000"/>
    <m/>
    <n v="37112950.99927"/>
    <x v="1"/>
    <m/>
    <x v="0"/>
    <m/>
    <m/>
    <m/>
    <m/>
    <m/>
  </r>
  <r>
    <d v="2021-03-24T00:00:00"/>
    <s v="Achat Billet Ouesso-Brazzaville/Christian"/>
    <x v="6"/>
    <s v="Legal"/>
    <m/>
    <n v="20000"/>
    <n v="37092950.99927"/>
    <x v="9"/>
    <s v="Oui"/>
    <x v="1"/>
    <s v="RALFF"/>
    <s v="CONGO"/>
    <s v="RALFF-CO2047"/>
    <s v="2.2"/>
    <m/>
  </r>
  <r>
    <d v="2021-03-24T00:00:00"/>
    <s v="Frais d'impression de la procédure de la gendarmerie"/>
    <x v="9"/>
    <s v="Legal"/>
    <m/>
    <n v="6600"/>
    <n v="37086350.99927"/>
    <x v="7"/>
    <s v="Oui"/>
    <x v="1"/>
    <s v="RALFF"/>
    <s v="CONGO"/>
    <s v="RALFF-CO2048"/>
    <s v="4.3"/>
    <m/>
  </r>
  <r>
    <d v="2021-03-24T00:00:00"/>
    <s v="Frais d'impression de la procédure EF"/>
    <x v="9"/>
    <s v="Legal"/>
    <m/>
    <n v="800"/>
    <n v="37085550.99927"/>
    <x v="7"/>
    <s v="Oui"/>
    <x v="1"/>
    <s v="RALFF"/>
    <s v="CONGO"/>
    <s v="RALFF-CO2049"/>
    <s v="4.3"/>
    <m/>
  </r>
  <r>
    <d v="2021-03-24T00:00:00"/>
    <s v="Achat carburant pour la Gendarmerie OP à Dolisie/Crépin"/>
    <x v="6"/>
    <s v="Operations"/>
    <m/>
    <n v="25000"/>
    <n v="37060550.99927"/>
    <x v="7"/>
    <s v="Oui"/>
    <x v="1"/>
    <s v="RALFF"/>
    <s v="CONGO"/>
    <s v="RALFF-CO2050"/>
    <s v="2.2"/>
    <m/>
  </r>
  <r>
    <d v="2021-03-24T00:00:00"/>
    <s v="Achat Billet Dolisie-Brazzaville/Crépin"/>
    <x v="6"/>
    <s v="Operations"/>
    <m/>
    <n v="10000"/>
    <n v="37050550.99927"/>
    <x v="7"/>
    <s v="Oui"/>
    <x v="1"/>
    <s v="RALFF"/>
    <s v="CONGO"/>
    <s v="RALFF-CO2051"/>
    <s v="2.2"/>
    <m/>
  </r>
  <r>
    <d v="2021-03-24T00:00:00"/>
    <s v="Frais d'Hôtel Ms OP à Dolisie  du 20 au 25/03/2021/Crépin"/>
    <x v="7"/>
    <s v="Operations"/>
    <m/>
    <n v="75000"/>
    <n v="36975550.99927"/>
    <x v="7"/>
    <s v="Oui"/>
    <x v="1"/>
    <s v="RALFF"/>
    <s v="CONGO"/>
    <s v="RALFF-CO2052"/>
    <s v="1.3.2"/>
    <m/>
  </r>
  <r>
    <d v="2021-03-24T00:00:00"/>
    <s v="Reçu caisse /Crépin"/>
    <x v="1"/>
    <m/>
    <n v="20000"/>
    <m/>
    <n v="36995550.99927"/>
    <x v="7"/>
    <m/>
    <x v="0"/>
    <m/>
    <m/>
    <m/>
    <m/>
    <m/>
  </r>
  <r>
    <d v="2021-03-24T00:00:00"/>
    <s v="Reçu caisse/Evariste"/>
    <x v="1"/>
    <m/>
    <n v="10000"/>
    <m/>
    <n v="37005550.99927"/>
    <x v="10"/>
    <m/>
    <x v="0"/>
    <m/>
    <m/>
    <m/>
    <m/>
    <m/>
  </r>
  <r>
    <d v="2021-03-24T00:00:00"/>
    <s v="Achat Billet Dolisie - BZV/Hérick"/>
    <x v="6"/>
    <s v="Legal"/>
    <m/>
    <n v="10000"/>
    <n v="36995550.99927"/>
    <x v="12"/>
    <s v="Oui"/>
    <x v="1"/>
    <s v="RALFF"/>
    <s v="CONGO"/>
    <s v="RALFF-CO2053"/>
    <s v="2.2"/>
    <m/>
  </r>
  <r>
    <d v="2021-03-24T00:00:00"/>
    <s v="Frais d'Hôtel Ms OP à Dolisie du 18 au 25 mars/Hérick"/>
    <x v="7"/>
    <s v="Operations"/>
    <m/>
    <n v="105000"/>
    <n v="36890550.99927"/>
    <x v="12"/>
    <s v="Oui"/>
    <x v="1"/>
    <s v="RALFF"/>
    <s v="CONGO"/>
    <s v="RALFF-CO2054"/>
    <s v="1.3.2"/>
    <m/>
  </r>
  <r>
    <d v="2021-03-24T00:00:00"/>
    <s v="Cumul frais ration des prévenus à Dolisie/Hérick"/>
    <x v="5"/>
    <s v="Legal"/>
    <m/>
    <n v="12050"/>
    <n v="36878500.99927"/>
    <x v="12"/>
    <s v="Décharge"/>
    <x v="3"/>
    <s v="PALF"/>
    <s v="CONGO"/>
    <m/>
    <m/>
    <m/>
  </r>
  <r>
    <d v="2021-03-24T00:00:00"/>
    <s v="Réçu caisse/I23C"/>
    <x v="1"/>
    <m/>
    <n v="76200"/>
    <m/>
    <n v="36954700.99927"/>
    <x v="2"/>
    <m/>
    <x v="0"/>
    <m/>
    <m/>
    <m/>
    <m/>
    <m/>
  </r>
  <r>
    <d v="2021-03-24T00:00:00"/>
    <s v="Versement à Crépin /Tiffany"/>
    <x v="1"/>
    <m/>
    <m/>
    <n v="25000"/>
    <n v="36929700.99927"/>
    <x v="13"/>
    <m/>
    <x v="0"/>
    <m/>
    <m/>
    <m/>
    <m/>
    <m/>
  </r>
  <r>
    <d v="2021-03-25T00:00:00"/>
    <s v="Evariste"/>
    <x v="1"/>
    <m/>
    <m/>
    <n v="10000"/>
    <n v="36919700.99927"/>
    <x v="1"/>
    <m/>
    <x v="0"/>
    <m/>
    <m/>
    <m/>
    <m/>
    <m/>
  </r>
  <r>
    <d v="2021-03-25T00:00:00"/>
    <s v="Jack-Bénisson"/>
    <x v="1"/>
    <m/>
    <m/>
    <n v="30000"/>
    <n v="36889700.99927"/>
    <x v="1"/>
    <m/>
    <x v="0"/>
    <m/>
    <m/>
    <m/>
    <m/>
    <m/>
  </r>
  <r>
    <d v="2021-03-25T00:00:00"/>
    <s v="Trust building/ Carte sim pour les informateurs/Evariste"/>
    <x v="17"/>
    <s v="Investigation"/>
    <m/>
    <n v="10500"/>
    <n v="36879200.99927"/>
    <x v="1"/>
    <s v="Décharge"/>
    <x v="3"/>
    <s v="PALF"/>
    <s v="CONGO"/>
    <m/>
    <m/>
    <m/>
  </r>
  <r>
    <d v="2021-03-25T00:00:00"/>
    <s v="Trust building/Carte sim pour les informateurs/Evariste"/>
    <x v="17"/>
    <s v="Investigation"/>
    <m/>
    <n v="10500"/>
    <n v="36868700.99927"/>
    <x v="1"/>
    <s v="Décharge"/>
    <x v="3"/>
    <s v="PALF"/>
    <s v="CONGO"/>
    <m/>
    <m/>
    <m/>
  </r>
  <r>
    <d v="2021-03-25T00:00:00"/>
    <s v="I23c"/>
    <x v="1"/>
    <m/>
    <m/>
    <n v="150000"/>
    <n v="36718700.99927"/>
    <x v="1"/>
    <m/>
    <x v="0"/>
    <m/>
    <m/>
    <m/>
    <m/>
    <m/>
  </r>
  <r>
    <d v="2021-03-25T00:00:00"/>
    <s v="Frais de consultation et de certificat médical/mr ROBERT"/>
    <x v="5"/>
    <s v="Legal"/>
    <m/>
    <n v="30000"/>
    <n v="36688700.99927"/>
    <x v="1"/>
    <s v="Oui"/>
    <x v="3"/>
    <s v="PALF"/>
    <s v="CONGO"/>
    <m/>
    <m/>
    <m/>
  </r>
  <r>
    <d v="2021-03-25T00:00:00"/>
    <s v="Frais d'hôtel Ms à Ouesso du 23 au 25/03/2021/Christian"/>
    <x v="7"/>
    <s v="Legal"/>
    <m/>
    <n v="30000"/>
    <n v="36658700.99927"/>
    <x v="9"/>
    <s v="Oui"/>
    <x v="1"/>
    <s v="RALFF"/>
    <s v="CONGO"/>
    <s v="RALFF-CO2055"/>
    <s v="1.3.2"/>
    <m/>
  </r>
  <r>
    <d v="2021-03-25T00:00:00"/>
    <s v="Reçu caisse/Evariste"/>
    <x v="1"/>
    <m/>
    <n v="10000"/>
    <m/>
    <n v="36668700.99927"/>
    <x v="10"/>
    <m/>
    <x v="0"/>
    <m/>
    <m/>
    <m/>
    <m/>
    <m/>
  </r>
  <r>
    <d v="2021-03-25T00:00:00"/>
    <s v="Food allowance Ms OP à Dolisie du 17 au 25/Hérick"/>
    <x v="7"/>
    <s v="Operations"/>
    <m/>
    <n v="80000"/>
    <n v="36588700.99927"/>
    <x v="12"/>
    <s v="Décharge"/>
    <x v="1"/>
    <s v="RALFF"/>
    <s v="CONGO"/>
    <s v="RALFF-CO2056"/>
    <s v="1.3.2"/>
    <m/>
  </r>
  <r>
    <d v="2021-03-25T00:00:00"/>
    <s v="Cumul frais transport local mois de mars/Hérick"/>
    <x v="6"/>
    <s v="Legal"/>
    <m/>
    <n v="72200"/>
    <n v="36516500.99927"/>
    <x v="12"/>
    <s v="Décharge"/>
    <x v="1"/>
    <s v="RALFF"/>
    <s v="CONGO"/>
    <s v="RALFF-CO2057"/>
    <s v="2.2"/>
    <m/>
  </r>
  <r>
    <d v="2021-03-25T00:00:00"/>
    <s v="Réçu caisse/I23C"/>
    <x v="1"/>
    <m/>
    <n v="150000"/>
    <m/>
    <n v="36666500.99927"/>
    <x v="2"/>
    <m/>
    <x v="0"/>
    <m/>
    <m/>
    <m/>
    <m/>
    <m/>
  </r>
  <r>
    <d v="2021-03-25T00:00:00"/>
    <s v="Achat billet d'avion  Brazzaville-Pointe Noire/I23C"/>
    <x v="6"/>
    <s v="Investigation"/>
    <m/>
    <n v="40000"/>
    <n v="36626500.99927"/>
    <x v="2"/>
    <s v="Oui"/>
    <x v="1"/>
    <s v="RALFF"/>
    <s v="CONGO"/>
    <s v="RALFF-CO2058"/>
    <s v="2.2"/>
    <m/>
  </r>
  <r>
    <d v="2021-03-25T00:00:00"/>
    <s v="Reçu Caisse/JB"/>
    <x v="1"/>
    <m/>
    <n v="30000"/>
    <m/>
    <n v="36656500.99927"/>
    <x v="3"/>
    <m/>
    <x v="0"/>
    <m/>
    <m/>
    <m/>
    <m/>
    <m/>
  </r>
  <r>
    <d v="2021-03-25T00:00:00"/>
    <s v="Frais Consultation pour le détenu  Robert à l'HCAPM/JB"/>
    <x v="5"/>
    <s v="Legal"/>
    <m/>
    <n v="4500"/>
    <n v="36652000.99927"/>
    <x v="3"/>
    <s v="Oui"/>
    <x v="3"/>
    <s v="PALF"/>
    <s v="CONGO"/>
    <m/>
    <m/>
    <m/>
  </r>
  <r>
    <d v="2021-03-25T00:00:00"/>
    <s v="Achat produit pharmaceutique-Ordonnance  prévenu Robert/JB"/>
    <x v="5"/>
    <s v="Legal"/>
    <m/>
    <n v="8000"/>
    <n v="36644000.99927"/>
    <x v="3"/>
    <s v="Oui"/>
    <x v="3"/>
    <s v="PALF"/>
    <s v="CONGO"/>
    <m/>
    <m/>
    <m/>
  </r>
  <r>
    <d v="2021-03-25T00:00:00"/>
    <s v="Frais Examens médical pour détenu Robert (NTS-GERA-Glycémie V-Céat-Trausi)/JB"/>
    <x v="5"/>
    <s v="Legal"/>
    <m/>
    <n v="14500"/>
    <n v="36629500.99927"/>
    <x v="3"/>
    <s v="Oui"/>
    <x v="3"/>
    <s v="PALF"/>
    <s v="CONGO"/>
    <m/>
    <m/>
    <m/>
  </r>
  <r>
    <d v="2021-03-26T00:00:00"/>
    <s v="Avance bonus média/Evariste"/>
    <x v="4"/>
    <s v="Media"/>
    <m/>
    <n v="150000"/>
    <n v="36479500.99927"/>
    <x v="1"/>
    <s v="Décharge"/>
    <x v="3"/>
    <s v="PALF"/>
    <s v="CONGO"/>
    <m/>
    <m/>
    <m/>
  </r>
  <r>
    <d v="2021-03-26T00:00:00"/>
    <s v="P29"/>
    <x v="1"/>
    <m/>
    <m/>
    <n v="100000"/>
    <n v="36379500.99927"/>
    <x v="1"/>
    <m/>
    <x v="0"/>
    <m/>
    <m/>
    <m/>
    <m/>
    <m/>
  </r>
  <r>
    <d v="2021-03-26T00:00:00"/>
    <s v="Achat credit telephonique pour I23C"/>
    <x v="3"/>
    <s v="Office"/>
    <m/>
    <n v="10000"/>
    <n v="36369500.99927"/>
    <x v="1"/>
    <s v="Oui"/>
    <x v="3"/>
    <s v="PALF"/>
    <s v="CONGO"/>
    <m/>
    <m/>
    <m/>
  </r>
  <r>
    <d v="2021-03-26T00:00:00"/>
    <s v="Ted"/>
    <x v="1"/>
    <m/>
    <m/>
    <n v="60000"/>
    <n v="36309500.99927"/>
    <x v="1"/>
    <m/>
    <x v="0"/>
    <m/>
    <m/>
    <m/>
    <m/>
    <m/>
  </r>
  <r>
    <d v="2021-03-26T00:00:00"/>
    <s v="Geisner"/>
    <x v="1"/>
    <m/>
    <m/>
    <n v="60000"/>
    <n v="36249500.99927"/>
    <x v="1"/>
    <m/>
    <x v="0"/>
    <m/>
    <m/>
    <m/>
    <m/>
    <m/>
  </r>
  <r>
    <d v="2021-03-26T00:00:00"/>
    <s v="Tiffany"/>
    <x v="1"/>
    <m/>
    <m/>
    <n v="117000"/>
    <n v="36132500.99927"/>
    <x v="1"/>
    <m/>
    <x v="0"/>
    <m/>
    <m/>
    <m/>
    <m/>
    <m/>
  </r>
  <r>
    <d v="2021-03-26T00:00:00"/>
    <s v="Crépin"/>
    <x v="1"/>
    <m/>
    <m/>
    <n v="117000"/>
    <n v="36015500.99927"/>
    <x v="1"/>
    <m/>
    <x v="0"/>
    <m/>
    <m/>
    <m/>
    <m/>
    <m/>
  </r>
  <r>
    <d v="2021-03-26T00:00:00"/>
    <s v="Jack-Bénisson"/>
    <x v="1"/>
    <m/>
    <m/>
    <n v="88000"/>
    <n v="35927500.99927"/>
    <x v="1"/>
    <m/>
    <x v="0"/>
    <m/>
    <m/>
    <m/>
    <m/>
    <m/>
  </r>
  <r>
    <d v="2021-03-26T00:00:00"/>
    <s v="Christian"/>
    <x v="1"/>
    <m/>
    <m/>
    <n v="50000"/>
    <n v="35877500.99927"/>
    <x v="1"/>
    <m/>
    <x v="0"/>
    <m/>
    <m/>
    <m/>
    <m/>
    <m/>
  </r>
  <r>
    <d v="2021-03-26T00:00:00"/>
    <s v="Christian"/>
    <x v="1"/>
    <m/>
    <m/>
    <n v="10000"/>
    <n v="35867500.99927"/>
    <x v="1"/>
    <m/>
    <x v="0"/>
    <m/>
    <m/>
    <m/>
    <m/>
    <m/>
  </r>
  <r>
    <d v="2021-03-26T00:00:00"/>
    <s v="Achat 02 cartouches sp311/imprimante RICOH"/>
    <x v="9"/>
    <s v="Office"/>
    <m/>
    <n v="120000"/>
    <n v="35747500.99927"/>
    <x v="1"/>
    <s v="Oui"/>
    <x v="1"/>
    <s v="RALFF"/>
    <s v="CONGO"/>
    <s v="RALFF-CO2059"/>
    <s v="4.3"/>
    <m/>
  </r>
  <r>
    <d v="2021-03-26T00:00:00"/>
    <s v="Recu caisse/Christian"/>
    <x v="1"/>
    <m/>
    <n v="10000"/>
    <m/>
    <n v="35757500.99927"/>
    <x v="9"/>
    <m/>
    <x v="0"/>
    <m/>
    <m/>
    <m/>
    <m/>
    <m/>
  </r>
  <r>
    <d v="2021-03-26T00:00:00"/>
    <s v="Recu caisse/Christian"/>
    <x v="1"/>
    <m/>
    <n v="50000"/>
    <m/>
    <n v="35807500.99927"/>
    <x v="9"/>
    <m/>
    <x v="0"/>
    <m/>
    <m/>
    <m/>
    <m/>
    <m/>
  </r>
  <r>
    <d v="2021-03-26T00:00:00"/>
    <s v="Achat produits pharmaceutique-Ordonnance médical Robert (paludisme)"/>
    <x v="5"/>
    <s v="Legal"/>
    <m/>
    <n v="4825"/>
    <n v="35802675.99927"/>
    <x v="9"/>
    <s v="Oui"/>
    <x v="3"/>
    <s v="PALF"/>
    <s v="CONGO"/>
    <m/>
    <m/>
    <m/>
  </r>
  <r>
    <d v="2021-03-26T00:00:00"/>
    <s v="Reçu caisse/Crépin"/>
    <x v="1"/>
    <m/>
    <n v="117000"/>
    <m/>
    <n v="35919675.99927"/>
    <x v="7"/>
    <m/>
    <x v="0"/>
    <m/>
    <m/>
    <m/>
    <m/>
    <m/>
  </r>
  <r>
    <d v="2021-03-26T00:00:00"/>
    <s v="Achat Billet Brazzaville-Pointe-Noire/Crépin"/>
    <x v="6"/>
    <s v="Management"/>
    <m/>
    <n v="15000"/>
    <n v="35904675.99927"/>
    <x v="7"/>
    <s v="Oui"/>
    <x v="1"/>
    <s v="RALFF"/>
    <s v="CONGO"/>
    <s v="RALFF-CO2060"/>
    <s v="2.2"/>
    <m/>
  </r>
  <r>
    <d v="2021-03-26T00:00:00"/>
    <s v="Récu caisse/Geis"/>
    <x v="1"/>
    <m/>
    <n v="60000"/>
    <m/>
    <n v="35964675.99927"/>
    <x v="8"/>
    <m/>
    <x v="0"/>
    <m/>
    <m/>
    <m/>
    <m/>
    <m/>
  </r>
  <r>
    <d v="2021-03-26T00:00:00"/>
    <s v="Food allowance mission PN du 26 au 31 mars 2021/I23C"/>
    <x v="7"/>
    <s v="Investigation"/>
    <m/>
    <n v="50000"/>
    <n v="35914675.99927"/>
    <x v="2"/>
    <s v="Décharge"/>
    <x v="1"/>
    <s v="RALFF"/>
    <s v="CONGO"/>
    <s v="RALFF-CO2061"/>
    <s v="1.3.2"/>
    <m/>
  </r>
  <r>
    <d v="2021-03-26T00:00:00"/>
    <s v="Reçu Caisse/JB"/>
    <x v="1"/>
    <m/>
    <n v="88000"/>
    <m/>
    <n v="36002675.99927"/>
    <x v="3"/>
    <m/>
    <x v="0"/>
    <m/>
    <m/>
    <m/>
    <m/>
    <m/>
  </r>
  <r>
    <d v="2021-03-26T00:00:00"/>
    <s v="Recu caisse/P29"/>
    <x v="1"/>
    <m/>
    <n v="100000"/>
    <m/>
    <n v="36102675.99927"/>
    <x v="4"/>
    <m/>
    <x v="0"/>
    <m/>
    <m/>
    <m/>
    <m/>
    <m/>
  </r>
  <r>
    <d v="2021-03-26T00:00:00"/>
    <s v="Reçu caisse/Ted"/>
    <x v="1"/>
    <m/>
    <n v="60000"/>
    <m/>
    <n v="36162675.99927"/>
    <x v="14"/>
    <m/>
    <x v="0"/>
    <m/>
    <m/>
    <m/>
    <m/>
    <m/>
  </r>
  <r>
    <d v="2021-03-26T00:00:00"/>
    <s v="Reçu caisse/Tiffany"/>
    <x v="1"/>
    <m/>
    <n v="117000"/>
    <m/>
    <n v="36279675.99927"/>
    <x v="13"/>
    <m/>
    <x v="0"/>
    <m/>
    <m/>
    <m/>
    <m/>
    <m/>
  </r>
  <r>
    <d v="2021-03-26T00:00:00"/>
    <s v="Achat billet Brazzaville- Pointe Noire/Tiffany"/>
    <x v="6"/>
    <s v="Management"/>
    <m/>
    <n v="15000"/>
    <n v="36264675.99927"/>
    <x v="13"/>
    <s v="Oui"/>
    <x v="1"/>
    <s v="RALFF"/>
    <s v="CONGO"/>
    <s v="RALFF-CO2062"/>
    <s v="2.2"/>
    <m/>
  </r>
  <r>
    <d v="2021-03-27T00:00:00"/>
    <s v="Frais Examen médical  prévenus Robert à BZV"/>
    <x v="5"/>
    <s v="Legal"/>
    <m/>
    <n v="5000"/>
    <n v="36259675.99927"/>
    <x v="9"/>
    <s v="Oui"/>
    <x v="3"/>
    <s v="PALF"/>
    <s v="CONGO"/>
    <m/>
    <m/>
    <m/>
  </r>
  <r>
    <d v="2021-03-27T00:00:00"/>
    <s v="Achat billet Brazzaville-Owando/P29"/>
    <x v="6"/>
    <s v="Investigation"/>
    <m/>
    <n v="13000"/>
    <n v="36246675.99927"/>
    <x v="4"/>
    <s v="Oui"/>
    <x v="1"/>
    <s v="RALFF"/>
    <s v="CONGO"/>
    <s v="RALFF-CO2063"/>
    <s v="2.2"/>
    <m/>
  </r>
  <r>
    <d v="2021-03-28T00:00:00"/>
    <s v="Food Allowance Ms à P/N du 28/03/ au 01/04/2021 /Crépin"/>
    <x v="7"/>
    <s v="Management"/>
    <m/>
    <n v="40000"/>
    <n v="36206675.99927"/>
    <x v="7"/>
    <s v="Décharge"/>
    <x v="1"/>
    <s v="RALFF"/>
    <s v="CONGO"/>
    <s v="RALFF-CO2064"/>
    <s v="1.3.2"/>
    <m/>
  </r>
  <r>
    <d v="2021-03-28T00:00:00"/>
    <s v="Food allowance Ms à PN du 28/03 au 01/04/Tiffany "/>
    <x v="7"/>
    <s v="Management"/>
    <m/>
    <n v="40000"/>
    <n v="36166675.99927"/>
    <x v="13"/>
    <s v="Décharge"/>
    <x v="1"/>
    <s v="RALFF"/>
    <s v="CONGO"/>
    <s v="RALFF-CO2065"/>
    <s v="1.3.2"/>
    <m/>
  </r>
  <r>
    <d v="2021-03-29T00:00:00"/>
    <s v="Retrait especes/appro caisse/bord n°3654438"/>
    <x v="1"/>
    <m/>
    <m/>
    <n v="2000000"/>
    <n v="34166675.99927"/>
    <x v="6"/>
    <n v="3654438"/>
    <x v="0"/>
    <m/>
    <m/>
    <m/>
    <m/>
    <m/>
  </r>
  <r>
    <d v="2021-03-29T00:00:00"/>
    <s v="Reglt CNSS Janv-Fev-Mars  21/PALF/Chq n°3643441/Evariste"/>
    <x v="13"/>
    <s v="Media"/>
    <m/>
    <n v="106489"/>
    <n v="34060186.99927"/>
    <x v="11"/>
    <n v="3643441"/>
    <x v="1"/>
    <s v="RALFF"/>
    <s v="CONGO"/>
    <s v="RALFF-CO2066"/>
    <s v="1.1.1.4"/>
    <m/>
  </r>
  <r>
    <d v="2021-03-29T00:00:00"/>
    <s v="Reglt CNSS Janv-Fev-Mars  21/PALF/Chq n°3643441//P29"/>
    <x v="13"/>
    <s v="Investigation"/>
    <m/>
    <n v="94692"/>
    <n v="33965494.99927"/>
    <x v="11"/>
    <n v="3643441"/>
    <x v="1"/>
    <s v="RALFF"/>
    <s v="CONGO"/>
    <s v="RALFF-CO2067"/>
    <s v="1.1.1.9"/>
    <m/>
  </r>
  <r>
    <d v="2021-03-29T00:00:00"/>
    <s v="Reglt CNSS Janv-Fev-Mars  21/PALF/Chq n°3643441//Hérick"/>
    <x v="13"/>
    <s v="Legal"/>
    <m/>
    <n v="197100"/>
    <n v="33768394.99927"/>
    <x v="11"/>
    <n v="3643441"/>
    <x v="1"/>
    <s v="RALFF"/>
    <s v="CONGO"/>
    <s v="RALFF-CO2068"/>
    <s v="1.1.1.7"/>
    <m/>
  </r>
  <r>
    <d v="2021-03-29T00:00:00"/>
    <s v="Reglt CNSS Janv-Fev-Mars  21/PALF/Chq n°3643441//Jack"/>
    <x v="13"/>
    <s v="Legal"/>
    <m/>
    <n v="183444"/>
    <n v="33584950.99927"/>
    <x v="11"/>
    <n v="3643441"/>
    <x v="1"/>
    <s v="RALFF"/>
    <s v="CONGO"/>
    <s v="RALFF-CO2069"/>
    <s v="1.1.1.7"/>
    <m/>
  </r>
  <r>
    <d v="2021-03-29T00:00:00"/>
    <s v="Reglt CNSS Janv-Fev-Mars  21/PALF/Chq n°3643441//Crépin"/>
    <x v="13"/>
    <s v="Legal"/>
    <m/>
    <n v="220377"/>
    <n v="33364573.99927"/>
    <x v="11"/>
    <n v="3643441"/>
    <x v="1"/>
    <s v="RALFF"/>
    <s v="CONGO"/>
    <s v="RALFF-CO2070"/>
    <s v="1.1.1.7"/>
    <m/>
  </r>
  <r>
    <d v="2021-03-29T00:00:00"/>
    <s v="Reglt CNSS Janv-Fev-Mars  21/PALF/Chq n°3643441//Ted"/>
    <x v="13"/>
    <s v="Management"/>
    <m/>
    <n v="253422"/>
    <n v="33111151.99927"/>
    <x v="11"/>
    <n v="3643441"/>
    <x v="1"/>
    <s v="RALFF"/>
    <s v="CONGO"/>
    <s v="RALFF-CO2071"/>
    <s v="1.1.2.1"/>
    <m/>
  </r>
  <r>
    <d v="2021-03-29T00:00:00"/>
    <s v="Reglt CNSS Janv-Fev-Mars  21/PALF/Chq n°3643441//Merveille"/>
    <x v="13"/>
    <s v="Management"/>
    <m/>
    <n v="158580"/>
    <n v="32952571.99927"/>
    <x v="11"/>
    <n v="3643441"/>
    <x v="1"/>
    <s v="RALFF"/>
    <s v="CONGO"/>
    <s v="RALFF-CO2072"/>
    <s v="1.1.2.1"/>
    <m/>
  </r>
  <r>
    <d v="2021-03-29T00:00:00"/>
    <s v="Reglt CNSS Janv-Fev-Mars  21/PALF/Chq n°3643441//Geisner"/>
    <x v="13"/>
    <s v="Legal"/>
    <m/>
    <n v="116544"/>
    <n v="32836027.99927"/>
    <x v="11"/>
    <n v="3643441"/>
    <x v="1"/>
    <s v="RALFF"/>
    <s v="CONGO"/>
    <s v="RALFF-CO2073"/>
    <s v="1.1.1.7"/>
    <m/>
  </r>
  <r>
    <d v="2021-03-29T00:00:00"/>
    <s v="Reglt CNSS Janv-Fev-Mars  21/PALF/Chq n°3643441//Christian"/>
    <x v="13"/>
    <s v="Legal"/>
    <m/>
    <n v="116544"/>
    <n v="32719483.99927"/>
    <x v="11"/>
    <n v="3643441"/>
    <x v="1"/>
    <s v="RALFF"/>
    <s v="CONGO"/>
    <s v="RALFF-CO2074"/>
    <s v="1.1.1.7"/>
    <m/>
  </r>
  <r>
    <d v="2021-03-29T00:00:00"/>
    <s v="Merveille"/>
    <x v="1"/>
    <m/>
    <m/>
    <n v="15000"/>
    <n v="32704483.99927"/>
    <x v="1"/>
    <m/>
    <x v="0"/>
    <m/>
    <m/>
    <m/>
    <m/>
    <m/>
  </r>
  <r>
    <d v="2021-03-29T00:00:00"/>
    <s v="Evariste"/>
    <x v="1"/>
    <m/>
    <m/>
    <n v="15000"/>
    <n v="32689483.99927"/>
    <x v="1"/>
    <m/>
    <x v="0"/>
    <m/>
    <m/>
    <m/>
    <m/>
    <m/>
  </r>
  <r>
    <d v="2021-03-29T00:00:00"/>
    <s v="I23c"/>
    <x v="1"/>
    <m/>
    <m/>
    <n v="100000"/>
    <n v="32589483.99927"/>
    <x v="1"/>
    <m/>
    <x v="0"/>
    <m/>
    <m/>
    <m/>
    <m/>
    <m/>
  </r>
  <r>
    <d v="2021-03-29T00:00:00"/>
    <s v="Frais de transfert charden Farell/i23c"/>
    <x v="8"/>
    <s v="Office"/>
    <m/>
    <n v="3000"/>
    <n v="32586483.99927"/>
    <x v="1"/>
    <s v="Oui"/>
    <x v="1"/>
    <s v="RALFF"/>
    <s v="CONGO"/>
    <s v="RALFF-CO2075"/>
    <s v="5.6"/>
    <m/>
  </r>
  <r>
    <d v="2021-03-29T00:00:00"/>
    <s v="BCI"/>
    <x v="1"/>
    <m/>
    <n v="2000000"/>
    <m/>
    <n v="34586483.99927"/>
    <x v="1"/>
    <m/>
    <x v="0"/>
    <m/>
    <m/>
    <m/>
    <m/>
    <m/>
  </r>
  <r>
    <d v="2021-03-29T00:00:00"/>
    <s v="Solde bonus média/Evariste"/>
    <x v="4"/>
    <s v="Media"/>
    <m/>
    <n v="88000"/>
    <n v="34498483.99927"/>
    <x v="1"/>
    <s v="Décharge"/>
    <x v="3"/>
    <s v="PALF"/>
    <s v="CONGO"/>
    <m/>
    <m/>
    <m/>
  </r>
  <r>
    <d v="2021-03-29T00:00:00"/>
    <s v="Crépin"/>
    <x v="1"/>
    <m/>
    <m/>
    <n v="70000"/>
    <n v="34428483.99927"/>
    <x v="1"/>
    <m/>
    <x v="0"/>
    <m/>
    <m/>
    <m/>
    <m/>
    <m/>
  </r>
  <r>
    <d v="2021-03-29T00:00:00"/>
    <s v="Versement à JB/Christian"/>
    <x v="1"/>
    <m/>
    <m/>
    <n v="40000"/>
    <n v="34388483.99927"/>
    <x v="9"/>
    <m/>
    <x v="0"/>
    <m/>
    <m/>
    <m/>
    <m/>
    <m/>
  </r>
  <r>
    <d v="2021-03-29T00:00:00"/>
    <s v="Reçu caisse/Evariste"/>
    <x v="1"/>
    <m/>
    <n v="15000"/>
    <m/>
    <n v="34403483.99927"/>
    <x v="10"/>
    <m/>
    <x v="0"/>
    <m/>
    <m/>
    <m/>
    <m/>
    <m/>
  </r>
  <r>
    <d v="2021-03-29T00:00:00"/>
    <s v="Réçu caisse/I23C"/>
    <x v="1"/>
    <m/>
    <n v="100000"/>
    <m/>
    <n v="34503483.99927"/>
    <x v="2"/>
    <m/>
    <x v="0"/>
    <m/>
    <m/>
    <m/>
    <m/>
    <m/>
  </r>
  <r>
    <d v="2021-03-29T00:00:00"/>
    <s v="Frais Examens médical pour détenu Robert (HDL-LOL-C-Cholestérol-Triglycénide)"/>
    <x v="5"/>
    <s v="Legal"/>
    <m/>
    <n v="18000"/>
    <n v="34485483.99927"/>
    <x v="3"/>
    <s v="Oui"/>
    <x v="3"/>
    <s v="PALF"/>
    <s v="CONGO"/>
    <m/>
    <m/>
    <m/>
  </r>
  <r>
    <d v="2021-03-29T00:00:00"/>
    <s v="Reçu Caisse Christian/JB"/>
    <x v="1"/>
    <m/>
    <n v="40000"/>
    <m/>
    <n v="34525483.99927"/>
    <x v="3"/>
    <m/>
    <x v="0"/>
    <m/>
    <m/>
    <m/>
    <m/>
    <m/>
  </r>
  <r>
    <d v="2021-03-29T00:00:00"/>
    <s v="Achat produit pharmaceutique -Ordonnance prévenu Robert/JB "/>
    <x v="5"/>
    <s v="Legal"/>
    <m/>
    <n v="2300"/>
    <n v="34523183.99927"/>
    <x v="3"/>
    <s v="Oui"/>
    <x v="3"/>
    <s v="PALF"/>
    <s v="CONGO"/>
    <m/>
    <m/>
    <m/>
  </r>
  <r>
    <d v="2021-03-29T00:00:00"/>
    <s v="Food allowance Ms Boundji-Ngoko-Okoyo du 29 mars au 5 avril/P29"/>
    <x v="7"/>
    <s v="Investigation"/>
    <m/>
    <n v="70000"/>
    <n v="34453183.99927"/>
    <x v="4"/>
    <s v="Décharge"/>
    <x v="1"/>
    <s v="RALFF"/>
    <s v="CONGO"/>
    <s v="RALFF-CO2076"/>
    <s v="1.3.2"/>
    <m/>
  </r>
  <r>
    <d v="2021-03-29T00:00:00"/>
    <s v="Reçu caisse/Merveille"/>
    <x v="1"/>
    <m/>
    <n v="15000"/>
    <m/>
    <n v="34468183.99927"/>
    <x v="5"/>
    <m/>
    <x v="0"/>
    <m/>
    <m/>
    <m/>
    <m/>
    <m/>
  </r>
  <r>
    <d v="2021-03-30T00:00:00"/>
    <s v="Frais de transfert charden Farell/crépin"/>
    <x v="8"/>
    <s v="Office"/>
    <m/>
    <n v="7020"/>
    <n v="34461163.99927"/>
    <x v="1"/>
    <s v="Oui"/>
    <x v="1"/>
    <s v="RALFF"/>
    <s v="CONGO"/>
    <s v="RALFF-CO2077"/>
    <s v="5.6"/>
    <m/>
  </r>
  <r>
    <d v="2021-03-30T00:00:00"/>
    <s v="P29"/>
    <x v="1"/>
    <m/>
    <m/>
    <n v="164000"/>
    <n v="34297163.99927"/>
    <x v="1"/>
    <m/>
    <x v="0"/>
    <m/>
    <m/>
    <m/>
    <m/>
    <m/>
  </r>
  <r>
    <d v="2021-03-30T00:00:00"/>
    <s v="Hérick"/>
    <x v="1"/>
    <m/>
    <m/>
    <n v="30000"/>
    <n v="34267163.99927"/>
    <x v="1"/>
    <m/>
    <x v="0"/>
    <m/>
    <m/>
    <m/>
    <m/>
    <m/>
  </r>
  <r>
    <d v="2021-03-30T00:00:00"/>
    <s v="Cumul frais transport local mois de mars/Christian"/>
    <x v="6"/>
    <s v="Legal"/>
    <m/>
    <n v="77500"/>
    <n v="34189663.99927"/>
    <x v="9"/>
    <s v="Décharge"/>
    <x v="1"/>
    <s v="RALFF"/>
    <s v="CONGO"/>
    <s v="RALFF-CO2078"/>
    <s v="2.2"/>
    <m/>
  </r>
  <r>
    <d v="2021-03-30T00:00:00"/>
    <s v=" Frais achat bananes pour mandrill"/>
    <x v="7"/>
    <s v="Operations"/>
    <m/>
    <n v="1000"/>
    <n v="34188663.99927"/>
    <x v="7"/>
    <s v="Décharge"/>
    <x v="3"/>
    <s v="PALF"/>
    <s v="CONGO"/>
    <m/>
    <m/>
    <m/>
  </r>
  <r>
    <d v="2021-03-30T00:00:00"/>
    <s v="Cumul frais transport local mois de mars 2021/Evariste"/>
    <x v="6"/>
    <s v="Media"/>
    <m/>
    <n v="80400"/>
    <n v="34108263.99927"/>
    <x v="10"/>
    <s v="Décharge"/>
    <x v="1"/>
    <s v="RALFF"/>
    <s v="CONGO"/>
    <s v="RALFF-CO2079"/>
    <s v="2.2"/>
    <m/>
  </r>
  <r>
    <d v="2021-03-30T00:00:00"/>
    <s v="Frais Examens médical (E.CBU+ATB) prévenu Robert/JB"/>
    <x v="5"/>
    <s v="Legal"/>
    <m/>
    <n v="9500"/>
    <n v="34098763.99927"/>
    <x v="3"/>
    <s v="Oui"/>
    <x v="3"/>
    <s v="PALF"/>
    <s v="CONGO"/>
    <m/>
    <m/>
    <m/>
  </r>
  <r>
    <d v="2021-03-30T00:00:00"/>
    <s v="Recu caisse/P29"/>
    <x v="1"/>
    <m/>
    <n v="164000"/>
    <m/>
    <n v="34262763.99927"/>
    <x v="4"/>
    <m/>
    <x v="0"/>
    <m/>
    <m/>
    <m/>
    <m/>
    <m/>
  </r>
  <r>
    <d v="2021-03-31T00:00:00"/>
    <s v="Cumul frais bancaire mois de mars compte 34/BCI"/>
    <x v="19"/>
    <s v="Office"/>
    <m/>
    <n v="12885"/>
    <n v="34249878.99927"/>
    <x v="6"/>
    <s v="Relevé"/>
    <x v="3"/>
    <s v="PALF"/>
    <s v="CONGO"/>
    <m/>
    <m/>
    <m/>
  </r>
  <r>
    <d v="2021-03-31T00:00:00"/>
    <s v="Cumul frais bancaire mois de mars compte 56/BCI"/>
    <x v="19"/>
    <s v="Office"/>
    <m/>
    <n v="18476"/>
    <n v="34231402.99927"/>
    <x v="11"/>
    <s v="Relevé"/>
    <x v="1"/>
    <s v="RALFF"/>
    <s v="CONGO"/>
    <s v="RALFF-CO2080"/>
    <s v="5.6"/>
    <m/>
  </r>
  <r>
    <d v="2021-03-31T00:00:00"/>
    <s v="Bonus Operation à Dolisie/Geisner"/>
    <x v="4"/>
    <s v="Operations"/>
    <m/>
    <n v="20000"/>
    <n v="34211402.99927"/>
    <x v="1"/>
    <s v="Décharge"/>
    <x v="4"/>
    <s v="PALF"/>
    <s v="CONGO"/>
    <m/>
    <m/>
    <m/>
  </r>
  <r>
    <d v="2021-03-31T00:00:00"/>
    <s v="Bonus Operation à Dolisie/Evariste"/>
    <x v="4"/>
    <s v="Operations"/>
    <m/>
    <n v="20000"/>
    <n v="34191402.99927"/>
    <x v="1"/>
    <s v="Décharge"/>
    <x v="4"/>
    <s v="PALF"/>
    <s v="CONGO"/>
    <m/>
    <m/>
    <m/>
  </r>
  <r>
    <d v="2021-03-31T00:00:00"/>
    <s v="Reçu caisse/Crépin"/>
    <x v="1"/>
    <m/>
    <n v="70000"/>
    <m/>
    <n v="34261402.99927"/>
    <x v="7"/>
    <m/>
    <x v="0"/>
    <m/>
    <m/>
    <m/>
    <m/>
    <m/>
  </r>
  <r>
    <d v="2021-03-31T00:00:00"/>
    <s v="Achat Billet Pointe Noire-Brazzaville/Crépin"/>
    <x v="6"/>
    <s v="Management"/>
    <m/>
    <n v="15000"/>
    <n v="34246402.99927"/>
    <x v="7"/>
    <s v="Oui"/>
    <x v="1"/>
    <s v="RALFF"/>
    <s v="CONGO"/>
    <s v="RALFF-CO2081"/>
    <s v="2.2"/>
    <m/>
  </r>
  <r>
    <d v="2021-03-31T00:00:00"/>
    <s v="Cumul frais transport local mois de mars/Crépin"/>
    <x v="6"/>
    <s v="Management"/>
    <m/>
    <n v="77300"/>
    <n v="34169102.99927"/>
    <x v="7"/>
    <s v="Décharge"/>
    <x v="1"/>
    <s v="RALFF"/>
    <s v="CONGO"/>
    <s v="RALFF-CO2082"/>
    <s v="2.2"/>
    <m/>
  </r>
  <r>
    <d v="2021-03-31T00:00:00"/>
    <s v="Frais d'Hôtel Ms  à P/N  du 28/03/2021 au 01/04/2021/Crépin"/>
    <x v="7"/>
    <s v="Management"/>
    <m/>
    <n v="60000"/>
    <n v="34109102.99927"/>
    <x v="7"/>
    <s v="Oui"/>
    <x v="1"/>
    <s v="RALFF"/>
    <s v="CONGO"/>
    <s v="RALFF-CO2083"/>
    <s v="1.3.2"/>
    <m/>
  </r>
  <r>
    <d v="2021-03-31T00:00:00"/>
    <s v="Versement  à Tiffany/Crépin"/>
    <x v="1"/>
    <m/>
    <m/>
    <n v="29000"/>
    <n v="34080102.99927"/>
    <x v="7"/>
    <m/>
    <x v="0"/>
    <m/>
    <m/>
    <m/>
    <m/>
    <m/>
  </r>
  <r>
    <d v="2021-03-31T00:00:00"/>
    <s v="Reçu caisse/Hérick"/>
    <x v="1"/>
    <m/>
    <n v="30000"/>
    <m/>
    <n v="34110102.99927"/>
    <x v="12"/>
    <m/>
    <x v="0"/>
    <m/>
    <m/>
    <m/>
    <m/>
    <m/>
  </r>
  <r>
    <d v="2021-03-31T00:00:00"/>
    <s v="Achat billet  d'avion PN-BZ (retour à Brazzaville)I23C"/>
    <x v="20"/>
    <s v="Investigation"/>
    <m/>
    <n v="40000"/>
    <n v="34070102.99927"/>
    <x v="2"/>
    <s v="Oui"/>
    <x v="1"/>
    <s v="RALFF"/>
    <s v="CONGO"/>
    <s v="RALFF-CO2084"/>
    <s v="2.2"/>
    <m/>
  </r>
  <r>
    <d v="2021-03-31T00:00:00"/>
    <s v=" Frais d'Hôtel  Ms à  PN  du 26 au 31 mars 2021 /I23C"/>
    <x v="7"/>
    <s v="Investigation"/>
    <m/>
    <n v="75000"/>
    <n v="33995102.99927"/>
    <x v="2"/>
    <s v="Oui"/>
    <x v="1"/>
    <s v="RALFF"/>
    <s v="CONGO"/>
    <s v="RALFF-CO2085"/>
    <s v="1.3.2"/>
    <m/>
  </r>
  <r>
    <d v="2021-03-31T00:00:00"/>
    <s v="Cumul frais transport local mois mars/I23C"/>
    <x v="6"/>
    <s v="Investigation"/>
    <m/>
    <n v="162000"/>
    <n v="33833102.99927"/>
    <x v="2"/>
    <s v="Décharge"/>
    <x v="1"/>
    <s v="RALFF"/>
    <s v="CONGO"/>
    <s v="RALFF-CO2086"/>
    <s v="2.2"/>
    <m/>
  </r>
  <r>
    <d v="2021-03-31T00:00:00"/>
    <s v="Cumul frais achat boissons et repas avec les informateurs/I23C"/>
    <x v="17"/>
    <s v="Investigation"/>
    <m/>
    <n v="58000"/>
    <n v="33775102.99927"/>
    <x v="2"/>
    <s v="Décharge"/>
    <x v="3"/>
    <s v="PALF"/>
    <s v="CONGO"/>
    <m/>
    <m/>
    <m/>
  </r>
  <r>
    <d v="2021-03-31T00:00:00"/>
    <s v="Cumul frais transport local mois de Mars/JB"/>
    <x v="6"/>
    <s v="Legal"/>
    <m/>
    <n v="65000"/>
    <n v="33710102.99927"/>
    <x v="3"/>
    <s v="Décharge"/>
    <x v="1"/>
    <s v="RALFF"/>
    <s v="CONGO"/>
    <s v="RALFF-CO2087"/>
    <s v="2.2"/>
    <m/>
  </r>
  <r>
    <d v="2021-03-31T00:00:00"/>
    <s v="Cumul frais Visite geôle mois de mars/JB"/>
    <x v="5"/>
    <s v="Legal"/>
    <m/>
    <n v="21500"/>
    <n v="33688602.99927"/>
    <x v="3"/>
    <s v="Décharge"/>
    <x v="3"/>
    <s v="PALF"/>
    <s v="CONGO"/>
    <m/>
    <m/>
    <m/>
  </r>
  <r>
    <d v="2021-03-31T00:00:00"/>
    <s v="Cumul frais transport local mois de mars/P29"/>
    <x v="6"/>
    <s v="Investigation"/>
    <m/>
    <n v="76500"/>
    <n v="33612102.99927"/>
    <x v="4"/>
    <s v="Décharge"/>
    <x v="1"/>
    <s v="RALFF"/>
    <s v="CONGO"/>
    <s v="RALFF-CO2088"/>
    <s v="2.2"/>
    <m/>
  </r>
  <r>
    <d v="2021-03-31T00:00:00"/>
    <s v="Cumul frais achat boisson avec les informateurs/P29"/>
    <x v="17"/>
    <s v="Investigation"/>
    <m/>
    <n v="14000"/>
    <n v="33598102.99927"/>
    <x v="4"/>
    <s v="Décharge"/>
    <x v="3"/>
    <s v="PALF"/>
    <s v="CONGO"/>
    <m/>
    <m/>
    <m/>
  </r>
  <r>
    <d v="2021-03-31T00:00:00"/>
    <s v="Cumul frais transport local mois de mars/Merveille"/>
    <x v="6"/>
    <s v="Management"/>
    <m/>
    <n v="49000"/>
    <n v="33549102.99927"/>
    <x v="5"/>
    <s v="Décharge"/>
    <x v="1"/>
    <s v="RALFF"/>
    <s v="CONGO"/>
    <s v="RALFF-CO2089"/>
    <s v="2.2"/>
    <m/>
  </r>
  <r>
    <d v="2021-03-31T00:00:00"/>
    <s v="Frais  d'Hotel Ms à PN du 28/03 au 01/04/Tiffany "/>
    <x v="7"/>
    <s v="Management"/>
    <m/>
    <n v="60000"/>
    <n v="33489102.99927"/>
    <x v="13"/>
    <s v="Oui"/>
    <x v="1"/>
    <s v="RALFF"/>
    <s v="CONGO"/>
    <s v="RALFF-CO2090"/>
    <s v="1.3.2"/>
    <m/>
  </r>
  <r>
    <d v="2021-03-31T00:00:00"/>
    <s v="Reçu caisse Crépin/Tiffany"/>
    <x v="1"/>
    <m/>
    <n v="29000"/>
    <m/>
    <n v="33518102.99927"/>
    <x v="13"/>
    <m/>
    <x v="0"/>
    <m/>
    <m/>
    <m/>
    <m/>
    <m/>
  </r>
  <r>
    <d v="2021-03-31T00:00:00"/>
    <s v="Cumul frais transport local mois de mars/Tiffany"/>
    <x v="6"/>
    <s v="Management"/>
    <m/>
    <n v="31700"/>
    <n v="33486402.99927"/>
    <x v="13"/>
    <s v="Décharge"/>
    <x v="1"/>
    <s v="RALFF"/>
    <s v="CONGO"/>
    <s v="RALFF-CO2091"/>
    <s v="2.2"/>
    <m/>
  </r>
  <r>
    <d v="2021-03-31T00:00:00"/>
    <s v="Achat billet Pointe Noire- Brazzaville/Tiffany"/>
    <x v="6"/>
    <s v="Management"/>
    <m/>
    <n v="15000"/>
    <n v="33471402.99927"/>
    <x v="13"/>
    <s v="Oui"/>
    <x v="1"/>
    <s v="RALFF"/>
    <s v="CONGO"/>
    <s v="RALFF-CO2092"/>
    <s v="2.2"/>
    <m/>
  </r>
  <r>
    <d v="2021-03-31T00:00:00"/>
    <s v="Reçu caisse/I73X"/>
    <x v="1"/>
    <m/>
    <m/>
    <n v="0"/>
    <n v="33471402.99927"/>
    <x v="15"/>
    <m/>
    <x v="0"/>
    <m/>
    <m/>
    <m/>
    <m/>
    <m/>
  </r>
  <r>
    <d v="2021-03-31T00:00:00"/>
    <s v="Reçu caisse/I55S"/>
    <x v="1"/>
    <m/>
    <m/>
    <n v="0"/>
    <n v="33471402.99927"/>
    <x v="16"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15">
    <pivotField numFmtId="14" showAll="0"/>
    <pivotField showAll="0"/>
    <pivotField showAll="0"/>
    <pivotField showAll="0"/>
    <pivotField showAll="0"/>
    <pivotField dataField="1" showAll="0"/>
    <pivotField numFmtId="167" showAll="0"/>
    <pivotField showAll="0"/>
    <pivotField showAll="0"/>
    <pivotField axis="axisRow" showAll="0">
      <items count="12">
        <item m="1" x="9"/>
        <item m="1" x="5"/>
        <item m="1" x="10"/>
        <item m="1" x="6"/>
        <item m="1" x="8"/>
        <item x="4"/>
        <item x="1"/>
        <item m="1" x="7"/>
        <item h="1" x="0"/>
        <item x="3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5">
    <i>
      <x v="5"/>
    </i>
    <i>
      <x v="6"/>
    </i>
    <i>
      <x v="9"/>
    </i>
    <i>
      <x v="10"/>
    </i>
    <i t="grand">
      <x/>
    </i>
  </rowItems>
  <colItems count="1">
    <i/>
  </colItems>
  <dataFields count="1">
    <dataField name="Sum of Spent" fld="5" baseField="9" baseItem="1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AQ22" firstHeaderRow="1" firstDataRow="3" firstDataCol="1"/>
  <pivotFields count="15">
    <pivotField numFmtId="14" showAll="0"/>
    <pivotField showAll="0"/>
    <pivotField axis="axisCol" showAll="0">
      <items count="25">
        <item x="19"/>
        <item x="4"/>
        <item x="18"/>
        <item x="16"/>
        <item x="20"/>
        <item x="2"/>
        <item x="5"/>
        <item x="12"/>
        <item x="9"/>
        <item x="13"/>
        <item x="14"/>
        <item x="11"/>
        <item x="3"/>
        <item x="8"/>
        <item x="6"/>
        <item m="1" x="22"/>
        <item x="15"/>
        <item m="1" x="21"/>
        <item m="1" x="23"/>
        <item x="7"/>
        <item x="17"/>
        <item x="1"/>
        <item x="0"/>
        <item x="10"/>
        <item t="default"/>
      </items>
    </pivotField>
    <pivotField showAll="0"/>
    <pivotField dataField="1" showAll="0"/>
    <pivotField dataField="1" showAll="0"/>
    <pivotField numFmtId="167" showAll="0"/>
    <pivotField axis="axisRow" showAll="0">
      <items count="20">
        <item x="6"/>
        <item x="11"/>
        <item x="1"/>
        <item x="9"/>
        <item x="7"/>
        <item x="10"/>
        <item x="8"/>
        <item x="12"/>
        <item x="2"/>
        <item x="16"/>
        <item x="15"/>
        <item x="3"/>
        <item x="5"/>
        <item x="4"/>
        <item m="1" x="17"/>
        <item m="1" x="18"/>
        <item x="14"/>
        <item x="1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 t="grand">
      <x/>
    </i>
  </rowItems>
  <colFields count="2">
    <field x="2"/>
    <field x="-2"/>
  </colFields>
  <colItems count="4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6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3"/>
      <x/>
    </i>
    <i r="1" i="1">
      <x v="1"/>
    </i>
    <i t="grand">
      <x/>
    </i>
    <i t="grand" i="1">
      <x/>
    </i>
  </colItems>
  <dataFields count="2">
    <dataField name="Sum of Received" fld="4" baseField="7" baseItem="0" numFmtId="3"/>
    <dataField name="Sum of Spent" fld="5" baseField="7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262"/>
  <sheetViews>
    <sheetView tabSelected="1" zoomScale="80" zoomScaleNormal="80" workbookViewId="0">
      <pane xSplit="1" topLeftCell="B1" activePane="topRight" state="frozen"/>
      <selection pane="topRight" activeCell="F3" sqref="F3"/>
    </sheetView>
  </sheetViews>
  <sheetFormatPr baseColWidth="10" defaultColWidth="11.42578125" defaultRowHeight="15" x14ac:dyDescent="0.25"/>
  <cols>
    <col min="1" max="1" width="31" style="56" customWidth="1"/>
    <col min="2" max="2" width="21.42578125" style="56" customWidth="1"/>
    <col min="3" max="3" width="26" style="56" customWidth="1"/>
    <col min="4" max="4" width="23.7109375" style="56" customWidth="1"/>
    <col min="5" max="5" width="19.5703125" style="56" customWidth="1"/>
    <col min="6" max="6" width="21" style="56" customWidth="1"/>
    <col min="7" max="7" width="19.85546875" style="56" customWidth="1"/>
    <col min="8" max="8" width="20.5703125" style="56" customWidth="1"/>
    <col min="9" max="9" width="19.7109375" style="56" customWidth="1"/>
    <col min="10" max="10" width="16.7109375" style="56" customWidth="1"/>
    <col min="11" max="11" width="14.5703125" style="56" customWidth="1"/>
    <col min="12" max="12" width="16" style="107" customWidth="1"/>
    <col min="13" max="13" width="14.85546875" style="107" customWidth="1"/>
    <col min="14" max="14" width="14.140625" style="107" customWidth="1"/>
    <col min="15" max="15" width="14.85546875" style="107" customWidth="1"/>
    <col min="16" max="16384" width="11.42578125" style="56"/>
  </cols>
  <sheetData>
    <row r="1" spans="1:15" x14ac:dyDescent="0.25">
      <c r="A1" s="55">
        <v>44286</v>
      </c>
    </row>
    <row r="2" spans="1:15" ht="15.75" x14ac:dyDescent="0.25">
      <c r="A2" s="57" t="s">
        <v>78</v>
      </c>
      <c r="B2" s="57" t="s">
        <v>9</v>
      </c>
      <c r="C2" s="57">
        <v>44256</v>
      </c>
      <c r="D2" s="58" t="s">
        <v>79</v>
      </c>
      <c r="E2" s="58" t="s">
        <v>80</v>
      </c>
      <c r="F2" s="58" t="s">
        <v>81</v>
      </c>
      <c r="G2" s="58" t="s">
        <v>82</v>
      </c>
      <c r="H2" s="57">
        <v>44286</v>
      </c>
      <c r="I2" s="58" t="s">
        <v>83</v>
      </c>
      <c r="K2" s="106"/>
      <c r="L2" s="106" t="s">
        <v>84</v>
      </c>
      <c r="M2" s="106" t="s">
        <v>85</v>
      </c>
      <c r="N2" s="106" t="s">
        <v>86</v>
      </c>
      <c r="O2" s="106" t="s">
        <v>87</v>
      </c>
    </row>
    <row r="3" spans="1:15" ht="16.5" x14ac:dyDescent="0.3">
      <c r="A3" s="119" t="str">
        <f>+K3</f>
        <v xml:space="preserve">BCI </v>
      </c>
      <c r="B3" s="120" t="s">
        <v>88</v>
      </c>
      <c r="C3" s="121">
        <f>[2]Récapitulatif!$I$3</f>
        <v>10113263</v>
      </c>
      <c r="D3" s="223">
        <f>+L3</f>
        <v>0</v>
      </c>
      <c r="E3" s="122">
        <f>+N3</f>
        <v>155885</v>
      </c>
      <c r="F3" s="122">
        <f>+M3</f>
        <v>7000000</v>
      </c>
      <c r="G3" s="122">
        <f>+O3</f>
        <v>0</v>
      </c>
      <c r="H3" s="267">
        <f>'Compte Principal 34 BCI'!H29</f>
        <v>2957378</v>
      </c>
      <c r="I3" s="267">
        <f>+C3+D3-E3-F3+G3</f>
        <v>2957378</v>
      </c>
      <c r="J3" s="60">
        <f>I3-H3</f>
        <v>0</v>
      </c>
      <c r="K3" s="106" t="s">
        <v>89</v>
      </c>
      <c r="L3" s="108">
        <v>0</v>
      </c>
      <c r="M3" s="108">
        <v>7000000</v>
      </c>
      <c r="N3" s="108">
        <v>155885</v>
      </c>
      <c r="O3" s="108">
        <v>0</v>
      </c>
    </row>
    <row r="4" spans="1:15" ht="16.5" x14ac:dyDescent="0.3">
      <c r="A4" s="119" t="str">
        <f>+K4</f>
        <v>BCI  sous-compte</v>
      </c>
      <c r="B4" s="120" t="s">
        <v>88</v>
      </c>
      <c r="C4" s="121">
        <f>[2]Récapitulatif!$I$4</f>
        <v>6219904</v>
      </c>
      <c r="D4" s="122">
        <f>+L4</f>
        <v>0</v>
      </c>
      <c r="E4" s="122">
        <f>+N4</f>
        <v>6707979</v>
      </c>
      <c r="F4" s="122">
        <f>+M4</f>
        <v>0</v>
      </c>
      <c r="G4" s="122">
        <f t="shared" ref="G4:G18" si="0">+O4</f>
        <v>28506579</v>
      </c>
      <c r="H4" s="267">
        <f>'Sous-Compte 56 BCI'!H40</f>
        <v>28018507</v>
      </c>
      <c r="I4" s="267">
        <f>+C4+D4-E4-F4+G4</f>
        <v>28018504</v>
      </c>
      <c r="J4" s="60">
        <f t="shared" ref="J4:J14" si="1">I4-H4</f>
        <v>-3</v>
      </c>
      <c r="K4" s="106" t="s">
        <v>90</v>
      </c>
      <c r="L4" s="108">
        <v>0</v>
      </c>
      <c r="M4" s="108">
        <v>0</v>
      </c>
      <c r="N4" s="108">
        <v>6707979</v>
      </c>
      <c r="O4" s="108">
        <v>28506579</v>
      </c>
    </row>
    <row r="5" spans="1:15" ht="16.5" x14ac:dyDescent="0.3">
      <c r="A5" s="119" t="str">
        <f t="shared" ref="A5:A15" si="2">+K5</f>
        <v>Caisse</v>
      </c>
      <c r="B5" s="120" t="s">
        <v>62</v>
      </c>
      <c r="C5" s="121">
        <f>[2]Récapitulatif!$I$5</f>
        <v>1148337</v>
      </c>
      <c r="D5" s="122">
        <f>+L5</f>
        <v>7000000</v>
      </c>
      <c r="E5" s="122">
        <f>+N5</f>
        <v>2165078</v>
      </c>
      <c r="F5" s="122">
        <f t="shared" ref="F5:F18" si="3">+M5</f>
        <v>4310300</v>
      </c>
      <c r="G5" s="122">
        <f t="shared" si="0"/>
        <v>0</v>
      </c>
      <c r="H5" s="267">
        <f>'CAISSE Mars 21'!G141</f>
        <v>1672959</v>
      </c>
      <c r="I5" s="267">
        <f>+C5+D5-E5-F5+G5</f>
        <v>1672959</v>
      </c>
      <c r="J5" s="189">
        <f t="shared" si="1"/>
        <v>0</v>
      </c>
      <c r="K5" s="106" t="s">
        <v>62</v>
      </c>
      <c r="L5" s="108">
        <v>7000000</v>
      </c>
      <c r="M5" s="108">
        <v>4310300</v>
      </c>
      <c r="N5" s="108">
        <v>2165078</v>
      </c>
      <c r="O5" s="108">
        <v>0</v>
      </c>
    </row>
    <row r="6" spans="1:15" ht="16.5" x14ac:dyDescent="0.3">
      <c r="A6" s="119" t="str">
        <f t="shared" si="2"/>
        <v>Christian</v>
      </c>
      <c r="B6" s="120" t="s">
        <v>16</v>
      </c>
      <c r="C6" s="121">
        <f>[2]Récapitulatif!$I$6</f>
        <v>7670</v>
      </c>
      <c r="D6" s="122">
        <f t="shared" ref="D6:D18" si="4">+L6</f>
        <v>438000</v>
      </c>
      <c r="E6" s="122">
        <f t="shared" ref="E6:E18" si="5">+N6</f>
        <v>406120</v>
      </c>
      <c r="F6" s="122">
        <f t="shared" si="3"/>
        <v>40000</v>
      </c>
      <c r="G6" s="122">
        <f t="shared" si="0"/>
        <v>0</v>
      </c>
      <c r="H6" s="267">
        <f>+'[3]compta ok (2)'!$G$488</f>
        <v>-450</v>
      </c>
      <c r="I6" s="267">
        <f t="shared" ref="I6:I18" si="6">+C6+D6-E6-F6+G6</f>
        <v>-450</v>
      </c>
      <c r="J6" s="60">
        <f t="shared" si="1"/>
        <v>0</v>
      </c>
      <c r="K6" s="106" t="s">
        <v>122</v>
      </c>
      <c r="L6" s="108">
        <v>438000</v>
      </c>
      <c r="M6" s="108">
        <v>40000</v>
      </c>
      <c r="N6" s="108">
        <v>406120</v>
      </c>
      <c r="O6" s="108">
        <v>0</v>
      </c>
    </row>
    <row r="7" spans="1:15" ht="16.5" x14ac:dyDescent="0.3">
      <c r="A7" s="119" t="str">
        <f t="shared" si="2"/>
        <v>Crépin</v>
      </c>
      <c r="B7" s="120" t="s">
        <v>16</v>
      </c>
      <c r="C7" s="121">
        <f>[2]Récapitulatif!$I$7</f>
        <v>4710</v>
      </c>
      <c r="D7" s="122">
        <f t="shared" si="4"/>
        <v>481000</v>
      </c>
      <c r="E7" s="122">
        <f t="shared" si="5"/>
        <v>444200</v>
      </c>
      <c r="F7" s="122">
        <f t="shared" si="3"/>
        <v>29000</v>
      </c>
      <c r="G7" s="122">
        <f t="shared" si="0"/>
        <v>0</v>
      </c>
      <c r="H7" s="267">
        <f>+'[4]COMPTA_CREPIN (2) ok'!$G$3450</f>
        <v>12510</v>
      </c>
      <c r="I7" s="267">
        <f t="shared" si="6"/>
        <v>12510</v>
      </c>
      <c r="J7" s="60">
        <f t="shared" si="1"/>
        <v>0</v>
      </c>
      <c r="K7" s="106" t="s">
        <v>91</v>
      </c>
      <c r="L7" s="108">
        <v>481000</v>
      </c>
      <c r="M7" s="108">
        <v>29000</v>
      </c>
      <c r="N7" s="108">
        <v>444200</v>
      </c>
      <c r="O7" s="108">
        <v>0</v>
      </c>
    </row>
    <row r="8" spans="1:15" ht="16.5" x14ac:dyDescent="0.3">
      <c r="A8" s="119" t="str">
        <f t="shared" si="2"/>
        <v>Evariste</v>
      </c>
      <c r="B8" s="120" t="s">
        <v>16</v>
      </c>
      <c r="C8" s="121">
        <f>[2]Récapitulatif!$I$8</f>
        <v>9295</v>
      </c>
      <c r="D8" s="122">
        <f t="shared" si="4"/>
        <v>745000</v>
      </c>
      <c r="E8" s="122">
        <f t="shared" si="5"/>
        <v>228400</v>
      </c>
      <c r="F8" s="122">
        <f t="shared" si="3"/>
        <v>523000</v>
      </c>
      <c r="G8" s="122">
        <f t="shared" si="0"/>
        <v>0</v>
      </c>
      <c r="H8" s="267">
        <f>+'[5]compta ok'!$G$2721</f>
        <v>2895</v>
      </c>
      <c r="I8" s="267">
        <f t="shared" si="6"/>
        <v>2895</v>
      </c>
      <c r="J8" s="60">
        <f t="shared" si="1"/>
        <v>0</v>
      </c>
      <c r="K8" s="106" t="s">
        <v>69</v>
      </c>
      <c r="L8" s="108">
        <v>745000</v>
      </c>
      <c r="M8" s="108">
        <v>523000</v>
      </c>
      <c r="N8" s="108">
        <v>228400</v>
      </c>
      <c r="O8" s="108">
        <v>0</v>
      </c>
    </row>
    <row r="9" spans="1:15" ht="16.5" x14ac:dyDescent="0.3">
      <c r="A9" s="119" t="str">
        <f t="shared" si="2"/>
        <v>Geisner</v>
      </c>
      <c r="B9" s="185" t="s">
        <v>16</v>
      </c>
      <c r="C9" s="122">
        <f>[2]Récapitulatif!$I$9</f>
        <v>-25100</v>
      </c>
      <c r="D9" s="122">
        <f t="shared" si="4"/>
        <v>390100</v>
      </c>
      <c r="E9" s="122">
        <f t="shared" si="5"/>
        <v>302960</v>
      </c>
      <c r="F9" s="122">
        <f t="shared" si="3"/>
        <v>0</v>
      </c>
      <c r="G9" s="122">
        <f t="shared" si="0"/>
        <v>0</v>
      </c>
      <c r="H9" s="267">
        <f>'[6]COMPTA (2)'!$G$379</f>
        <v>62040</v>
      </c>
      <c r="I9" s="267">
        <f t="shared" si="6"/>
        <v>62040</v>
      </c>
      <c r="J9" s="60">
        <f t="shared" si="1"/>
        <v>0</v>
      </c>
      <c r="K9" s="106" t="s">
        <v>123</v>
      </c>
      <c r="L9" s="108">
        <v>390100</v>
      </c>
      <c r="M9" s="108">
        <v>0</v>
      </c>
      <c r="N9" s="108">
        <v>302960</v>
      </c>
      <c r="O9" s="108">
        <v>0</v>
      </c>
    </row>
    <row r="10" spans="1:15" ht="16.5" x14ac:dyDescent="0.3">
      <c r="A10" s="119" t="str">
        <f t="shared" si="2"/>
        <v>Herick</v>
      </c>
      <c r="B10" s="185" t="s">
        <v>16</v>
      </c>
      <c r="C10" s="122">
        <f>[2]Récapitulatif!$I$10</f>
        <v>7384</v>
      </c>
      <c r="D10" s="267">
        <f t="shared" si="4"/>
        <v>420000</v>
      </c>
      <c r="E10" s="267">
        <f t="shared" si="5"/>
        <v>365200</v>
      </c>
      <c r="F10" s="267">
        <f t="shared" si="3"/>
        <v>62000</v>
      </c>
      <c r="G10" s="267">
        <f t="shared" si="0"/>
        <v>0</v>
      </c>
      <c r="H10" s="122">
        <f>+'[7]compta ok'!$G$2815</f>
        <v>183.5</v>
      </c>
      <c r="I10" s="267">
        <f t="shared" si="6"/>
        <v>184</v>
      </c>
      <c r="J10" s="60">
        <f t="shared" si="1"/>
        <v>0.5</v>
      </c>
      <c r="K10" s="106" t="s">
        <v>64</v>
      </c>
      <c r="L10" s="108">
        <v>420000</v>
      </c>
      <c r="M10" s="108">
        <v>62000</v>
      </c>
      <c r="N10" s="108">
        <v>365200</v>
      </c>
      <c r="O10" s="108">
        <v>0</v>
      </c>
    </row>
    <row r="11" spans="1:15" ht="16.5" x14ac:dyDescent="0.3">
      <c r="A11" s="119" t="str">
        <f>K11</f>
        <v>I23C</v>
      </c>
      <c r="B11" s="120" t="s">
        <v>31</v>
      </c>
      <c r="C11" s="121">
        <f>[2]Récapitulatif!$I$11</f>
        <v>61300</v>
      </c>
      <c r="D11" s="122">
        <f t="shared" si="4"/>
        <v>931200</v>
      </c>
      <c r="E11" s="122">
        <f t="shared" si="5"/>
        <v>1001000</v>
      </c>
      <c r="F11" s="122">
        <f t="shared" si="3"/>
        <v>28000</v>
      </c>
      <c r="G11" s="122">
        <f t="shared" si="0"/>
        <v>0</v>
      </c>
      <c r="H11" s="267">
        <f>+'[8]COMPTA_I23C (2)'!$G$4714</f>
        <v>-36500</v>
      </c>
      <c r="I11" s="267">
        <f t="shared" si="6"/>
        <v>-36500</v>
      </c>
      <c r="J11" s="60">
        <f t="shared" si="1"/>
        <v>0</v>
      </c>
      <c r="K11" s="106" t="s">
        <v>68</v>
      </c>
      <c r="L11" s="108">
        <v>931200</v>
      </c>
      <c r="M11" s="108">
        <v>28000</v>
      </c>
      <c r="N11" s="108">
        <v>1001000</v>
      </c>
      <c r="O11" s="108">
        <v>0</v>
      </c>
    </row>
    <row r="12" spans="1:15" ht="16.5" x14ac:dyDescent="0.3">
      <c r="A12" s="247" t="str">
        <f t="shared" si="2"/>
        <v>I55S</v>
      </c>
      <c r="B12" s="248" t="s">
        <v>31</v>
      </c>
      <c r="C12" s="249">
        <f>[2]Récapitulatif!$I$12</f>
        <v>233614</v>
      </c>
      <c r="D12" s="250">
        <f t="shared" si="4"/>
        <v>0</v>
      </c>
      <c r="E12" s="250">
        <f t="shared" si="5"/>
        <v>0</v>
      </c>
      <c r="F12" s="250">
        <f t="shared" si="3"/>
        <v>0</v>
      </c>
      <c r="G12" s="250">
        <f t="shared" si="0"/>
        <v>0</v>
      </c>
      <c r="H12" s="268">
        <v>233614</v>
      </c>
      <c r="I12" s="268">
        <f t="shared" si="6"/>
        <v>233614</v>
      </c>
      <c r="J12" s="60">
        <f t="shared" si="1"/>
        <v>0</v>
      </c>
      <c r="K12" s="106" t="s">
        <v>130</v>
      </c>
      <c r="L12" s="108">
        <v>0</v>
      </c>
      <c r="M12" s="108">
        <v>0</v>
      </c>
      <c r="N12" s="108">
        <v>0</v>
      </c>
      <c r="O12" s="108">
        <v>0</v>
      </c>
    </row>
    <row r="13" spans="1:15" ht="16.5" x14ac:dyDescent="0.3">
      <c r="A13" s="247" t="str">
        <f t="shared" si="2"/>
        <v>I73X</v>
      </c>
      <c r="B13" s="248" t="s">
        <v>31</v>
      </c>
      <c r="C13" s="249">
        <f>[2]Récapitulatif!$I$13</f>
        <v>249769</v>
      </c>
      <c r="D13" s="250">
        <f t="shared" si="4"/>
        <v>0</v>
      </c>
      <c r="E13" s="250">
        <f t="shared" si="5"/>
        <v>0</v>
      </c>
      <c r="F13" s="250">
        <f t="shared" si="3"/>
        <v>0</v>
      </c>
      <c r="G13" s="250">
        <f t="shared" si="0"/>
        <v>0</v>
      </c>
      <c r="H13" s="268">
        <v>249769</v>
      </c>
      <c r="I13" s="268">
        <f t="shared" si="6"/>
        <v>249769</v>
      </c>
      <c r="J13" s="60">
        <f t="shared" si="1"/>
        <v>0</v>
      </c>
      <c r="K13" s="106" t="s">
        <v>129</v>
      </c>
      <c r="L13" s="108">
        <v>0</v>
      </c>
      <c r="M13" s="108">
        <v>0</v>
      </c>
      <c r="N13" s="108">
        <v>0</v>
      </c>
      <c r="O13" s="108">
        <v>0</v>
      </c>
    </row>
    <row r="14" spans="1:15" ht="16.5" x14ac:dyDescent="0.3">
      <c r="A14" s="119" t="str">
        <f t="shared" si="2"/>
        <v>Jack-Bénisson</v>
      </c>
      <c r="B14" s="185" t="s">
        <v>16</v>
      </c>
      <c r="C14" s="121">
        <f>[2]Récapitulatif!$I$14</f>
        <v>4500</v>
      </c>
      <c r="D14" s="122">
        <f t="shared" si="4"/>
        <v>274000</v>
      </c>
      <c r="E14" s="122">
        <f t="shared" si="5"/>
        <v>207300</v>
      </c>
      <c r="F14" s="122">
        <f t="shared" si="3"/>
        <v>0</v>
      </c>
      <c r="G14" s="122">
        <f t="shared" si="0"/>
        <v>0</v>
      </c>
      <c r="H14" s="267">
        <f>+'[9]Compta ok'!$G$3077</f>
        <v>71200</v>
      </c>
      <c r="I14" s="267">
        <f t="shared" si="6"/>
        <v>71200</v>
      </c>
      <c r="J14" s="60">
        <f t="shared" si="1"/>
        <v>0</v>
      </c>
      <c r="K14" s="106" t="s">
        <v>77</v>
      </c>
      <c r="L14" s="108">
        <v>274000</v>
      </c>
      <c r="M14" s="108">
        <v>0</v>
      </c>
      <c r="N14" s="108">
        <v>207300</v>
      </c>
      <c r="O14" s="108">
        <v>0</v>
      </c>
    </row>
    <row r="15" spans="1:15" ht="16.5" x14ac:dyDescent="0.3">
      <c r="A15" s="119" t="str">
        <f t="shared" si="2"/>
        <v>Merveille</v>
      </c>
      <c r="B15" s="120" t="s">
        <v>19</v>
      </c>
      <c r="C15" s="121">
        <f>[2]Récapitulatif!$I$15</f>
        <v>-6000</v>
      </c>
      <c r="D15" s="122">
        <f t="shared" si="4"/>
        <v>61000</v>
      </c>
      <c r="E15" s="122">
        <f t="shared" si="5"/>
        <v>49000</v>
      </c>
      <c r="F15" s="122">
        <f t="shared" si="3"/>
        <v>0</v>
      </c>
      <c r="G15" s="122">
        <f t="shared" si="0"/>
        <v>0</v>
      </c>
      <c r="H15" s="267">
        <f>+'[10]compta Merveille mars 2021 (2)'!$G$95</f>
        <v>6000</v>
      </c>
      <c r="I15" s="267">
        <f t="shared" si="6"/>
        <v>6000</v>
      </c>
      <c r="J15" s="60">
        <f>I15-H15</f>
        <v>0</v>
      </c>
      <c r="K15" s="106" t="s">
        <v>142</v>
      </c>
      <c r="L15" s="108">
        <v>61000</v>
      </c>
      <c r="M15" s="108">
        <v>0</v>
      </c>
      <c r="N15" s="108">
        <v>49000</v>
      </c>
      <c r="O15" s="108">
        <v>0</v>
      </c>
    </row>
    <row r="16" spans="1:15" ht="16.5" x14ac:dyDescent="0.3">
      <c r="A16" s="119" t="str">
        <f>K16</f>
        <v>P29</v>
      </c>
      <c r="B16" s="120" t="s">
        <v>31</v>
      </c>
      <c r="C16" s="121">
        <f>[2]Récapitulatif!$I$16</f>
        <v>72200</v>
      </c>
      <c r="D16" s="122">
        <f t="shared" si="4"/>
        <v>722000</v>
      </c>
      <c r="E16" s="122">
        <f t="shared" si="5"/>
        <v>626500</v>
      </c>
      <c r="F16" s="122">
        <f t="shared" si="3"/>
        <v>0</v>
      </c>
      <c r="G16" s="122">
        <f t="shared" si="0"/>
        <v>0</v>
      </c>
      <c r="H16" s="267">
        <f>+'[11]COMPT-P29 ok'!$G$693</f>
        <v>167700</v>
      </c>
      <c r="I16" s="267">
        <f t="shared" si="6"/>
        <v>167700</v>
      </c>
      <c r="J16" s="60">
        <f t="shared" ref="J16:J18" si="7">I16-H16</f>
        <v>0</v>
      </c>
      <c r="K16" s="106" t="s">
        <v>67</v>
      </c>
      <c r="L16" s="108">
        <v>722000</v>
      </c>
      <c r="M16" s="108">
        <v>0</v>
      </c>
      <c r="N16" s="108">
        <v>626500</v>
      </c>
      <c r="O16" s="108">
        <v>0</v>
      </c>
    </row>
    <row r="17" spans="1:15" ht="16.5" x14ac:dyDescent="0.3">
      <c r="A17" s="119" t="str">
        <f>+K17</f>
        <v>Ted</v>
      </c>
      <c r="B17" s="120" t="s">
        <v>19</v>
      </c>
      <c r="C17" s="121">
        <f>[2]Récapitulatif!$I$19</f>
        <v>9300</v>
      </c>
      <c r="D17" s="122">
        <f t="shared" si="4"/>
        <v>60000</v>
      </c>
      <c r="E17" s="122">
        <f t="shared" si="5"/>
        <v>4000</v>
      </c>
      <c r="F17" s="122">
        <f>+M17</f>
        <v>0</v>
      </c>
      <c r="G17" s="122">
        <f t="shared" si="0"/>
        <v>0</v>
      </c>
      <c r="H17" s="267">
        <f>+'[12]compta ted'!$G$31</f>
        <v>65300</v>
      </c>
      <c r="I17" s="267">
        <f t="shared" si="6"/>
        <v>65300</v>
      </c>
      <c r="J17" s="60">
        <f t="shared" si="7"/>
        <v>0</v>
      </c>
      <c r="K17" s="106" t="s">
        <v>70</v>
      </c>
      <c r="L17" s="108">
        <v>60000</v>
      </c>
      <c r="M17" s="108">
        <v>0</v>
      </c>
      <c r="N17" s="108">
        <v>4000</v>
      </c>
      <c r="O17" s="108">
        <v>0</v>
      </c>
    </row>
    <row r="18" spans="1:15" ht="16.5" x14ac:dyDescent="0.3">
      <c r="A18" s="119" t="str">
        <f>K18</f>
        <v>Tiffany</v>
      </c>
      <c r="B18" s="120" t="s">
        <v>31</v>
      </c>
      <c r="C18" s="121">
        <f>[2]Récapitulatif!$I$20</f>
        <v>-14000</v>
      </c>
      <c r="D18" s="122">
        <f t="shared" si="4"/>
        <v>498000</v>
      </c>
      <c r="E18" s="122">
        <f t="shared" si="5"/>
        <v>467700</v>
      </c>
      <c r="F18" s="122">
        <f t="shared" si="3"/>
        <v>28000</v>
      </c>
      <c r="G18" s="122">
        <f t="shared" si="0"/>
        <v>0</v>
      </c>
      <c r="H18" s="267">
        <f>+'[13]Compta ok'!$G$49</f>
        <v>-11700</v>
      </c>
      <c r="I18" s="267">
        <f t="shared" si="6"/>
        <v>-11700</v>
      </c>
      <c r="J18" s="60">
        <f t="shared" si="7"/>
        <v>0</v>
      </c>
      <c r="K18" s="106" t="s">
        <v>184</v>
      </c>
      <c r="L18" s="108">
        <v>498000</v>
      </c>
      <c r="M18" s="108">
        <v>28000</v>
      </c>
      <c r="N18" s="108">
        <v>467700</v>
      </c>
      <c r="O18" s="108">
        <v>0</v>
      </c>
    </row>
    <row r="19" spans="1:15" ht="16.5" x14ac:dyDescent="0.3">
      <c r="A19" s="61" t="s">
        <v>94</v>
      </c>
      <c r="B19" s="62"/>
      <c r="C19" s="63">
        <f t="shared" ref="C19:I19" si="8">SUM(C3:C18)</f>
        <v>18096146</v>
      </c>
      <c r="D19" s="118">
        <f t="shared" si="8"/>
        <v>12020300</v>
      </c>
      <c r="E19" s="118">
        <f t="shared" si="8"/>
        <v>13131322</v>
      </c>
      <c r="F19" s="118">
        <f t="shared" si="8"/>
        <v>12020300</v>
      </c>
      <c r="G19" s="118">
        <f t="shared" si="8"/>
        <v>28506579</v>
      </c>
      <c r="H19" s="118">
        <f t="shared" si="8"/>
        <v>33471405.5</v>
      </c>
      <c r="I19" s="118">
        <f t="shared" si="8"/>
        <v>33471403</v>
      </c>
      <c r="J19" s="60">
        <f>I19-H19</f>
        <v>-2.5</v>
      </c>
      <c r="L19" s="108">
        <v>12020300</v>
      </c>
      <c r="M19" s="108">
        <v>12020300</v>
      </c>
      <c r="N19" s="108">
        <v>13131322</v>
      </c>
      <c r="O19" s="108">
        <v>28506579</v>
      </c>
    </row>
    <row r="20" spans="1:15" ht="16.5" x14ac:dyDescent="0.3">
      <c r="A20" s="61"/>
      <c r="B20" s="62"/>
      <c r="C20" s="63"/>
      <c r="D20" s="64"/>
      <c r="E20" s="63"/>
      <c r="F20" s="64"/>
      <c r="G20" s="63"/>
      <c r="H20" s="63"/>
      <c r="I20" s="272" t="b">
        <f>I19=D22</f>
        <v>1</v>
      </c>
      <c r="L20" s="56"/>
      <c r="M20" s="56"/>
      <c r="N20" s="56"/>
      <c r="O20" s="56"/>
    </row>
    <row r="21" spans="1:15" ht="16.5" x14ac:dyDescent="0.3">
      <c r="A21" s="61" t="s">
        <v>477</v>
      </c>
      <c r="B21" s="62" t="s">
        <v>478</v>
      </c>
      <c r="C21" s="63" t="s">
        <v>479</v>
      </c>
      <c r="D21" s="63" t="s">
        <v>480</v>
      </c>
      <c r="E21" s="63" t="s">
        <v>95</v>
      </c>
      <c r="F21" s="63"/>
      <c r="G21" s="63">
        <f>+D19-F19</f>
        <v>0</v>
      </c>
      <c r="H21" s="63"/>
      <c r="I21" s="63"/>
    </row>
    <row r="22" spans="1:15" ht="16.5" x14ac:dyDescent="0.3">
      <c r="A22" s="65">
        <f>C19</f>
        <v>18096146</v>
      </c>
      <c r="B22" s="66">
        <f>G19</f>
        <v>28506579</v>
      </c>
      <c r="C22" s="63">
        <f>E19</f>
        <v>13131322</v>
      </c>
      <c r="D22" s="63">
        <f>A22+B22-C22</f>
        <v>33471403</v>
      </c>
      <c r="E22" s="64">
        <f>I19-D22</f>
        <v>0</v>
      </c>
      <c r="F22" s="63"/>
      <c r="G22" s="63"/>
      <c r="H22" s="63"/>
      <c r="I22" s="63"/>
    </row>
    <row r="23" spans="1:15" ht="16.5" x14ac:dyDescent="0.3">
      <c r="A23" s="65"/>
      <c r="B23" s="66"/>
      <c r="C23" s="63"/>
      <c r="D23" s="63"/>
      <c r="E23" s="64"/>
      <c r="F23" s="63"/>
      <c r="G23" s="63"/>
      <c r="H23" s="63"/>
      <c r="I23" s="63"/>
    </row>
    <row r="24" spans="1:15" x14ac:dyDescent="0.2">
      <c r="A24" s="67" t="s">
        <v>96</v>
      </c>
      <c r="B24" s="67"/>
      <c r="C24" s="67"/>
      <c r="D24" s="68"/>
      <c r="E24" s="68"/>
      <c r="F24" s="68"/>
      <c r="G24" s="68"/>
      <c r="H24" s="68"/>
      <c r="I24" s="68"/>
    </row>
    <row r="25" spans="1:15" x14ac:dyDescent="0.2">
      <c r="A25" s="69" t="s">
        <v>534</v>
      </c>
      <c r="B25" s="69"/>
      <c r="C25" s="69"/>
      <c r="D25" s="69"/>
      <c r="E25" s="69"/>
      <c r="F25" s="69"/>
      <c r="G25" s="69"/>
      <c r="H25" s="69"/>
      <c r="I25" s="69"/>
      <c r="J25" s="68"/>
    </row>
    <row r="26" spans="1:15" x14ac:dyDescent="0.2">
      <c r="A26" s="70"/>
      <c r="B26" s="71"/>
      <c r="C26" s="72"/>
      <c r="D26" s="72"/>
      <c r="E26" s="72"/>
      <c r="F26" s="72"/>
      <c r="G26" s="72"/>
      <c r="H26" s="71"/>
      <c r="I26" s="71"/>
      <c r="J26" s="69"/>
    </row>
    <row r="27" spans="1:15" x14ac:dyDescent="0.2">
      <c r="A27" s="577" t="s">
        <v>97</v>
      </c>
      <c r="B27" s="579" t="s">
        <v>98</v>
      </c>
      <c r="C27" s="581" t="s">
        <v>536</v>
      </c>
      <c r="D27" s="583" t="s">
        <v>99</v>
      </c>
      <c r="E27" s="584"/>
      <c r="F27" s="584"/>
      <c r="G27" s="585"/>
      <c r="H27" s="586" t="s">
        <v>100</v>
      </c>
      <c r="I27" s="573" t="s">
        <v>101</v>
      </c>
      <c r="J27" s="71"/>
    </row>
    <row r="28" spans="1:15" x14ac:dyDescent="0.25">
      <c r="A28" s="578"/>
      <c r="B28" s="580"/>
      <c r="C28" s="582"/>
      <c r="D28" s="73" t="s">
        <v>58</v>
      </c>
      <c r="E28" s="73" t="s">
        <v>62</v>
      </c>
      <c r="F28" s="477" t="s">
        <v>538</v>
      </c>
      <c r="G28" s="73" t="s">
        <v>102</v>
      </c>
      <c r="H28" s="587"/>
      <c r="I28" s="574"/>
      <c r="J28" s="575" t="s">
        <v>537</v>
      </c>
      <c r="K28" s="479"/>
    </row>
    <row r="29" spans="1:15" x14ac:dyDescent="0.2">
      <c r="A29" s="75"/>
      <c r="B29" s="76" t="s">
        <v>103</v>
      </c>
      <c r="C29" s="77"/>
      <c r="D29" s="77"/>
      <c r="E29" s="77"/>
      <c r="F29" s="77"/>
      <c r="G29" s="77"/>
      <c r="H29" s="77"/>
      <c r="I29" s="78"/>
      <c r="J29" s="576"/>
      <c r="K29" s="479"/>
    </row>
    <row r="30" spans="1:15" x14ac:dyDescent="0.2">
      <c r="A30" s="254" t="s">
        <v>535</v>
      </c>
      <c r="B30" s="259" t="s">
        <v>122</v>
      </c>
      <c r="C30" s="84">
        <f>+C6</f>
        <v>7670</v>
      </c>
      <c r="D30" s="83"/>
      <c r="E30" s="84">
        <v>438000</v>
      </c>
      <c r="F30" s="84"/>
      <c r="G30" s="84"/>
      <c r="H30" s="116">
        <v>40000</v>
      </c>
      <c r="I30" s="84">
        <v>406120</v>
      </c>
      <c r="J30" s="82">
        <f>+SUM(C30:G30)-(H30+I30)</f>
        <v>-450</v>
      </c>
      <c r="K30" s="480" t="b">
        <f t="shared" ref="K30:K42" si="9">J30=I6</f>
        <v>1</v>
      </c>
    </row>
    <row r="31" spans="1:15" x14ac:dyDescent="0.2">
      <c r="A31" s="254" t="s">
        <v>535</v>
      </c>
      <c r="B31" s="259" t="s">
        <v>91</v>
      </c>
      <c r="C31" s="84">
        <f>+C7</f>
        <v>4710</v>
      </c>
      <c r="D31" s="83"/>
      <c r="E31" s="84">
        <v>303000</v>
      </c>
      <c r="F31" s="84">
        <f>25000+91000+62000</f>
        <v>178000</v>
      </c>
      <c r="G31" s="84"/>
      <c r="H31" s="116">
        <v>29000</v>
      </c>
      <c r="I31" s="84">
        <v>444200</v>
      </c>
      <c r="J31" s="82">
        <f t="shared" ref="J31:J32" si="10">+SUM(C31:G31)-(H31+I31)</f>
        <v>12510</v>
      </c>
      <c r="K31" s="480" t="b">
        <f t="shared" si="9"/>
        <v>1</v>
      </c>
    </row>
    <row r="32" spans="1:15" x14ac:dyDescent="0.2">
      <c r="A32" s="254" t="s">
        <v>535</v>
      </c>
      <c r="B32" s="259" t="s">
        <v>69</v>
      </c>
      <c r="C32" s="84">
        <f>C8</f>
        <v>9295</v>
      </c>
      <c r="D32" s="83"/>
      <c r="E32" s="84">
        <v>743000</v>
      </c>
      <c r="F32" s="84">
        <v>2000</v>
      </c>
      <c r="G32" s="84"/>
      <c r="H32" s="84">
        <f>103000+91000+137000+101000+91000</f>
        <v>523000</v>
      </c>
      <c r="I32" s="84">
        <v>228400</v>
      </c>
      <c r="J32" s="188">
        <f t="shared" si="10"/>
        <v>2895</v>
      </c>
      <c r="K32" s="480" t="b">
        <f t="shared" si="9"/>
        <v>1</v>
      </c>
    </row>
    <row r="33" spans="1:11" x14ac:dyDescent="0.2">
      <c r="A33" s="254" t="s">
        <v>535</v>
      </c>
      <c r="B33" s="259" t="s">
        <v>123</v>
      </c>
      <c r="C33" s="84">
        <f>+C9</f>
        <v>-25100</v>
      </c>
      <c r="D33" s="193"/>
      <c r="E33" s="84">
        <v>121100</v>
      </c>
      <c r="F33" s="84">
        <f>103000+1000+28000+137000</f>
        <v>269000</v>
      </c>
      <c r="G33" s="84"/>
      <c r="H33" s="84"/>
      <c r="I33" s="84">
        <v>302960</v>
      </c>
      <c r="J33" s="188">
        <f>+SUM(C33:G33)-(H33+I33)</f>
        <v>62040</v>
      </c>
      <c r="K33" s="480" t="b">
        <f t="shared" si="9"/>
        <v>1</v>
      </c>
    </row>
    <row r="34" spans="1:11" x14ac:dyDescent="0.2">
      <c r="A34" s="254" t="s">
        <v>535</v>
      </c>
      <c r="B34" s="259" t="s">
        <v>114</v>
      </c>
      <c r="C34" s="84">
        <f t="shared" ref="C34:C42" si="11">C10</f>
        <v>7384</v>
      </c>
      <c r="D34" s="193"/>
      <c r="E34" s="84">
        <v>319000</v>
      </c>
      <c r="F34" s="84">
        <v>101000</v>
      </c>
      <c r="G34" s="84"/>
      <c r="H34" s="84">
        <v>62000</v>
      </c>
      <c r="I34" s="84">
        <v>365200</v>
      </c>
      <c r="J34" s="188">
        <f t="shared" ref="J34" si="12">+SUM(C34:G34)-(H34+I34)</f>
        <v>184</v>
      </c>
      <c r="K34" s="480" t="b">
        <f t="shared" si="9"/>
        <v>1</v>
      </c>
    </row>
    <row r="35" spans="1:11" x14ac:dyDescent="0.2">
      <c r="A35" s="254" t="s">
        <v>535</v>
      </c>
      <c r="B35" s="260" t="s">
        <v>68</v>
      </c>
      <c r="C35" s="84">
        <f t="shared" si="11"/>
        <v>61300</v>
      </c>
      <c r="D35" s="251"/>
      <c r="E35" s="112">
        <v>931200</v>
      </c>
      <c r="F35" s="112"/>
      <c r="G35" s="112"/>
      <c r="H35" s="112">
        <v>28000</v>
      </c>
      <c r="I35" s="112">
        <v>1001000</v>
      </c>
      <c r="J35" s="256">
        <f>+SUM(C35:G35)-(H35+I35)</f>
        <v>-36500</v>
      </c>
      <c r="K35" s="480" t="b">
        <f t="shared" si="9"/>
        <v>1</v>
      </c>
    </row>
    <row r="36" spans="1:11" x14ac:dyDescent="0.2">
      <c r="A36" s="254" t="s">
        <v>535</v>
      </c>
      <c r="B36" s="261" t="s">
        <v>130</v>
      </c>
      <c r="C36" s="252">
        <f t="shared" si="11"/>
        <v>233614</v>
      </c>
      <c r="D36" s="255"/>
      <c r="E36" s="275"/>
      <c r="F36" s="275"/>
      <c r="G36" s="275"/>
      <c r="H36" s="275"/>
      <c r="I36" s="275"/>
      <c r="J36" s="253">
        <f>+SUM(C36:G36)-(H36+I36)</f>
        <v>233614</v>
      </c>
      <c r="K36" s="480" t="b">
        <f t="shared" si="9"/>
        <v>1</v>
      </c>
    </row>
    <row r="37" spans="1:11" x14ac:dyDescent="0.2">
      <c r="A37" s="254" t="s">
        <v>535</v>
      </c>
      <c r="B37" s="261" t="s">
        <v>129</v>
      </c>
      <c r="C37" s="252">
        <f t="shared" si="11"/>
        <v>249769</v>
      </c>
      <c r="D37" s="255"/>
      <c r="E37" s="275"/>
      <c r="F37" s="275"/>
      <c r="G37" s="275"/>
      <c r="H37" s="275"/>
      <c r="I37" s="275"/>
      <c r="J37" s="253">
        <f t="shared" ref="J37:J40" si="13">+SUM(C37:G37)-(H37+I37)</f>
        <v>249769</v>
      </c>
      <c r="K37" s="480" t="b">
        <f t="shared" si="9"/>
        <v>1</v>
      </c>
    </row>
    <row r="38" spans="1:11" x14ac:dyDescent="0.2">
      <c r="A38" s="254" t="s">
        <v>535</v>
      </c>
      <c r="B38" s="259" t="s">
        <v>77</v>
      </c>
      <c r="C38" s="84">
        <f t="shared" si="11"/>
        <v>4500</v>
      </c>
      <c r="D38" s="83"/>
      <c r="E38" s="84">
        <v>234000</v>
      </c>
      <c r="F38" s="84">
        <v>40000</v>
      </c>
      <c r="G38" s="193"/>
      <c r="H38" s="193"/>
      <c r="I38" s="84">
        <v>207300</v>
      </c>
      <c r="J38" s="82">
        <f t="shared" si="13"/>
        <v>71200</v>
      </c>
      <c r="K38" s="480" t="b">
        <f t="shared" si="9"/>
        <v>1</v>
      </c>
    </row>
    <row r="39" spans="1:11" x14ac:dyDescent="0.2">
      <c r="A39" s="254" t="s">
        <v>535</v>
      </c>
      <c r="B39" s="259" t="s">
        <v>142</v>
      </c>
      <c r="C39" s="84">
        <f t="shared" si="11"/>
        <v>-6000</v>
      </c>
      <c r="D39" s="83"/>
      <c r="E39" s="84">
        <v>61000</v>
      </c>
      <c r="F39" s="193"/>
      <c r="G39" s="193"/>
      <c r="H39" s="193"/>
      <c r="I39" s="84">
        <v>49000</v>
      </c>
      <c r="J39" s="82">
        <f t="shared" si="13"/>
        <v>6000</v>
      </c>
      <c r="K39" s="480" t="b">
        <f t="shared" si="9"/>
        <v>1</v>
      </c>
    </row>
    <row r="40" spans="1:11" x14ac:dyDescent="0.2">
      <c r="A40" s="254" t="s">
        <v>535</v>
      </c>
      <c r="B40" s="259" t="s">
        <v>67</v>
      </c>
      <c r="C40" s="84">
        <f t="shared" si="11"/>
        <v>72200</v>
      </c>
      <c r="D40" s="83"/>
      <c r="E40" s="84">
        <v>722000</v>
      </c>
      <c r="F40" s="193"/>
      <c r="G40" s="193"/>
      <c r="H40" s="193"/>
      <c r="I40" s="84">
        <v>626500</v>
      </c>
      <c r="J40" s="82">
        <f t="shared" si="13"/>
        <v>167700</v>
      </c>
      <c r="K40" s="480" t="b">
        <f t="shared" si="9"/>
        <v>1</v>
      </c>
    </row>
    <row r="41" spans="1:11" x14ac:dyDescent="0.2">
      <c r="A41" s="254" t="s">
        <v>535</v>
      </c>
      <c r="B41" s="259" t="s">
        <v>70</v>
      </c>
      <c r="C41" s="84">
        <f t="shared" si="11"/>
        <v>9300</v>
      </c>
      <c r="D41" s="83"/>
      <c r="E41" s="84">
        <v>60000</v>
      </c>
      <c r="F41" s="193"/>
      <c r="G41" s="193"/>
      <c r="H41" s="193"/>
      <c r="I41" s="84">
        <v>4000</v>
      </c>
      <c r="J41" s="82">
        <f t="shared" ref="J41:J42" si="14">+SUM(C41:G41)-(H41+I41)</f>
        <v>65300</v>
      </c>
      <c r="K41" s="480" t="b">
        <f t="shared" si="9"/>
        <v>1</v>
      </c>
    </row>
    <row r="42" spans="1:11" x14ac:dyDescent="0.2">
      <c r="A42" s="254" t="s">
        <v>535</v>
      </c>
      <c r="B42" s="260" t="s">
        <v>184</v>
      </c>
      <c r="C42" s="84">
        <f t="shared" si="11"/>
        <v>-14000</v>
      </c>
      <c r="D42" s="251"/>
      <c r="E42" s="112">
        <v>378000</v>
      </c>
      <c r="F42" s="112">
        <f>29000+91000</f>
        <v>120000</v>
      </c>
      <c r="G42" s="276"/>
      <c r="H42" s="112">
        <f>2000+1000+25000</f>
        <v>28000</v>
      </c>
      <c r="I42" s="112">
        <v>467700</v>
      </c>
      <c r="J42" s="82">
        <f t="shared" si="14"/>
        <v>-11700</v>
      </c>
      <c r="K42" s="480" t="b">
        <f t="shared" si="9"/>
        <v>1</v>
      </c>
    </row>
    <row r="43" spans="1:11" x14ac:dyDescent="0.2">
      <c r="A43" s="86" t="s">
        <v>104</v>
      </c>
      <c r="B43" s="87"/>
      <c r="C43" s="87"/>
      <c r="D43" s="87"/>
      <c r="E43" s="87"/>
      <c r="F43" s="87"/>
      <c r="G43" s="87"/>
      <c r="H43" s="87"/>
      <c r="I43" s="87"/>
      <c r="J43" s="88"/>
      <c r="K43" s="479"/>
    </row>
    <row r="44" spans="1:11" x14ac:dyDescent="0.2">
      <c r="A44" s="254" t="s">
        <v>535</v>
      </c>
      <c r="B44" s="89" t="s">
        <v>105</v>
      </c>
      <c r="C44" s="90">
        <f>C5</f>
        <v>1148337</v>
      </c>
      <c r="D44" s="110">
        <v>7000000</v>
      </c>
      <c r="E44" s="192"/>
      <c r="F44" s="192"/>
      <c r="G44" s="277"/>
      <c r="H44" s="263">
        <v>4310300</v>
      </c>
      <c r="I44" s="258">
        <v>2165078</v>
      </c>
      <c r="J44" s="97">
        <f>+SUM(C44:G44)-(H44+I44)</f>
        <v>1672959</v>
      </c>
      <c r="K44" s="480" t="b">
        <f>J44=I5</f>
        <v>1</v>
      </c>
    </row>
    <row r="45" spans="1:11" x14ac:dyDescent="0.2">
      <c r="A45" s="95" t="s">
        <v>106</v>
      </c>
      <c r="B45" s="76"/>
      <c r="C45" s="87"/>
      <c r="D45" s="76"/>
      <c r="E45" s="76"/>
      <c r="F45" s="76"/>
      <c r="G45" s="76"/>
      <c r="H45" s="76"/>
      <c r="I45" s="76"/>
      <c r="J45" s="88"/>
      <c r="K45" s="479"/>
    </row>
    <row r="46" spans="1:11" x14ac:dyDescent="0.2">
      <c r="A46" s="254" t="s">
        <v>535</v>
      </c>
      <c r="B46" s="89" t="s">
        <v>107</v>
      </c>
      <c r="C46" s="257">
        <f>C3</f>
        <v>10113263</v>
      </c>
      <c r="D46" s="264">
        <v>0</v>
      </c>
      <c r="E46" s="110"/>
      <c r="F46" s="110"/>
      <c r="G46" s="110"/>
      <c r="H46" s="112">
        <v>7000000</v>
      </c>
      <c r="I46" s="114">
        <v>155885</v>
      </c>
      <c r="J46" s="97">
        <f>+SUM(C46:G46)-(H46+I46)</f>
        <v>2957378</v>
      </c>
      <c r="K46" s="480" t="b">
        <f>+J46=I3</f>
        <v>1</v>
      </c>
    </row>
    <row r="47" spans="1:11" x14ac:dyDescent="0.2">
      <c r="A47" s="254" t="s">
        <v>535</v>
      </c>
      <c r="B47" s="89" t="s">
        <v>108</v>
      </c>
      <c r="C47" s="257">
        <f>C4</f>
        <v>6219904</v>
      </c>
      <c r="D47" s="110">
        <v>28506579</v>
      </c>
      <c r="E47" s="109"/>
      <c r="F47" s="109"/>
      <c r="G47" s="109"/>
      <c r="H47" s="84"/>
      <c r="I47" s="111">
        <v>6707979</v>
      </c>
      <c r="J47" s="97">
        <f>SUM(C47:G47)-(H47+I47)</f>
        <v>28018504</v>
      </c>
      <c r="K47" s="480" t="b">
        <f>+J47=I4</f>
        <v>1</v>
      </c>
    </row>
    <row r="48" spans="1:11" ht="15.75" x14ac:dyDescent="0.25">
      <c r="C48" s="288">
        <f>SUM(C30:C47)</f>
        <v>18096146</v>
      </c>
      <c r="I48" s="279">
        <f>SUM(I30:I47)</f>
        <v>13131322</v>
      </c>
      <c r="J48" s="194">
        <f>+SUM(J30:J47)</f>
        <v>33471403</v>
      </c>
      <c r="K48" s="56" t="b">
        <f>J48=I19</f>
        <v>1</v>
      </c>
    </row>
    <row r="49" spans="1:11" ht="16.5" x14ac:dyDescent="0.3">
      <c r="A49" s="65"/>
      <c r="B49" s="66"/>
      <c r="C49" s="63" t="b">
        <f>C48=C19</f>
        <v>1</v>
      </c>
      <c r="D49" s="63"/>
      <c r="E49" s="64"/>
      <c r="F49" s="63"/>
      <c r="G49" s="63"/>
      <c r="H49" s="63"/>
      <c r="I49" s="63"/>
    </row>
    <row r="50" spans="1:11" ht="16.5" x14ac:dyDescent="0.3">
      <c r="A50" s="65"/>
      <c r="B50" s="66"/>
      <c r="C50" s="63"/>
      <c r="D50" s="63"/>
      <c r="E50" s="64"/>
      <c r="F50" s="63"/>
      <c r="G50" s="63"/>
      <c r="H50" s="63"/>
      <c r="I50" s="63"/>
    </row>
    <row r="51" spans="1:11" x14ac:dyDescent="0.2">
      <c r="A51" s="67" t="s">
        <v>96</v>
      </c>
      <c r="B51" s="67"/>
      <c r="C51" s="67"/>
      <c r="D51" s="68"/>
      <c r="E51" s="68"/>
      <c r="F51" s="68"/>
      <c r="G51" s="68"/>
      <c r="H51" s="68"/>
      <c r="I51" s="68"/>
    </row>
    <row r="52" spans="1:11" x14ac:dyDescent="0.2">
      <c r="A52" s="69" t="s">
        <v>212</v>
      </c>
      <c r="B52" s="69"/>
      <c r="C52" s="69"/>
      <c r="D52" s="69"/>
      <c r="E52" s="69"/>
      <c r="F52" s="69"/>
      <c r="G52" s="69"/>
      <c r="H52" s="69"/>
      <c r="I52" s="69"/>
      <c r="J52" s="68"/>
    </row>
    <row r="53" spans="1:11" x14ac:dyDescent="0.2">
      <c r="A53" s="70"/>
      <c r="B53" s="71"/>
      <c r="C53" s="72"/>
      <c r="D53" s="72"/>
      <c r="E53" s="72"/>
      <c r="F53" s="72"/>
      <c r="G53" s="72"/>
      <c r="H53" s="71"/>
      <c r="I53" s="71"/>
      <c r="J53" s="69"/>
    </row>
    <row r="54" spans="1:11" x14ac:dyDescent="0.2">
      <c r="A54" s="577" t="s">
        <v>97</v>
      </c>
      <c r="B54" s="579" t="s">
        <v>98</v>
      </c>
      <c r="C54" s="581" t="s">
        <v>214</v>
      </c>
      <c r="D54" s="583" t="s">
        <v>99</v>
      </c>
      <c r="E54" s="584"/>
      <c r="F54" s="584"/>
      <c r="G54" s="585"/>
      <c r="H54" s="586" t="s">
        <v>100</v>
      </c>
      <c r="I54" s="573" t="s">
        <v>101</v>
      </c>
      <c r="J54" s="71"/>
    </row>
    <row r="55" spans="1:11" x14ac:dyDescent="0.25">
      <c r="A55" s="578"/>
      <c r="B55" s="580"/>
      <c r="C55" s="582"/>
      <c r="D55" s="73" t="s">
        <v>58</v>
      </c>
      <c r="E55" s="73" t="s">
        <v>62</v>
      </c>
      <c r="F55" s="294" t="s">
        <v>216</v>
      </c>
      <c r="G55" s="73" t="s">
        <v>102</v>
      </c>
      <c r="H55" s="587"/>
      <c r="I55" s="574"/>
      <c r="J55" s="575" t="s">
        <v>215</v>
      </c>
    </row>
    <row r="56" spans="1:11" x14ac:dyDescent="0.2">
      <c r="A56" s="75"/>
      <c r="B56" s="76" t="s">
        <v>103</v>
      </c>
      <c r="C56" s="77"/>
      <c r="D56" s="77"/>
      <c r="E56" s="77"/>
      <c r="F56" s="77"/>
      <c r="G56" s="77"/>
      <c r="H56" s="77"/>
      <c r="I56" s="78"/>
      <c r="J56" s="576"/>
    </row>
    <row r="57" spans="1:11" x14ac:dyDescent="0.2">
      <c r="A57" s="254" t="s">
        <v>213</v>
      </c>
      <c r="B57" s="259" t="s">
        <v>122</v>
      </c>
      <c r="C57" s="84">
        <v>3670</v>
      </c>
      <c r="D57" s="83"/>
      <c r="E57" s="84">
        <v>118000</v>
      </c>
      <c r="F57" s="84">
        <v>4000</v>
      </c>
      <c r="G57" s="84"/>
      <c r="H57" s="116"/>
      <c r="I57" s="84">
        <v>118000</v>
      </c>
      <c r="J57" s="82">
        <f>+SUM(C57:G57)-(H57+I57)</f>
        <v>7670</v>
      </c>
      <c r="K57" s="376"/>
    </row>
    <row r="58" spans="1:11" x14ac:dyDescent="0.2">
      <c r="A58" s="254" t="s">
        <v>213</v>
      </c>
      <c r="B58" s="259" t="s">
        <v>91</v>
      </c>
      <c r="C58" s="84">
        <v>-540</v>
      </c>
      <c r="D58" s="83"/>
      <c r="E58" s="84">
        <v>209750</v>
      </c>
      <c r="F58" s="84">
        <v>5000</v>
      </c>
      <c r="G58" s="84"/>
      <c r="H58" s="116"/>
      <c r="I58" s="84">
        <v>209500</v>
      </c>
      <c r="J58" s="82">
        <f t="shared" ref="J58:J59" si="15">+SUM(C58:G58)-(H58+I58)</f>
        <v>4710</v>
      </c>
      <c r="K58" s="376"/>
    </row>
    <row r="59" spans="1:11" x14ac:dyDescent="0.2">
      <c r="A59" s="254" t="s">
        <v>213</v>
      </c>
      <c r="B59" s="259" t="s">
        <v>69</v>
      </c>
      <c r="C59" s="84">
        <v>2395</v>
      </c>
      <c r="D59" s="83"/>
      <c r="E59" s="84">
        <v>70000</v>
      </c>
      <c r="F59" s="84">
        <v>4000</v>
      </c>
      <c r="G59" s="84"/>
      <c r="H59" s="84"/>
      <c r="I59" s="84">
        <v>67100</v>
      </c>
      <c r="J59" s="188">
        <f t="shared" si="15"/>
        <v>9295</v>
      </c>
      <c r="K59" s="376"/>
    </row>
    <row r="60" spans="1:11" x14ac:dyDescent="0.2">
      <c r="A60" s="254" t="s">
        <v>213</v>
      </c>
      <c r="B60" s="259" t="s">
        <v>123</v>
      </c>
      <c r="C60" s="84">
        <v>96100</v>
      </c>
      <c r="D60" s="193"/>
      <c r="E60" s="84">
        <v>488100</v>
      </c>
      <c r="F60" s="84">
        <v>4000</v>
      </c>
      <c r="G60" s="84"/>
      <c r="H60" s="84">
        <v>61600</v>
      </c>
      <c r="I60" s="84">
        <v>551700</v>
      </c>
      <c r="J60" s="188">
        <f>+SUM(C60:G60)-(H60+I60)</f>
        <v>-25100</v>
      </c>
      <c r="K60" s="376"/>
    </row>
    <row r="61" spans="1:11" x14ac:dyDescent="0.2">
      <c r="A61" s="254" t="s">
        <v>213</v>
      </c>
      <c r="B61" s="259" t="s">
        <v>114</v>
      </c>
      <c r="C61" s="84">
        <v>13884</v>
      </c>
      <c r="D61" s="193"/>
      <c r="E61" s="84">
        <v>194000</v>
      </c>
      <c r="F61" s="84"/>
      <c r="G61" s="84"/>
      <c r="H61" s="84">
        <v>17000</v>
      </c>
      <c r="I61" s="84">
        <v>183500</v>
      </c>
      <c r="J61" s="188">
        <f t="shared" ref="J61" si="16">+SUM(C61:G61)-(H61+I61)</f>
        <v>7384</v>
      </c>
      <c r="K61" s="376"/>
    </row>
    <row r="62" spans="1:11" x14ac:dyDescent="0.2">
      <c r="A62" s="254" t="s">
        <v>213</v>
      </c>
      <c r="B62" s="260" t="s">
        <v>68</v>
      </c>
      <c r="C62" s="84">
        <v>72400</v>
      </c>
      <c r="D62" s="251"/>
      <c r="E62" s="112">
        <v>599900</v>
      </c>
      <c r="F62" s="112"/>
      <c r="G62" s="112"/>
      <c r="H62" s="112"/>
      <c r="I62" s="112">
        <v>611000</v>
      </c>
      <c r="J62" s="256">
        <f>+SUM(C62:G62)-(H62+I62)</f>
        <v>61300</v>
      </c>
      <c r="K62" s="376"/>
    </row>
    <row r="63" spans="1:11" x14ac:dyDescent="0.2">
      <c r="A63" s="254" t="s">
        <v>213</v>
      </c>
      <c r="B63" s="261" t="s">
        <v>130</v>
      </c>
      <c r="C63" s="252">
        <v>233614</v>
      </c>
      <c r="D63" s="255"/>
      <c r="E63" s="275"/>
      <c r="F63" s="275"/>
      <c r="G63" s="275"/>
      <c r="H63" s="275"/>
      <c r="I63" s="275"/>
      <c r="J63" s="253">
        <f>+SUM(C63:G63)-(H63+I63)</f>
        <v>233614</v>
      </c>
      <c r="K63" s="376"/>
    </row>
    <row r="64" spans="1:11" x14ac:dyDescent="0.2">
      <c r="A64" s="254" t="s">
        <v>213</v>
      </c>
      <c r="B64" s="261" t="s">
        <v>129</v>
      </c>
      <c r="C64" s="252">
        <v>249769</v>
      </c>
      <c r="D64" s="255"/>
      <c r="E64" s="275"/>
      <c r="F64" s="275"/>
      <c r="G64" s="275"/>
      <c r="H64" s="275"/>
      <c r="I64" s="275"/>
      <c r="J64" s="253">
        <f t="shared" ref="J64:J71" si="17">+SUM(C64:G64)-(H64+I64)</f>
        <v>249769</v>
      </c>
      <c r="K64" s="376"/>
    </row>
    <row r="65" spans="1:11" x14ac:dyDescent="0.2">
      <c r="A65" s="254" t="s">
        <v>213</v>
      </c>
      <c r="B65" s="259" t="s">
        <v>77</v>
      </c>
      <c r="C65" s="84">
        <v>18490</v>
      </c>
      <c r="D65" s="83"/>
      <c r="E65" s="84">
        <v>796460</v>
      </c>
      <c r="F65" s="84">
        <v>61600</v>
      </c>
      <c r="G65" s="193"/>
      <c r="H65" s="193"/>
      <c r="I65" s="84">
        <v>872050</v>
      </c>
      <c r="J65" s="82">
        <f t="shared" si="17"/>
        <v>4500</v>
      </c>
      <c r="K65" s="376"/>
    </row>
    <row r="66" spans="1:11" x14ac:dyDescent="0.2">
      <c r="A66" s="254" t="s">
        <v>213</v>
      </c>
      <c r="B66" s="259" t="s">
        <v>142</v>
      </c>
      <c r="C66" s="84">
        <v>4500</v>
      </c>
      <c r="D66" s="83"/>
      <c r="E66" s="84">
        <v>40000</v>
      </c>
      <c r="F66" s="193"/>
      <c r="G66" s="193"/>
      <c r="H66" s="193"/>
      <c r="I66" s="84">
        <v>50500</v>
      </c>
      <c r="J66" s="82">
        <f t="shared" si="17"/>
        <v>-6000</v>
      </c>
      <c r="K66" s="376"/>
    </row>
    <row r="67" spans="1:11" x14ac:dyDescent="0.2">
      <c r="A67" s="254" t="s">
        <v>213</v>
      </c>
      <c r="B67" s="259" t="s">
        <v>67</v>
      </c>
      <c r="C67" s="84">
        <v>44200</v>
      </c>
      <c r="D67" s="83"/>
      <c r="E67" s="84">
        <v>60000</v>
      </c>
      <c r="F67" s="193"/>
      <c r="G67" s="193"/>
      <c r="H67" s="193"/>
      <c r="I67" s="84">
        <v>32000</v>
      </c>
      <c r="J67" s="82">
        <f t="shared" si="17"/>
        <v>72200</v>
      </c>
      <c r="K67" s="376"/>
    </row>
    <row r="68" spans="1:11" x14ac:dyDescent="0.2">
      <c r="A68" s="254" t="s">
        <v>213</v>
      </c>
      <c r="B68" s="259" t="s">
        <v>146</v>
      </c>
      <c r="C68" s="84">
        <v>-851709</v>
      </c>
      <c r="D68" s="83"/>
      <c r="E68" s="84">
        <v>851709</v>
      </c>
      <c r="F68" s="193"/>
      <c r="G68" s="193"/>
      <c r="H68" s="193"/>
      <c r="I68" s="84"/>
      <c r="J68" s="82">
        <f>+SUM(C68:G68)-(H68+I68)</f>
        <v>0</v>
      </c>
      <c r="K68" s="376"/>
    </row>
    <row r="69" spans="1:11" x14ac:dyDescent="0.2">
      <c r="A69" s="254" t="s">
        <v>213</v>
      </c>
      <c r="B69" s="259" t="s">
        <v>155</v>
      </c>
      <c r="C69" s="84">
        <v>90300</v>
      </c>
      <c r="D69" s="83"/>
      <c r="E69" s="84">
        <v>69200</v>
      </c>
      <c r="F69" s="193"/>
      <c r="G69" s="193"/>
      <c r="H69" s="193"/>
      <c r="I69" s="84">
        <v>159500</v>
      </c>
      <c r="J69" s="82">
        <f t="shared" si="17"/>
        <v>0</v>
      </c>
      <c r="K69" s="376"/>
    </row>
    <row r="70" spans="1:11" x14ac:dyDescent="0.2">
      <c r="A70" s="254" t="s">
        <v>213</v>
      </c>
      <c r="B70" s="259" t="s">
        <v>70</v>
      </c>
      <c r="C70" s="84">
        <v>300</v>
      </c>
      <c r="D70" s="83"/>
      <c r="E70" s="84">
        <v>20000</v>
      </c>
      <c r="F70" s="193"/>
      <c r="G70" s="193"/>
      <c r="H70" s="193"/>
      <c r="I70" s="84">
        <v>11000</v>
      </c>
      <c r="J70" s="82">
        <f t="shared" si="17"/>
        <v>9300</v>
      </c>
      <c r="K70" s="376"/>
    </row>
    <row r="71" spans="1:11" x14ac:dyDescent="0.2">
      <c r="A71" s="254" t="s">
        <v>213</v>
      </c>
      <c r="B71" s="260" t="s">
        <v>184</v>
      </c>
      <c r="C71" s="84">
        <v>0</v>
      </c>
      <c r="D71" s="251"/>
      <c r="E71" s="274"/>
      <c r="F71" s="274"/>
      <c r="G71" s="276"/>
      <c r="H71" s="274"/>
      <c r="I71" s="112">
        <v>14000</v>
      </c>
      <c r="J71" s="82">
        <f t="shared" si="17"/>
        <v>-14000</v>
      </c>
      <c r="K71" s="376"/>
    </row>
    <row r="72" spans="1:11" x14ac:dyDescent="0.2">
      <c r="A72" s="86" t="s">
        <v>104</v>
      </c>
      <c r="B72" s="87"/>
      <c r="C72" s="87"/>
      <c r="D72" s="87"/>
      <c r="E72" s="87"/>
      <c r="F72" s="87"/>
      <c r="G72" s="87"/>
      <c r="H72" s="87"/>
      <c r="I72" s="87"/>
      <c r="J72" s="88"/>
    </row>
    <row r="73" spans="1:11" x14ac:dyDescent="0.2">
      <c r="A73" s="254" t="s">
        <v>213</v>
      </c>
      <c r="B73" s="89" t="s">
        <v>105</v>
      </c>
      <c r="C73" s="90">
        <f>C5</f>
        <v>1148337</v>
      </c>
      <c r="D73" s="110">
        <v>5872000</v>
      </c>
      <c r="E73" s="192"/>
      <c r="F73" s="192"/>
      <c r="G73" s="277"/>
      <c r="H73" s="263">
        <v>3517119</v>
      </c>
      <c r="I73" s="258">
        <v>1523260</v>
      </c>
      <c r="J73" s="97">
        <f>+SUM(C73:G73)-(H73+I73)</f>
        <v>1979958</v>
      </c>
      <c r="K73" s="376"/>
    </row>
    <row r="74" spans="1:11" x14ac:dyDescent="0.2">
      <c r="A74" s="95" t="s">
        <v>106</v>
      </c>
      <c r="B74" s="76"/>
      <c r="C74" s="87"/>
      <c r="D74" s="76"/>
      <c r="E74" s="76"/>
      <c r="F74" s="76"/>
      <c r="G74" s="76"/>
      <c r="H74" s="76"/>
      <c r="I74" s="76"/>
      <c r="J74" s="88"/>
    </row>
    <row r="75" spans="1:11" x14ac:dyDescent="0.2">
      <c r="A75" s="254" t="s">
        <v>213</v>
      </c>
      <c r="B75" s="89" t="s">
        <v>107</v>
      </c>
      <c r="C75" s="257">
        <f>C3</f>
        <v>10113263</v>
      </c>
      <c r="D75" s="264">
        <v>10380044</v>
      </c>
      <c r="E75" s="110"/>
      <c r="F75" s="110"/>
      <c r="G75" s="110"/>
      <c r="H75" s="112">
        <v>5500000</v>
      </c>
      <c r="I75" s="114">
        <v>277455</v>
      </c>
      <c r="J75" s="97">
        <f>+SUM(C75:G75)-(H75+I75)</f>
        <v>14715852</v>
      </c>
      <c r="K75" s="376"/>
    </row>
    <row r="76" spans="1:11" x14ac:dyDescent="0.2">
      <c r="A76" s="254" t="s">
        <v>213</v>
      </c>
      <c r="B76" s="89" t="s">
        <v>108</v>
      </c>
      <c r="C76" s="257">
        <f>C4</f>
        <v>6219904</v>
      </c>
      <c r="D76" s="110"/>
      <c r="E76" s="109"/>
      <c r="F76" s="109"/>
      <c r="G76" s="109"/>
      <c r="H76" s="84">
        <v>372000</v>
      </c>
      <c r="I76" s="111">
        <v>4601760</v>
      </c>
      <c r="J76" s="97">
        <f>SUM(C76:G76)-(H76+I76)</f>
        <v>1246144</v>
      </c>
      <c r="K76" s="376"/>
    </row>
    <row r="77" spans="1:11" ht="15.75" x14ac:dyDescent="0.25">
      <c r="C77" s="288">
        <f>SUM(C57:C76)</f>
        <v>17458877</v>
      </c>
      <c r="I77" s="279">
        <f>SUM(I57:I76)</f>
        <v>9282325</v>
      </c>
      <c r="J77" s="194">
        <f>+SUM(J57:J76)</f>
        <v>18556596</v>
      </c>
    </row>
    <row r="78" spans="1:11" ht="16.5" x14ac:dyDescent="0.3">
      <c r="A78" s="65"/>
      <c r="B78" s="66"/>
      <c r="C78" s="63"/>
      <c r="D78" s="63"/>
      <c r="E78" s="64"/>
      <c r="F78" s="63"/>
      <c r="G78" s="63"/>
      <c r="H78" s="63"/>
      <c r="I78" s="63"/>
    </row>
    <row r="79" spans="1:11" x14ac:dyDescent="0.2">
      <c r="A79" s="67" t="s">
        <v>96</v>
      </c>
      <c r="B79" s="67"/>
      <c r="C79" s="67"/>
      <c r="D79" s="68"/>
      <c r="E79" s="68"/>
      <c r="F79" s="68"/>
      <c r="G79" s="68"/>
      <c r="H79" s="68"/>
      <c r="I79" s="68"/>
    </row>
    <row r="80" spans="1:11" x14ac:dyDescent="0.2">
      <c r="A80" s="69" t="s">
        <v>170</v>
      </c>
      <c r="B80" s="69"/>
      <c r="C80" s="69"/>
      <c r="D80" s="69"/>
      <c r="E80" s="69"/>
      <c r="F80" s="69"/>
      <c r="G80" s="69"/>
      <c r="H80" s="69"/>
      <c r="I80" s="69"/>
      <c r="J80" s="68"/>
    </row>
    <row r="81" spans="1:11" x14ac:dyDescent="0.2">
      <c r="A81" s="70"/>
      <c r="B81" s="71"/>
      <c r="C81" s="72"/>
      <c r="D81" s="72"/>
      <c r="E81" s="72"/>
      <c r="F81" s="72"/>
      <c r="G81" s="72"/>
      <c r="H81" s="71"/>
      <c r="I81" s="71"/>
      <c r="J81" s="69"/>
    </row>
    <row r="82" spans="1:11" x14ac:dyDescent="0.2">
      <c r="A82" s="577" t="s">
        <v>97</v>
      </c>
      <c r="B82" s="579" t="s">
        <v>98</v>
      </c>
      <c r="C82" s="581" t="s">
        <v>171</v>
      </c>
      <c r="D82" s="583" t="s">
        <v>99</v>
      </c>
      <c r="E82" s="584"/>
      <c r="F82" s="584"/>
      <c r="G82" s="585"/>
      <c r="H82" s="586" t="s">
        <v>100</v>
      </c>
      <c r="I82" s="573" t="s">
        <v>101</v>
      </c>
      <c r="J82" s="71"/>
    </row>
    <row r="83" spans="1:11" x14ac:dyDescent="0.25">
      <c r="A83" s="578"/>
      <c r="B83" s="580"/>
      <c r="C83" s="582"/>
      <c r="D83" s="73" t="s">
        <v>58</v>
      </c>
      <c r="E83" s="73" t="s">
        <v>62</v>
      </c>
      <c r="F83" s="284" t="s">
        <v>174</v>
      </c>
      <c r="G83" s="73" t="s">
        <v>102</v>
      </c>
      <c r="H83" s="587"/>
      <c r="I83" s="574"/>
      <c r="J83" s="575" t="s">
        <v>172</v>
      </c>
    </row>
    <row r="84" spans="1:11" x14ac:dyDescent="0.2">
      <c r="A84" s="75"/>
      <c r="B84" s="76" t="s">
        <v>103</v>
      </c>
      <c r="C84" s="77"/>
      <c r="D84" s="77"/>
      <c r="E84" s="77"/>
      <c r="F84" s="77"/>
      <c r="G84" s="77"/>
      <c r="H84" s="77"/>
      <c r="I84" s="78"/>
      <c r="J84" s="576"/>
    </row>
    <row r="85" spans="1:11" x14ac:dyDescent="0.2">
      <c r="A85" s="254" t="s">
        <v>169</v>
      </c>
      <c r="B85" s="259" t="s">
        <v>122</v>
      </c>
      <c r="C85" s="84">
        <v>-11330</v>
      </c>
      <c r="D85" s="83"/>
      <c r="E85" s="84">
        <v>201400</v>
      </c>
      <c r="F85" s="84">
        <v>184300</v>
      </c>
      <c r="G85" s="84"/>
      <c r="H85" s="116"/>
      <c r="I85" s="84">
        <v>370700</v>
      </c>
      <c r="J85" s="82">
        <f>+SUM(C85:G85)-(H85+I85)</f>
        <v>3670</v>
      </c>
      <c r="K85" s="130"/>
    </row>
    <row r="86" spans="1:11" x14ac:dyDescent="0.2">
      <c r="A86" s="254" t="s">
        <v>169</v>
      </c>
      <c r="B86" s="259" t="s">
        <v>91</v>
      </c>
      <c r="C86" s="84">
        <v>8260</v>
      </c>
      <c r="D86" s="83"/>
      <c r="E86" s="84">
        <v>357900</v>
      </c>
      <c r="F86" s="84"/>
      <c r="G86" s="84"/>
      <c r="H86" s="116">
        <v>50000</v>
      </c>
      <c r="I86" s="84">
        <v>316700</v>
      </c>
      <c r="J86" s="82">
        <f t="shared" ref="J86:J87" si="18">+SUM(C86:G86)-(H86+I86)</f>
        <v>-540</v>
      </c>
      <c r="K86" s="130"/>
    </row>
    <row r="87" spans="1:11" x14ac:dyDescent="0.2">
      <c r="A87" s="254" t="s">
        <v>169</v>
      </c>
      <c r="B87" s="259" t="s">
        <v>69</v>
      </c>
      <c r="C87" s="84">
        <v>3795</v>
      </c>
      <c r="D87" s="83"/>
      <c r="E87" s="84">
        <v>20000</v>
      </c>
      <c r="F87" s="84"/>
      <c r="G87" s="84"/>
      <c r="H87" s="84"/>
      <c r="I87" s="84">
        <v>21400</v>
      </c>
      <c r="J87" s="188">
        <f t="shared" si="18"/>
        <v>2395</v>
      </c>
      <c r="K87" s="130"/>
    </row>
    <row r="88" spans="1:11" x14ac:dyDescent="0.2">
      <c r="A88" s="254" t="s">
        <v>169</v>
      </c>
      <c r="B88" s="259" t="s">
        <v>123</v>
      </c>
      <c r="C88" s="84">
        <v>-83100</v>
      </c>
      <c r="D88" s="193"/>
      <c r="E88" s="84">
        <v>699200</v>
      </c>
      <c r="F88" s="84"/>
      <c r="G88" s="84"/>
      <c r="H88" s="84"/>
      <c r="I88" s="84">
        <v>520000</v>
      </c>
      <c r="J88" s="188">
        <f>+SUM(C88:G88)-(H88+I88)</f>
        <v>96100</v>
      </c>
      <c r="K88" s="130"/>
    </row>
    <row r="89" spans="1:11" x14ac:dyDescent="0.2">
      <c r="A89" s="254" t="s">
        <v>169</v>
      </c>
      <c r="B89" s="259" t="s">
        <v>114</v>
      </c>
      <c r="C89" s="84">
        <v>1784</v>
      </c>
      <c r="D89" s="193"/>
      <c r="E89" s="84">
        <v>568600</v>
      </c>
      <c r="F89" s="84">
        <v>50000</v>
      </c>
      <c r="G89" s="84"/>
      <c r="H89" s="84">
        <v>184300</v>
      </c>
      <c r="I89" s="84">
        <v>422200</v>
      </c>
      <c r="J89" s="188">
        <f t="shared" ref="J89" si="19">+SUM(C89:G89)-(H89+I89)</f>
        <v>13884</v>
      </c>
      <c r="K89" s="130"/>
    </row>
    <row r="90" spans="1:11" x14ac:dyDescent="0.2">
      <c r="A90" s="254" t="s">
        <v>169</v>
      </c>
      <c r="B90" s="260" t="s">
        <v>68</v>
      </c>
      <c r="C90" s="84">
        <v>88800</v>
      </c>
      <c r="D90" s="251"/>
      <c r="E90" s="112">
        <v>694600</v>
      </c>
      <c r="F90" s="112"/>
      <c r="G90" s="112"/>
      <c r="H90" s="112"/>
      <c r="I90" s="112">
        <v>711000</v>
      </c>
      <c r="J90" s="256">
        <f>+SUM(C90:G90)-(H90+I90)</f>
        <v>72400</v>
      </c>
      <c r="K90" s="130"/>
    </row>
    <row r="91" spans="1:11" x14ac:dyDescent="0.2">
      <c r="A91" s="254" t="s">
        <v>169</v>
      </c>
      <c r="B91" s="261" t="s">
        <v>130</v>
      </c>
      <c r="C91" s="252">
        <v>233614</v>
      </c>
      <c r="D91" s="255"/>
      <c r="E91" s="275"/>
      <c r="F91" s="275"/>
      <c r="G91" s="275"/>
      <c r="H91" s="275"/>
      <c r="I91" s="275"/>
      <c r="J91" s="253">
        <f>+SUM(C91:G91)-(H91+I91)</f>
        <v>233614</v>
      </c>
      <c r="K91" s="130"/>
    </row>
    <row r="92" spans="1:11" x14ac:dyDescent="0.2">
      <c r="A92" s="254" t="s">
        <v>169</v>
      </c>
      <c r="B92" s="261" t="s">
        <v>129</v>
      </c>
      <c r="C92" s="252">
        <v>249769</v>
      </c>
      <c r="D92" s="255"/>
      <c r="E92" s="275"/>
      <c r="F92" s="275"/>
      <c r="G92" s="275"/>
      <c r="H92" s="275"/>
      <c r="I92" s="275"/>
      <c r="J92" s="253">
        <f t="shared" ref="J92:J96" si="20">+SUM(C92:G92)-(H92+I92)</f>
        <v>249769</v>
      </c>
      <c r="K92" s="130"/>
    </row>
    <row r="93" spans="1:11" x14ac:dyDescent="0.2">
      <c r="A93" s="254" t="s">
        <v>169</v>
      </c>
      <c r="B93" s="259" t="s">
        <v>77</v>
      </c>
      <c r="C93" s="84">
        <v>7890</v>
      </c>
      <c r="D93" s="83"/>
      <c r="E93" s="84">
        <v>135600</v>
      </c>
      <c r="F93" s="193"/>
      <c r="G93" s="193"/>
      <c r="H93" s="193"/>
      <c r="I93" s="84">
        <v>125000</v>
      </c>
      <c r="J93" s="82">
        <f t="shared" si="20"/>
        <v>18490</v>
      </c>
      <c r="K93" s="130"/>
    </row>
    <row r="94" spans="1:11" x14ac:dyDescent="0.2">
      <c r="A94" s="254" t="s">
        <v>169</v>
      </c>
      <c r="B94" s="259" t="s">
        <v>142</v>
      </c>
      <c r="C94" s="84">
        <v>5000</v>
      </c>
      <c r="D94" s="83"/>
      <c r="E94" s="84">
        <v>30000</v>
      </c>
      <c r="F94" s="193"/>
      <c r="G94" s="193"/>
      <c r="H94" s="193"/>
      <c r="I94" s="84">
        <v>30500</v>
      </c>
      <c r="J94" s="82">
        <f t="shared" si="20"/>
        <v>4500</v>
      </c>
      <c r="K94" s="130"/>
    </row>
    <row r="95" spans="1:11" x14ac:dyDescent="0.2">
      <c r="A95" s="254" t="s">
        <v>169</v>
      </c>
      <c r="B95" s="259" t="s">
        <v>67</v>
      </c>
      <c r="C95" s="84">
        <v>57700</v>
      </c>
      <c r="D95" s="83"/>
      <c r="E95" s="84">
        <v>639000</v>
      </c>
      <c r="F95" s="193"/>
      <c r="G95" s="193"/>
      <c r="H95" s="193"/>
      <c r="I95" s="84">
        <v>652500</v>
      </c>
      <c r="J95" s="82">
        <f t="shared" si="20"/>
        <v>44200</v>
      </c>
      <c r="K95" s="130"/>
    </row>
    <row r="96" spans="1:11" x14ac:dyDescent="0.2">
      <c r="A96" s="254" t="s">
        <v>169</v>
      </c>
      <c r="B96" s="259" t="s">
        <v>146</v>
      </c>
      <c r="C96" s="84">
        <v>-32081</v>
      </c>
      <c r="D96" s="83"/>
      <c r="E96" s="193"/>
      <c r="F96" s="193"/>
      <c r="G96" s="193"/>
      <c r="H96" s="193"/>
      <c r="I96" s="84">
        <v>819628</v>
      </c>
      <c r="J96" s="82">
        <f t="shared" si="20"/>
        <v>-851709</v>
      </c>
      <c r="K96" s="130"/>
    </row>
    <row r="97" spans="1:11" x14ac:dyDescent="0.2">
      <c r="A97" s="254" t="s">
        <v>169</v>
      </c>
      <c r="B97" s="259" t="s">
        <v>155</v>
      </c>
      <c r="C97" s="84">
        <v>62000</v>
      </c>
      <c r="D97" s="83"/>
      <c r="E97" s="84">
        <v>622600</v>
      </c>
      <c r="F97" s="193"/>
      <c r="G97" s="193"/>
      <c r="H97" s="193"/>
      <c r="I97" s="84">
        <v>594300</v>
      </c>
      <c r="J97" s="82">
        <f>+SUM(C97:G97)-(H97+I97)</f>
        <v>90300</v>
      </c>
      <c r="K97" s="130"/>
    </row>
    <row r="98" spans="1:11" x14ac:dyDescent="0.2">
      <c r="A98" s="254" t="s">
        <v>169</v>
      </c>
      <c r="B98" s="260" t="s">
        <v>70</v>
      </c>
      <c r="C98" s="84">
        <v>4300</v>
      </c>
      <c r="D98" s="251"/>
      <c r="E98" s="274"/>
      <c r="F98" s="274"/>
      <c r="G98" s="276"/>
      <c r="H98" s="274"/>
      <c r="I98" s="112">
        <v>4000</v>
      </c>
      <c r="J98" s="82">
        <f t="shared" ref="J98" si="21">+SUM(C98:G98)-(H98+I98)</f>
        <v>300</v>
      </c>
      <c r="K98" s="130"/>
    </row>
    <row r="99" spans="1:11" x14ac:dyDescent="0.2">
      <c r="A99" s="86" t="s">
        <v>104</v>
      </c>
      <c r="B99" s="87"/>
      <c r="C99" s="87"/>
      <c r="D99" s="87"/>
      <c r="E99" s="87"/>
      <c r="F99" s="87"/>
      <c r="G99" s="87"/>
      <c r="H99" s="87"/>
      <c r="I99" s="87"/>
      <c r="J99" s="88"/>
      <c r="K99" s="130"/>
    </row>
    <row r="100" spans="1:11" x14ac:dyDescent="0.2">
      <c r="A100" s="254" t="s">
        <v>169</v>
      </c>
      <c r="B100" s="89" t="s">
        <v>105</v>
      </c>
      <c r="C100" s="90">
        <v>62150</v>
      </c>
      <c r="D100" s="110">
        <v>5500000</v>
      </c>
      <c r="E100" s="192"/>
      <c r="F100" s="192"/>
      <c r="G100" s="277"/>
      <c r="H100" s="263">
        <v>3968900</v>
      </c>
      <c r="I100" s="258">
        <v>1276534</v>
      </c>
      <c r="J100" s="97">
        <f>+SUM(C100:G100)-(H100+I100)</f>
        <v>316716</v>
      </c>
      <c r="K100" s="130"/>
    </row>
    <row r="101" spans="1:11" x14ac:dyDescent="0.2">
      <c r="A101" s="95" t="s">
        <v>106</v>
      </c>
      <c r="B101" s="76"/>
      <c r="C101" s="87"/>
      <c r="D101" s="76"/>
      <c r="E101" s="76"/>
      <c r="F101" s="76"/>
      <c r="G101" s="76"/>
      <c r="H101" s="76"/>
      <c r="I101" s="76"/>
      <c r="J101" s="88"/>
    </row>
    <row r="102" spans="1:11" x14ac:dyDescent="0.2">
      <c r="A102" s="254" t="s">
        <v>169</v>
      </c>
      <c r="B102" s="89" t="s">
        <v>107</v>
      </c>
      <c r="C102" s="257">
        <v>11284555</v>
      </c>
      <c r="D102" s="264"/>
      <c r="E102" s="110"/>
      <c r="F102" s="110"/>
      <c r="G102" s="110"/>
      <c r="H102" s="112">
        <v>5500000</v>
      </c>
      <c r="I102" s="114">
        <v>273881</v>
      </c>
      <c r="J102" s="97">
        <f>+SUM(C102:G102)-(H102+I102)</f>
        <v>5510674</v>
      </c>
      <c r="K102" s="130"/>
    </row>
    <row r="103" spans="1:11" x14ac:dyDescent="0.2">
      <c r="A103" s="254" t="s">
        <v>169</v>
      </c>
      <c r="B103" s="89" t="s">
        <v>108</v>
      </c>
      <c r="C103" s="257">
        <v>2158645</v>
      </c>
      <c r="D103" s="110">
        <v>15435980</v>
      </c>
      <c r="E103" s="109"/>
      <c r="F103" s="109"/>
      <c r="G103" s="109"/>
      <c r="H103" s="84"/>
      <c r="I103" s="111">
        <v>6400961</v>
      </c>
      <c r="J103" s="97">
        <f>SUM(C103:G103)-(H103+I103)</f>
        <v>11193664</v>
      </c>
      <c r="K103" s="130"/>
    </row>
    <row r="104" spans="1:11" ht="15.75" x14ac:dyDescent="0.25">
      <c r="C104" s="288">
        <f>SUM(C85:C103)</f>
        <v>14101751</v>
      </c>
      <c r="I104" s="279">
        <f>SUM(I85:I103)</f>
        <v>12539304</v>
      </c>
      <c r="J104" s="194">
        <f>+SUM(J85:J103)</f>
        <v>16998427</v>
      </c>
    </row>
    <row r="105" spans="1:11" ht="16.5" x14ac:dyDescent="0.3">
      <c r="A105" s="61"/>
      <c r="B105" s="62"/>
      <c r="C105" s="63"/>
      <c r="D105" s="63"/>
      <c r="E105" s="63"/>
      <c r="F105" s="63"/>
      <c r="G105" s="63"/>
      <c r="H105" s="63"/>
      <c r="I105" s="63"/>
      <c r="J105" s="265"/>
    </row>
    <row r="106" spans="1:11" ht="16.5" x14ac:dyDescent="0.3">
      <c r="A106" s="65"/>
      <c r="B106" s="66"/>
      <c r="C106" s="63"/>
      <c r="D106" s="63"/>
      <c r="E106" s="64"/>
      <c r="F106" s="63"/>
      <c r="G106" s="63"/>
      <c r="H106" s="63"/>
      <c r="I106" s="63"/>
    </row>
    <row r="107" spans="1:11" x14ac:dyDescent="0.2">
      <c r="A107" s="67" t="s">
        <v>96</v>
      </c>
      <c r="B107" s="67"/>
      <c r="C107" s="67"/>
      <c r="D107" s="68"/>
      <c r="E107" s="68"/>
      <c r="F107" s="68"/>
      <c r="G107" s="68"/>
      <c r="H107" s="68"/>
      <c r="I107" s="68"/>
    </row>
    <row r="108" spans="1:11" x14ac:dyDescent="0.2">
      <c r="A108" s="69" t="s">
        <v>161</v>
      </c>
      <c r="B108" s="69"/>
      <c r="C108" s="69"/>
      <c r="D108" s="69"/>
      <c r="E108" s="69"/>
      <c r="F108" s="69"/>
      <c r="G108" s="69"/>
      <c r="H108" s="69"/>
      <c r="I108" s="69"/>
      <c r="J108" s="68"/>
    </row>
    <row r="109" spans="1:11" x14ac:dyDescent="0.2">
      <c r="A109" s="70"/>
      <c r="B109" s="71"/>
      <c r="C109" s="72"/>
      <c r="D109" s="72"/>
      <c r="E109" s="72"/>
      <c r="F109" s="72"/>
      <c r="G109" s="72"/>
      <c r="H109" s="71"/>
      <c r="I109" s="71"/>
      <c r="J109" s="69"/>
    </row>
    <row r="110" spans="1:11" x14ac:dyDescent="0.2">
      <c r="A110" s="577" t="s">
        <v>97</v>
      </c>
      <c r="B110" s="579" t="s">
        <v>98</v>
      </c>
      <c r="C110" s="581" t="s">
        <v>159</v>
      </c>
      <c r="D110" s="583" t="s">
        <v>99</v>
      </c>
      <c r="E110" s="584"/>
      <c r="F110" s="584"/>
      <c r="G110" s="585"/>
      <c r="H110" s="586" t="s">
        <v>100</v>
      </c>
      <c r="I110" s="573" t="s">
        <v>101</v>
      </c>
      <c r="J110" s="71"/>
    </row>
    <row r="111" spans="1:11" x14ac:dyDescent="0.25">
      <c r="A111" s="578"/>
      <c r="B111" s="580"/>
      <c r="C111" s="582"/>
      <c r="D111" s="73" t="s">
        <v>58</v>
      </c>
      <c r="E111" s="73" t="s">
        <v>62</v>
      </c>
      <c r="F111" s="270" t="s">
        <v>165</v>
      </c>
      <c r="G111" s="73" t="s">
        <v>102</v>
      </c>
      <c r="H111" s="587"/>
      <c r="I111" s="574"/>
      <c r="J111" s="575" t="s">
        <v>160</v>
      </c>
    </row>
    <row r="112" spans="1:11" x14ac:dyDescent="0.2">
      <c r="A112" s="75"/>
      <c r="B112" s="76" t="s">
        <v>103</v>
      </c>
      <c r="C112" s="77"/>
      <c r="D112" s="77"/>
      <c r="E112" s="77"/>
      <c r="F112" s="77"/>
      <c r="G112" s="77"/>
      <c r="H112" s="77"/>
      <c r="I112" s="78"/>
      <c r="J112" s="576"/>
    </row>
    <row r="113" spans="1:11" x14ac:dyDescent="0.2">
      <c r="A113" s="254" t="s">
        <v>158</v>
      </c>
      <c r="B113" s="259" t="s">
        <v>122</v>
      </c>
      <c r="C113" s="84">
        <v>22200</v>
      </c>
      <c r="D113" s="83"/>
      <c r="E113" s="84">
        <v>439970</v>
      </c>
      <c r="F113" s="193"/>
      <c r="G113" s="193"/>
      <c r="H113" s="273"/>
      <c r="I113" s="84">
        <v>473500</v>
      </c>
      <c r="J113" s="82">
        <f>+SUM(C113:G113)-(H113+I113)</f>
        <v>-11330</v>
      </c>
      <c r="K113" s="130"/>
    </row>
    <row r="114" spans="1:11" x14ac:dyDescent="0.2">
      <c r="A114" s="254" t="s">
        <v>158</v>
      </c>
      <c r="B114" s="259" t="s">
        <v>91</v>
      </c>
      <c r="C114" s="84">
        <v>3060</v>
      </c>
      <c r="D114" s="83"/>
      <c r="E114" s="84">
        <v>157200</v>
      </c>
      <c r="F114" s="84"/>
      <c r="G114" s="84"/>
      <c r="H114" s="116"/>
      <c r="I114" s="84">
        <v>152000</v>
      </c>
      <c r="J114" s="82">
        <f t="shared" ref="J114:J115" si="22">+SUM(C114:G114)-(H114+I114)</f>
        <v>8260</v>
      </c>
      <c r="K114" s="130"/>
    </row>
    <row r="115" spans="1:11" x14ac:dyDescent="0.2">
      <c r="A115" s="254" t="s">
        <v>158</v>
      </c>
      <c r="B115" s="259" t="s">
        <v>69</v>
      </c>
      <c r="C115" s="84">
        <v>3795</v>
      </c>
      <c r="D115" s="83"/>
      <c r="E115" s="84">
        <v>45000</v>
      </c>
      <c r="F115" s="84"/>
      <c r="G115" s="84"/>
      <c r="H115" s="84"/>
      <c r="I115" s="84">
        <v>45000</v>
      </c>
      <c r="J115" s="188">
        <f t="shared" si="22"/>
        <v>3795</v>
      </c>
      <c r="K115" s="130"/>
    </row>
    <row r="116" spans="1:11" x14ac:dyDescent="0.2">
      <c r="A116" s="254" t="s">
        <v>158</v>
      </c>
      <c r="B116" s="259" t="s">
        <v>123</v>
      </c>
      <c r="C116" s="84">
        <v>2300</v>
      </c>
      <c r="D116" s="193"/>
      <c r="E116" s="84">
        <v>266600</v>
      </c>
      <c r="F116" s="84">
        <v>159900</v>
      </c>
      <c r="G116" s="84"/>
      <c r="H116" s="84">
        <v>25000</v>
      </c>
      <c r="I116" s="84">
        <v>486900</v>
      </c>
      <c r="J116" s="188">
        <f>+SUM(C116:G116)-(H116+I116)</f>
        <v>-83100</v>
      </c>
      <c r="K116" s="130"/>
    </row>
    <row r="117" spans="1:11" x14ac:dyDescent="0.2">
      <c r="A117" s="254" t="s">
        <v>158</v>
      </c>
      <c r="B117" s="259" t="s">
        <v>114</v>
      </c>
      <c r="C117" s="84">
        <v>-14216</v>
      </c>
      <c r="D117" s="193"/>
      <c r="E117" s="84">
        <v>622600</v>
      </c>
      <c r="F117" s="84">
        <v>25000</v>
      </c>
      <c r="G117" s="84"/>
      <c r="H117" s="84">
        <v>260700</v>
      </c>
      <c r="I117" s="84">
        <v>370900</v>
      </c>
      <c r="J117" s="188">
        <f>+SUM(C117:G117)-(H117+I117)</f>
        <v>1784</v>
      </c>
      <c r="K117" s="130"/>
    </row>
    <row r="118" spans="1:11" x14ac:dyDescent="0.2">
      <c r="A118" s="254" t="s">
        <v>158</v>
      </c>
      <c r="B118" s="260" t="s">
        <v>68</v>
      </c>
      <c r="C118" s="112">
        <v>143300</v>
      </c>
      <c r="D118" s="251"/>
      <c r="E118" s="112">
        <v>466500</v>
      </c>
      <c r="F118" s="274"/>
      <c r="G118" s="274"/>
      <c r="H118" s="274"/>
      <c r="I118" s="112">
        <v>521000</v>
      </c>
      <c r="J118" s="256">
        <f>+SUM(C118:G118)-(H118+I118)</f>
        <v>88800</v>
      </c>
      <c r="K118" s="130"/>
    </row>
    <row r="119" spans="1:11" x14ac:dyDescent="0.2">
      <c r="A119" s="254" t="s">
        <v>158</v>
      </c>
      <c r="B119" s="261" t="s">
        <v>130</v>
      </c>
      <c r="C119" s="252">
        <v>233614</v>
      </c>
      <c r="D119" s="255"/>
      <c r="E119" s="275"/>
      <c r="F119" s="275"/>
      <c r="G119" s="275"/>
      <c r="H119" s="275"/>
      <c r="I119" s="275"/>
      <c r="J119" s="253">
        <f>+SUM(C119:G119)-(H119+I119)</f>
        <v>233614</v>
      </c>
      <c r="K119" s="130"/>
    </row>
    <row r="120" spans="1:11" x14ac:dyDescent="0.2">
      <c r="A120" s="254" t="s">
        <v>158</v>
      </c>
      <c r="B120" s="261" t="s">
        <v>129</v>
      </c>
      <c r="C120" s="252">
        <v>249768</v>
      </c>
      <c r="D120" s="255"/>
      <c r="E120" s="275"/>
      <c r="F120" s="275"/>
      <c r="G120" s="275"/>
      <c r="H120" s="275"/>
      <c r="I120" s="275"/>
      <c r="J120" s="253">
        <f t="shared" ref="J120:J126" si="23">+SUM(C120:G120)-(H120+I120)</f>
        <v>249768</v>
      </c>
      <c r="K120" s="130"/>
    </row>
    <row r="121" spans="1:11" x14ac:dyDescent="0.2">
      <c r="A121" s="254" t="s">
        <v>158</v>
      </c>
      <c r="B121" s="259" t="s">
        <v>77</v>
      </c>
      <c r="C121" s="84">
        <v>55090</v>
      </c>
      <c r="D121" s="83"/>
      <c r="E121" s="84">
        <v>143000</v>
      </c>
      <c r="F121" s="84">
        <v>70800</v>
      </c>
      <c r="G121" s="193"/>
      <c r="H121" s="193"/>
      <c r="I121" s="84">
        <v>261000</v>
      </c>
      <c r="J121" s="82">
        <f t="shared" si="23"/>
        <v>7890</v>
      </c>
      <c r="K121" s="130"/>
    </row>
    <row r="122" spans="1:11" x14ac:dyDescent="0.2">
      <c r="A122" s="254" t="s">
        <v>158</v>
      </c>
      <c r="B122" s="259" t="s">
        <v>142</v>
      </c>
      <c r="C122" s="84">
        <v>0</v>
      </c>
      <c r="D122" s="83"/>
      <c r="E122" s="84">
        <v>30000</v>
      </c>
      <c r="F122" s="193"/>
      <c r="G122" s="193"/>
      <c r="H122" s="193"/>
      <c r="I122" s="84">
        <v>25000</v>
      </c>
      <c r="J122" s="82">
        <f t="shared" si="23"/>
        <v>5000</v>
      </c>
      <c r="K122" s="130"/>
    </row>
    <row r="123" spans="1:11" x14ac:dyDescent="0.2">
      <c r="A123" s="254" t="s">
        <v>158</v>
      </c>
      <c r="B123" s="259" t="s">
        <v>67</v>
      </c>
      <c r="C123" s="84">
        <v>110700</v>
      </c>
      <c r="D123" s="83"/>
      <c r="E123" s="84">
        <v>375000</v>
      </c>
      <c r="F123" s="84">
        <v>30000</v>
      </c>
      <c r="G123" s="193"/>
      <c r="H123" s="193"/>
      <c r="I123" s="84">
        <v>458000</v>
      </c>
      <c r="J123" s="82">
        <f t="shared" si="23"/>
        <v>57700</v>
      </c>
      <c r="K123" s="130"/>
    </row>
    <row r="124" spans="1:11" x14ac:dyDescent="0.2">
      <c r="A124" s="254" t="s">
        <v>158</v>
      </c>
      <c r="B124" s="259" t="s">
        <v>146</v>
      </c>
      <c r="C124" s="84">
        <v>-32081</v>
      </c>
      <c r="D124" s="83"/>
      <c r="E124" s="193">
        <v>0</v>
      </c>
      <c r="F124" s="193"/>
      <c r="G124" s="193"/>
      <c r="H124" s="193"/>
      <c r="I124" s="193">
        <v>0</v>
      </c>
      <c r="J124" s="82">
        <f t="shared" si="23"/>
        <v>-32081</v>
      </c>
      <c r="K124" s="130"/>
    </row>
    <row r="125" spans="1:11" x14ac:dyDescent="0.2">
      <c r="A125" s="254" t="s">
        <v>158</v>
      </c>
      <c r="B125" s="259" t="s">
        <v>155</v>
      </c>
      <c r="C125" s="84">
        <v>0</v>
      </c>
      <c r="D125" s="83"/>
      <c r="E125" s="84">
        <v>82000</v>
      </c>
      <c r="F125" s="193"/>
      <c r="G125" s="193"/>
      <c r="H125" s="193"/>
      <c r="I125" s="84">
        <v>20000</v>
      </c>
      <c r="J125" s="82">
        <f>+SUM(C125:G125)-(H125+I125)</f>
        <v>62000</v>
      </c>
      <c r="K125" s="130"/>
    </row>
    <row r="126" spans="1:11" x14ac:dyDescent="0.2">
      <c r="A126" s="254" t="s">
        <v>158</v>
      </c>
      <c r="B126" s="260" t="s">
        <v>70</v>
      </c>
      <c r="C126" s="112">
        <v>7300</v>
      </c>
      <c r="D126" s="251"/>
      <c r="E126" s="274"/>
      <c r="F126" s="274"/>
      <c r="G126" s="276"/>
      <c r="H126" s="274"/>
      <c r="I126" s="112">
        <v>3000</v>
      </c>
      <c r="J126" s="82">
        <f t="shared" si="23"/>
        <v>4300</v>
      </c>
      <c r="K126" s="130"/>
    </row>
    <row r="127" spans="1:11" x14ac:dyDescent="0.2">
      <c r="A127" s="86" t="s">
        <v>104</v>
      </c>
      <c r="B127" s="87"/>
      <c r="C127" s="87"/>
      <c r="D127" s="87"/>
      <c r="E127" s="87"/>
      <c r="F127" s="87"/>
      <c r="G127" s="87"/>
      <c r="H127" s="87"/>
      <c r="I127" s="87"/>
      <c r="J127" s="88"/>
      <c r="K127" s="130"/>
    </row>
    <row r="128" spans="1:11" x14ac:dyDescent="0.2">
      <c r="A128" s="254" t="s">
        <v>158</v>
      </c>
      <c r="B128" s="89" t="s">
        <v>105</v>
      </c>
      <c r="C128" s="90">
        <v>817769</v>
      </c>
      <c r="D128" s="110">
        <v>3000000</v>
      </c>
      <c r="E128" s="192"/>
      <c r="F128" s="192"/>
      <c r="G128" s="277"/>
      <c r="H128" s="263">
        <v>2627870</v>
      </c>
      <c r="I128" s="258">
        <v>1127749</v>
      </c>
      <c r="J128" s="97">
        <f>+SUM(C128:G128)-(H128+I128)</f>
        <v>62150</v>
      </c>
      <c r="K128" s="130"/>
    </row>
    <row r="129" spans="1:11" x14ac:dyDescent="0.2">
      <c r="A129" s="95" t="s">
        <v>106</v>
      </c>
      <c r="B129" s="76"/>
      <c r="C129" s="87"/>
      <c r="D129" s="76"/>
      <c r="E129" s="76"/>
      <c r="F129" s="76"/>
      <c r="G129" s="76"/>
      <c r="H129" s="76"/>
      <c r="I129" s="76"/>
      <c r="J129" s="88"/>
    </row>
    <row r="130" spans="1:11" x14ac:dyDescent="0.2">
      <c r="A130" s="254" t="s">
        <v>158</v>
      </c>
      <c r="B130" s="89" t="s">
        <v>107</v>
      </c>
      <c r="C130" s="257">
        <v>14712920</v>
      </c>
      <c r="D130" s="264"/>
      <c r="E130" s="110"/>
      <c r="F130" s="110"/>
      <c r="G130" s="110"/>
      <c r="H130" s="112">
        <v>3000000</v>
      </c>
      <c r="I130" s="114">
        <v>428365</v>
      </c>
      <c r="J130" s="97">
        <f>+SUM(C130:G130)-(H130+I130)</f>
        <v>11284555</v>
      </c>
      <c r="K130" s="130"/>
    </row>
    <row r="131" spans="1:11" x14ac:dyDescent="0.2">
      <c r="A131" s="254" t="s">
        <v>158</v>
      </c>
      <c r="B131" s="89" t="s">
        <v>108</v>
      </c>
      <c r="C131" s="257">
        <v>8361083</v>
      </c>
      <c r="D131" s="110"/>
      <c r="E131" s="109"/>
      <c r="F131" s="109"/>
      <c r="G131" s="109"/>
      <c r="H131" s="84"/>
      <c r="I131" s="111">
        <v>6202438</v>
      </c>
      <c r="J131" s="97">
        <f>SUM(C131:G131)-(H131+I131)</f>
        <v>2158645</v>
      </c>
      <c r="K131" s="130"/>
    </row>
    <row r="132" spans="1:11" ht="15.75" x14ac:dyDescent="0.25">
      <c r="C132" s="60"/>
      <c r="I132" s="279">
        <f>SUM(I113:I131)</f>
        <v>10574852</v>
      </c>
      <c r="J132" s="194">
        <f>+SUM(J113:J131)</f>
        <v>14101750</v>
      </c>
      <c r="K132" s="60">
        <f>J132-C104</f>
        <v>-1</v>
      </c>
    </row>
    <row r="133" spans="1:11" ht="16.5" x14ac:dyDescent="0.3">
      <c r="A133" s="61"/>
      <c r="B133" s="62"/>
      <c r="C133" s="63"/>
      <c r="D133" s="63"/>
      <c r="E133" s="63"/>
      <c r="F133" s="63"/>
      <c r="G133" s="63"/>
      <c r="H133" s="63"/>
      <c r="I133" s="63"/>
      <c r="J133" s="265"/>
    </row>
    <row r="134" spans="1:11" x14ac:dyDescent="0.2">
      <c r="A134" s="67" t="s">
        <v>96</v>
      </c>
      <c r="B134" s="67"/>
      <c r="C134" s="67"/>
      <c r="D134" s="68"/>
      <c r="E134" s="68"/>
      <c r="F134" s="68"/>
      <c r="G134" s="68"/>
      <c r="H134" s="68"/>
      <c r="I134" s="68"/>
    </row>
    <row r="135" spans="1:11" x14ac:dyDescent="0.2">
      <c r="A135" s="69" t="s">
        <v>147</v>
      </c>
      <c r="B135" s="69"/>
      <c r="C135" s="69"/>
      <c r="D135" s="69"/>
      <c r="E135" s="69"/>
      <c r="F135" s="69"/>
      <c r="G135" s="69"/>
      <c r="H135" s="69"/>
      <c r="I135" s="69"/>
      <c r="J135" s="68"/>
    </row>
    <row r="136" spans="1:11" x14ac:dyDescent="0.2">
      <c r="A136" s="70"/>
      <c r="B136" s="71"/>
      <c r="C136" s="72"/>
      <c r="D136" s="72"/>
      <c r="E136" s="72"/>
      <c r="F136" s="72"/>
      <c r="G136" s="72"/>
      <c r="H136" s="71"/>
      <c r="I136" s="71"/>
      <c r="J136" s="69"/>
    </row>
    <row r="137" spans="1:11" ht="15" customHeight="1" x14ac:dyDescent="0.2">
      <c r="A137" s="577" t="s">
        <v>97</v>
      </c>
      <c r="B137" s="579" t="s">
        <v>98</v>
      </c>
      <c r="C137" s="581" t="s">
        <v>148</v>
      </c>
      <c r="D137" s="583" t="s">
        <v>99</v>
      </c>
      <c r="E137" s="584"/>
      <c r="F137" s="584"/>
      <c r="G137" s="585"/>
      <c r="H137" s="586" t="s">
        <v>100</v>
      </c>
      <c r="I137" s="573" t="s">
        <v>101</v>
      </c>
      <c r="J137" s="71"/>
    </row>
    <row r="138" spans="1:11" ht="15" customHeight="1" x14ac:dyDescent="0.25">
      <c r="A138" s="578"/>
      <c r="B138" s="580"/>
      <c r="C138" s="582"/>
      <c r="D138" s="73" t="s">
        <v>58</v>
      </c>
      <c r="E138" s="73" t="s">
        <v>62</v>
      </c>
      <c r="F138" s="235" t="s">
        <v>151</v>
      </c>
      <c r="G138" s="73" t="s">
        <v>102</v>
      </c>
      <c r="H138" s="587"/>
      <c r="I138" s="574"/>
      <c r="J138" s="575" t="s">
        <v>149</v>
      </c>
    </row>
    <row r="139" spans="1:11" x14ac:dyDescent="0.2">
      <c r="A139" s="75"/>
      <c r="B139" s="76" t="s">
        <v>103</v>
      </c>
      <c r="C139" s="77"/>
      <c r="D139" s="77"/>
      <c r="E139" s="77"/>
      <c r="F139" s="77"/>
      <c r="G139" s="77"/>
      <c r="H139" s="77"/>
      <c r="I139" s="78"/>
      <c r="J139" s="576"/>
    </row>
    <row r="140" spans="1:11" x14ac:dyDescent="0.2">
      <c r="A140" s="254" t="s">
        <v>150</v>
      </c>
      <c r="B140" s="259" t="s">
        <v>122</v>
      </c>
      <c r="C140" s="84">
        <v>-10750</v>
      </c>
      <c r="D140" s="83"/>
      <c r="E140" s="83">
        <v>170625</v>
      </c>
      <c r="F140" s="83">
        <v>301700</v>
      </c>
      <c r="G140" s="83"/>
      <c r="H140" s="116">
        <v>27000</v>
      </c>
      <c r="I140" s="84">
        <v>412375</v>
      </c>
      <c r="J140" s="82">
        <f>+SUM(C140:G140)-(H140+I140)</f>
        <v>22200</v>
      </c>
      <c r="K140" s="130"/>
    </row>
    <row r="141" spans="1:11" x14ac:dyDescent="0.2">
      <c r="A141" s="254" t="s">
        <v>150</v>
      </c>
      <c r="B141" s="259" t="s">
        <v>91</v>
      </c>
      <c r="C141" s="84">
        <v>9060</v>
      </c>
      <c r="D141" s="83"/>
      <c r="E141" s="83">
        <v>0</v>
      </c>
      <c r="F141" s="83"/>
      <c r="G141" s="83"/>
      <c r="H141" s="116"/>
      <c r="I141" s="84">
        <v>6000</v>
      </c>
      <c r="J141" s="82">
        <f t="shared" ref="J141:J142" si="24">+SUM(C141:G141)-(H141+I141)</f>
        <v>3060</v>
      </c>
      <c r="K141" s="130"/>
    </row>
    <row r="142" spans="1:11" x14ac:dyDescent="0.2">
      <c r="A142" s="254" t="s">
        <v>150</v>
      </c>
      <c r="B142" s="259" t="s">
        <v>69</v>
      </c>
      <c r="C142" s="84">
        <v>1195</v>
      </c>
      <c r="D142" s="83"/>
      <c r="E142" s="83">
        <v>75000</v>
      </c>
      <c r="F142" s="84"/>
      <c r="G142" s="84"/>
      <c r="H142" s="84"/>
      <c r="I142" s="84">
        <v>72400</v>
      </c>
      <c r="J142" s="188">
        <f t="shared" si="24"/>
        <v>3795</v>
      </c>
      <c r="K142" s="130"/>
    </row>
    <row r="143" spans="1:11" x14ac:dyDescent="0.2">
      <c r="A143" s="254" t="s">
        <v>150</v>
      </c>
      <c r="B143" s="259" t="s">
        <v>123</v>
      </c>
      <c r="C143" s="84">
        <v>-8600</v>
      </c>
      <c r="D143" s="193"/>
      <c r="E143" s="83">
        <v>596900</v>
      </c>
      <c r="F143" s="84"/>
      <c r="G143" s="84"/>
      <c r="H143" s="84"/>
      <c r="I143" s="84">
        <v>586000</v>
      </c>
      <c r="J143" s="188">
        <f>+SUM(C143:G143)-(H143+I143)</f>
        <v>2300</v>
      </c>
      <c r="K143" s="130"/>
    </row>
    <row r="144" spans="1:11" x14ac:dyDescent="0.2">
      <c r="A144" s="254" t="s">
        <v>150</v>
      </c>
      <c r="B144" s="259" t="s">
        <v>114</v>
      </c>
      <c r="C144" s="84">
        <v>8884</v>
      </c>
      <c r="D144" s="193"/>
      <c r="E144" s="83">
        <v>618600</v>
      </c>
      <c r="F144" s="84">
        <v>27000</v>
      </c>
      <c r="G144" s="84"/>
      <c r="H144" s="84">
        <v>301700</v>
      </c>
      <c r="I144" s="84">
        <v>367000</v>
      </c>
      <c r="J144" s="188">
        <f t="shared" ref="J144" si="25">+SUM(C144:G144)-(H144+I144)</f>
        <v>-14216</v>
      </c>
      <c r="K144" s="130"/>
    </row>
    <row r="145" spans="1:11" x14ac:dyDescent="0.2">
      <c r="A145" s="251" t="s">
        <v>150</v>
      </c>
      <c r="B145" s="260" t="s">
        <v>68</v>
      </c>
      <c r="C145" s="112">
        <v>191600</v>
      </c>
      <c r="D145" s="251"/>
      <c r="E145" s="251">
        <v>777000</v>
      </c>
      <c r="F145" s="112"/>
      <c r="G145" s="112"/>
      <c r="H145" s="112"/>
      <c r="I145" s="112">
        <v>825300</v>
      </c>
      <c r="J145" s="256">
        <f>+SUM(C145:G145)-(H145+I145)</f>
        <v>143300</v>
      </c>
      <c r="K145" s="130"/>
    </row>
    <row r="146" spans="1:11" x14ac:dyDescent="0.2">
      <c r="A146" s="255" t="s">
        <v>150</v>
      </c>
      <c r="B146" s="261" t="s">
        <v>130</v>
      </c>
      <c r="C146" s="252">
        <v>233614</v>
      </c>
      <c r="D146" s="255"/>
      <c r="E146" s="255"/>
      <c r="F146" s="255"/>
      <c r="G146" s="255"/>
      <c r="H146" s="252"/>
      <c r="I146" s="252"/>
      <c r="J146" s="253">
        <f>+SUM(C146:G146)-(H146+I146)</f>
        <v>233614</v>
      </c>
      <c r="K146" s="130"/>
    </row>
    <row r="147" spans="1:11" x14ac:dyDescent="0.2">
      <c r="A147" s="255" t="s">
        <v>150</v>
      </c>
      <c r="B147" s="261" t="s">
        <v>129</v>
      </c>
      <c r="C147" s="252">
        <v>249769</v>
      </c>
      <c r="D147" s="255"/>
      <c r="E147" s="255"/>
      <c r="F147" s="255"/>
      <c r="G147" s="255"/>
      <c r="H147" s="252"/>
      <c r="I147" s="252"/>
      <c r="J147" s="253">
        <f t="shared" ref="J147:J152" si="26">+SUM(C147:G147)-(H147+I147)</f>
        <v>249769</v>
      </c>
      <c r="K147" s="130"/>
    </row>
    <row r="148" spans="1:11" x14ac:dyDescent="0.2">
      <c r="A148" s="254" t="s">
        <v>150</v>
      </c>
      <c r="B148" s="259" t="s">
        <v>77</v>
      </c>
      <c r="C148" s="84">
        <v>-3510</v>
      </c>
      <c r="D148" s="83"/>
      <c r="E148" s="83">
        <v>240100</v>
      </c>
      <c r="F148" s="83"/>
      <c r="G148" s="83"/>
      <c r="H148" s="84"/>
      <c r="I148" s="84">
        <v>181500</v>
      </c>
      <c r="J148" s="82">
        <f t="shared" si="26"/>
        <v>55090</v>
      </c>
      <c r="K148" s="130"/>
    </row>
    <row r="149" spans="1:11" x14ac:dyDescent="0.2">
      <c r="A149" s="254" t="s">
        <v>150</v>
      </c>
      <c r="B149" s="259" t="s">
        <v>142</v>
      </c>
      <c r="C149" s="84">
        <v>0</v>
      </c>
      <c r="D149" s="83"/>
      <c r="E149" s="83">
        <v>5000</v>
      </c>
      <c r="F149" s="83"/>
      <c r="G149" s="83"/>
      <c r="H149" s="84"/>
      <c r="I149" s="84">
        <v>5000</v>
      </c>
      <c r="J149" s="82">
        <f t="shared" si="26"/>
        <v>0</v>
      </c>
      <c r="K149" s="130"/>
    </row>
    <row r="150" spans="1:11" x14ac:dyDescent="0.2">
      <c r="A150" s="254" t="s">
        <v>150</v>
      </c>
      <c r="B150" s="259" t="s">
        <v>67</v>
      </c>
      <c r="C150" s="84">
        <v>111200</v>
      </c>
      <c r="D150" s="83"/>
      <c r="E150" s="83">
        <v>704000</v>
      </c>
      <c r="F150" s="83"/>
      <c r="G150" s="83"/>
      <c r="H150" s="84"/>
      <c r="I150" s="84">
        <v>704500</v>
      </c>
      <c r="J150" s="82">
        <f t="shared" si="26"/>
        <v>110700</v>
      </c>
      <c r="K150" s="130"/>
    </row>
    <row r="151" spans="1:11" x14ac:dyDescent="0.2">
      <c r="A151" s="254" t="s">
        <v>150</v>
      </c>
      <c r="B151" s="259" t="s">
        <v>146</v>
      </c>
      <c r="C151" s="84">
        <v>-32081</v>
      </c>
      <c r="D151" s="83"/>
      <c r="E151" s="83">
        <v>0</v>
      </c>
      <c r="F151" s="83"/>
      <c r="G151" s="83"/>
      <c r="H151" s="84"/>
      <c r="I151" s="84">
        <v>0</v>
      </c>
      <c r="J151" s="82">
        <f t="shared" si="26"/>
        <v>-32081</v>
      </c>
      <c r="K151" s="130"/>
    </row>
    <row r="152" spans="1:11" x14ac:dyDescent="0.2">
      <c r="A152" s="254" t="s">
        <v>150</v>
      </c>
      <c r="B152" s="260" t="s">
        <v>70</v>
      </c>
      <c r="C152" s="112">
        <v>5300</v>
      </c>
      <c r="D152" s="251"/>
      <c r="E152" s="251">
        <v>10000</v>
      </c>
      <c r="F152" s="251"/>
      <c r="G152" s="262"/>
      <c r="H152" s="112"/>
      <c r="I152" s="112">
        <v>8000</v>
      </c>
      <c r="J152" s="82">
        <f t="shared" si="26"/>
        <v>7300</v>
      </c>
      <c r="K152" s="130"/>
    </row>
    <row r="153" spans="1:11" x14ac:dyDescent="0.2">
      <c r="A153" s="86" t="s">
        <v>104</v>
      </c>
      <c r="B153" s="87"/>
      <c r="C153" s="87"/>
      <c r="D153" s="87"/>
      <c r="E153" s="87"/>
      <c r="F153" s="87"/>
      <c r="G153" s="87"/>
      <c r="H153" s="87"/>
      <c r="I153" s="87"/>
      <c r="J153" s="88"/>
      <c r="K153" s="130"/>
    </row>
    <row r="154" spans="1:11" x14ac:dyDescent="0.2">
      <c r="A154" s="79" t="s">
        <v>150</v>
      </c>
      <c r="B154" s="89" t="s">
        <v>105</v>
      </c>
      <c r="C154" s="90">
        <v>733034</v>
      </c>
      <c r="D154" s="91">
        <v>4293000</v>
      </c>
      <c r="E154" s="91"/>
      <c r="F154" s="91"/>
      <c r="G154" s="257"/>
      <c r="H154" s="263">
        <v>3197225</v>
      </c>
      <c r="I154" s="258">
        <v>1011040</v>
      </c>
      <c r="J154" s="97">
        <f>+SUM(C154:G154)-(H154+I154)</f>
        <v>817769</v>
      </c>
      <c r="K154" s="130"/>
    </row>
    <row r="155" spans="1:11" x14ac:dyDescent="0.2">
      <c r="A155" s="95" t="s">
        <v>106</v>
      </c>
      <c r="B155" s="76"/>
      <c r="C155" s="87"/>
      <c r="D155" s="76"/>
      <c r="E155" s="76"/>
      <c r="F155" s="76"/>
      <c r="G155" s="76"/>
      <c r="H155" s="76"/>
      <c r="I155" s="76"/>
      <c r="J155" s="88"/>
    </row>
    <row r="156" spans="1:11" x14ac:dyDescent="0.2">
      <c r="A156" s="79" t="s">
        <v>150</v>
      </c>
      <c r="B156" s="89" t="s">
        <v>107</v>
      </c>
      <c r="C156" s="257">
        <v>19184971</v>
      </c>
      <c r="D156" s="264"/>
      <c r="E156" s="110"/>
      <c r="F156" s="110"/>
      <c r="G156" s="110"/>
      <c r="H156" s="112">
        <v>4000000</v>
      </c>
      <c r="I156" s="114">
        <v>472051</v>
      </c>
      <c r="J156" s="97">
        <f>+SUM(C156:G156)-(H156+I156)</f>
        <v>14712920</v>
      </c>
      <c r="K156" s="130"/>
    </row>
    <row r="157" spans="1:11" x14ac:dyDescent="0.2">
      <c r="A157" s="79" t="s">
        <v>150</v>
      </c>
      <c r="B157" s="89" t="s">
        <v>108</v>
      </c>
      <c r="C157" s="257">
        <v>14419055</v>
      </c>
      <c r="D157" s="110"/>
      <c r="E157" s="109"/>
      <c r="F157" s="109"/>
      <c r="G157" s="109"/>
      <c r="H157" s="84">
        <v>293000</v>
      </c>
      <c r="I157" s="111">
        <v>5764972</v>
      </c>
      <c r="J157" s="97">
        <f>SUM(C157:G157)-(H157+I157)</f>
        <v>8361083</v>
      </c>
      <c r="K157" s="130"/>
    </row>
    <row r="158" spans="1:11" ht="15.75" x14ac:dyDescent="0.25">
      <c r="C158" s="60"/>
      <c r="I158" s="60"/>
      <c r="J158" s="194">
        <f>+SUM(J140:J157)</f>
        <v>24676603</v>
      </c>
    </row>
    <row r="159" spans="1:11" ht="16.5" x14ac:dyDescent="0.3">
      <c r="A159" s="61"/>
      <c r="B159" s="62"/>
      <c r="C159" s="63"/>
      <c r="D159" s="63"/>
      <c r="E159" s="63"/>
      <c r="F159" s="63"/>
      <c r="G159" s="63"/>
      <c r="H159" s="63"/>
      <c r="I159" s="63"/>
      <c r="J159" s="265"/>
    </row>
    <row r="160" spans="1:11" x14ac:dyDescent="0.2">
      <c r="A160" s="67" t="s">
        <v>96</v>
      </c>
      <c r="B160" s="67"/>
      <c r="C160" s="67"/>
      <c r="D160" s="68"/>
      <c r="E160" s="68"/>
      <c r="F160" s="68"/>
      <c r="G160" s="68"/>
      <c r="H160" s="68"/>
      <c r="I160" s="68"/>
    </row>
    <row r="161" spans="1:10" x14ac:dyDescent="0.2">
      <c r="A161" s="69" t="s">
        <v>135</v>
      </c>
      <c r="B161" s="69"/>
      <c r="C161" s="69"/>
      <c r="D161" s="69"/>
      <c r="E161" s="69"/>
      <c r="F161" s="69"/>
      <c r="G161" s="69"/>
      <c r="H161" s="69"/>
      <c r="I161" s="69"/>
      <c r="J161" s="68"/>
    </row>
    <row r="162" spans="1:10" ht="15" customHeight="1" x14ac:dyDescent="0.2">
      <c r="A162" s="70"/>
      <c r="B162" s="71"/>
      <c r="C162" s="72"/>
      <c r="D162" s="72"/>
      <c r="E162" s="72"/>
      <c r="F162" s="72"/>
      <c r="G162" s="72"/>
      <c r="H162" s="71"/>
      <c r="I162" s="71"/>
      <c r="J162" s="69"/>
    </row>
    <row r="163" spans="1:10" ht="15" customHeight="1" x14ac:dyDescent="0.2">
      <c r="A163" s="577" t="s">
        <v>97</v>
      </c>
      <c r="B163" s="579" t="s">
        <v>98</v>
      </c>
      <c r="C163" s="581" t="s">
        <v>136</v>
      </c>
      <c r="D163" s="583" t="s">
        <v>99</v>
      </c>
      <c r="E163" s="584"/>
      <c r="F163" s="584"/>
      <c r="G163" s="585"/>
      <c r="H163" s="586" t="s">
        <v>100</v>
      </c>
      <c r="I163" s="573" t="s">
        <v>101</v>
      </c>
      <c r="J163" s="71"/>
    </row>
    <row r="164" spans="1:10" ht="15" customHeight="1" x14ac:dyDescent="0.25">
      <c r="A164" s="578"/>
      <c r="B164" s="580"/>
      <c r="C164" s="582"/>
      <c r="D164" s="73" t="s">
        <v>58</v>
      </c>
      <c r="E164" s="73" t="s">
        <v>62</v>
      </c>
      <c r="F164" s="220" t="s">
        <v>139</v>
      </c>
      <c r="G164" s="73" t="s">
        <v>102</v>
      </c>
      <c r="H164" s="587"/>
      <c r="I164" s="574"/>
      <c r="J164" s="575" t="s">
        <v>137</v>
      </c>
    </row>
    <row r="165" spans="1:10" x14ac:dyDescent="0.2">
      <c r="A165" s="75"/>
      <c r="B165" s="76" t="s">
        <v>103</v>
      </c>
      <c r="C165" s="77"/>
      <c r="D165" s="77"/>
      <c r="E165" s="77"/>
      <c r="F165" s="77"/>
      <c r="G165" s="77"/>
      <c r="H165" s="77"/>
      <c r="I165" s="78"/>
      <c r="J165" s="576"/>
    </row>
    <row r="166" spans="1:10" ht="16.5" x14ac:dyDescent="0.3">
      <c r="A166" s="79" t="s">
        <v>138</v>
      </c>
      <c r="B166" s="59" t="s">
        <v>122</v>
      </c>
      <c r="C166" s="80">
        <f t="shared" ref="C166:C175" si="27">+C6</f>
        <v>7670</v>
      </c>
      <c r="D166" s="81"/>
      <c r="E166" s="81">
        <v>271100</v>
      </c>
      <c r="F166" s="81">
        <f>112800+126500</f>
        <v>239300</v>
      </c>
      <c r="G166" s="81"/>
      <c r="H166" s="116"/>
      <c r="I166" s="85">
        <v>521950</v>
      </c>
      <c r="J166" s="82">
        <f>+SUM(C166:G166)-(H166+I166)</f>
        <v>-3880</v>
      </c>
    </row>
    <row r="167" spans="1:10" ht="16.5" x14ac:dyDescent="0.3">
      <c r="A167" s="79" t="s">
        <v>138</v>
      </c>
      <c r="B167" s="59" t="s">
        <v>91</v>
      </c>
      <c r="C167" s="80">
        <f t="shared" si="27"/>
        <v>4710</v>
      </c>
      <c r="D167" s="81"/>
      <c r="E167" s="81">
        <v>625000</v>
      </c>
      <c r="F167" s="81"/>
      <c r="G167" s="81"/>
      <c r="H167" s="116">
        <v>247500</v>
      </c>
      <c r="I167" s="85">
        <v>371500</v>
      </c>
      <c r="J167" s="82">
        <f t="shared" ref="J167:J168" si="28">+SUM(C167:G167)-(H167+I167)</f>
        <v>10710</v>
      </c>
    </row>
    <row r="168" spans="1:10" ht="16.5" x14ac:dyDescent="0.3">
      <c r="A168" s="79" t="s">
        <v>138</v>
      </c>
      <c r="B168" s="59" t="s">
        <v>69</v>
      </c>
      <c r="C168" s="80">
        <f t="shared" si="27"/>
        <v>9295</v>
      </c>
      <c r="D168" s="81"/>
      <c r="E168" s="81">
        <v>60000</v>
      </c>
      <c r="F168" s="187"/>
      <c r="G168" s="187"/>
      <c r="H168" s="84"/>
      <c r="I168" s="115">
        <v>67200</v>
      </c>
      <c r="J168" s="188">
        <f t="shared" si="28"/>
        <v>2095</v>
      </c>
    </row>
    <row r="169" spans="1:10" ht="15.75" customHeight="1" x14ac:dyDescent="0.3">
      <c r="A169" s="79" t="s">
        <v>138</v>
      </c>
      <c r="B169" s="59" t="s">
        <v>123</v>
      </c>
      <c r="C169" s="80">
        <f t="shared" si="27"/>
        <v>-25100</v>
      </c>
      <c r="D169" s="117"/>
      <c r="E169" s="81">
        <v>140000</v>
      </c>
      <c r="F169" s="187">
        <v>270500</v>
      </c>
      <c r="G169" s="187"/>
      <c r="H169" s="84"/>
      <c r="I169" s="84">
        <v>417300</v>
      </c>
      <c r="J169" s="188">
        <f>+SUM(C169:G169)-(H169+I169)</f>
        <v>-31900</v>
      </c>
    </row>
    <row r="170" spans="1:10" ht="16.5" x14ac:dyDescent="0.3">
      <c r="A170" s="79" t="s">
        <v>138</v>
      </c>
      <c r="B170" s="59" t="s">
        <v>114</v>
      </c>
      <c r="C170" s="80">
        <f t="shared" si="27"/>
        <v>7384</v>
      </c>
      <c r="D170" s="117"/>
      <c r="E170" s="81">
        <v>256400</v>
      </c>
      <c r="F170" s="187"/>
      <c r="G170" s="187"/>
      <c r="H170" s="84"/>
      <c r="I170" s="85">
        <v>263500</v>
      </c>
      <c r="J170" s="188">
        <f t="shared" ref="J170" si="29">+SUM(C170:G170)-(H170+I170)</f>
        <v>284</v>
      </c>
    </row>
    <row r="171" spans="1:10" ht="16.5" x14ac:dyDescent="0.3">
      <c r="A171" s="79" t="s">
        <v>138</v>
      </c>
      <c r="B171" s="59" t="s">
        <v>68</v>
      </c>
      <c r="C171" s="80">
        <f t="shared" si="27"/>
        <v>61300</v>
      </c>
      <c r="D171" s="81"/>
      <c r="E171" s="81">
        <v>858500</v>
      </c>
      <c r="F171" s="187"/>
      <c r="G171" s="187"/>
      <c r="H171" s="84"/>
      <c r="I171" s="85">
        <v>645000</v>
      </c>
      <c r="J171" s="188">
        <f>+SUM(C171:G171)-(H171+I171)</f>
        <v>274800</v>
      </c>
    </row>
    <row r="172" spans="1:10" ht="16.5" x14ac:dyDescent="0.3">
      <c r="A172" s="79" t="s">
        <v>138</v>
      </c>
      <c r="B172" s="59" t="s">
        <v>77</v>
      </c>
      <c r="C172" s="80">
        <f t="shared" si="27"/>
        <v>233614</v>
      </c>
      <c r="D172" s="81"/>
      <c r="E172" s="81">
        <v>800700</v>
      </c>
      <c r="F172" s="81"/>
      <c r="G172" s="81"/>
      <c r="H172" s="84">
        <v>262300</v>
      </c>
      <c r="I172" s="85">
        <v>543600</v>
      </c>
      <c r="J172" s="82">
        <f>+SUM(C172:G172)-(H172+I172)</f>
        <v>228414</v>
      </c>
    </row>
    <row r="173" spans="1:10" ht="16.5" x14ac:dyDescent="0.3">
      <c r="A173" s="79" t="s">
        <v>138</v>
      </c>
      <c r="B173" s="59" t="s">
        <v>67</v>
      </c>
      <c r="C173" s="80">
        <f t="shared" si="27"/>
        <v>249769</v>
      </c>
      <c r="D173" s="81"/>
      <c r="E173" s="81">
        <v>971600</v>
      </c>
      <c r="F173" s="81"/>
      <c r="G173" s="81"/>
      <c r="H173" s="84">
        <v>200000</v>
      </c>
      <c r="I173" s="85">
        <v>639450</v>
      </c>
      <c r="J173" s="82">
        <f t="shared" ref="J173:J174" si="30">+SUM(C173:G173)-(H173+I173)</f>
        <v>381919</v>
      </c>
    </row>
    <row r="174" spans="1:10" ht="16.5" x14ac:dyDescent="0.3">
      <c r="A174" s="79" t="s">
        <v>138</v>
      </c>
      <c r="B174" s="59" t="s">
        <v>36</v>
      </c>
      <c r="C174" s="80">
        <f t="shared" si="27"/>
        <v>4500</v>
      </c>
      <c r="D174" s="81"/>
      <c r="E174" s="81"/>
      <c r="F174" s="81"/>
      <c r="G174" s="81"/>
      <c r="H174" s="84"/>
      <c r="I174" s="115">
        <v>23000</v>
      </c>
      <c r="J174" s="82">
        <f t="shared" si="30"/>
        <v>-18500</v>
      </c>
    </row>
    <row r="175" spans="1:10" ht="16.5" x14ac:dyDescent="0.3">
      <c r="A175" s="79" t="s">
        <v>138</v>
      </c>
      <c r="B175" s="59" t="s">
        <v>70</v>
      </c>
      <c r="C175" s="80">
        <f t="shared" si="27"/>
        <v>-6000</v>
      </c>
      <c r="D175" s="81"/>
      <c r="E175" s="81"/>
      <c r="F175" s="81"/>
      <c r="G175" s="81"/>
      <c r="H175" s="84"/>
      <c r="I175" s="85">
        <v>0</v>
      </c>
      <c r="J175" s="82">
        <f>+SUM(C175:G175)-(H175+I175)</f>
        <v>-6000</v>
      </c>
    </row>
    <row r="176" spans="1:10" ht="16.5" x14ac:dyDescent="0.3">
      <c r="A176" s="224" t="s">
        <v>138</v>
      </c>
      <c r="B176" s="225" t="s">
        <v>141</v>
      </c>
      <c r="C176" s="226">
        <v>3721074</v>
      </c>
      <c r="D176" s="227"/>
      <c r="E176" s="228"/>
      <c r="F176" s="227"/>
      <c r="G176" s="229"/>
      <c r="H176" s="226">
        <v>3721074</v>
      </c>
      <c r="I176" s="230"/>
      <c r="J176" s="231">
        <f>+SUM(C176:G176)-(H176+I176)</f>
        <v>0</v>
      </c>
    </row>
    <row r="177" spans="1:11" x14ac:dyDescent="0.2">
      <c r="A177" s="86" t="s">
        <v>104</v>
      </c>
      <c r="B177" s="87"/>
      <c r="C177" s="87"/>
      <c r="D177" s="87"/>
      <c r="E177" s="87"/>
      <c r="F177" s="87"/>
      <c r="G177" s="87"/>
      <c r="H177" s="87"/>
      <c r="I177" s="87"/>
      <c r="J177" s="88"/>
    </row>
    <row r="178" spans="1:11" x14ac:dyDescent="0.2">
      <c r="A178" s="79" t="s">
        <v>138</v>
      </c>
      <c r="B178" s="89" t="s">
        <v>105</v>
      </c>
      <c r="C178" s="90">
        <f>+C5</f>
        <v>1148337</v>
      </c>
      <c r="D178" s="91">
        <v>5000000</v>
      </c>
      <c r="E178" s="91"/>
      <c r="F178" s="91"/>
      <c r="G178" s="92">
        <v>200000</v>
      </c>
      <c r="H178" s="108">
        <v>3983300</v>
      </c>
      <c r="I178" s="93">
        <v>776245</v>
      </c>
      <c r="J178" s="94">
        <f>+SUM(C178:G178)-(H178+I178)</f>
        <v>1588792</v>
      </c>
    </row>
    <row r="179" spans="1:11" x14ac:dyDescent="0.2">
      <c r="A179" s="95" t="s">
        <v>106</v>
      </c>
      <c r="B179" s="76"/>
      <c r="C179" s="87"/>
      <c r="D179" s="76"/>
      <c r="E179" s="76"/>
      <c r="F179" s="76"/>
      <c r="G179" s="76"/>
      <c r="H179" s="76"/>
      <c r="I179" s="76"/>
      <c r="J179" s="88"/>
    </row>
    <row r="180" spans="1:11" x14ac:dyDescent="0.25">
      <c r="A180" s="79" t="s">
        <v>138</v>
      </c>
      <c r="B180" s="89" t="s">
        <v>107</v>
      </c>
      <c r="C180" s="96">
        <f>+C3</f>
        <v>10113263</v>
      </c>
      <c r="D180" s="113">
        <v>19826114</v>
      </c>
      <c r="E180" s="110"/>
      <c r="F180" s="110"/>
      <c r="G180" s="110"/>
      <c r="H180" s="112">
        <v>5000000</v>
      </c>
      <c r="I180" s="114">
        <v>455737</v>
      </c>
      <c r="J180" s="97">
        <f>+SUM(C180:G180)-(H180+I180)</f>
        <v>24483640</v>
      </c>
    </row>
    <row r="181" spans="1:11" x14ac:dyDescent="0.25">
      <c r="A181" s="79" t="s">
        <v>138</v>
      </c>
      <c r="B181" s="89" t="s">
        <v>108</v>
      </c>
      <c r="C181" s="96">
        <f>+C4</f>
        <v>6219904</v>
      </c>
      <c r="D181" s="110">
        <v>13119140</v>
      </c>
      <c r="E181" s="109"/>
      <c r="F181" s="109"/>
      <c r="G181" s="109"/>
      <c r="H181" s="84"/>
      <c r="I181" s="111">
        <v>3445919</v>
      </c>
      <c r="J181" s="97">
        <f>SUM(C181:G181)-(H181+I181)</f>
        <v>15893125</v>
      </c>
    </row>
    <row r="182" spans="1:11" x14ac:dyDescent="0.25">
      <c r="A182" s="486" t="s">
        <v>138</v>
      </c>
      <c r="B182" s="482" t="s">
        <v>129</v>
      </c>
      <c r="C182" s="487">
        <v>249769</v>
      </c>
      <c r="D182" s="110"/>
      <c r="E182" s="110"/>
      <c r="F182" s="110"/>
      <c r="G182" s="110"/>
      <c r="H182" s="84"/>
      <c r="I182" s="111"/>
      <c r="J182" s="488">
        <f>SUM(C182:G182)-(H182+I182)</f>
        <v>249769</v>
      </c>
    </row>
    <row r="183" spans="1:11" x14ac:dyDescent="0.25">
      <c r="A183" s="486" t="s">
        <v>138</v>
      </c>
      <c r="B183" s="484" t="s">
        <v>130</v>
      </c>
      <c r="C183" s="487">
        <v>233614</v>
      </c>
      <c r="D183" s="110"/>
      <c r="E183" s="110"/>
      <c r="F183" s="110"/>
      <c r="G183" s="110"/>
      <c r="H183" s="84"/>
      <c r="I183" s="111"/>
      <c r="J183" s="488">
        <f>SUM(C183:G183)-(H183+I183)</f>
        <v>233614</v>
      </c>
    </row>
    <row r="184" spans="1:11" x14ac:dyDescent="0.25">
      <c r="A184" s="486" t="s">
        <v>138</v>
      </c>
      <c r="B184" s="485" t="s">
        <v>131</v>
      </c>
      <c r="C184" s="487">
        <v>330169</v>
      </c>
      <c r="D184" s="489"/>
      <c r="E184" s="489"/>
      <c r="F184" s="489"/>
      <c r="G184" s="489"/>
      <c r="H184" s="489"/>
      <c r="I184" s="489"/>
      <c r="J184" s="488">
        <f>SUM(C184:G184)-(H184+I184)</f>
        <v>330169</v>
      </c>
    </row>
    <row r="185" spans="1:11" ht="15.75" x14ac:dyDescent="0.25">
      <c r="C185" s="60"/>
      <c r="I185" s="60"/>
      <c r="J185" s="194">
        <f>+SUM(J166:J184)</f>
        <v>43617051</v>
      </c>
      <c r="K185" s="221">
        <f>+J185-I19</f>
        <v>10145648</v>
      </c>
    </row>
    <row r="187" spans="1:11" x14ac:dyDescent="0.2">
      <c r="A187" s="67" t="s">
        <v>96</v>
      </c>
      <c r="B187" s="67"/>
      <c r="C187" s="67"/>
      <c r="D187" s="68"/>
      <c r="E187" s="68"/>
      <c r="F187" s="68"/>
      <c r="G187" s="68"/>
      <c r="H187" s="68"/>
      <c r="I187" s="68"/>
    </row>
    <row r="188" spans="1:11" x14ac:dyDescent="0.2">
      <c r="A188" s="69" t="s">
        <v>124</v>
      </c>
      <c r="B188" s="69"/>
      <c r="C188" s="69"/>
      <c r="D188" s="69"/>
      <c r="E188" s="69"/>
      <c r="F188" s="69"/>
      <c r="G188" s="69"/>
      <c r="H188" s="69"/>
      <c r="I188" s="69"/>
      <c r="J188" s="68"/>
    </row>
    <row r="189" spans="1:11" x14ac:dyDescent="0.2">
      <c r="A189" s="70"/>
      <c r="B189" s="71"/>
      <c r="C189" s="72"/>
      <c r="D189" s="72"/>
      <c r="E189" s="72"/>
      <c r="F189" s="72"/>
      <c r="G189" s="72"/>
      <c r="H189" s="71"/>
      <c r="I189" s="71"/>
      <c r="J189" s="69"/>
    </row>
    <row r="190" spans="1:11" x14ac:dyDescent="0.2">
      <c r="A190" s="577" t="s">
        <v>97</v>
      </c>
      <c r="B190" s="579" t="s">
        <v>98</v>
      </c>
      <c r="C190" s="581" t="s">
        <v>126</v>
      </c>
      <c r="D190" s="583" t="s">
        <v>99</v>
      </c>
      <c r="E190" s="584"/>
      <c r="F190" s="584"/>
      <c r="G190" s="585"/>
      <c r="H190" s="586" t="s">
        <v>100</v>
      </c>
      <c r="I190" s="573" t="s">
        <v>101</v>
      </c>
      <c r="J190" s="71"/>
    </row>
    <row r="191" spans="1:11" ht="36.75" customHeight="1" x14ac:dyDescent="0.25">
      <c r="A191" s="578"/>
      <c r="B191" s="580"/>
      <c r="C191" s="582"/>
      <c r="D191" s="73" t="s">
        <v>58</v>
      </c>
      <c r="E191" s="73" t="s">
        <v>62</v>
      </c>
      <c r="F191" s="74" t="s">
        <v>114</v>
      </c>
      <c r="G191" s="73" t="s">
        <v>102</v>
      </c>
      <c r="H191" s="587"/>
      <c r="I191" s="574"/>
      <c r="J191" s="575" t="s">
        <v>132</v>
      </c>
    </row>
    <row r="192" spans="1:11" x14ac:dyDescent="0.2">
      <c r="A192" s="75"/>
      <c r="B192" s="76" t="s">
        <v>103</v>
      </c>
      <c r="C192" s="77"/>
      <c r="D192" s="77"/>
      <c r="E192" s="77"/>
      <c r="F192" s="77"/>
      <c r="G192" s="77"/>
      <c r="H192" s="77"/>
      <c r="I192" s="78"/>
      <c r="J192" s="576"/>
    </row>
    <row r="193" spans="1:10" ht="16.5" x14ac:dyDescent="0.3">
      <c r="A193" s="79" t="s">
        <v>125</v>
      </c>
      <c r="B193" s="59" t="s">
        <v>122</v>
      </c>
      <c r="C193" s="80">
        <v>0</v>
      </c>
      <c r="D193" s="81"/>
      <c r="E193" s="81">
        <v>40000</v>
      </c>
      <c r="F193" s="81"/>
      <c r="G193" s="81"/>
      <c r="H193" s="116"/>
      <c r="I193" s="85">
        <v>39200</v>
      </c>
      <c r="J193" s="82">
        <f>+SUM(C193:G193)-(H193+I193)</f>
        <v>800</v>
      </c>
    </row>
    <row r="194" spans="1:10" ht="16.5" x14ac:dyDescent="0.3">
      <c r="A194" s="79" t="s">
        <v>125</v>
      </c>
      <c r="B194" s="59" t="str">
        <f t="shared" ref="B194:B201" si="31">+A7</f>
        <v>Crépin</v>
      </c>
      <c r="C194" s="80">
        <v>19060</v>
      </c>
      <c r="D194" s="81"/>
      <c r="E194" s="81">
        <v>20000</v>
      </c>
      <c r="F194" s="81"/>
      <c r="G194" s="81"/>
      <c r="H194" s="116"/>
      <c r="I194" s="85">
        <v>36000</v>
      </c>
      <c r="J194" s="82">
        <f t="shared" ref="J194:J201" si="32">+SUM(C194:G194)-(H194+I194)</f>
        <v>3060</v>
      </c>
    </row>
    <row r="195" spans="1:10" ht="16.5" x14ac:dyDescent="0.3">
      <c r="A195" s="79" t="s">
        <v>125</v>
      </c>
      <c r="B195" s="59" t="str">
        <f t="shared" si="31"/>
        <v>Evariste</v>
      </c>
      <c r="C195" s="80">
        <v>8395</v>
      </c>
      <c r="D195" s="81"/>
      <c r="E195" s="81">
        <v>20000</v>
      </c>
      <c r="F195" s="187"/>
      <c r="G195" s="187"/>
      <c r="H195" s="84"/>
      <c r="I195" s="115">
        <v>20000</v>
      </c>
      <c r="J195" s="188">
        <f t="shared" si="32"/>
        <v>8395</v>
      </c>
    </row>
    <row r="196" spans="1:10" ht="16.5" x14ac:dyDescent="0.3">
      <c r="A196" s="79" t="s">
        <v>125</v>
      </c>
      <c r="B196" s="59" t="str">
        <f t="shared" si="31"/>
        <v>Geisner</v>
      </c>
      <c r="C196" s="80">
        <v>0</v>
      </c>
      <c r="D196" s="117"/>
      <c r="E196" s="81">
        <v>100000</v>
      </c>
      <c r="F196" s="187">
        <v>102200</v>
      </c>
      <c r="G196" s="187"/>
      <c r="H196" s="84"/>
      <c r="I196" s="84">
        <v>204000</v>
      </c>
      <c r="J196" s="188">
        <f>+SUM(C196:G196)-(H196+I196)</f>
        <v>-1800</v>
      </c>
    </row>
    <row r="197" spans="1:10" ht="16.5" x14ac:dyDescent="0.3">
      <c r="A197" s="79" t="s">
        <v>125</v>
      </c>
      <c r="B197" s="59" t="str">
        <f t="shared" si="31"/>
        <v>Herick</v>
      </c>
      <c r="C197" s="80">
        <v>7559</v>
      </c>
      <c r="D197" s="117"/>
      <c r="E197" s="81">
        <v>866200</v>
      </c>
      <c r="F197" s="187"/>
      <c r="G197" s="187"/>
      <c r="H197" s="84">
        <v>252200</v>
      </c>
      <c r="I197" s="85">
        <v>605575</v>
      </c>
      <c r="J197" s="188">
        <f t="shared" si="32"/>
        <v>15984</v>
      </c>
    </row>
    <row r="198" spans="1:10" ht="16.5" x14ac:dyDescent="0.3">
      <c r="A198" s="79" t="s">
        <v>125</v>
      </c>
      <c r="B198" s="59" t="str">
        <f t="shared" si="31"/>
        <v>I23C</v>
      </c>
      <c r="C198" s="80">
        <v>214000</v>
      </c>
      <c r="D198" s="81"/>
      <c r="E198" s="81">
        <v>724100</v>
      </c>
      <c r="F198" s="187"/>
      <c r="G198" s="187"/>
      <c r="H198" s="84"/>
      <c r="I198" s="85">
        <v>960000</v>
      </c>
      <c r="J198" s="188">
        <f>+SUM(C198:G198)-(H198+I198)</f>
        <v>-21900</v>
      </c>
    </row>
    <row r="199" spans="1:10" ht="16.5" x14ac:dyDescent="0.3">
      <c r="A199" s="79" t="s">
        <v>125</v>
      </c>
      <c r="B199" s="59" t="str">
        <f t="shared" si="31"/>
        <v>I55S</v>
      </c>
      <c r="C199" s="80">
        <v>-13805</v>
      </c>
      <c r="D199" s="81"/>
      <c r="E199" s="81">
        <v>333400</v>
      </c>
      <c r="F199" s="81">
        <v>150000</v>
      </c>
      <c r="G199" s="81"/>
      <c r="H199" s="84">
        <v>129000</v>
      </c>
      <c r="I199" s="85">
        <v>338905</v>
      </c>
      <c r="J199" s="82">
        <f>+SUM(C199:G199)-(H199+I199)</f>
        <v>1690</v>
      </c>
    </row>
    <row r="200" spans="1:10" ht="16.5" x14ac:dyDescent="0.3">
      <c r="A200" s="79" t="s">
        <v>125</v>
      </c>
      <c r="B200" s="59" t="str">
        <f t="shared" si="31"/>
        <v>I73X</v>
      </c>
      <c r="C200" s="80">
        <v>84350</v>
      </c>
      <c r="D200" s="81"/>
      <c r="E200" s="81">
        <v>669400</v>
      </c>
      <c r="F200" s="81"/>
      <c r="G200" s="81"/>
      <c r="H200" s="84">
        <v>100000</v>
      </c>
      <c r="I200" s="85">
        <v>674700</v>
      </c>
      <c r="J200" s="82">
        <f>+SUM(C200:G200)-(H200+I200)</f>
        <v>-20950</v>
      </c>
    </row>
    <row r="201" spans="1:10" ht="16.5" x14ac:dyDescent="0.3">
      <c r="A201" s="79" t="s">
        <v>125</v>
      </c>
      <c r="B201" s="59" t="str">
        <f t="shared" si="31"/>
        <v>Jack-Bénisson</v>
      </c>
      <c r="C201" s="80">
        <v>-216251</v>
      </c>
      <c r="D201" s="81"/>
      <c r="E201" s="81">
        <v>242000</v>
      </c>
      <c r="F201" s="81"/>
      <c r="G201" s="81"/>
      <c r="H201" s="84"/>
      <c r="I201" s="115">
        <v>34830</v>
      </c>
      <c r="J201" s="82">
        <f t="shared" si="32"/>
        <v>-9081</v>
      </c>
    </row>
    <row r="202" spans="1:10" ht="16.5" x14ac:dyDescent="0.3">
      <c r="A202" s="79" t="s">
        <v>125</v>
      </c>
      <c r="B202" s="59" t="s">
        <v>71</v>
      </c>
      <c r="C202" s="80">
        <v>2025</v>
      </c>
      <c r="D202" s="81"/>
      <c r="E202" s="81">
        <v>25000</v>
      </c>
      <c r="F202" s="81"/>
      <c r="G202" s="81"/>
      <c r="H202" s="84">
        <v>3025</v>
      </c>
      <c r="I202" s="85">
        <v>24000</v>
      </c>
      <c r="J202" s="82">
        <f>+SUM(C202:G202)-(H202+I202)</f>
        <v>0</v>
      </c>
    </row>
    <row r="203" spans="1:10" ht="16.5" x14ac:dyDescent="0.3">
      <c r="A203" s="79" t="s">
        <v>125</v>
      </c>
      <c r="B203" s="59" t="s">
        <v>70</v>
      </c>
      <c r="C203" s="80">
        <v>10000</v>
      </c>
      <c r="D203" s="83"/>
      <c r="E203" s="81">
        <v>0</v>
      </c>
      <c r="F203" s="83"/>
      <c r="G203" s="83"/>
      <c r="H203" s="84"/>
      <c r="I203" s="85">
        <v>4700</v>
      </c>
      <c r="J203" s="82">
        <f>+SUM(C203:G203)-(H203+I203)</f>
        <v>5300</v>
      </c>
    </row>
    <row r="204" spans="1:10" x14ac:dyDescent="0.2">
      <c r="A204" s="86" t="s">
        <v>104</v>
      </c>
      <c r="B204" s="87"/>
      <c r="C204" s="87"/>
      <c r="D204" s="87"/>
      <c r="E204" s="87"/>
      <c r="F204" s="87"/>
      <c r="G204" s="87"/>
      <c r="H204" s="87"/>
      <c r="I204" s="87"/>
      <c r="J204" s="88"/>
    </row>
    <row r="205" spans="1:10" x14ac:dyDescent="0.2">
      <c r="A205" s="79" t="s">
        <v>125</v>
      </c>
      <c r="B205" s="89" t="s">
        <v>105</v>
      </c>
      <c r="C205" s="90">
        <v>791675</v>
      </c>
      <c r="D205" s="91">
        <v>3185100</v>
      </c>
      <c r="E205" s="91"/>
      <c r="F205" s="91"/>
      <c r="G205" s="92">
        <v>237025</v>
      </c>
      <c r="H205" s="108">
        <v>3045100</v>
      </c>
      <c r="I205" s="93">
        <v>876121</v>
      </c>
      <c r="J205" s="94">
        <f>+SUM(C205:G205)-(H205+I205)</f>
        <v>292579</v>
      </c>
    </row>
    <row r="206" spans="1:10" x14ac:dyDescent="0.2">
      <c r="A206" s="95" t="s">
        <v>106</v>
      </c>
      <c r="B206" s="76"/>
      <c r="C206" s="87"/>
      <c r="D206" s="76"/>
      <c r="E206" s="76"/>
      <c r="F206" s="76"/>
      <c r="G206" s="76"/>
      <c r="H206" s="76"/>
      <c r="I206" s="76"/>
      <c r="J206" s="88"/>
    </row>
    <row r="207" spans="1:10" x14ac:dyDescent="0.25">
      <c r="A207" s="79" t="s">
        <v>125</v>
      </c>
      <c r="B207" s="89" t="s">
        <v>107</v>
      </c>
      <c r="C207" s="96">
        <v>8039273</v>
      </c>
      <c r="D207" s="113">
        <v>0</v>
      </c>
      <c r="E207" s="110"/>
      <c r="F207" s="110"/>
      <c r="G207" s="110"/>
      <c r="H207" s="112">
        <v>3000000</v>
      </c>
      <c r="I207" s="114">
        <v>224679</v>
      </c>
      <c r="J207" s="97">
        <f>+SUM(C207:G207)-(H207+I207)</f>
        <v>4814594</v>
      </c>
    </row>
    <row r="208" spans="1:10" x14ac:dyDescent="0.25">
      <c r="A208" s="79" t="s">
        <v>125</v>
      </c>
      <c r="B208" s="89" t="s">
        <v>108</v>
      </c>
      <c r="C208" s="96">
        <v>13283340</v>
      </c>
      <c r="D208" s="110">
        <v>0</v>
      </c>
      <c r="E208" s="109"/>
      <c r="F208" s="109"/>
      <c r="G208" s="109"/>
      <c r="H208" s="84">
        <v>185100</v>
      </c>
      <c r="I208" s="111">
        <v>8352406</v>
      </c>
      <c r="J208" s="97">
        <f>SUM(C208:G208)-(H208+I208)</f>
        <v>4745834</v>
      </c>
    </row>
    <row r="209" spans="1:15" x14ac:dyDescent="0.25">
      <c r="A209" s="481" t="s">
        <v>125</v>
      </c>
      <c r="B209" s="482" t="s">
        <v>128</v>
      </c>
      <c r="C209" s="96">
        <v>3721074</v>
      </c>
      <c r="D209" s="481"/>
      <c r="E209" s="481"/>
      <c r="F209" s="481"/>
      <c r="G209" s="481"/>
      <c r="H209" s="481"/>
      <c r="I209" s="481"/>
      <c r="J209" s="483">
        <f>SUM(C209:G209)-(H209+I209)</f>
        <v>3721074</v>
      </c>
    </row>
    <row r="210" spans="1:15" x14ac:dyDescent="0.25">
      <c r="A210" s="481" t="s">
        <v>125</v>
      </c>
      <c r="B210" s="482" t="s">
        <v>129</v>
      </c>
      <c r="C210" s="96">
        <v>249769</v>
      </c>
      <c r="D210" s="110"/>
      <c r="E210" s="110"/>
      <c r="F210" s="110"/>
      <c r="G210" s="110"/>
      <c r="H210" s="84"/>
      <c r="I210" s="111"/>
      <c r="J210" s="483">
        <f>SUM(C210:G210)-(H210+I210)</f>
        <v>249769</v>
      </c>
    </row>
    <row r="211" spans="1:15" x14ac:dyDescent="0.25">
      <c r="A211" s="481" t="s">
        <v>125</v>
      </c>
      <c r="B211" s="484" t="s">
        <v>130</v>
      </c>
      <c r="C211" s="96">
        <v>233614</v>
      </c>
      <c r="D211" s="110"/>
      <c r="E211" s="110"/>
      <c r="F211" s="110"/>
      <c r="G211" s="110"/>
      <c r="H211" s="84"/>
      <c r="I211" s="111"/>
      <c r="J211" s="483">
        <f>SUM(C211:G211)-(H211+I211)</f>
        <v>233614</v>
      </c>
    </row>
    <row r="212" spans="1:15" x14ac:dyDescent="0.25">
      <c r="A212" s="481" t="s">
        <v>125</v>
      </c>
      <c r="B212" s="485" t="s">
        <v>131</v>
      </c>
      <c r="C212" s="96">
        <v>330169</v>
      </c>
      <c r="D212" s="481"/>
      <c r="E212" s="481"/>
      <c r="F212" s="481"/>
      <c r="G212" s="481"/>
      <c r="H212" s="481"/>
      <c r="I212" s="481"/>
      <c r="J212" s="483">
        <f>SUM(C212:G212)-(H212+I212)</f>
        <v>330169</v>
      </c>
    </row>
    <row r="213" spans="1:15" ht="15.75" x14ac:dyDescent="0.25">
      <c r="C213" s="60"/>
      <c r="I213" s="60"/>
      <c r="J213" s="194">
        <f>+SUM(J193:J212)</f>
        <v>14369131</v>
      </c>
    </row>
    <row r="214" spans="1:15" x14ac:dyDescent="0.25">
      <c r="C214" s="60"/>
      <c r="I214" s="60"/>
      <c r="J214" s="60"/>
    </row>
    <row r="215" spans="1:15" s="155" customFormat="1" x14ac:dyDescent="0.2">
      <c r="A215" s="153" t="s">
        <v>110</v>
      </c>
      <c r="B215" s="153"/>
      <c r="C215" s="153"/>
      <c r="D215" s="153"/>
      <c r="E215" s="153"/>
      <c r="F215" s="153"/>
      <c r="G215" s="153"/>
      <c r="H215" s="153"/>
      <c r="I215" s="153"/>
      <c r="J215" s="154"/>
      <c r="L215" s="156"/>
      <c r="M215" s="156"/>
      <c r="N215" s="156"/>
      <c r="O215" s="156"/>
    </row>
    <row r="216" spans="1:15" s="155" customFormat="1" x14ac:dyDescent="0.2">
      <c r="A216" s="157"/>
      <c r="B216" s="154"/>
      <c r="C216" s="158"/>
      <c r="D216" s="158"/>
      <c r="E216" s="158"/>
      <c r="F216" s="158"/>
      <c r="G216" s="158"/>
      <c r="H216" s="154"/>
      <c r="I216" s="154"/>
      <c r="J216" s="153"/>
      <c r="L216" s="156"/>
      <c r="M216" s="156"/>
      <c r="N216" s="156"/>
      <c r="O216" s="156"/>
    </row>
    <row r="217" spans="1:15" s="155" customFormat="1" x14ac:dyDescent="0.2">
      <c r="A217" s="577" t="s">
        <v>97</v>
      </c>
      <c r="B217" s="579" t="s">
        <v>98</v>
      </c>
      <c r="C217" s="581" t="s">
        <v>112</v>
      </c>
      <c r="D217" s="600" t="s">
        <v>99</v>
      </c>
      <c r="E217" s="601"/>
      <c r="F217" s="601"/>
      <c r="G217" s="602"/>
      <c r="H217" s="603" t="s">
        <v>100</v>
      </c>
      <c r="I217" s="605" t="s">
        <v>101</v>
      </c>
      <c r="J217" s="154"/>
      <c r="L217" s="156"/>
      <c r="M217" s="156"/>
      <c r="N217" s="156"/>
      <c r="O217" s="156"/>
    </row>
    <row r="218" spans="1:15" s="155" customFormat="1" x14ac:dyDescent="0.25">
      <c r="A218" s="578"/>
      <c r="B218" s="580"/>
      <c r="C218" s="582"/>
      <c r="D218" s="73" t="s">
        <v>58</v>
      </c>
      <c r="E218" s="73" t="s">
        <v>62</v>
      </c>
      <c r="F218" s="131" t="s">
        <v>114</v>
      </c>
      <c r="G218" s="73" t="s">
        <v>102</v>
      </c>
      <c r="H218" s="604"/>
      <c r="I218" s="606"/>
      <c r="J218" s="575" t="s">
        <v>113</v>
      </c>
      <c r="L218" s="156"/>
      <c r="M218" s="156"/>
      <c r="N218" s="156"/>
      <c r="O218" s="156"/>
    </row>
    <row r="219" spans="1:15" s="155" customFormat="1" x14ac:dyDescent="0.2">
      <c r="A219" s="159"/>
      <c r="B219" s="160" t="s">
        <v>103</v>
      </c>
      <c r="C219" s="161"/>
      <c r="D219" s="161"/>
      <c r="E219" s="161"/>
      <c r="F219" s="161"/>
      <c r="G219" s="161"/>
      <c r="H219" s="161"/>
      <c r="I219" s="162"/>
      <c r="J219" s="576"/>
      <c r="L219" s="156"/>
      <c r="M219" s="156"/>
      <c r="N219" s="156"/>
      <c r="O219" s="156"/>
    </row>
    <row r="220" spans="1:15" s="155" customFormat="1" ht="16.5" x14ac:dyDescent="0.3">
      <c r="A220" s="163" t="s">
        <v>111</v>
      </c>
      <c r="B220" s="59" t="s">
        <v>91</v>
      </c>
      <c r="C220" s="164">
        <v>40560</v>
      </c>
      <c r="D220" s="81"/>
      <c r="E220" s="81">
        <v>0</v>
      </c>
      <c r="F220" s="81"/>
      <c r="G220" s="81"/>
      <c r="H220" s="165"/>
      <c r="I220" s="166">
        <f>+SUM([14]COMPTA_CREPIN!$F$3050:$F$3066)</f>
        <v>21500</v>
      </c>
      <c r="J220" s="82">
        <f>+SUM(C220:G220)-(H220+I220)</f>
        <v>19060</v>
      </c>
      <c r="L220" s="156"/>
      <c r="M220" s="156"/>
      <c r="N220" s="156"/>
      <c r="O220" s="156"/>
    </row>
    <row r="221" spans="1:15" s="155" customFormat="1" ht="16.5" x14ac:dyDescent="0.3">
      <c r="A221" s="163" t="s">
        <v>111</v>
      </c>
      <c r="B221" s="59" t="s">
        <v>66</v>
      </c>
      <c r="C221" s="164">
        <v>227975</v>
      </c>
      <c r="D221" s="81"/>
      <c r="E221" s="81">
        <f>+'[15]Compta Dalia (2)'!$E$1908+'[15]Compta Dalia (2)'!$E$1909+'[15]Compta Dalia (2)'!$E$1911+'[15]Compta Dalia (2)'!$E$1917</f>
        <v>119600</v>
      </c>
      <c r="F221" s="81"/>
      <c r="G221" s="81"/>
      <c r="H221" s="165">
        <f>+'[15]Compta Dalia (2)'!$F$1919</f>
        <v>1635</v>
      </c>
      <c r="I221" s="166">
        <v>345940</v>
      </c>
      <c r="J221" s="82">
        <f t="shared" ref="J221:J228" si="33">+SUM(C221:G221)-(H221+I221)</f>
        <v>0</v>
      </c>
      <c r="L221" s="156"/>
      <c r="M221" s="156"/>
      <c r="N221" s="156"/>
      <c r="O221" s="156"/>
    </row>
    <row r="222" spans="1:15" s="155" customFormat="1" ht="16.5" x14ac:dyDescent="0.3">
      <c r="A222" s="163" t="s">
        <v>111</v>
      </c>
      <c r="B222" s="59" t="s">
        <v>69</v>
      </c>
      <c r="C222" s="164">
        <v>-605</v>
      </c>
      <c r="D222" s="81"/>
      <c r="E222" s="81">
        <f>+'[16]compta (3)'!$E$2556+'[16]compta (3)'!$E$2557+'[16]compta (3)'!$E$2558</f>
        <v>30000</v>
      </c>
      <c r="F222" s="81"/>
      <c r="G222" s="81"/>
      <c r="H222" s="167"/>
      <c r="I222" s="168">
        <f>'[16]compta (3)'!$F$2559</f>
        <v>21000</v>
      </c>
      <c r="J222" s="82">
        <f t="shared" si="33"/>
        <v>8395</v>
      </c>
      <c r="L222" s="156"/>
      <c r="M222" s="156"/>
      <c r="N222" s="156"/>
      <c r="O222" s="156"/>
    </row>
    <row r="223" spans="1:15" s="155" customFormat="1" ht="16.5" x14ac:dyDescent="0.3">
      <c r="A223" s="163" t="s">
        <v>111</v>
      </c>
      <c r="B223" s="186" t="s">
        <v>64</v>
      </c>
      <c r="C223" s="164">
        <v>264659</v>
      </c>
      <c r="D223" s="187"/>
      <c r="E223" s="187">
        <f>+'[17]compta (2)'!$E$2521+'[17]compta (2)'!$E$2525+'[17]compta (2)'!$E$2527+'[17]compta (2)'!$E$2529</f>
        <v>325000</v>
      </c>
      <c r="F223" s="187"/>
      <c r="G223" s="187"/>
      <c r="H223" s="84">
        <f>'[17]compta (2)'!$F$2528+60000</f>
        <v>75000</v>
      </c>
      <c r="I223" s="84">
        <f>'[17]compta (2)'!$F$2522+'[17]compta (2)'!$F$2523+'[17]compta (2)'!$F$2524+'[17]compta (2)'!$F$2526+'[17]compta (2)'!$F$2530+'[17]compta (2)'!$F$2532+'[17]compta (2)'!$F$2533+'[17]compta (2)'!$F$2534</f>
        <v>507100</v>
      </c>
      <c r="J223" s="188">
        <f t="shared" si="33"/>
        <v>7559</v>
      </c>
      <c r="L223" s="156"/>
      <c r="M223" s="156"/>
      <c r="N223" s="156"/>
      <c r="O223" s="156"/>
    </row>
    <row r="224" spans="1:15" s="155" customFormat="1" ht="16.5" x14ac:dyDescent="0.3">
      <c r="A224" s="163" t="s">
        <v>111</v>
      </c>
      <c r="B224" s="186" t="s">
        <v>92</v>
      </c>
      <c r="C224" s="164">
        <v>272500</v>
      </c>
      <c r="D224" s="187"/>
      <c r="E224" s="187">
        <f>+'[18]COMPTA_I23C (2)'!$E$4171+'[18]COMPTA_I23C (2)'!$E$4172+'[18]COMPTA_I23C (2)'!$E$4174+'[18]COMPTA_I23C (2)'!$E$4178+'[18]COMPTA_I23C (2)'!$E$4180+'[18]COMPTA_I23C (2)'!$E$4181</f>
        <v>695000</v>
      </c>
      <c r="F224" s="187"/>
      <c r="G224" s="187"/>
      <c r="H224" s="84"/>
      <c r="I224" s="164">
        <v>753500</v>
      </c>
      <c r="J224" s="188">
        <f t="shared" si="33"/>
        <v>214000</v>
      </c>
      <c r="L224" s="156"/>
      <c r="M224" s="156"/>
      <c r="N224" s="156"/>
      <c r="O224" s="156"/>
    </row>
    <row r="225" spans="1:15" s="155" customFormat="1" ht="16.5" x14ac:dyDescent="0.3">
      <c r="A225" s="163" t="s">
        <v>111</v>
      </c>
      <c r="B225" s="59" t="s">
        <v>77</v>
      </c>
      <c r="C225" s="164">
        <v>284595</v>
      </c>
      <c r="D225" s="81"/>
      <c r="E225" s="81">
        <f>+'[19]Feuil1 (2)'!$E$2684+'[19]Feuil1 (2)'!$E$2689+'[19]Feuil1 (2)'!$E$2691</f>
        <v>275000</v>
      </c>
      <c r="F225" s="81">
        <f>'[17]compta (2)'!$F$2531</f>
        <v>60000</v>
      </c>
      <c r="G225" s="81"/>
      <c r="H225" s="167"/>
      <c r="I225" s="166">
        <v>633400</v>
      </c>
      <c r="J225" s="82">
        <f t="shared" si="33"/>
        <v>-13805</v>
      </c>
      <c r="L225" s="156"/>
      <c r="M225" s="156"/>
      <c r="N225" s="156"/>
      <c r="O225" s="156"/>
    </row>
    <row r="226" spans="1:15" s="155" customFormat="1" ht="16.5" x14ac:dyDescent="0.3">
      <c r="A226" s="163" t="s">
        <v>111</v>
      </c>
      <c r="B226" s="59" t="s">
        <v>65</v>
      </c>
      <c r="C226" s="164">
        <v>-1750</v>
      </c>
      <c r="D226" s="81"/>
      <c r="E226" s="81">
        <f>+'[20]Compta Jospin (2)'!$E$1583+'[20]Compta Jospin (2)'!$E$1584+'[20]Compta Jospin (2)'!$E$1587</f>
        <v>96400</v>
      </c>
      <c r="F226" s="81"/>
      <c r="G226" s="81"/>
      <c r="H226" s="167">
        <f>+'[20]Compta Jospin (2)'!$F$1592</f>
        <v>950</v>
      </c>
      <c r="I226" s="166">
        <v>93700</v>
      </c>
      <c r="J226" s="82">
        <f t="shared" si="33"/>
        <v>0</v>
      </c>
      <c r="L226" s="156"/>
      <c r="M226" s="156"/>
      <c r="N226" s="156"/>
      <c r="O226" s="156"/>
    </row>
    <row r="227" spans="1:15" s="155" customFormat="1" ht="16.5" x14ac:dyDescent="0.3">
      <c r="A227" s="163" t="s">
        <v>111</v>
      </c>
      <c r="B227" s="59" t="s">
        <v>67</v>
      </c>
      <c r="C227" s="164">
        <v>265600</v>
      </c>
      <c r="D227" s="81"/>
      <c r="E227" s="81">
        <f>+'[21]COMPT-P29 (2)'!$E$190+'[21]COMPT-P29 (2)'!$E$191+'[21]COMPT-P29 (2)'!$E$196+'[21]COMPT-P29 (2)'!$E$201+'[21]COMPT-P29 (2)'!$E$202+'[21]COMPT-P29 (2)'!$E$204+'[21]COMPT-P29 (2)'!$E$207+'[21]COMPT-P29 (2)'!$E$215</f>
        <v>855600</v>
      </c>
      <c r="F227" s="81"/>
      <c r="G227" s="81"/>
      <c r="H227" s="167"/>
      <c r="I227" s="166">
        <v>1036850</v>
      </c>
      <c r="J227" s="82">
        <f t="shared" si="33"/>
        <v>84350</v>
      </c>
      <c r="L227" s="156"/>
      <c r="M227" s="156"/>
      <c r="N227" s="156"/>
      <c r="O227" s="156"/>
    </row>
    <row r="228" spans="1:15" s="155" customFormat="1" ht="16.5" x14ac:dyDescent="0.3">
      <c r="A228" s="163" t="s">
        <v>111</v>
      </c>
      <c r="B228" s="59" t="s">
        <v>93</v>
      </c>
      <c r="C228" s="164">
        <f t="shared" ref="C228" si="34">+C201</f>
        <v>-216251</v>
      </c>
      <c r="D228" s="81"/>
      <c r="E228" s="81">
        <v>0</v>
      </c>
      <c r="F228" s="81"/>
      <c r="G228" s="81"/>
      <c r="H228" s="167"/>
      <c r="I228" s="168">
        <v>0</v>
      </c>
      <c r="J228" s="82">
        <f t="shared" si="33"/>
        <v>-216251</v>
      </c>
      <c r="L228" s="156"/>
      <c r="M228" s="156"/>
      <c r="N228" s="156"/>
      <c r="O228" s="156"/>
    </row>
    <row r="229" spans="1:15" s="155" customFormat="1" ht="16.5" x14ac:dyDescent="0.3">
      <c r="A229" s="163" t="s">
        <v>111</v>
      </c>
      <c r="B229" s="59" t="s">
        <v>71</v>
      </c>
      <c r="C229" s="164">
        <v>1025</v>
      </c>
      <c r="D229" s="81"/>
      <c r="E229" s="81">
        <f>+'[22]compta shely'!$E$90+'[22]compta shely'!$E$97+'[22]compta shely'!$E$100</f>
        <v>25000</v>
      </c>
      <c r="F229" s="81"/>
      <c r="G229" s="81"/>
      <c r="H229" s="167"/>
      <c r="I229" s="166">
        <v>24000</v>
      </c>
      <c r="J229" s="82">
        <f>+SUM(C229:G229)-(H229+I229)</f>
        <v>2025</v>
      </c>
      <c r="L229" s="156"/>
      <c r="M229" s="156"/>
      <c r="N229" s="156"/>
      <c r="O229" s="156"/>
    </row>
    <row r="230" spans="1:15" s="155" customFormat="1" ht="16.5" x14ac:dyDescent="0.3">
      <c r="A230" s="83" t="s">
        <v>111</v>
      </c>
      <c r="B230" s="59" t="s">
        <v>70</v>
      </c>
      <c r="C230" s="164">
        <v>0</v>
      </c>
      <c r="D230" s="83"/>
      <c r="E230" s="83">
        <f>+'[23]compta ted'!$E$11</f>
        <v>10000</v>
      </c>
      <c r="F230" s="83"/>
      <c r="G230" s="83"/>
      <c r="H230" s="167"/>
      <c r="I230" s="166">
        <v>0</v>
      </c>
      <c r="J230" s="82">
        <f>+SUM(C230:G230)-(H230+I230)</f>
        <v>10000</v>
      </c>
      <c r="L230" s="156"/>
      <c r="M230" s="156"/>
      <c r="N230" s="156"/>
      <c r="O230" s="156"/>
    </row>
    <row r="231" spans="1:15" s="155" customFormat="1" x14ac:dyDescent="0.2">
      <c r="A231" s="169" t="s">
        <v>104</v>
      </c>
      <c r="B231" s="170"/>
      <c r="C231" s="170"/>
      <c r="D231" s="170"/>
      <c r="E231" s="170"/>
      <c r="F231" s="170"/>
      <c r="G231" s="170"/>
      <c r="H231" s="170"/>
      <c r="I231" s="170"/>
      <c r="J231" s="171"/>
      <c r="L231" s="156"/>
      <c r="M231" s="156"/>
      <c r="N231" s="156"/>
      <c r="O231" s="156"/>
    </row>
    <row r="232" spans="1:15" s="155" customFormat="1" x14ac:dyDescent="0.2">
      <c r="A232" s="83" t="s">
        <v>111</v>
      </c>
      <c r="B232" s="89" t="s">
        <v>105</v>
      </c>
      <c r="C232" s="90">
        <v>954796</v>
      </c>
      <c r="D232" s="81">
        <v>3000000</v>
      </c>
      <c r="E232" s="81"/>
      <c r="F232" s="81"/>
      <c r="G232" s="172">
        <v>17585</v>
      </c>
      <c r="H232" s="173">
        <v>2431600</v>
      </c>
      <c r="I232" s="174">
        <v>749106</v>
      </c>
      <c r="J232" s="175">
        <f>+SUM(C232:G232)-(H232+I232)</f>
        <v>791675</v>
      </c>
      <c r="L232" s="156"/>
      <c r="M232" s="156"/>
      <c r="N232" s="156"/>
      <c r="O232" s="156"/>
    </row>
    <row r="233" spans="1:15" s="155" customFormat="1" x14ac:dyDescent="0.2">
      <c r="A233" s="176" t="s">
        <v>106</v>
      </c>
      <c r="B233" s="160"/>
      <c r="C233" s="170"/>
      <c r="D233" s="160"/>
      <c r="E233" s="160"/>
      <c r="F233" s="160"/>
      <c r="G233" s="160"/>
      <c r="H233" s="160"/>
      <c r="I233" s="160"/>
      <c r="J233" s="171"/>
      <c r="L233" s="156"/>
      <c r="M233" s="156"/>
      <c r="N233" s="156"/>
      <c r="O233" s="156"/>
    </row>
    <row r="234" spans="1:15" s="155" customFormat="1" x14ac:dyDescent="0.25">
      <c r="A234" s="83" t="s">
        <v>111</v>
      </c>
      <c r="B234" s="89" t="s">
        <v>107</v>
      </c>
      <c r="C234" s="164">
        <v>705838</v>
      </c>
      <c r="D234" s="177">
        <v>10801800</v>
      </c>
      <c r="E234" s="178"/>
      <c r="F234" s="178"/>
      <c r="G234" s="178"/>
      <c r="H234" s="179">
        <v>3000000</v>
      </c>
      <c r="I234" s="180">
        <v>468365</v>
      </c>
      <c r="J234" s="82">
        <f>+SUM(C234:G234)-(H234+I234)</f>
        <v>8039273</v>
      </c>
      <c r="L234" s="156"/>
      <c r="M234" s="156"/>
      <c r="N234" s="156"/>
      <c r="O234" s="156"/>
    </row>
    <row r="235" spans="1:15" s="155" customFormat="1" x14ac:dyDescent="0.25">
      <c r="A235" s="83" t="s">
        <v>111</v>
      </c>
      <c r="B235" s="89" t="s">
        <v>108</v>
      </c>
      <c r="C235" s="164">
        <v>14874402</v>
      </c>
      <c r="D235" s="178">
        <v>3279785</v>
      </c>
      <c r="E235" s="181"/>
      <c r="F235" s="181"/>
      <c r="G235" s="181"/>
      <c r="H235" s="182"/>
      <c r="I235" s="183">
        <v>4870847</v>
      </c>
      <c r="J235" s="82">
        <f>SUM(C235:G235)-(H235+I235)</f>
        <v>13283340</v>
      </c>
      <c r="L235" s="156"/>
      <c r="M235" s="156"/>
      <c r="N235" s="156"/>
      <c r="O235" s="156"/>
    </row>
    <row r="236" spans="1:15" s="155" customFormat="1" x14ac:dyDescent="0.25">
      <c r="L236" s="156"/>
      <c r="M236" s="156"/>
      <c r="N236" s="156"/>
      <c r="O236" s="156"/>
    </row>
    <row r="237" spans="1:15" s="155" customFormat="1" x14ac:dyDescent="0.25">
      <c r="C237" s="184">
        <f>+SUM(C220:C235)</f>
        <v>17673344</v>
      </c>
      <c r="I237" s="184">
        <f>SUM(I220:I235)</f>
        <v>9525308</v>
      </c>
      <c r="J237" s="184">
        <f>+SUM(J220:J235)</f>
        <v>22229621</v>
      </c>
      <c r="L237" s="156"/>
      <c r="M237" s="156"/>
      <c r="N237" s="156"/>
      <c r="O237" s="156"/>
    </row>
    <row r="238" spans="1:15" x14ac:dyDescent="0.25">
      <c r="C238" s="60"/>
      <c r="I238" s="60"/>
      <c r="J238" s="60"/>
    </row>
    <row r="239" spans="1:15" x14ac:dyDescent="0.25">
      <c r="A239" s="123" t="s">
        <v>115</v>
      </c>
      <c r="B239" s="123"/>
    </row>
    <row r="240" spans="1:15" x14ac:dyDescent="0.25">
      <c r="A240" s="124" t="s">
        <v>116</v>
      </c>
      <c r="B240" s="124"/>
      <c r="C240" s="124"/>
      <c r="D240" s="124"/>
      <c r="E240" s="124"/>
      <c r="F240" s="124"/>
      <c r="G240" s="124"/>
      <c r="H240" s="124"/>
      <c r="I240" s="124"/>
      <c r="J240" s="124"/>
    </row>
    <row r="242" spans="1:11" x14ac:dyDescent="0.25">
      <c r="A242" s="588" t="s">
        <v>97</v>
      </c>
      <c r="B242" s="588" t="s">
        <v>98</v>
      </c>
      <c r="C242" s="599" t="s">
        <v>118</v>
      </c>
      <c r="D242" s="594" t="s">
        <v>99</v>
      </c>
      <c r="E242" s="594"/>
      <c r="F242" s="594"/>
      <c r="G242" s="594"/>
      <c r="H242" s="595" t="s">
        <v>100</v>
      </c>
      <c r="I242" s="597" t="s">
        <v>101</v>
      </c>
      <c r="J242" s="590" t="s">
        <v>119</v>
      </c>
      <c r="K242" s="591"/>
    </row>
    <row r="243" spans="1:11" ht="28.5" customHeight="1" x14ac:dyDescent="0.25">
      <c r="A243" s="589"/>
      <c r="B243" s="589"/>
      <c r="C243" s="589"/>
      <c r="D243" s="128" t="s">
        <v>58</v>
      </c>
      <c r="E243" s="125" t="s">
        <v>62</v>
      </c>
      <c r="F243" s="125" t="s">
        <v>65</v>
      </c>
      <c r="G243" s="125" t="s">
        <v>102</v>
      </c>
      <c r="H243" s="596"/>
      <c r="I243" s="598"/>
      <c r="J243" s="592"/>
      <c r="K243" s="593"/>
    </row>
    <row r="244" spans="1:11" x14ac:dyDescent="0.25">
      <c r="A244" s="106"/>
      <c r="B244" s="106" t="s">
        <v>103</v>
      </c>
      <c r="C244" s="108"/>
      <c r="D244" s="108"/>
      <c r="E244" s="108"/>
      <c r="F244" s="108"/>
      <c r="G244" s="108"/>
      <c r="H244" s="108"/>
      <c r="I244" s="108"/>
      <c r="J244" s="108"/>
      <c r="K244" s="106"/>
    </row>
    <row r="245" spans="1:11" x14ac:dyDescent="0.25">
      <c r="A245" s="106" t="s">
        <v>117</v>
      </c>
      <c r="B245" s="106" t="s">
        <v>91</v>
      </c>
      <c r="C245" s="108">
        <v>89360</v>
      </c>
      <c r="D245" s="108"/>
      <c r="E245" s="108">
        <v>13000</v>
      </c>
      <c r="F245" s="108"/>
      <c r="G245" s="108"/>
      <c r="H245" s="108"/>
      <c r="I245" s="108">
        <v>61800</v>
      </c>
      <c r="J245" s="108">
        <v>40560</v>
      </c>
      <c r="K245" s="106"/>
    </row>
    <row r="246" spans="1:11" x14ac:dyDescent="0.25">
      <c r="A246" s="106" t="s">
        <v>117</v>
      </c>
      <c r="B246" s="106" t="s">
        <v>66</v>
      </c>
      <c r="C246" s="108">
        <v>-1025</v>
      </c>
      <c r="D246" s="108"/>
      <c r="E246" s="108">
        <v>684500</v>
      </c>
      <c r="F246" s="108"/>
      <c r="G246" s="108"/>
      <c r="H246" s="108"/>
      <c r="I246" s="108">
        <v>455500</v>
      </c>
      <c r="J246" s="108">
        <v>227975</v>
      </c>
      <c r="K246" s="106"/>
    </row>
    <row r="247" spans="1:11" x14ac:dyDescent="0.25">
      <c r="A247" s="106" t="s">
        <v>117</v>
      </c>
      <c r="B247" s="106" t="s">
        <v>69</v>
      </c>
      <c r="C247" s="108">
        <v>14395</v>
      </c>
      <c r="D247" s="108"/>
      <c r="E247" s="108">
        <v>40000</v>
      </c>
      <c r="F247" s="108"/>
      <c r="G247" s="108"/>
      <c r="H247" s="108"/>
      <c r="I247" s="108">
        <v>55000</v>
      </c>
      <c r="J247" s="108">
        <v>-605</v>
      </c>
      <c r="K247" s="106"/>
    </row>
    <row r="248" spans="1:11" x14ac:dyDescent="0.25">
      <c r="A248" s="106" t="s">
        <v>117</v>
      </c>
      <c r="B248" s="106" t="s">
        <v>64</v>
      </c>
      <c r="C248" s="108">
        <v>8559</v>
      </c>
      <c r="D248" s="108"/>
      <c r="E248" s="108">
        <v>428750</v>
      </c>
      <c r="F248" s="108">
        <v>280200</v>
      </c>
      <c r="G248" s="108"/>
      <c r="H248" s="108"/>
      <c r="I248" s="108">
        <v>452850</v>
      </c>
      <c r="J248" s="108">
        <v>264659</v>
      </c>
      <c r="K248" s="106"/>
    </row>
    <row r="249" spans="1:11" x14ac:dyDescent="0.25">
      <c r="A249" s="106" t="s">
        <v>117</v>
      </c>
      <c r="B249" s="106" t="s">
        <v>92</v>
      </c>
      <c r="C249" s="108">
        <v>-5750</v>
      </c>
      <c r="D249" s="108"/>
      <c r="E249" s="108">
        <v>1161750</v>
      </c>
      <c r="F249" s="108"/>
      <c r="G249" s="108"/>
      <c r="H249" s="108">
        <v>124000</v>
      </c>
      <c r="I249" s="108">
        <v>759500</v>
      </c>
      <c r="J249" s="108">
        <v>272500</v>
      </c>
      <c r="K249" s="106"/>
    </row>
    <row r="250" spans="1:11" x14ac:dyDescent="0.25">
      <c r="A250" s="106" t="s">
        <v>117</v>
      </c>
      <c r="B250" s="106" t="s">
        <v>77</v>
      </c>
      <c r="C250" s="108">
        <v>12995</v>
      </c>
      <c r="D250" s="108"/>
      <c r="E250" s="108">
        <v>726000</v>
      </c>
      <c r="F250" s="108"/>
      <c r="G250" s="108"/>
      <c r="H250" s="108"/>
      <c r="I250" s="108">
        <v>454400</v>
      </c>
      <c r="J250" s="108">
        <v>284595</v>
      </c>
      <c r="K250" s="106"/>
    </row>
    <row r="251" spans="1:11" x14ac:dyDescent="0.25">
      <c r="A251" s="106" t="s">
        <v>117</v>
      </c>
      <c r="B251" s="106" t="s">
        <v>65</v>
      </c>
      <c r="C251" s="108">
        <v>6050</v>
      </c>
      <c r="D251" s="108"/>
      <c r="E251" s="108">
        <v>736300</v>
      </c>
      <c r="F251" s="108"/>
      <c r="G251" s="108"/>
      <c r="H251" s="108">
        <v>405200</v>
      </c>
      <c r="I251" s="108">
        <v>338900</v>
      </c>
      <c r="J251" s="108">
        <v>-1750</v>
      </c>
      <c r="K251" s="106"/>
    </row>
    <row r="252" spans="1:11" x14ac:dyDescent="0.25">
      <c r="A252" s="106" t="s">
        <v>117</v>
      </c>
      <c r="B252" s="106" t="s">
        <v>67</v>
      </c>
      <c r="C252" s="108">
        <v>142400</v>
      </c>
      <c r="D252" s="108"/>
      <c r="E252" s="108">
        <v>1014000</v>
      </c>
      <c r="F252" s="108"/>
      <c r="G252" s="108"/>
      <c r="H252" s="108">
        <v>100000</v>
      </c>
      <c r="I252" s="108">
        <v>790800</v>
      </c>
      <c r="J252" s="108">
        <v>265600</v>
      </c>
      <c r="K252" s="106"/>
    </row>
    <row r="253" spans="1:11" x14ac:dyDescent="0.25">
      <c r="A253" s="106" t="s">
        <v>117</v>
      </c>
      <c r="B253" s="106" t="s">
        <v>93</v>
      </c>
      <c r="C253" s="108">
        <v>-221251.00072999997</v>
      </c>
      <c r="D253" s="108"/>
      <c r="E253" s="108">
        <v>485000</v>
      </c>
      <c r="F253" s="108"/>
      <c r="G253" s="108"/>
      <c r="H253" s="108">
        <v>5000</v>
      </c>
      <c r="I253" s="108">
        <v>475000</v>
      </c>
      <c r="J253" s="108">
        <v>-216251.00072999997</v>
      </c>
      <c r="K253" s="106"/>
    </row>
    <row r="254" spans="1:11" x14ac:dyDescent="0.25">
      <c r="A254" s="106" t="s">
        <v>117</v>
      </c>
      <c r="B254" s="106" t="s">
        <v>71</v>
      </c>
      <c r="C254" s="108">
        <v>14225</v>
      </c>
      <c r="D254" s="108"/>
      <c r="E254" s="108">
        <v>30000</v>
      </c>
      <c r="F254" s="108"/>
      <c r="G254" s="108"/>
      <c r="H254" s="108"/>
      <c r="I254" s="108">
        <v>43200</v>
      </c>
      <c r="J254" s="108">
        <v>1025</v>
      </c>
      <c r="K254" s="106"/>
    </row>
    <row r="255" spans="1:11" x14ac:dyDescent="0.25">
      <c r="A255" s="126" t="s">
        <v>104</v>
      </c>
      <c r="B255" s="126"/>
      <c r="C255" s="127"/>
      <c r="D255" s="127"/>
      <c r="E255" s="127"/>
      <c r="F255" s="127"/>
      <c r="G255" s="127"/>
      <c r="H255" s="127"/>
      <c r="I255" s="127"/>
      <c r="J255" s="127"/>
      <c r="K255" s="126"/>
    </row>
    <row r="256" spans="1:11" x14ac:dyDescent="0.25">
      <c r="A256" s="106" t="s">
        <v>117</v>
      </c>
      <c r="B256" s="106" t="s">
        <v>105</v>
      </c>
      <c r="C256" s="108">
        <v>494738</v>
      </c>
      <c r="D256" s="108">
        <v>6000000</v>
      </c>
      <c r="E256" s="108"/>
      <c r="F256" s="108"/>
      <c r="G256" s="108">
        <v>105000</v>
      </c>
      <c r="H256" s="108">
        <v>5070300</v>
      </c>
      <c r="I256" s="108">
        <v>574642</v>
      </c>
      <c r="J256" s="108">
        <v>954796</v>
      </c>
      <c r="K256" s="106"/>
    </row>
    <row r="257" spans="1:11" x14ac:dyDescent="0.25">
      <c r="A257" s="126" t="s">
        <v>106</v>
      </c>
      <c r="B257" s="126"/>
      <c r="C257" s="127"/>
      <c r="D257" s="127"/>
      <c r="E257" s="127"/>
      <c r="F257" s="127"/>
      <c r="G257" s="127"/>
      <c r="H257" s="127"/>
      <c r="I257" s="127"/>
      <c r="J257" s="127"/>
      <c r="K257" s="126"/>
    </row>
    <row r="258" spans="1:11" x14ac:dyDescent="0.25">
      <c r="A258" s="106" t="s">
        <v>117</v>
      </c>
      <c r="B258" s="106" t="s">
        <v>107</v>
      </c>
      <c r="C258" s="108">
        <v>11363703</v>
      </c>
      <c r="D258" s="108"/>
      <c r="E258" s="108"/>
      <c r="F258" s="108"/>
      <c r="G258" s="108"/>
      <c r="H258" s="108">
        <v>10000000</v>
      </c>
      <c r="I258" s="108">
        <v>657865</v>
      </c>
      <c r="J258" s="108">
        <v>705838</v>
      </c>
      <c r="K258" s="106"/>
    </row>
    <row r="259" spans="1:11" x14ac:dyDescent="0.25">
      <c r="A259" s="106" t="s">
        <v>117</v>
      </c>
      <c r="B259" s="106" t="s">
        <v>108</v>
      </c>
      <c r="C259" s="108">
        <v>4902843</v>
      </c>
      <c r="D259" s="108">
        <v>17119140</v>
      </c>
      <c r="E259" s="108"/>
      <c r="F259" s="108"/>
      <c r="G259" s="108"/>
      <c r="H259" s="108"/>
      <c r="I259" s="108">
        <v>7147581</v>
      </c>
      <c r="J259" s="108">
        <v>14874402</v>
      </c>
      <c r="K259" s="106"/>
    </row>
    <row r="260" spans="1:11" x14ac:dyDescent="0.25">
      <c r="A260" s="106"/>
      <c r="B260" s="106"/>
      <c r="C260" s="108"/>
      <c r="D260" s="108"/>
      <c r="E260" s="108"/>
      <c r="F260" s="108"/>
      <c r="G260" s="108"/>
      <c r="H260" s="108"/>
      <c r="I260" s="108"/>
      <c r="J260" s="108"/>
      <c r="K260" s="106"/>
    </row>
    <row r="261" spans="1:11" x14ac:dyDescent="0.25">
      <c r="A261" s="106"/>
      <c r="B261" s="106"/>
      <c r="C261" s="108"/>
      <c r="D261" s="108"/>
      <c r="E261" s="108"/>
      <c r="F261" s="108"/>
      <c r="G261" s="108"/>
      <c r="H261" s="108"/>
      <c r="I261" s="108">
        <v>12267038</v>
      </c>
      <c r="J261" s="108">
        <v>17673343.99927</v>
      </c>
      <c r="K261" s="106" t="b">
        <v>1</v>
      </c>
    </row>
    <row r="262" spans="1:11" x14ac:dyDescent="0.25">
      <c r="J262" s="130" t="b">
        <f>J261=[24]TABLEAU!$I$16</f>
        <v>1</v>
      </c>
    </row>
  </sheetData>
  <mergeCells count="63">
    <mergeCell ref="I110:I111"/>
    <mergeCell ref="J111:J112"/>
    <mergeCell ref="A110:A111"/>
    <mergeCell ref="B110:B111"/>
    <mergeCell ref="C110:C111"/>
    <mergeCell ref="D110:G110"/>
    <mergeCell ref="H110:H111"/>
    <mergeCell ref="I163:I164"/>
    <mergeCell ref="J164:J165"/>
    <mergeCell ref="A163:A164"/>
    <mergeCell ref="B163:B164"/>
    <mergeCell ref="C163:C164"/>
    <mergeCell ref="D163:G163"/>
    <mergeCell ref="H163:H164"/>
    <mergeCell ref="A217:A218"/>
    <mergeCell ref="D217:G217"/>
    <mergeCell ref="H217:H218"/>
    <mergeCell ref="J218:J219"/>
    <mergeCell ref="I217:I218"/>
    <mergeCell ref="A242:A243"/>
    <mergeCell ref="J191:J192"/>
    <mergeCell ref="A190:A191"/>
    <mergeCell ref="B190:B191"/>
    <mergeCell ref="C190:C191"/>
    <mergeCell ref="D190:G190"/>
    <mergeCell ref="H190:H191"/>
    <mergeCell ref="I190:I191"/>
    <mergeCell ref="B242:B243"/>
    <mergeCell ref="J242:K243"/>
    <mergeCell ref="D242:G242"/>
    <mergeCell ref="H242:H243"/>
    <mergeCell ref="I242:I243"/>
    <mergeCell ref="C242:C243"/>
    <mergeCell ref="B217:B218"/>
    <mergeCell ref="C217:C218"/>
    <mergeCell ref="I137:I138"/>
    <mergeCell ref="J138:J139"/>
    <mergeCell ref="A137:A138"/>
    <mergeCell ref="B137:B138"/>
    <mergeCell ref="C137:C138"/>
    <mergeCell ref="D137:G137"/>
    <mergeCell ref="H137:H138"/>
    <mergeCell ref="I82:I83"/>
    <mergeCell ref="J83:J84"/>
    <mergeCell ref="A82:A83"/>
    <mergeCell ref="B82:B83"/>
    <mergeCell ref="C82:C83"/>
    <mergeCell ref="D82:G82"/>
    <mergeCell ref="H82:H83"/>
    <mergeCell ref="I54:I55"/>
    <mergeCell ref="J55:J56"/>
    <mergeCell ref="A54:A55"/>
    <mergeCell ref="B54:B55"/>
    <mergeCell ref="C54:C55"/>
    <mergeCell ref="D54:G54"/>
    <mergeCell ref="H54:H55"/>
    <mergeCell ref="I27:I28"/>
    <mergeCell ref="J28:J29"/>
    <mergeCell ref="A27:A28"/>
    <mergeCell ref="B27:B28"/>
    <mergeCell ref="C27:C28"/>
    <mergeCell ref="D27:G27"/>
    <mergeCell ref="H27:H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3:B8"/>
  <sheetViews>
    <sheetView workbookViewId="0">
      <selection activeCell="F14" sqref="F14"/>
    </sheetView>
  </sheetViews>
  <sheetFormatPr baseColWidth="10" defaultColWidth="9.140625" defaultRowHeight="15" x14ac:dyDescent="0.25"/>
  <cols>
    <col min="1" max="1" width="21" bestFit="1" customWidth="1"/>
    <col min="2" max="2" width="12.7109375" customWidth="1"/>
  </cols>
  <sheetData>
    <row r="3" spans="1:2" x14ac:dyDescent="0.25">
      <c r="A3" s="52" t="s">
        <v>531</v>
      </c>
      <c r="B3" t="s">
        <v>473</v>
      </c>
    </row>
    <row r="4" spans="1:2" x14ac:dyDescent="0.25">
      <c r="A4" s="53" t="s">
        <v>440</v>
      </c>
      <c r="B4" s="54">
        <v>150000</v>
      </c>
    </row>
    <row r="5" spans="1:2" x14ac:dyDescent="0.25">
      <c r="A5" s="53" t="s">
        <v>157</v>
      </c>
      <c r="B5" s="54">
        <v>10998682</v>
      </c>
    </row>
    <row r="6" spans="1:2" x14ac:dyDescent="0.25">
      <c r="A6" s="53" t="s">
        <v>400</v>
      </c>
      <c r="B6" s="54">
        <v>1888640</v>
      </c>
    </row>
    <row r="7" spans="1:2" x14ac:dyDescent="0.25">
      <c r="A7" s="53" t="s">
        <v>702</v>
      </c>
      <c r="B7" s="54">
        <v>94000</v>
      </c>
    </row>
    <row r="8" spans="1:2" x14ac:dyDescent="0.25">
      <c r="A8" s="53" t="s">
        <v>532</v>
      </c>
      <c r="B8" s="54">
        <v>13131322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3:AW24"/>
  <sheetViews>
    <sheetView workbookViewId="0">
      <pane xSplit="1" topLeftCell="AL1" activePane="topRight" state="frozen"/>
      <selection pane="topRight" activeCell="AR24" sqref="AR24"/>
    </sheetView>
  </sheetViews>
  <sheetFormatPr baseColWidth="10" defaultColWidth="9.140625" defaultRowHeight="15" x14ac:dyDescent="0.25"/>
  <cols>
    <col min="1" max="1" width="21" bestFit="1" customWidth="1"/>
    <col min="2" max="2" width="23.85546875" bestFit="1" customWidth="1"/>
    <col min="3" max="3" width="12.7109375" bestFit="1" customWidth="1"/>
    <col min="4" max="4" width="15.7109375" customWidth="1"/>
    <col min="5" max="5" width="12.7109375" bestFit="1" customWidth="1"/>
    <col min="6" max="6" width="15.7109375" customWidth="1"/>
    <col min="7" max="7" width="12.7109375" bestFit="1" customWidth="1"/>
    <col min="8" max="8" width="15.7109375" customWidth="1"/>
    <col min="9" max="9" width="12.7109375" bestFit="1" customWidth="1"/>
    <col min="10" max="10" width="15.7109375" customWidth="1"/>
    <col min="11" max="11" width="12.7109375" bestFit="1" customWidth="1"/>
    <col min="12" max="12" width="15.7109375" customWidth="1"/>
    <col min="13" max="13" width="12.7109375" bestFit="1" customWidth="1"/>
    <col min="14" max="14" width="15.7109375" customWidth="1"/>
    <col min="15" max="15" width="12.7109375" bestFit="1" customWidth="1"/>
    <col min="16" max="16" width="15.7109375" customWidth="1"/>
    <col min="17" max="17" width="12.7109375" bestFit="1" customWidth="1"/>
    <col min="18" max="18" width="15.7109375" customWidth="1"/>
    <col min="19" max="19" width="12.7109375" bestFit="1" customWidth="1"/>
    <col min="20" max="20" width="15.7109375" customWidth="1"/>
    <col min="21" max="21" width="12.7109375" bestFit="1" customWidth="1"/>
    <col min="22" max="22" width="15.7109375" customWidth="1"/>
    <col min="23" max="23" width="12.7109375" bestFit="1" customWidth="1"/>
    <col min="24" max="24" width="15.7109375" customWidth="1"/>
    <col min="25" max="25" width="12.7109375" bestFit="1" customWidth="1"/>
    <col min="26" max="26" width="15.7109375" customWidth="1"/>
    <col min="27" max="27" width="12.7109375" bestFit="1" customWidth="1"/>
    <col min="28" max="28" width="15.7109375" customWidth="1"/>
    <col min="29" max="29" width="12.7109375" bestFit="1" customWidth="1"/>
    <col min="30" max="30" width="15.7109375" customWidth="1"/>
    <col min="31" max="31" width="12.7109375" bestFit="1" customWidth="1"/>
    <col min="32" max="32" width="15.7109375" customWidth="1"/>
    <col min="33" max="33" width="12.7109375" bestFit="1" customWidth="1"/>
    <col min="34" max="34" width="17.42578125" customWidth="1"/>
    <col min="35" max="35" width="12.7109375" bestFit="1" customWidth="1"/>
    <col min="36" max="36" width="15.7109375" customWidth="1"/>
    <col min="37" max="37" width="12.7109375" bestFit="1" customWidth="1"/>
    <col min="38" max="38" width="15.7109375" customWidth="1"/>
    <col min="39" max="39" width="12.7109375" customWidth="1"/>
    <col min="40" max="40" width="15.7109375" customWidth="1"/>
    <col min="41" max="41" width="12.7109375" customWidth="1"/>
    <col min="42" max="42" width="20.7109375" customWidth="1"/>
    <col min="43" max="43" width="17.7109375" customWidth="1"/>
    <col min="45" max="45" width="16.42578125" customWidth="1"/>
    <col min="46" max="46" width="12.85546875" customWidth="1"/>
    <col min="47" max="49" width="10.85546875" customWidth="1"/>
  </cols>
  <sheetData>
    <row r="3" spans="1:49" x14ac:dyDescent="0.25">
      <c r="B3" s="52" t="s">
        <v>533</v>
      </c>
    </row>
    <row r="4" spans="1:49" x14ac:dyDescent="0.25">
      <c r="B4" t="s">
        <v>28</v>
      </c>
      <c r="D4" t="s">
        <v>26</v>
      </c>
      <c r="F4" t="s">
        <v>331</v>
      </c>
      <c r="H4" t="s">
        <v>166</v>
      </c>
      <c r="J4" t="s">
        <v>701</v>
      </c>
      <c r="L4" t="s">
        <v>153</v>
      </c>
      <c r="N4" t="s">
        <v>73</v>
      </c>
      <c r="P4" t="s">
        <v>60</v>
      </c>
      <c r="R4" t="s">
        <v>74</v>
      </c>
      <c r="T4" t="s">
        <v>15</v>
      </c>
      <c r="V4" t="s">
        <v>17</v>
      </c>
      <c r="X4" t="s">
        <v>30</v>
      </c>
      <c r="Z4" t="s">
        <v>20</v>
      </c>
      <c r="AB4" t="s">
        <v>63</v>
      </c>
      <c r="AD4" t="s">
        <v>72</v>
      </c>
      <c r="AF4" t="s">
        <v>260</v>
      </c>
      <c r="AH4" t="s">
        <v>156</v>
      </c>
      <c r="AJ4" t="s">
        <v>76</v>
      </c>
      <c r="AL4" t="s">
        <v>120</v>
      </c>
      <c r="AN4" t="s">
        <v>700</v>
      </c>
      <c r="AP4" t="s">
        <v>474</v>
      </c>
      <c r="AQ4" t="s">
        <v>476</v>
      </c>
    </row>
    <row r="5" spans="1:49" x14ac:dyDescent="0.25">
      <c r="A5" s="52" t="s">
        <v>531</v>
      </c>
      <c r="B5" t="s">
        <v>475</v>
      </c>
      <c r="C5" t="s">
        <v>473</v>
      </c>
      <c r="D5" t="s">
        <v>475</v>
      </c>
      <c r="E5" t="s">
        <v>473</v>
      </c>
      <c r="F5" t="s">
        <v>475</v>
      </c>
      <c r="G5" t="s">
        <v>473</v>
      </c>
      <c r="H5" t="s">
        <v>475</v>
      </c>
      <c r="I5" t="s">
        <v>473</v>
      </c>
      <c r="J5" t="s">
        <v>475</v>
      </c>
      <c r="K5" t="s">
        <v>473</v>
      </c>
      <c r="L5" t="s">
        <v>475</v>
      </c>
      <c r="M5" t="s">
        <v>473</v>
      </c>
      <c r="N5" t="s">
        <v>475</v>
      </c>
      <c r="O5" t="s">
        <v>473</v>
      </c>
      <c r="P5" t="s">
        <v>475</v>
      </c>
      <c r="Q5" t="s">
        <v>473</v>
      </c>
      <c r="R5" t="s">
        <v>475</v>
      </c>
      <c r="S5" t="s">
        <v>473</v>
      </c>
      <c r="T5" t="s">
        <v>475</v>
      </c>
      <c r="U5" t="s">
        <v>473</v>
      </c>
      <c r="V5" t="s">
        <v>475</v>
      </c>
      <c r="W5" t="s">
        <v>473</v>
      </c>
      <c r="X5" t="s">
        <v>475</v>
      </c>
      <c r="Y5" t="s">
        <v>473</v>
      </c>
      <c r="Z5" t="s">
        <v>475</v>
      </c>
      <c r="AA5" t="s">
        <v>473</v>
      </c>
      <c r="AB5" t="s">
        <v>475</v>
      </c>
      <c r="AC5" t="s">
        <v>473</v>
      </c>
      <c r="AD5" t="s">
        <v>475</v>
      </c>
      <c r="AE5" t="s">
        <v>473</v>
      </c>
      <c r="AF5" t="s">
        <v>475</v>
      </c>
      <c r="AG5" t="s">
        <v>473</v>
      </c>
      <c r="AH5" t="s">
        <v>475</v>
      </c>
      <c r="AI5" t="s">
        <v>473</v>
      </c>
      <c r="AJ5" t="s">
        <v>475</v>
      </c>
      <c r="AK5" t="s">
        <v>473</v>
      </c>
      <c r="AL5" t="s">
        <v>475</v>
      </c>
      <c r="AM5" t="s">
        <v>473</v>
      </c>
      <c r="AN5" t="s">
        <v>475</v>
      </c>
      <c r="AO5" t="s">
        <v>473</v>
      </c>
      <c r="AS5" s="106"/>
      <c r="AT5" s="106" t="s">
        <v>84</v>
      </c>
      <c r="AU5" s="106" t="s">
        <v>85</v>
      </c>
      <c r="AV5" s="106" t="s">
        <v>86</v>
      </c>
      <c r="AW5" s="106" t="s">
        <v>87</v>
      </c>
    </row>
    <row r="6" spans="1:49" x14ac:dyDescent="0.25">
      <c r="A6" s="53" t="s">
        <v>58</v>
      </c>
      <c r="B6" s="54"/>
      <c r="C6" s="54">
        <v>12885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>
        <v>143000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>
        <v>7000000</v>
      </c>
      <c r="AN6" s="54"/>
      <c r="AO6" s="54"/>
      <c r="AP6" s="54"/>
      <c r="AQ6" s="54">
        <v>7155885</v>
      </c>
      <c r="AS6" s="106" t="s">
        <v>89</v>
      </c>
      <c r="AT6" s="108">
        <f>AL6</f>
        <v>0</v>
      </c>
      <c r="AU6" s="108">
        <f>AM6</f>
        <v>7000000</v>
      </c>
      <c r="AV6" s="108">
        <f>AQ6-AU6</f>
        <v>155885</v>
      </c>
      <c r="AW6" s="108">
        <f>+H6</f>
        <v>0</v>
      </c>
    </row>
    <row r="7" spans="1:49" x14ac:dyDescent="0.25">
      <c r="A7" s="53" t="s">
        <v>59</v>
      </c>
      <c r="B7" s="54"/>
      <c r="C7" s="54">
        <v>18476</v>
      </c>
      <c r="D7" s="54"/>
      <c r="E7" s="54"/>
      <c r="F7" s="54"/>
      <c r="G7" s="54"/>
      <c r="H7" s="54">
        <v>28506579</v>
      </c>
      <c r="I7" s="54"/>
      <c r="J7" s="54"/>
      <c r="K7" s="54"/>
      <c r="L7" s="54"/>
      <c r="M7" s="54"/>
      <c r="N7" s="54"/>
      <c r="O7" s="54"/>
      <c r="P7" s="54"/>
      <c r="Q7" s="54">
        <v>700000</v>
      </c>
      <c r="R7" s="54"/>
      <c r="S7" s="54"/>
      <c r="T7" s="54"/>
      <c r="U7" s="54">
        <v>5148503</v>
      </c>
      <c r="V7" s="54"/>
      <c r="W7" s="54">
        <v>500000</v>
      </c>
      <c r="X7" s="54"/>
      <c r="Y7" s="54"/>
      <c r="Z7" s="54"/>
      <c r="AA7" s="54">
        <v>341000</v>
      </c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>
        <v>28506579</v>
      </c>
      <c r="AQ7" s="54">
        <v>6707979</v>
      </c>
      <c r="AS7" s="106" t="s">
        <v>90</v>
      </c>
      <c r="AT7" s="108">
        <f t="shared" ref="AT7:AT22" si="0">AL7</f>
        <v>0</v>
      </c>
      <c r="AU7" s="108">
        <f t="shared" ref="AU7:AU22" si="1">AM7</f>
        <v>0</v>
      </c>
      <c r="AV7" s="108">
        <f t="shared" ref="AV7:AV22" si="2">AQ7-AU7</f>
        <v>6707979</v>
      </c>
      <c r="AW7" s="108">
        <f t="shared" ref="AW7:AW22" si="3">+H7</f>
        <v>28506579</v>
      </c>
    </row>
    <row r="8" spans="1:49" x14ac:dyDescent="0.25">
      <c r="A8" s="53" t="s">
        <v>62</v>
      </c>
      <c r="B8" s="54"/>
      <c r="C8" s="54"/>
      <c r="D8" s="54"/>
      <c r="E8" s="54">
        <v>789000</v>
      </c>
      <c r="F8" s="54"/>
      <c r="G8" s="54"/>
      <c r="H8" s="54"/>
      <c r="I8" s="54"/>
      <c r="J8" s="54"/>
      <c r="K8" s="54"/>
      <c r="L8" s="54"/>
      <c r="M8" s="54">
        <v>89175</v>
      </c>
      <c r="N8" s="54"/>
      <c r="O8" s="54">
        <v>44000</v>
      </c>
      <c r="P8" s="54"/>
      <c r="Q8" s="54"/>
      <c r="R8" s="54"/>
      <c r="S8" s="54">
        <v>219250</v>
      </c>
      <c r="T8" s="54"/>
      <c r="U8" s="54">
        <v>182000</v>
      </c>
      <c r="V8" s="54"/>
      <c r="W8" s="54">
        <v>102933</v>
      </c>
      <c r="X8" s="54"/>
      <c r="Y8" s="54">
        <v>130000</v>
      </c>
      <c r="Z8" s="54"/>
      <c r="AA8" s="54">
        <v>397000</v>
      </c>
      <c r="AB8" s="54"/>
      <c r="AC8" s="54">
        <v>60720</v>
      </c>
      <c r="AD8" s="54"/>
      <c r="AE8" s="54"/>
      <c r="AF8" s="54"/>
      <c r="AG8" s="54">
        <v>20000</v>
      </c>
      <c r="AH8" s="54"/>
      <c r="AI8" s="54"/>
      <c r="AJ8" s="54"/>
      <c r="AK8" s="54">
        <v>21000</v>
      </c>
      <c r="AL8" s="54">
        <v>7000000</v>
      </c>
      <c r="AM8" s="54">
        <v>4310300</v>
      </c>
      <c r="AN8" s="54"/>
      <c r="AO8" s="54">
        <v>110000</v>
      </c>
      <c r="AP8" s="54">
        <v>7000000</v>
      </c>
      <c r="AQ8" s="54">
        <v>6475378</v>
      </c>
      <c r="AS8" s="106" t="s">
        <v>62</v>
      </c>
      <c r="AT8" s="108">
        <f t="shared" si="0"/>
        <v>7000000</v>
      </c>
      <c r="AU8" s="108">
        <f t="shared" si="1"/>
        <v>4310300</v>
      </c>
      <c r="AV8" s="108">
        <f t="shared" si="2"/>
        <v>2165078</v>
      </c>
      <c r="AW8" s="108">
        <f t="shared" si="3"/>
        <v>0</v>
      </c>
    </row>
    <row r="9" spans="1:49" x14ac:dyDescent="0.25">
      <c r="A9" s="53" t="s">
        <v>122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v>62640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>
        <v>177500</v>
      </c>
      <c r="AF9" s="54"/>
      <c r="AG9" s="54"/>
      <c r="AH9" s="54"/>
      <c r="AI9" s="54">
        <v>165980</v>
      </c>
      <c r="AJ9" s="54"/>
      <c r="AK9" s="54"/>
      <c r="AL9" s="54">
        <v>438000</v>
      </c>
      <c r="AM9" s="54">
        <v>40000</v>
      </c>
      <c r="AN9" s="54"/>
      <c r="AO9" s="54"/>
      <c r="AP9" s="54">
        <v>438000</v>
      </c>
      <c r="AQ9" s="54">
        <v>446120</v>
      </c>
      <c r="AS9" s="106" t="s">
        <v>122</v>
      </c>
      <c r="AT9" s="108">
        <f t="shared" si="0"/>
        <v>438000</v>
      </c>
      <c r="AU9" s="108">
        <f t="shared" si="1"/>
        <v>40000</v>
      </c>
      <c r="AV9" s="108">
        <f t="shared" si="2"/>
        <v>406120</v>
      </c>
      <c r="AW9" s="108">
        <f t="shared" si="3"/>
        <v>0</v>
      </c>
    </row>
    <row r="10" spans="1:49" x14ac:dyDescent="0.25">
      <c r="A10" s="53" t="s">
        <v>91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14900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>
        <v>152300</v>
      </c>
      <c r="AF10" s="54"/>
      <c r="AG10" s="54"/>
      <c r="AH10" s="54"/>
      <c r="AI10" s="54">
        <v>276000</v>
      </c>
      <c r="AJ10" s="54"/>
      <c r="AK10" s="54">
        <v>1000</v>
      </c>
      <c r="AL10" s="54">
        <v>481000</v>
      </c>
      <c r="AM10" s="54">
        <v>29000</v>
      </c>
      <c r="AN10" s="54"/>
      <c r="AO10" s="54"/>
      <c r="AP10" s="54">
        <v>481000</v>
      </c>
      <c r="AQ10" s="54">
        <v>473200</v>
      </c>
      <c r="AS10" s="106" t="s">
        <v>91</v>
      </c>
      <c r="AT10" s="108">
        <f t="shared" si="0"/>
        <v>481000</v>
      </c>
      <c r="AU10" s="108">
        <f t="shared" si="1"/>
        <v>29000</v>
      </c>
      <c r="AV10" s="108">
        <f t="shared" si="2"/>
        <v>444200</v>
      </c>
      <c r="AW10" s="108">
        <f t="shared" si="3"/>
        <v>0</v>
      </c>
    </row>
    <row r="11" spans="1:49" x14ac:dyDescent="0.25">
      <c r="A11" s="53" t="s">
        <v>69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v>100400</v>
      </c>
      <c r="AF11" s="54"/>
      <c r="AG11" s="54"/>
      <c r="AH11" s="54"/>
      <c r="AI11" s="54">
        <v>126000</v>
      </c>
      <c r="AJ11" s="54"/>
      <c r="AK11" s="54">
        <v>2000</v>
      </c>
      <c r="AL11" s="54">
        <v>745000</v>
      </c>
      <c r="AM11" s="54">
        <v>523000</v>
      </c>
      <c r="AN11" s="54"/>
      <c r="AO11" s="54"/>
      <c r="AP11" s="54">
        <v>745000</v>
      </c>
      <c r="AQ11" s="54">
        <v>751400</v>
      </c>
      <c r="AS11" s="106" t="s">
        <v>69</v>
      </c>
      <c r="AT11" s="108">
        <f t="shared" si="0"/>
        <v>745000</v>
      </c>
      <c r="AU11" s="108">
        <f t="shared" si="1"/>
        <v>523000</v>
      </c>
      <c r="AV11" s="108">
        <f t="shared" si="2"/>
        <v>228400</v>
      </c>
      <c r="AW11" s="108">
        <f t="shared" si="3"/>
        <v>0</v>
      </c>
    </row>
    <row r="12" spans="1:49" x14ac:dyDescent="0.25">
      <c r="A12" s="53" t="s">
        <v>123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>
        <v>21660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v>68300</v>
      </c>
      <c r="AF12" s="54"/>
      <c r="AG12" s="54"/>
      <c r="AH12" s="54"/>
      <c r="AI12" s="54">
        <v>212000</v>
      </c>
      <c r="AJ12" s="54"/>
      <c r="AK12" s="54">
        <v>1000</v>
      </c>
      <c r="AL12" s="54">
        <v>390100</v>
      </c>
      <c r="AM12" s="54"/>
      <c r="AN12" s="54"/>
      <c r="AO12" s="54"/>
      <c r="AP12" s="54">
        <v>390100</v>
      </c>
      <c r="AQ12" s="54">
        <v>302960</v>
      </c>
      <c r="AS12" s="106" t="s">
        <v>123</v>
      </c>
      <c r="AT12" s="108">
        <f t="shared" si="0"/>
        <v>390100</v>
      </c>
      <c r="AU12" s="108">
        <f t="shared" si="1"/>
        <v>0</v>
      </c>
      <c r="AV12" s="108">
        <f t="shared" si="2"/>
        <v>302960</v>
      </c>
      <c r="AW12" s="108">
        <f t="shared" si="3"/>
        <v>0</v>
      </c>
    </row>
    <row r="13" spans="1:49" x14ac:dyDescent="0.25">
      <c r="A13" s="53" t="s">
        <v>64</v>
      </c>
      <c r="B13" s="54"/>
      <c r="C13" s="54"/>
      <c r="D13" s="54"/>
      <c r="E13" s="54"/>
      <c r="F13" s="54"/>
      <c r="G13" s="54">
        <v>50000</v>
      </c>
      <c r="H13" s="54"/>
      <c r="I13" s="54"/>
      <c r="J13" s="54"/>
      <c r="K13" s="54"/>
      <c r="L13" s="54"/>
      <c r="M13" s="54"/>
      <c r="N13" s="54"/>
      <c r="O13" s="54">
        <v>12050</v>
      </c>
      <c r="P13" s="54"/>
      <c r="Q13" s="54"/>
      <c r="R13" s="54"/>
      <c r="S13" s="54">
        <v>9450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v>92200</v>
      </c>
      <c r="AF13" s="54"/>
      <c r="AG13" s="54"/>
      <c r="AH13" s="54"/>
      <c r="AI13" s="54">
        <v>200000</v>
      </c>
      <c r="AJ13" s="54"/>
      <c r="AK13" s="54">
        <v>1500</v>
      </c>
      <c r="AL13" s="54">
        <v>420000</v>
      </c>
      <c r="AM13" s="54">
        <v>62000</v>
      </c>
      <c r="AN13" s="54"/>
      <c r="AO13" s="54"/>
      <c r="AP13" s="54">
        <v>420000</v>
      </c>
      <c r="AQ13" s="54">
        <v>427200</v>
      </c>
      <c r="AS13" s="106" t="s">
        <v>64</v>
      </c>
      <c r="AT13" s="108">
        <f t="shared" si="0"/>
        <v>420000</v>
      </c>
      <c r="AU13" s="108">
        <f t="shared" si="1"/>
        <v>62000</v>
      </c>
      <c r="AV13" s="108">
        <f t="shared" si="2"/>
        <v>365200</v>
      </c>
      <c r="AW13" s="108">
        <f t="shared" si="3"/>
        <v>0</v>
      </c>
    </row>
    <row r="14" spans="1:49" x14ac:dyDescent="0.25">
      <c r="A14" s="53" t="s">
        <v>68</v>
      </c>
      <c r="B14" s="54"/>
      <c r="C14" s="54"/>
      <c r="D14" s="54"/>
      <c r="E14" s="54"/>
      <c r="F14" s="54"/>
      <c r="G14" s="54"/>
      <c r="H14" s="54"/>
      <c r="I14" s="54"/>
      <c r="J14" s="54"/>
      <c r="K14" s="54">
        <v>40000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v>318000</v>
      </c>
      <c r="AF14" s="54"/>
      <c r="AG14" s="54"/>
      <c r="AH14" s="54"/>
      <c r="AI14" s="54">
        <v>585000</v>
      </c>
      <c r="AJ14" s="54"/>
      <c r="AK14" s="54">
        <v>58000</v>
      </c>
      <c r="AL14" s="54">
        <v>931200</v>
      </c>
      <c r="AM14" s="54">
        <v>28000</v>
      </c>
      <c r="AN14" s="54"/>
      <c r="AO14" s="54"/>
      <c r="AP14" s="54">
        <v>931200</v>
      </c>
      <c r="AQ14" s="54">
        <v>1029000</v>
      </c>
      <c r="AS14" s="106" t="s">
        <v>68</v>
      </c>
      <c r="AT14" s="108">
        <f t="shared" si="0"/>
        <v>931200</v>
      </c>
      <c r="AU14" s="108">
        <f t="shared" si="1"/>
        <v>28000</v>
      </c>
      <c r="AV14" s="108">
        <f t="shared" si="2"/>
        <v>1001000</v>
      </c>
      <c r="AW14" s="108">
        <f t="shared" si="3"/>
        <v>0</v>
      </c>
    </row>
    <row r="15" spans="1:49" x14ac:dyDescent="0.25">
      <c r="A15" s="53" t="s">
        <v>130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>
        <v>0</v>
      </c>
      <c r="AN15" s="54"/>
      <c r="AO15" s="54"/>
      <c r="AP15" s="54"/>
      <c r="AQ15" s="54">
        <v>0</v>
      </c>
      <c r="AS15" s="106" t="s">
        <v>130</v>
      </c>
      <c r="AT15" s="108">
        <f t="shared" si="0"/>
        <v>0</v>
      </c>
      <c r="AU15" s="108">
        <f t="shared" si="1"/>
        <v>0</v>
      </c>
      <c r="AV15" s="108">
        <f t="shared" si="2"/>
        <v>0</v>
      </c>
      <c r="AW15" s="108">
        <f t="shared" si="3"/>
        <v>0</v>
      </c>
    </row>
    <row r="16" spans="1:49" x14ac:dyDescent="0.25">
      <c r="A16" s="53" t="s">
        <v>129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>
        <v>0</v>
      </c>
      <c r="AN16" s="54"/>
      <c r="AO16" s="54"/>
      <c r="AP16" s="54"/>
      <c r="AQ16" s="54">
        <v>0</v>
      </c>
      <c r="AS16" s="106" t="s">
        <v>129</v>
      </c>
      <c r="AT16" s="108">
        <f t="shared" si="0"/>
        <v>0</v>
      </c>
      <c r="AU16" s="108">
        <f t="shared" si="1"/>
        <v>0</v>
      </c>
      <c r="AV16" s="108">
        <f t="shared" si="2"/>
        <v>0</v>
      </c>
      <c r="AW16" s="108">
        <f t="shared" si="3"/>
        <v>0</v>
      </c>
    </row>
    <row r="17" spans="1:49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v>142300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v>65000</v>
      </c>
      <c r="AF17" s="54"/>
      <c r="AG17" s="54"/>
      <c r="AH17" s="54"/>
      <c r="AI17" s="54"/>
      <c r="AJ17" s="54"/>
      <c r="AK17" s="54"/>
      <c r="AL17" s="54">
        <v>274000</v>
      </c>
      <c r="AM17" s="54"/>
      <c r="AN17" s="54"/>
      <c r="AO17" s="54"/>
      <c r="AP17" s="54">
        <v>274000</v>
      </c>
      <c r="AQ17" s="54">
        <v>207300</v>
      </c>
      <c r="AS17" s="106" t="s">
        <v>77</v>
      </c>
      <c r="AT17" s="108">
        <f t="shared" si="0"/>
        <v>274000</v>
      </c>
      <c r="AU17" s="108">
        <f t="shared" si="1"/>
        <v>0</v>
      </c>
      <c r="AV17" s="108">
        <f t="shared" si="2"/>
        <v>207300</v>
      </c>
      <c r="AW17" s="108">
        <f t="shared" si="3"/>
        <v>0</v>
      </c>
    </row>
    <row r="18" spans="1:49" x14ac:dyDescent="0.25">
      <c r="A18" s="53" t="s">
        <v>142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v>49000</v>
      </c>
      <c r="AF18" s="54"/>
      <c r="AG18" s="54"/>
      <c r="AH18" s="54"/>
      <c r="AI18" s="54"/>
      <c r="AJ18" s="54"/>
      <c r="AK18" s="54"/>
      <c r="AL18" s="54">
        <v>61000</v>
      </c>
      <c r="AM18" s="54"/>
      <c r="AN18" s="54"/>
      <c r="AO18" s="54"/>
      <c r="AP18" s="54">
        <v>61000</v>
      </c>
      <c r="AQ18" s="54">
        <v>49000</v>
      </c>
      <c r="AS18" s="106" t="s">
        <v>142</v>
      </c>
      <c r="AT18" s="108">
        <f t="shared" si="0"/>
        <v>61000</v>
      </c>
      <c r="AU18" s="108">
        <f t="shared" si="1"/>
        <v>0</v>
      </c>
      <c r="AV18" s="108">
        <f t="shared" si="2"/>
        <v>49000</v>
      </c>
      <c r="AW18" s="108">
        <f t="shared" si="3"/>
        <v>0</v>
      </c>
    </row>
    <row r="19" spans="1:49" x14ac:dyDescent="0.25">
      <c r="A19" s="53" t="s">
        <v>67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v>167500</v>
      </c>
      <c r="AF19" s="54"/>
      <c r="AG19" s="54"/>
      <c r="AH19" s="54"/>
      <c r="AI19" s="54">
        <v>445000</v>
      </c>
      <c r="AJ19" s="54"/>
      <c r="AK19" s="54">
        <v>14000</v>
      </c>
      <c r="AL19" s="54">
        <v>722000</v>
      </c>
      <c r="AM19" s="54"/>
      <c r="AN19" s="54"/>
      <c r="AO19" s="54"/>
      <c r="AP19" s="54">
        <v>722000</v>
      </c>
      <c r="AQ19" s="54">
        <v>626500</v>
      </c>
      <c r="AS19" s="106" t="s">
        <v>67</v>
      </c>
      <c r="AT19" s="108">
        <f t="shared" si="0"/>
        <v>722000</v>
      </c>
      <c r="AU19" s="108">
        <f t="shared" si="1"/>
        <v>0</v>
      </c>
      <c r="AV19" s="108">
        <f t="shared" si="2"/>
        <v>626500</v>
      </c>
      <c r="AW19" s="108">
        <f t="shared" si="3"/>
        <v>0</v>
      </c>
    </row>
    <row r="20" spans="1:49" x14ac:dyDescent="0.25">
      <c r="A20" s="53" t="s">
        <v>70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>
        <v>4000</v>
      </c>
      <c r="AF20" s="54"/>
      <c r="AG20" s="54"/>
      <c r="AH20" s="54"/>
      <c r="AI20" s="54"/>
      <c r="AJ20" s="54"/>
      <c r="AK20" s="54"/>
      <c r="AL20" s="54">
        <v>60000</v>
      </c>
      <c r="AM20" s="54"/>
      <c r="AN20" s="54"/>
      <c r="AO20" s="54"/>
      <c r="AP20" s="54">
        <v>60000</v>
      </c>
      <c r="AQ20" s="54">
        <v>4000</v>
      </c>
      <c r="AS20" s="106" t="s">
        <v>70</v>
      </c>
      <c r="AT20" s="108">
        <f t="shared" si="0"/>
        <v>60000</v>
      </c>
      <c r="AU20" s="108">
        <f t="shared" si="1"/>
        <v>0</v>
      </c>
      <c r="AV20" s="108">
        <f t="shared" si="2"/>
        <v>4000</v>
      </c>
      <c r="AW20" s="108">
        <f t="shared" si="3"/>
        <v>0</v>
      </c>
    </row>
    <row r="21" spans="1:49" x14ac:dyDescent="0.25">
      <c r="A21" s="53" t="s">
        <v>184</v>
      </c>
      <c r="B21" s="54"/>
      <c r="C21" s="54"/>
      <c r="D21" s="54"/>
      <c r="E21" s="54">
        <v>130000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>
        <v>25000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>
        <v>85700</v>
      </c>
      <c r="AF21" s="54"/>
      <c r="AG21" s="54"/>
      <c r="AH21" s="54"/>
      <c r="AI21" s="54">
        <v>225000</v>
      </c>
      <c r="AJ21" s="54"/>
      <c r="AK21" s="54">
        <v>2000</v>
      </c>
      <c r="AL21" s="54">
        <v>498000</v>
      </c>
      <c r="AM21" s="54">
        <v>28000</v>
      </c>
      <c r="AN21" s="54"/>
      <c r="AO21" s="54"/>
      <c r="AP21" s="54">
        <v>498000</v>
      </c>
      <c r="AQ21" s="54">
        <v>495700</v>
      </c>
      <c r="AS21" s="106" t="s">
        <v>184</v>
      </c>
      <c r="AT21" s="108">
        <f t="shared" si="0"/>
        <v>498000</v>
      </c>
      <c r="AU21" s="108">
        <f t="shared" si="1"/>
        <v>28000</v>
      </c>
      <c r="AV21" s="108">
        <f t="shared" si="2"/>
        <v>467700</v>
      </c>
      <c r="AW21" s="108">
        <f t="shared" si="3"/>
        <v>0</v>
      </c>
    </row>
    <row r="22" spans="1:49" x14ac:dyDescent="0.25">
      <c r="A22" s="53" t="s">
        <v>532</v>
      </c>
      <c r="B22" s="54"/>
      <c r="C22" s="54">
        <v>31361</v>
      </c>
      <c r="D22" s="54"/>
      <c r="E22" s="54">
        <v>919000</v>
      </c>
      <c r="F22" s="54"/>
      <c r="G22" s="54">
        <v>50000</v>
      </c>
      <c r="H22" s="54">
        <v>28506579</v>
      </c>
      <c r="I22" s="54"/>
      <c r="J22" s="54"/>
      <c r="K22" s="54">
        <v>40000</v>
      </c>
      <c r="L22" s="54"/>
      <c r="M22" s="54">
        <v>89175</v>
      </c>
      <c r="N22" s="54"/>
      <c r="O22" s="54">
        <v>282650</v>
      </c>
      <c r="P22" s="54"/>
      <c r="Q22" s="54">
        <v>725000</v>
      </c>
      <c r="R22" s="54"/>
      <c r="S22" s="54">
        <v>243600</v>
      </c>
      <c r="T22" s="54"/>
      <c r="U22" s="54">
        <v>5330503</v>
      </c>
      <c r="V22" s="54"/>
      <c r="W22" s="54">
        <v>602933</v>
      </c>
      <c r="X22" s="54"/>
      <c r="Y22" s="54">
        <v>273000</v>
      </c>
      <c r="Z22" s="54"/>
      <c r="AA22" s="54">
        <v>738000</v>
      </c>
      <c r="AB22" s="54"/>
      <c r="AC22" s="54">
        <v>60720</v>
      </c>
      <c r="AD22" s="54"/>
      <c r="AE22" s="54">
        <v>1279900</v>
      </c>
      <c r="AF22" s="54"/>
      <c r="AG22" s="54">
        <v>20000</v>
      </c>
      <c r="AH22" s="54"/>
      <c r="AI22" s="54">
        <v>2234980</v>
      </c>
      <c r="AJ22" s="54"/>
      <c r="AK22" s="54">
        <v>100500</v>
      </c>
      <c r="AL22" s="54">
        <v>12020300</v>
      </c>
      <c r="AM22" s="54">
        <v>12020300</v>
      </c>
      <c r="AN22" s="54"/>
      <c r="AO22" s="54">
        <v>110000</v>
      </c>
      <c r="AP22" s="54">
        <v>40526879</v>
      </c>
      <c r="AQ22" s="54">
        <v>25151622</v>
      </c>
      <c r="AS22" s="56"/>
      <c r="AT22" s="108">
        <f t="shared" si="0"/>
        <v>12020300</v>
      </c>
      <c r="AU22" s="108">
        <f t="shared" si="1"/>
        <v>12020300</v>
      </c>
      <c r="AV22" s="108">
        <f t="shared" si="2"/>
        <v>13131322</v>
      </c>
      <c r="AW22" s="108">
        <f t="shared" si="3"/>
        <v>28506579</v>
      </c>
    </row>
    <row r="23" spans="1:49" x14ac:dyDescent="0.25">
      <c r="AO23" s="458"/>
      <c r="AP23" s="459"/>
      <c r="AQ23" s="459"/>
    </row>
    <row r="24" spans="1:49" x14ac:dyDescent="0.25">
      <c r="AO24" s="457"/>
      <c r="AP24" s="459"/>
      <c r="AQ24" s="459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N415"/>
  <sheetViews>
    <sheetView topLeftCell="A392" zoomScale="89" zoomScaleNormal="89" workbookViewId="0">
      <selection activeCell="E21" sqref="E21"/>
    </sheetView>
  </sheetViews>
  <sheetFormatPr baseColWidth="10" defaultColWidth="11.42578125" defaultRowHeight="15" x14ac:dyDescent="0.25"/>
  <cols>
    <col min="1" max="1" width="12.140625" style="47" customWidth="1"/>
    <col min="2" max="2" width="62.5703125" style="47" customWidth="1"/>
    <col min="3" max="3" width="17.140625" style="47" customWidth="1"/>
    <col min="4" max="4" width="14" style="47" customWidth="1"/>
    <col min="5" max="5" width="13.5703125" style="214" customWidth="1"/>
    <col min="6" max="6" width="13.140625" style="378" customWidth="1"/>
    <col min="7" max="7" width="17.85546875" style="48" customWidth="1"/>
    <col min="8" max="8" width="16.28515625" style="47" customWidth="1"/>
    <col min="9" max="9" width="16.5703125" style="217" customWidth="1"/>
    <col min="10" max="10" width="12.140625" style="47" customWidth="1"/>
    <col min="11" max="11" width="8.42578125" style="47" customWidth="1"/>
    <col min="12" max="12" width="8.28515625" style="47" customWidth="1"/>
    <col min="13" max="13" width="15.85546875" style="47" customWidth="1"/>
    <col min="14" max="14" width="11.42578125" style="47"/>
    <col min="15" max="15" width="12" style="47" customWidth="1"/>
    <col min="16" max="16384" width="11.42578125" style="47"/>
  </cols>
  <sheetData>
    <row r="1" spans="1:17" s="207" customFormat="1" ht="27.75" customHeight="1" x14ac:dyDescent="0.35">
      <c r="A1" s="607" t="s">
        <v>218</v>
      </c>
      <c r="B1" s="607"/>
      <c r="C1" s="607"/>
      <c r="D1" s="607"/>
      <c r="E1" s="607"/>
      <c r="F1" s="608"/>
      <c r="G1" s="607"/>
      <c r="H1" s="607"/>
      <c r="I1" s="607"/>
      <c r="J1" s="607"/>
      <c r="K1" s="607"/>
      <c r="L1" s="607"/>
      <c r="M1" s="607"/>
      <c r="N1" s="607"/>
      <c r="O1" s="607"/>
      <c r="P1" s="209"/>
    </row>
    <row r="2" spans="1:17" x14ac:dyDescent="0.25">
      <c r="B2" s="232" t="s">
        <v>217</v>
      </c>
      <c r="C2" s="233">
        <f>+'[25]DATA  FEVR'!$C$7</f>
        <v>18096145.99927</v>
      </c>
    </row>
    <row r="4" spans="1:17" ht="15.75" x14ac:dyDescent="0.25">
      <c r="B4" s="213" t="s">
        <v>40</v>
      </c>
      <c r="C4" s="213" t="s">
        <v>41</v>
      </c>
    </row>
    <row r="5" spans="1:17" x14ac:dyDescent="0.25">
      <c r="B5" s="49" t="s">
        <v>42</v>
      </c>
      <c r="C5" s="50">
        <f>SUM(E13:E1263)</f>
        <v>40526879</v>
      </c>
      <c r="E5" s="214" t="s">
        <v>152</v>
      </c>
      <c r="H5" s="51"/>
      <c r="I5" s="282"/>
    </row>
    <row r="6" spans="1:17" ht="16.5" x14ac:dyDescent="0.3">
      <c r="B6" s="49" t="s">
        <v>43</v>
      </c>
      <c r="C6" s="50">
        <f>SUM(F13:F1264)</f>
        <v>25151622</v>
      </c>
      <c r="E6" s="266">
        <f>+C7-Récapitulatif!I19</f>
        <v>-7.3000043630599976E-4</v>
      </c>
      <c r="J6" s="51"/>
      <c r="K6" s="278"/>
      <c r="N6" s="129"/>
    </row>
    <row r="7" spans="1:17" ht="16.5" x14ac:dyDescent="0.3">
      <c r="B7" s="49" t="s">
        <v>44</v>
      </c>
      <c r="C7" s="50">
        <f>C2+C5-C6</f>
        <v>33471402.99927</v>
      </c>
      <c r="D7" s="476">
        <f>C7-Récapitulatif!I19</f>
        <v>-7.3000043630599976E-4</v>
      </c>
      <c r="K7" s="278"/>
      <c r="N7" s="129"/>
    </row>
    <row r="9" spans="1:17" ht="16.5" x14ac:dyDescent="0.3">
      <c r="B9" s="151"/>
    </row>
    <row r="11" spans="1:17" ht="15.75" x14ac:dyDescent="0.25">
      <c r="A11" s="204" t="s">
        <v>4</v>
      </c>
      <c r="B11" s="205" t="s">
        <v>45</v>
      </c>
      <c r="C11" s="205" t="s">
        <v>46</v>
      </c>
      <c r="D11" s="205" t="s">
        <v>47</v>
      </c>
      <c r="E11" s="216" t="s">
        <v>48</v>
      </c>
      <c r="F11" s="379" t="s">
        <v>49</v>
      </c>
      <c r="G11" s="206" t="s">
        <v>50</v>
      </c>
      <c r="H11" s="205" t="s">
        <v>51</v>
      </c>
      <c r="I11" s="218" t="s">
        <v>52</v>
      </c>
      <c r="J11" s="205" t="s">
        <v>53</v>
      </c>
      <c r="K11" s="205" t="s">
        <v>54</v>
      </c>
      <c r="L11" s="205" t="s">
        <v>55</v>
      </c>
      <c r="M11" s="205" t="s">
        <v>127</v>
      </c>
      <c r="N11" s="205" t="s">
        <v>57</v>
      </c>
      <c r="O11" s="205" t="s">
        <v>56</v>
      </c>
      <c r="P11" s="190"/>
      <c r="Q11" s="222" t="s">
        <v>140</v>
      </c>
    </row>
    <row r="12" spans="1:17" ht="15.75" x14ac:dyDescent="0.25">
      <c r="A12" s="300">
        <v>44256</v>
      </c>
      <c r="B12" s="307" t="s">
        <v>219</v>
      </c>
      <c r="C12" s="307"/>
      <c r="D12" s="307"/>
      <c r="E12" s="402"/>
      <c r="F12" s="403"/>
      <c r="G12" s="404">
        <f>+C2</f>
        <v>18096145.99927</v>
      </c>
      <c r="H12" s="307"/>
      <c r="I12" s="313"/>
      <c r="J12" s="307"/>
      <c r="K12" s="307"/>
      <c r="L12" s="307"/>
      <c r="M12" s="307"/>
      <c r="N12" s="307"/>
      <c r="O12" s="307"/>
      <c r="P12" s="280"/>
      <c r="Q12" s="281"/>
    </row>
    <row r="13" spans="1:17" ht="15.75" x14ac:dyDescent="0.25">
      <c r="A13" s="300">
        <v>44256</v>
      </c>
      <c r="B13" s="310" t="s">
        <v>77</v>
      </c>
      <c r="C13" s="310" t="s">
        <v>120</v>
      </c>
      <c r="D13" s="499"/>
      <c r="E13" s="437"/>
      <c r="F13" s="437">
        <v>34000</v>
      </c>
      <c r="G13" s="394">
        <f>G12+E13-F13</f>
        <v>18062145.99927</v>
      </c>
      <c r="H13" s="310" t="s">
        <v>62</v>
      </c>
      <c r="I13" s="304"/>
      <c r="J13" s="387"/>
      <c r="K13" s="302"/>
      <c r="L13" s="302"/>
      <c r="M13" s="303"/>
      <c r="N13" s="431"/>
      <c r="O13" s="303"/>
      <c r="P13" s="290"/>
    </row>
    <row r="14" spans="1:17" s="152" customFormat="1" ht="15" customHeight="1" x14ac:dyDescent="0.25">
      <c r="A14" s="300">
        <v>44256</v>
      </c>
      <c r="B14" s="310" t="s">
        <v>142</v>
      </c>
      <c r="C14" s="310" t="s">
        <v>120</v>
      </c>
      <c r="D14" s="499"/>
      <c r="E14" s="440"/>
      <c r="F14" s="544">
        <v>16000</v>
      </c>
      <c r="G14" s="394">
        <f>G13+E14-F14</f>
        <v>18046145.99927</v>
      </c>
      <c r="H14" s="310" t="s">
        <v>62</v>
      </c>
      <c r="I14" s="304"/>
      <c r="J14" s="386"/>
      <c r="K14" s="302"/>
      <c r="L14" s="302"/>
      <c r="M14" s="303"/>
      <c r="N14" s="431"/>
      <c r="O14" s="303"/>
      <c r="P14" s="393"/>
    </row>
    <row r="15" spans="1:17" s="152" customFormat="1" ht="15" customHeight="1" x14ac:dyDescent="0.25">
      <c r="A15" s="300">
        <v>44256</v>
      </c>
      <c r="B15" s="310" t="s">
        <v>244</v>
      </c>
      <c r="C15" s="306" t="s">
        <v>153</v>
      </c>
      <c r="D15" s="521" t="s">
        <v>21</v>
      </c>
      <c r="E15" s="440"/>
      <c r="F15" s="544">
        <v>89175</v>
      </c>
      <c r="G15" s="394">
        <f t="shared" ref="G15:G78" si="0">G14+E15-F15</f>
        <v>17956970.99927</v>
      </c>
      <c r="H15" s="310" t="s">
        <v>62</v>
      </c>
      <c r="I15" s="313" t="s">
        <v>75</v>
      </c>
      <c r="J15" s="313" t="s">
        <v>157</v>
      </c>
      <c r="K15" s="302" t="s">
        <v>402</v>
      </c>
      <c r="L15" s="302" t="s">
        <v>410</v>
      </c>
      <c r="M15" s="304" t="s">
        <v>544</v>
      </c>
      <c r="N15" s="431" t="s">
        <v>428</v>
      </c>
      <c r="O15" s="303"/>
      <c r="P15" s="393"/>
    </row>
    <row r="16" spans="1:17" s="152" customFormat="1" ht="15" customHeight="1" x14ac:dyDescent="0.25">
      <c r="A16" s="300">
        <v>44256</v>
      </c>
      <c r="B16" s="406" t="s">
        <v>505</v>
      </c>
      <c r="C16" s="417" t="s">
        <v>20</v>
      </c>
      <c r="D16" s="298" t="s">
        <v>31</v>
      </c>
      <c r="E16" s="448"/>
      <c r="F16" s="544">
        <v>42000</v>
      </c>
      <c r="G16" s="394">
        <f t="shared" si="0"/>
        <v>17914970.99927</v>
      </c>
      <c r="H16" s="310" t="s">
        <v>62</v>
      </c>
      <c r="I16" s="313" t="s">
        <v>75</v>
      </c>
      <c r="J16" s="389" t="s">
        <v>157</v>
      </c>
      <c r="K16" s="420" t="s">
        <v>402</v>
      </c>
      <c r="L16" s="302" t="s">
        <v>410</v>
      </c>
      <c r="M16" s="304" t="s">
        <v>545</v>
      </c>
      <c r="N16" s="431" t="s">
        <v>415</v>
      </c>
      <c r="O16" s="303"/>
    </row>
    <row r="17" spans="1:17" s="152" customFormat="1" ht="15" customHeight="1" x14ac:dyDescent="0.25">
      <c r="A17" s="300">
        <v>44256</v>
      </c>
      <c r="B17" s="406" t="s">
        <v>446</v>
      </c>
      <c r="C17" s="516" t="s">
        <v>20</v>
      </c>
      <c r="D17" s="521" t="s">
        <v>121</v>
      </c>
      <c r="E17" s="448"/>
      <c r="F17" s="544">
        <v>83000</v>
      </c>
      <c r="G17" s="394">
        <f t="shared" si="0"/>
        <v>17831970.99927</v>
      </c>
      <c r="H17" s="310" t="s">
        <v>62</v>
      </c>
      <c r="I17" s="313" t="s">
        <v>75</v>
      </c>
      <c r="J17" s="386" t="s">
        <v>157</v>
      </c>
      <c r="K17" s="420" t="s">
        <v>402</v>
      </c>
      <c r="L17" s="302" t="s">
        <v>410</v>
      </c>
      <c r="M17" s="304" t="s">
        <v>546</v>
      </c>
      <c r="N17" s="431" t="s">
        <v>415</v>
      </c>
      <c r="O17" s="303"/>
    </row>
    <row r="18" spans="1:17" s="152" customFormat="1" ht="15" customHeight="1" x14ac:dyDescent="0.25">
      <c r="A18" s="300">
        <v>44256</v>
      </c>
      <c r="B18" s="406" t="s">
        <v>447</v>
      </c>
      <c r="C18" s="516" t="s">
        <v>20</v>
      </c>
      <c r="D18" s="405" t="s">
        <v>61</v>
      </c>
      <c r="E18" s="453"/>
      <c r="F18" s="544">
        <v>11000</v>
      </c>
      <c r="G18" s="394">
        <f t="shared" si="0"/>
        <v>17820970.99927</v>
      </c>
      <c r="H18" s="310" t="s">
        <v>62</v>
      </c>
      <c r="I18" s="313" t="s">
        <v>75</v>
      </c>
      <c r="J18" s="386" t="s">
        <v>157</v>
      </c>
      <c r="K18" s="420" t="s">
        <v>402</v>
      </c>
      <c r="L18" s="302" t="s">
        <v>410</v>
      </c>
      <c r="M18" s="304" t="s">
        <v>547</v>
      </c>
      <c r="N18" s="431" t="s">
        <v>415</v>
      </c>
      <c r="O18" s="303"/>
    </row>
    <row r="19" spans="1:17" s="152" customFormat="1" ht="15" customHeight="1" x14ac:dyDescent="0.25">
      <c r="A19" s="300">
        <v>44256</v>
      </c>
      <c r="B19" s="406" t="s">
        <v>448</v>
      </c>
      <c r="C19" s="516" t="s">
        <v>20</v>
      </c>
      <c r="D19" s="405" t="s">
        <v>19</v>
      </c>
      <c r="E19" s="453"/>
      <c r="F19" s="544">
        <v>53000</v>
      </c>
      <c r="G19" s="394">
        <f t="shared" si="0"/>
        <v>17767970.99927</v>
      </c>
      <c r="H19" s="310" t="s">
        <v>62</v>
      </c>
      <c r="I19" s="313" t="s">
        <v>75</v>
      </c>
      <c r="J19" s="386" t="s">
        <v>157</v>
      </c>
      <c r="K19" s="420" t="s">
        <v>402</v>
      </c>
      <c r="L19" s="302" t="s">
        <v>410</v>
      </c>
      <c r="M19" s="304" t="s">
        <v>548</v>
      </c>
      <c r="N19" s="431" t="s">
        <v>415</v>
      </c>
      <c r="O19" s="303"/>
    </row>
    <row r="20" spans="1:17" s="152" customFormat="1" ht="15" customHeight="1" x14ac:dyDescent="0.25">
      <c r="A20" s="300">
        <v>44256</v>
      </c>
      <c r="B20" s="406" t="s">
        <v>506</v>
      </c>
      <c r="C20" s="516" t="s">
        <v>20</v>
      </c>
      <c r="D20" s="298" t="s">
        <v>31</v>
      </c>
      <c r="E20" s="437"/>
      <c r="F20" s="544">
        <v>40000</v>
      </c>
      <c r="G20" s="394">
        <f t="shared" si="0"/>
        <v>17727970.99927</v>
      </c>
      <c r="H20" s="310" t="s">
        <v>62</v>
      </c>
      <c r="I20" s="313" t="s">
        <v>75</v>
      </c>
      <c r="J20" s="386" t="s">
        <v>157</v>
      </c>
      <c r="K20" s="420" t="s">
        <v>402</v>
      </c>
      <c r="L20" s="302" t="s">
        <v>410</v>
      </c>
      <c r="M20" s="304" t="s">
        <v>549</v>
      </c>
      <c r="N20" s="431" t="s">
        <v>415</v>
      </c>
      <c r="O20" s="303"/>
    </row>
    <row r="21" spans="1:17" s="152" customFormat="1" ht="15" customHeight="1" x14ac:dyDescent="0.25">
      <c r="A21" s="300">
        <v>44256</v>
      </c>
      <c r="B21" s="406" t="s">
        <v>449</v>
      </c>
      <c r="C21" s="567" t="s">
        <v>20</v>
      </c>
      <c r="D21" s="300" t="s">
        <v>121</v>
      </c>
      <c r="E21" s="437"/>
      <c r="F21" s="441">
        <v>72000</v>
      </c>
      <c r="G21" s="394">
        <f t="shared" si="0"/>
        <v>17655970.99927</v>
      </c>
      <c r="H21" s="310" t="s">
        <v>62</v>
      </c>
      <c r="I21" s="396" t="s">
        <v>75</v>
      </c>
      <c r="J21" s="386" t="s">
        <v>157</v>
      </c>
      <c r="K21" s="420" t="s">
        <v>402</v>
      </c>
      <c r="L21" s="302" t="s">
        <v>410</v>
      </c>
      <c r="M21" s="304" t="s">
        <v>550</v>
      </c>
      <c r="N21" s="431" t="s">
        <v>415</v>
      </c>
      <c r="O21" s="303"/>
    </row>
    <row r="22" spans="1:17" s="152" customFormat="1" ht="15" customHeight="1" x14ac:dyDescent="0.25">
      <c r="A22" s="300">
        <v>44256</v>
      </c>
      <c r="B22" s="406" t="s">
        <v>450</v>
      </c>
      <c r="C22" s="567" t="s">
        <v>20</v>
      </c>
      <c r="D22" s="305" t="s">
        <v>61</v>
      </c>
      <c r="E22" s="440"/>
      <c r="F22" s="441">
        <v>10000</v>
      </c>
      <c r="G22" s="394">
        <f t="shared" si="0"/>
        <v>17645970.99927</v>
      </c>
      <c r="H22" s="310" t="s">
        <v>62</v>
      </c>
      <c r="I22" s="396" t="s">
        <v>75</v>
      </c>
      <c r="J22" s="386" t="s">
        <v>157</v>
      </c>
      <c r="K22" s="420" t="s">
        <v>402</v>
      </c>
      <c r="L22" s="302" t="s">
        <v>410</v>
      </c>
      <c r="M22" s="304" t="s">
        <v>551</v>
      </c>
      <c r="N22" s="431" t="s">
        <v>415</v>
      </c>
      <c r="O22" s="303"/>
    </row>
    <row r="23" spans="1:17" s="152" customFormat="1" ht="15" customHeight="1" x14ac:dyDescent="0.25">
      <c r="A23" s="300">
        <v>44256</v>
      </c>
      <c r="B23" s="406" t="s">
        <v>451</v>
      </c>
      <c r="C23" s="567" t="s">
        <v>20</v>
      </c>
      <c r="D23" s="305" t="s">
        <v>19</v>
      </c>
      <c r="E23" s="440"/>
      <c r="F23" s="441">
        <v>61000</v>
      </c>
      <c r="G23" s="394">
        <f t="shared" si="0"/>
        <v>17584970.99927</v>
      </c>
      <c r="H23" s="310" t="s">
        <v>62</v>
      </c>
      <c r="I23" s="396" t="s">
        <v>75</v>
      </c>
      <c r="J23" s="386" t="s">
        <v>157</v>
      </c>
      <c r="K23" s="420" t="s">
        <v>402</v>
      </c>
      <c r="L23" s="302" t="s">
        <v>410</v>
      </c>
      <c r="M23" s="304" t="s">
        <v>552</v>
      </c>
      <c r="N23" s="431" t="s">
        <v>415</v>
      </c>
      <c r="O23" s="303"/>
    </row>
    <row r="24" spans="1:17" ht="15" customHeight="1" x14ac:dyDescent="0.25">
      <c r="A24" s="300">
        <v>44256</v>
      </c>
      <c r="B24" s="310" t="s">
        <v>429</v>
      </c>
      <c r="C24" s="499" t="s">
        <v>26</v>
      </c>
      <c r="D24" s="499" t="s">
        <v>61</v>
      </c>
      <c r="E24" s="440"/>
      <c r="F24" s="441">
        <v>50000</v>
      </c>
      <c r="G24" s="394">
        <f t="shared" si="0"/>
        <v>17534970.99927</v>
      </c>
      <c r="H24" s="310" t="s">
        <v>62</v>
      </c>
      <c r="I24" s="384" t="s">
        <v>134</v>
      </c>
      <c r="J24" s="418" t="s">
        <v>702</v>
      </c>
      <c r="K24" s="419" t="s">
        <v>401</v>
      </c>
      <c r="L24" s="302" t="s">
        <v>410</v>
      </c>
      <c r="M24" s="303"/>
      <c r="N24" s="433"/>
      <c r="O24" s="303"/>
      <c r="P24" s="287"/>
    </row>
    <row r="25" spans="1:17" s="152" customFormat="1" ht="15" customHeight="1" x14ac:dyDescent="0.25">
      <c r="A25" s="300">
        <v>44256</v>
      </c>
      <c r="B25" s="310" t="s">
        <v>77</v>
      </c>
      <c r="C25" s="310" t="s">
        <v>243</v>
      </c>
      <c r="D25" s="312"/>
      <c r="E25" s="437"/>
      <c r="F25" s="441">
        <v>10000</v>
      </c>
      <c r="G25" s="394">
        <f t="shared" si="0"/>
        <v>17524970.99927</v>
      </c>
      <c r="H25" s="310" t="s">
        <v>62</v>
      </c>
      <c r="I25" s="311"/>
      <c r="J25" s="386"/>
      <c r="K25" s="302"/>
      <c r="L25" s="302"/>
      <c r="M25" s="303"/>
      <c r="N25" s="431"/>
      <c r="O25" s="307"/>
      <c r="P25" s="393"/>
    </row>
    <row r="26" spans="1:17" ht="15" customHeight="1" x14ac:dyDescent="0.25">
      <c r="A26" s="300">
        <v>44256</v>
      </c>
      <c r="B26" s="310" t="s">
        <v>245</v>
      </c>
      <c r="C26" s="310" t="s">
        <v>73</v>
      </c>
      <c r="D26" s="306" t="s">
        <v>121</v>
      </c>
      <c r="E26" s="437"/>
      <c r="F26" s="441">
        <v>14000</v>
      </c>
      <c r="G26" s="394">
        <f t="shared" si="0"/>
        <v>17510970.99927</v>
      </c>
      <c r="H26" s="310" t="s">
        <v>62</v>
      </c>
      <c r="I26" s="311" t="s">
        <v>134</v>
      </c>
      <c r="J26" s="418" t="s">
        <v>702</v>
      </c>
      <c r="K26" s="302" t="s">
        <v>401</v>
      </c>
      <c r="L26" s="302" t="s">
        <v>410</v>
      </c>
      <c r="M26" s="303"/>
      <c r="N26" s="432"/>
      <c r="O26" s="303"/>
      <c r="P26" s="287"/>
    </row>
    <row r="27" spans="1:17" s="152" customFormat="1" ht="15" customHeight="1" x14ac:dyDescent="0.25">
      <c r="A27" s="300">
        <v>44256</v>
      </c>
      <c r="B27" s="301" t="s">
        <v>514</v>
      </c>
      <c r="C27" s="310" t="s">
        <v>72</v>
      </c>
      <c r="D27" s="298" t="s">
        <v>31</v>
      </c>
      <c r="E27" s="534"/>
      <c r="F27" s="447">
        <v>10000</v>
      </c>
      <c r="G27" s="394">
        <f t="shared" si="0"/>
        <v>17500970.99927</v>
      </c>
      <c r="H27" s="307" t="s">
        <v>68</v>
      </c>
      <c r="I27" s="396" t="s">
        <v>75</v>
      </c>
      <c r="J27" s="386" t="s">
        <v>157</v>
      </c>
      <c r="K27" s="302" t="s">
        <v>402</v>
      </c>
      <c r="L27" s="302" t="s">
        <v>410</v>
      </c>
      <c r="M27" s="304" t="s">
        <v>553</v>
      </c>
      <c r="N27" s="431" t="s">
        <v>452</v>
      </c>
      <c r="O27" s="303"/>
    </row>
    <row r="28" spans="1:17" s="152" customFormat="1" ht="15" customHeight="1" x14ac:dyDescent="0.25">
      <c r="A28" s="300">
        <v>44256</v>
      </c>
      <c r="B28" s="301" t="s">
        <v>340</v>
      </c>
      <c r="C28" s="310" t="s">
        <v>156</v>
      </c>
      <c r="D28" s="298" t="s">
        <v>31</v>
      </c>
      <c r="E28" s="534"/>
      <c r="F28" s="447">
        <v>50000</v>
      </c>
      <c r="G28" s="394">
        <f t="shared" si="0"/>
        <v>17450970.99927</v>
      </c>
      <c r="H28" s="307" t="s">
        <v>68</v>
      </c>
      <c r="I28" s="311" t="s">
        <v>134</v>
      </c>
      <c r="J28" s="386" t="s">
        <v>157</v>
      </c>
      <c r="K28" s="302" t="s">
        <v>402</v>
      </c>
      <c r="L28" s="302" t="s">
        <v>410</v>
      </c>
      <c r="M28" s="304" t="s">
        <v>554</v>
      </c>
      <c r="N28" s="431" t="s">
        <v>453</v>
      </c>
      <c r="O28" s="303"/>
    </row>
    <row r="29" spans="1:17" ht="15" customHeight="1" x14ac:dyDescent="0.25">
      <c r="A29" s="300">
        <v>44256</v>
      </c>
      <c r="B29" s="405" t="s">
        <v>352</v>
      </c>
      <c r="C29" s="310" t="s">
        <v>120</v>
      </c>
      <c r="D29" s="312"/>
      <c r="E29" s="439">
        <v>34000</v>
      </c>
      <c r="F29" s="438"/>
      <c r="G29" s="394">
        <f t="shared" si="0"/>
        <v>17484970.99927</v>
      </c>
      <c r="H29" s="301" t="s">
        <v>77</v>
      </c>
      <c r="I29" s="384"/>
      <c r="J29" s="386"/>
      <c r="K29" s="302"/>
      <c r="L29" s="302"/>
      <c r="M29" s="303"/>
      <c r="N29" s="431"/>
      <c r="O29" s="303"/>
      <c r="P29" s="287"/>
      <c r="Q29" s="269"/>
    </row>
    <row r="30" spans="1:17" s="152" customFormat="1" ht="15" customHeight="1" x14ac:dyDescent="0.25">
      <c r="A30" s="300">
        <v>44256</v>
      </c>
      <c r="B30" s="298" t="s">
        <v>353</v>
      </c>
      <c r="C30" s="306" t="s">
        <v>73</v>
      </c>
      <c r="D30" s="300" t="s">
        <v>121</v>
      </c>
      <c r="E30" s="439"/>
      <c r="F30" s="439">
        <v>30000</v>
      </c>
      <c r="G30" s="394">
        <f t="shared" si="0"/>
        <v>17454970.99927</v>
      </c>
      <c r="H30" s="301" t="s">
        <v>77</v>
      </c>
      <c r="I30" s="396" t="s">
        <v>75</v>
      </c>
      <c r="J30" s="418" t="s">
        <v>702</v>
      </c>
      <c r="K30" s="302" t="s">
        <v>401</v>
      </c>
      <c r="L30" s="302" t="s">
        <v>410</v>
      </c>
      <c r="M30" s="303"/>
      <c r="N30" s="431"/>
      <c r="O30" s="303"/>
      <c r="P30" s="287"/>
    </row>
    <row r="31" spans="1:17" ht="15.75" x14ac:dyDescent="0.25">
      <c r="A31" s="300">
        <v>44256</v>
      </c>
      <c r="B31" s="405" t="s">
        <v>352</v>
      </c>
      <c r="C31" s="310" t="s">
        <v>120</v>
      </c>
      <c r="D31" s="312"/>
      <c r="E31" s="439">
        <v>10000</v>
      </c>
      <c r="F31" s="438"/>
      <c r="G31" s="394">
        <f t="shared" si="0"/>
        <v>17464970.99927</v>
      </c>
      <c r="H31" s="301" t="s">
        <v>77</v>
      </c>
      <c r="I31" s="384"/>
      <c r="J31" s="386"/>
      <c r="K31" s="302"/>
      <c r="L31" s="302"/>
      <c r="M31" s="303"/>
      <c r="N31" s="431"/>
      <c r="O31" s="303"/>
      <c r="P31" s="287"/>
      <c r="Q31" s="152"/>
    </row>
    <row r="32" spans="1:17" s="152" customFormat="1" ht="15" customHeight="1" x14ac:dyDescent="0.25">
      <c r="A32" s="300">
        <v>44256</v>
      </c>
      <c r="B32" s="298" t="s">
        <v>354</v>
      </c>
      <c r="C32" s="306" t="s">
        <v>73</v>
      </c>
      <c r="D32" s="300" t="s">
        <v>121</v>
      </c>
      <c r="E32" s="439"/>
      <c r="F32" s="438">
        <v>4000</v>
      </c>
      <c r="G32" s="394">
        <f t="shared" si="0"/>
        <v>17460970.99927</v>
      </c>
      <c r="H32" s="301" t="s">
        <v>77</v>
      </c>
      <c r="I32" s="396" t="s">
        <v>75</v>
      </c>
      <c r="J32" s="386" t="s">
        <v>400</v>
      </c>
      <c r="K32" s="302" t="s">
        <v>401</v>
      </c>
      <c r="L32" s="302" t="s">
        <v>410</v>
      </c>
      <c r="M32" s="303"/>
      <c r="N32" s="431"/>
      <c r="O32" s="303"/>
      <c r="P32" s="393"/>
    </row>
    <row r="33" spans="1:17" s="152" customFormat="1" ht="15.75" x14ac:dyDescent="0.25">
      <c r="A33" s="300">
        <v>44256</v>
      </c>
      <c r="B33" s="302" t="s">
        <v>365</v>
      </c>
      <c r="C33" s="310" t="s">
        <v>156</v>
      </c>
      <c r="D33" s="405" t="s">
        <v>31</v>
      </c>
      <c r="E33" s="543"/>
      <c r="F33" s="448">
        <v>50000</v>
      </c>
      <c r="G33" s="394">
        <f t="shared" si="0"/>
        <v>17410970.99927</v>
      </c>
      <c r="H33" s="302" t="s">
        <v>67</v>
      </c>
      <c r="I33" s="311" t="s">
        <v>134</v>
      </c>
      <c r="J33" s="386" t="s">
        <v>157</v>
      </c>
      <c r="K33" s="302" t="s">
        <v>402</v>
      </c>
      <c r="L33" s="302" t="s">
        <v>410</v>
      </c>
      <c r="M33" s="304" t="s">
        <v>555</v>
      </c>
      <c r="N33" s="431" t="s">
        <v>453</v>
      </c>
      <c r="O33" s="303"/>
    </row>
    <row r="34" spans="1:17" s="191" customFormat="1" ht="15.75" x14ac:dyDescent="0.25">
      <c r="A34" s="300">
        <v>44256</v>
      </c>
      <c r="B34" s="302" t="s">
        <v>521</v>
      </c>
      <c r="C34" s="310" t="s">
        <v>72</v>
      </c>
      <c r="D34" s="298" t="s">
        <v>31</v>
      </c>
      <c r="E34" s="543"/>
      <c r="F34" s="448">
        <v>9000</v>
      </c>
      <c r="G34" s="394">
        <f t="shared" si="0"/>
        <v>17401970.99927</v>
      </c>
      <c r="H34" s="302" t="s">
        <v>67</v>
      </c>
      <c r="I34" s="396" t="s">
        <v>75</v>
      </c>
      <c r="J34" s="386" t="s">
        <v>157</v>
      </c>
      <c r="K34" s="302" t="s">
        <v>402</v>
      </c>
      <c r="L34" s="302" t="s">
        <v>410</v>
      </c>
      <c r="M34" s="304" t="s">
        <v>556</v>
      </c>
      <c r="N34" s="431" t="s">
        <v>452</v>
      </c>
      <c r="O34" s="303"/>
      <c r="P34" s="287"/>
    </row>
    <row r="35" spans="1:17" s="191" customFormat="1" ht="15.75" x14ac:dyDescent="0.25">
      <c r="A35" s="300">
        <v>44256</v>
      </c>
      <c r="B35" s="302" t="s">
        <v>366</v>
      </c>
      <c r="C35" s="310" t="s">
        <v>72</v>
      </c>
      <c r="D35" s="405" t="s">
        <v>31</v>
      </c>
      <c r="E35" s="543"/>
      <c r="F35" s="448">
        <v>4000</v>
      </c>
      <c r="G35" s="394">
        <f t="shared" si="0"/>
        <v>17397970.99927</v>
      </c>
      <c r="H35" s="302" t="s">
        <v>67</v>
      </c>
      <c r="I35" s="396" t="s">
        <v>75</v>
      </c>
      <c r="J35" s="386" t="s">
        <v>400</v>
      </c>
      <c r="K35" s="302" t="s">
        <v>401</v>
      </c>
      <c r="L35" s="302" t="s">
        <v>410</v>
      </c>
      <c r="M35" s="303"/>
      <c r="N35" s="431"/>
      <c r="O35" s="303"/>
      <c r="P35" s="287"/>
    </row>
    <row r="36" spans="1:17" s="191" customFormat="1" ht="15.75" x14ac:dyDescent="0.25">
      <c r="A36" s="300">
        <v>44256</v>
      </c>
      <c r="B36" s="405" t="s">
        <v>465</v>
      </c>
      <c r="C36" s="499" t="s">
        <v>120</v>
      </c>
      <c r="D36" s="310"/>
      <c r="E36" s="437">
        <v>16000</v>
      </c>
      <c r="F36" s="451"/>
      <c r="G36" s="394">
        <f t="shared" si="0"/>
        <v>17413970.99927</v>
      </c>
      <c r="H36" s="303" t="s">
        <v>142</v>
      </c>
      <c r="I36" s="384"/>
      <c r="J36" s="386"/>
      <c r="K36" s="302"/>
      <c r="L36" s="302"/>
      <c r="M36" s="303"/>
      <c r="N36" s="431"/>
      <c r="O36" s="303"/>
      <c r="P36" s="287"/>
    </row>
    <row r="37" spans="1:17" s="191" customFormat="1" ht="15.75" x14ac:dyDescent="0.25">
      <c r="A37" s="300">
        <v>44257</v>
      </c>
      <c r="B37" s="405" t="s">
        <v>220</v>
      </c>
      <c r="C37" s="405" t="s">
        <v>120</v>
      </c>
      <c r="D37" s="305"/>
      <c r="E37" s="452"/>
      <c r="F37" s="440">
        <v>1000000</v>
      </c>
      <c r="G37" s="394">
        <f t="shared" si="0"/>
        <v>16413970.99927</v>
      </c>
      <c r="H37" s="301" t="s">
        <v>58</v>
      </c>
      <c r="I37" s="311">
        <v>3654433</v>
      </c>
      <c r="J37" s="386"/>
      <c r="K37" s="302"/>
      <c r="L37" s="302"/>
      <c r="M37" s="303"/>
      <c r="N37" s="431"/>
      <c r="O37" s="303"/>
      <c r="P37" s="287"/>
    </row>
    <row r="38" spans="1:17" s="191" customFormat="1" ht="15.75" x14ac:dyDescent="0.25">
      <c r="A38" s="300">
        <v>44257</v>
      </c>
      <c r="B38" s="499" t="s">
        <v>246</v>
      </c>
      <c r="C38" s="499" t="s">
        <v>120</v>
      </c>
      <c r="D38" s="310"/>
      <c r="E38" s="437"/>
      <c r="F38" s="441">
        <v>14000</v>
      </c>
      <c r="G38" s="394">
        <f t="shared" si="0"/>
        <v>16399970.99927</v>
      </c>
      <c r="H38" s="310" t="s">
        <v>62</v>
      </c>
      <c r="I38" s="311"/>
      <c r="J38" s="386"/>
      <c r="K38" s="302"/>
      <c r="L38" s="302"/>
      <c r="M38" s="303"/>
      <c r="N38" s="431"/>
      <c r="O38" s="303"/>
      <c r="P38" s="287"/>
    </row>
    <row r="39" spans="1:17" s="191" customFormat="1" ht="15.75" x14ac:dyDescent="0.25">
      <c r="A39" s="300">
        <v>44257</v>
      </c>
      <c r="B39" s="499" t="s">
        <v>142</v>
      </c>
      <c r="C39" s="499" t="s">
        <v>120</v>
      </c>
      <c r="D39" s="310"/>
      <c r="E39" s="437"/>
      <c r="F39" s="441">
        <v>10000</v>
      </c>
      <c r="G39" s="394">
        <f t="shared" si="0"/>
        <v>16389970.99927</v>
      </c>
      <c r="H39" s="310" t="s">
        <v>62</v>
      </c>
      <c r="I39" s="385"/>
      <c r="J39" s="313"/>
      <c r="K39" s="302"/>
      <c r="L39" s="302"/>
      <c r="M39" s="303"/>
      <c r="N39" s="431"/>
      <c r="O39" s="303"/>
      <c r="P39" s="287"/>
    </row>
    <row r="40" spans="1:17" s="269" customFormat="1" ht="15" customHeight="1" x14ac:dyDescent="0.25">
      <c r="A40" s="300">
        <v>44257</v>
      </c>
      <c r="B40" s="499" t="s">
        <v>154</v>
      </c>
      <c r="C40" s="499" t="s">
        <v>120</v>
      </c>
      <c r="D40" s="310"/>
      <c r="E40" s="437"/>
      <c r="F40" s="441">
        <v>119000</v>
      </c>
      <c r="G40" s="394">
        <f t="shared" si="0"/>
        <v>16270970.99927</v>
      </c>
      <c r="H40" s="310" t="s">
        <v>62</v>
      </c>
      <c r="I40" s="396"/>
      <c r="J40" s="386"/>
      <c r="K40" s="302"/>
      <c r="L40" s="302"/>
      <c r="M40" s="303"/>
      <c r="N40" s="431"/>
      <c r="O40" s="303"/>
      <c r="P40" s="287"/>
      <c r="Q40" s="152"/>
    </row>
    <row r="41" spans="1:17" s="269" customFormat="1" ht="15" customHeight="1" x14ac:dyDescent="0.25">
      <c r="A41" s="300">
        <v>44257</v>
      </c>
      <c r="B41" s="499" t="s">
        <v>67</v>
      </c>
      <c r="C41" s="499" t="s">
        <v>120</v>
      </c>
      <c r="D41" s="312"/>
      <c r="E41" s="437"/>
      <c r="F41" s="441">
        <v>118000</v>
      </c>
      <c r="G41" s="394">
        <f t="shared" si="0"/>
        <v>16152970.99927</v>
      </c>
      <c r="H41" s="310" t="s">
        <v>62</v>
      </c>
      <c r="I41" s="311"/>
      <c r="J41" s="386"/>
      <c r="K41" s="302"/>
      <c r="L41" s="302"/>
      <c r="M41" s="303"/>
      <c r="N41" s="431"/>
      <c r="O41" s="303"/>
      <c r="P41" s="287"/>
      <c r="Q41" s="152"/>
    </row>
    <row r="42" spans="1:17" s="152" customFormat="1" ht="15" customHeight="1" x14ac:dyDescent="0.25">
      <c r="A42" s="300">
        <v>44257</v>
      </c>
      <c r="B42" s="499" t="s">
        <v>177</v>
      </c>
      <c r="C42" s="521" t="s">
        <v>63</v>
      </c>
      <c r="D42" s="306" t="s">
        <v>21</v>
      </c>
      <c r="E42" s="437"/>
      <c r="F42" s="441">
        <v>7110</v>
      </c>
      <c r="G42" s="394">
        <f t="shared" si="0"/>
        <v>16145860.99927</v>
      </c>
      <c r="H42" s="310" t="s">
        <v>62</v>
      </c>
      <c r="I42" s="396" t="s">
        <v>75</v>
      </c>
      <c r="J42" s="386" t="s">
        <v>157</v>
      </c>
      <c r="K42" s="420" t="s">
        <v>402</v>
      </c>
      <c r="L42" s="302" t="s">
        <v>410</v>
      </c>
      <c r="M42" s="304" t="s">
        <v>557</v>
      </c>
      <c r="N42" s="431" t="s">
        <v>403</v>
      </c>
      <c r="O42" s="303"/>
    </row>
    <row r="43" spans="1:17" s="152" customFormat="1" ht="15" customHeight="1" x14ac:dyDescent="0.25">
      <c r="A43" s="300">
        <v>44257</v>
      </c>
      <c r="B43" s="499" t="s">
        <v>508</v>
      </c>
      <c r="C43" s="521" t="s">
        <v>74</v>
      </c>
      <c r="D43" s="306" t="s">
        <v>21</v>
      </c>
      <c r="E43" s="437"/>
      <c r="F43" s="441">
        <v>1500</v>
      </c>
      <c r="G43" s="394">
        <f t="shared" si="0"/>
        <v>16144360.99927</v>
      </c>
      <c r="H43" s="310" t="s">
        <v>62</v>
      </c>
      <c r="I43" s="396" t="s">
        <v>75</v>
      </c>
      <c r="J43" s="313" t="s">
        <v>157</v>
      </c>
      <c r="K43" s="302" t="s">
        <v>402</v>
      </c>
      <c r="L43" s="302" t="s">
        <v>410</v>
      </c>
      <c r="M43" s="304" t="s">
        <v>558</v>
      </c>
      <c r="N43" s="432" t="s">
        <v>431</v>
      </c>
      <c r="O43" s="303"/>
    </row>
    <row r="44" spans="1:17" s="269" customFormat="1" ht="15" customHeight="1" x14ac:dyDescent="0.25">
      <c r="A44" s="300">
        <v>44257</v>
      </c>
      <c r="B44" s="310" t="s">
        <v>247</v>
      </c>
      <c r="C44" s="306" t="s">
        <v>74</v>
      </c>
      <c r="D44" s="521" t="s">
        <v>21</v>
      </c>
      <c r="E44" s="437"/>
      <c r="F44" s="441">
        <v>7000</v>
      </c>
      <c r="G44" s="394">
        <f t="shared" si="0"/>
        <v>16137360.99927</v>
      </c>
      <c r="H44" s="310" t="s">
        <v>62</v>
      </c>
      <c r="I44" s="396" t="s">
        <v>75</v>
      </c>
      <c r="J44" s="313" t="s">
        <v>400</v>
      </c>
      <c r="K44" s="302" t="s">
        <v>401</v>
      </c>
      <c r="L44" s="302" t="s">
        <v>410</v>
      </c>
      <c r="M44" s="304"/>
      <c r="N44" s="432"/>
      <c r="O44" s="302"/>
      <c r="P44" s="287"/>
      <c r="Q44" s="152"/>
    </row>
    <row r="45" spans="1:17" s="152" customFormat="1" ht="15" customHeight="1" x14ac:dyDescent="0.25">
      <c r="A45" s="300">
        <v>44257</v>
      </c>
      <c r="B45" s="310" t="s">
        <v>248</v>
      </c>
      <c r="C45" s="306" t="s">
        <v>74</v>
      </c>
      <c r="D45" s="306" t="s">
        <v>21</v>
      </c>
      <c r="E45" s="440"/>
      <c r="F45" s="441">
        <v>55000</v>
      </c>
      <c r="G45" s="394">
        <f t="shared" si="0"/>
        <v>16082360.99927</v>
      </c>
      <c r="H45" s="310" t="s">
        <v>62</v>
      </c>
      <c r="I45" s="396" t="s">
        <v>75</v>
      </c>
      <c r="J45" s="313" t="s">
        <v>157</v>
      </c>
      <c r="K45" s="302" t="s">
        <v>402</v>
      </c>
      <c r="L45" s="302" t="s">
        <v>410</v>
      </c>
      <c r="M45" s="304" t="s">
        <v>559</v>
      </c>
      <c r="N45" s="432" t="s">
        <v>431</v>
      </c>
      <c r="O45" s="303"/>
    </row>
    <row r="46" spans="1:17" s="152" customFormat="1" ht="15" customHeight="1" x14ac:dyDescent="0.25">
      <c r="A46" s="300">
        <v>44257</v>
      </c>
      <c r="B46" s="310" t="s">
        <v>249</v>
      </c>
      <c r="C46" s="516" t="s">
        <v>700</v>
      </c>
      <c r="D46" s="298" t="s">
        <v>31</v>
      </c>
      <c r="E46" s="544"/>
      <c r="F46" s="544">
        <v>85000</v>
      </c>
      <c r="G46" s="394">
        <f t="shared" si="0"/>
        <v>15997360.99927</v>
      </c>
      <c r="H46" s="310" t="s">
        <v>62</v>
      </c>
      <c r="I46" s="396" t="s">
        <v>75</v>
      </c>
      <c r="J46" s="313" t="s">
        <v>157</v>
      </c>
      <c r="K46" s="302" t="s">
        <v>402</v>
      </c>
      <c r="L46" s="302" t="s">
        <v>410</v>
      </c>
      <c r="M46" s="304" t="s">
        <v>560</v>
      </c>
      <c r="N46" s="432" t="s">
        <v>415</v>
      </c>
      <c r="O46" s="303"/>
    </row>
    <row r="47" spans="1:17" s="152" customFormat="1" ht="15" customHeight="1" x14ac:dyDescent="0.25">
      <c r="A47" s="300">
        <v>44257</v>
      </c>
      <c r="B47" s="310" t="s">
        <v>250</v>
      </c>
      <c r="C47" s="306" t="s">
        <v>74</v>
      </c>
      <c r="D47" s="300" t="s">
        <v>21</v>
      </c>
      <c r="E47" s="437"/>
      <c r="F47" s="544">
        <v>18000</v>
      </c>
      <c r="G47" s="394">
        <f t="shared" si="0"/>
        <v>15979360.99927</v>
      </c>
      <c r="H47" s="310" t="s">
        <v>62</v>
      </c>
      <c r="I47" s="396" t="s">
        <v>75</v>
      </c>
      <c r="J47" s="313" t="s">
        <v>157</v>
      </c>
      <c r="K47" s="302" t="s">
        <v>402</v>
      </c>
      <c r="L47" s="302" t="s">
        <v>410</v>
      </c>
      <c r="M47" s="304" t="s">
        <v>561</v>
      </c>
      <c r="N47" s="432" t="s">
        <v>431</v>
      </c>
      <c r="O47" s="302"/>
    </row>
    <row r="48" spans="1:17" s="269" customFormat="1" ht="15" customHeight="1" x14ac:dyDescent="0.25">
      <c r="A48" s="300">
        <v>44257</v>
      </c>
      <c r="B48" s="310" t="s">
        <v>77</v>
      </c>
      <c r="C48" s="310" t="s">
        <v>120</v>
      </c>
      <c r="D48" s="312"/>
      <c r="E48" s="437"/>
      <c r="F48" s="544">
        <v>40000</v>
      </c>
      <c r="G48" s="394">
        <f t="shared" si="0"/>
        <v>15939360.99927</v>
      </c>
      <c r="H48" s="310" t="s">
        <v>62</v>
      </c>
      <c r="I48" s="384"/>
      <c r="J48" s="386"/>
      <c r="K48" s="301"/>
      <c r="L48" s="302"/>
      <c r="M48" s="303"/>
      <c r="N48" s="431"/>
      <c r="O48" s="303"/>
      <c r="P48" s="287"/>
      <c r="Q48" s="152"/>
    </row>
    <row r="49" spans="1:17" s="269" customFormat="1" ht="15" customHeight="1" x14ac:dyDescent="0.25">
      <c r="A49" s="300">
        <v>44257</v>
      </c>
      <c r="B49" s="310" t="s">
        <v>91</v>
      </c>
      <c r="C49" s="310" t="s">
        <v>120</v>
      </c>
      <c r="D49" s="312"/>
      <c r="E49" s="437"/>
      <c r="F49" s="544">
        <v>10000</v>
      </c>
      <c r="G49" s="394">
        <f t="shared" si="0"/>
        <v>15929360.99927</v>
      </c>
      <c r="H49" s="310" t="s">
        <v>62</v>
      </c>
      <c r="I49" s="311"/>
      <c r="J49" s="386"/>
      <c r="K49" s="302"/>
      <c r="L49" s="302"/>
      <c r="M49" s="303"/>
      <c r="N49" s="431"/>
      <c r="O49" s="303"/>
      <c r="P49" s="287"/>
      <c r="Q49" s="152"/>
    </row>
    <row r="50" spans="1:17" s="269" customFormat="1" ht="15" customHeight="1" x14ac:dyDescent="0.25">
      <c r="A50" s="300">
        <v>44257</v>
      </c>
      <c r="B50" s="310" t="s">
        <v>58</v>
      </c>
      <c r="C50" s="310" t="s">
        <v>120</v>
      </c>
      <c r="D50" s="310"/>
      <c r="E50" s="437">
        <v>1000000</v>
      </c>
      <c r="F50" s="544"/>
      <c r="G50" s="394">
        <f t="shared" si="0"/>
        <v>16929360.99927</v>
      </c>
      <c r="H50" s="310" t="s">
        <v>62</v>
      </c>
      <c r="I50" s="384"/>
      <c r="J50" s="386"/>
      <c r="K50" s="302"/>
      <c r="L50" s="302"/>
      <c r="M50" s="303"/>
      <c r="N50" s="432"/>
      <c r="O50" s="303"/>
      <c r="P50" s="287"/>
      <c r="Q50" s="152"/>
    </row>
    <row r="51" spans="1:17" s="269" customFormat="1" ht="15" customHeight="1" x14ac:dyDescent="0.25">
      <c r="A51" s="300">
        <v>44257</v>
      </c>
      <c r="B51" s="395" t="s">
        <v>179</v>
      </c>
      <c r="C51" s="395" t="s">
        <v>120</v>
      </c>
      <c r="D51" s="395"/>
      <c r="E51" s="546">
        <v>10000</v>
      </c>
      <c r="F51" s="546"/>
      <c r="G51" s="394">
        <f t="shared" si="0"/>
        <v>16939360.99927</v>
      </c>
      <c r="H51" s="395" t="s">
        <v>91</v>
      </c>
      <c r="I51" s="524"/>
      <c r="J51" s="386"/>
      <c r="K51" s="302"/>
      <c r="L51" s="302"/>
      <c r="M51" s="303"/>
      <c r="N51" s="431"/>
      <c r="O51" s="303"/>
      <c r="P51" s="287"/>
      <c r="Q51" s="152"/>
    </row>
    <row r="52" spans="1:17" s="269" customFormat="1" ht="15" customHeight="1" x14ac:dyDescent="0.25">
      <c r="A52" s="300">
        <v>44257</v>
      </c>
      <c r="B52" s="309" t="s">
        <v>316</v>
      </c>
      <c r="C52" s="309" t="s">
        <v>120</v>
      </c>
      <c r="D52" s="401"/>
      <c r="E52" s="544">
        <v>14000</v>
      </c>
      <c r="F52" s="544"/>
      <c r="G52" s="394">
        <f t="shared" si="0"/>
        <v>16953360.99927</v>
      </c>
      <c r="H52" s="298" t="s">
        <v>123</v>
      </c>
      <c r="I52" s="405"/>
      <c r="J52" s="386"/>
      <c r="K52" s="302"/>
      <c r="L52" s="302"/>
      <c r="M52" s="303"/>
      <c r="N52" s="431"/>
      <c r="O52" s="303"/>
      <c r="P52" s="287"/>
      <c r="Q52" s="152"/>
    </row>
    <row r="53" spans="1:17" s="269" customFormat="1" ht="15" customHeight="1" x14ac:dyDescent="0.25">
      <c r="A53" s="300">
        <v>44257</v>
      </c>
      <c r="B53" s="301" t="s">
        <v>183</v>
      </c>
      <c r="C53" s="306" t="s">
        <v>120</v>
      </c>
      <c r="D53" s="531"/>
      <c r="E53" s="534">
        <v>119000</v>
      </c>
      <c r="F53" s="534"/>
      <c r="G53" s="394">
        <f t="shared" si="0"/>
        <v>17072360.99927</v>
      </c>
      <c r="H53" s="307" t="s">
        <v>68</v>
      </c>
      <c r="I53" s="421"/>
      <c r="J53" s="387"/>
      <c r="K53" s="302"/>
      <c r="L53" s="302"/>
      <c r="M53" s="303"/>
      <c r="N53" s="431"/>
      <c r="O53" s="303"/>
      <c r="P53" s="287"/>
      <c r="Q53" s="152"/>
    </row>
    <row r="54" spans="1:17" s="152" customFormat="1" ht="15" customHeight="1" x14ac:dyDescent="0.25">
      <c r="A54" s="300">
        <v>44257</v>
      </c>
      <c r="B54" s="298" t="s">
        <v>352</v>
      </c>
      <c r="C54" s="310" t="s">
        <v>120</v>
      </c>
      <c r="D54" s="310"/>
      <c r="E54" s="439">
        <v>40000</v>
      </c>
      <c r="F54" s="439"/>
      <c r="G54" s="394">
        <f t="shared" si="0"/>
        <v>17112360.99927</v>
      </c>
      <c r="H54" s="301" t="s">
        <v>77</v>
      </c>
      <c r="I54" s="384"/>
      <c r="J54" s="386"/>
      <c r="K54" s="302"/>
      <c r="L54" s="302"/>
      <c r="M54" s="303"/>
      <c r="N54" s="431"/>
      <c r="O54" s="303"/>
    </row>
    <row r="55" spans="1:17" s="152" customFormat="1" ht="15" customHeight="1" x14ac:dyDescent="0.25">
      <c r="A55" s="300">
        <v>44257</v>
      </c>
      <c r="B55" s="298" t="s">
        <v>355</v>
      </c>
      <c r="C55" s="306" t="s">
        <v>73</v>
      </c>
      <c r="D55" s="306" t="s">
        <v>121</v>
      </c>
      <c r="E55" s="438"/>
      <c r="F55" s="438">
        <v>30000</v>
      </c>
      <c r="G55" s="394">
        <f t="shared" si="0"/>
        <v>17082360.99927</v>
      </c>
      <c r="H55" s="301" t="s">
        <v>77</v>
      </c>
      <c r="I55" s="396" t="s">
        <v>134</v>
      </c>
      <c r="J55" s="386" t="s">
        <v>400</v>
      </c>
      <c r="K55" s="302" t="s">
        <v>401</v>
      </c>
      <c r="L55" s="302" t="s">
        <v>410</v>
      </c>
      <c r="M55" s="303"/>
      <c r="N55" s="431"/>
      <c r="O55" s="303"/>
      <c r="P55" s="287"/>
    </row>
    <row r="56" spans="1:17" s="152" customFormat="1" ht="15" customHeight="1" x14ac:dyDescent="0.25">
      <c r="A56" s="300">
        <v>44257</v>
      </c>
      <c r="B56" s="298" t="s">
        <v>465</v>
      </c>
      <c r="C56" s="310" t="s">
        <v>120</v>
      </c>
      <c r="D56" s="310"/>
      <c r="E56" s="440">
        <v>10000</v>
      </c>
      <c r="F56" s="451"/>
      <c r="G56" s="394">
        <f t="shared" si="0"/>
        <v>17092360.99927</v>
      </c>
      <c r="H56" s="303" t="s">
        <v>142</v>
      </c>
      <c r="I56" s="384"/>
      <c r="J56" s="386"/>
      <c r="K56" s="302"/>
      <c r="L56" s="302"/>
      <c r="M56" s="303"/>
      <c r="N56" s="431"/>
      <c r="O56" s="303"/>
      <c r="P56" s="287"/>
    </row>
    <row r="57" spans="1:17" s="152" customFormat="1" ht="15" customHeight="1" x14ac:dyDescent="0.25">
      <c r="A57" s="300">
        <v>44258</v>
      </c>
      <c r="B57" s="302" t="s">
        <v>542</v>
      </c>
      <c r="C57" s="310" t="s">
        <v>72</v>
      </c>
      <c r="D57" s="298" t="s">
        <v>31</v>
      </c>
      <c r="E57" s="456"/>
      <c r="F57" s="448">
        <v>4000</v>
      </c>
      <c r="G57" s="394">
        <f t="shared" si="0"/>
        <v>17088360.99927</v>
      </c>
      <c r="H57" s="302" t="s">
        <v>67</v>
      </c>
      <c r="I57" s="313" t="s">
        <v>75</v>
      </c>
      <c r="J57" s="386" t="s">
        <v>400</v>
      </c>
      <c r="K57" s="302" t="s">
        <v>401</v>
      </c>
      <c r="L57" s="302" t="s">
        <v>410</v>
      </c>
      <c r="M57" s="303"/>
      <c r="N57" s="431"/>
      <c r="O57" s="303"/>
    </row>
    <row r="58" spans="1:17" ht="15" customHeight="1" x14ac:dyDescent="0.25">
      <c r="A58" s="300">
        <v>44258</v>
      </c>
      <c r="B58" s="499" t="s">
        <v>251</v>
      </c>
      <c r="C58" s="499" t="s">
        <v>26</v>
      </c>
      <c r="D58" s="306" t="s">
        <v>121</v>
      </c>
      <c r="E58" s="437"/>
      <c r="F58" s="441">
        <v>50000</v>
      </c>
      <c r="G58" s="394">
        <f t="shared" si="0"/>
        <v>17038360.99927</v>
      </c>
      <c r="H58" s="310" t="s">
        <v>62</v>
      </c>
      <c r="I58" s="304" t="s">
        <v>134</v>
      </c>
      <c r="J58" s="386" t="s">
        <v>400</v>
      </c>
      <c r="K58" s="302" t="s">
        <v>401</v>
      </c>
      <c r="L58" s="302" t="s">
        <v>410</v>
      </c>
      <c r="M58" s="303"/>
      <c r="N58" s="431"/>
      <c r="O58" s="303"/>
      <c r="P58" s="287"/>
      <c r="Q58" s="152"/>
    </row>
    <row r="59" spans="1:17" ht="15" customHeight="1" x14ac:dyDescent="0.25">
      <c r="A59" s="300">
        <v>44258</v>
      </c>
      <c r="B59" s="499" t="s">
        <v>252</v>
      </c>
      <c r="C59" s="499" t="s">
        <v>26</v>
      </c>
      <c r="D59" s="300" t="s">
        <v>121</v>
      </c>
      <c r="E59" s="437"/>
      <c r="F59" s="441">
        <v>10000</v>
      </c>
      <c r="G59" s="394">
        <f t="shared" si="0"/>
        <v>17028360.99927</v>
      </c>
      <c r="H59" s="310" t="s">
        <v>62</v>
      </c>
      <c r="I59" s="304" t="s">
        <v>134</v>
      </c>
      <c r="J59" s="386" t="s">
        <v>400</v>
      </c>
      <c r="K59" s="302" t="s">
        <v>401</v>
      </c>
      <c r="L59" s="302" t="s">
        <v>410</v>
      </c>
      <c r="M59" s="303"/>
      <c r="N59" s="431"/>
      <c r="O59" s="303"/>
      <c r="P59" s="287"/>
      <c r="Q59" s="152"/>
    </row>
    <row r="60" spans="1:17" ht="15" customHeight="1" x14ac:dyDescent="0.25">
      <c r="A60" s="300">
        <v>44258</v>
      </c>
      <c r="B60" s="499" t="s">
        <v>253</v>
      </c>
      <c r="C60" s="499" t="s">
        <v>26</v>
      </c>
      <c r="D60" s="306" t="s">
        <v>121</v>
      </c>
      <c r="E60" s="437"/>
      <c r="F60" s="441">
        <v>20000</v>
      </c>
      <c r="G60" s="394">
        <f t="shared" si="0"/>
        <v>17008360.99927</v>
      </c>
      <c r="H60" s="310" t="s">
        <v>62</v>
      </c>
      <c r="I60" s="304" t="s">
        <v>134</v>
      </c>
      <c r="J60" s="386" t="s">
        <v>400</v>
      </c>
      <c r="K60" s="301" t="s">
        <v>401</v>
      </c>
      <c r="L60" s="302" t="s">
        <v>410</v>
      </c>
      <c r="M60" s="303"/>
      <c r="N60" s="431"/>
      <c r="O60" s="303"/>
      <c r="P60" s="287"/>
      <c r="Q60" s="152"/>
    </row>
    <row r="61" spans="1:17" ht="15" customHeight="1" x14ac:dyDescent="0.25">
      <c r="A61" s="300">
        <v>44258</v>
      </c>
      <c r="B61" s="499" t="s">
        <v>254</v>
      </c>
      <c r="C61" s="521" t="s">
        <v>74</v>
      </c>
      <c r="D61" s="306" t="s">
        <v>21</v>
      </c>
      <c r="E61" s="437"/>
      <c r="F61" s="441">
        <v>7500</v>
      </c>
      <c r="G61" s="394">
        <f t="shared" si="0"/>
        <v>17000860.99927</v>
      </c>
      <c r="H61" s="310" t="s">
        <v>62</v>
      </c>
      <c r="I61" s="313" t="s">
        <v>75</v>
      </c>
      <c r="J61" s="313" t="s">
        <v>400</v>
      </c>
      <c r="K61" s="302" t="s">
        <v>401</v>
      </c>
      <c r="L61" s="302" t="s">
        <v>410</v>
      </c>
      <c r="M61" s="303"/>
      <c r="N61" s="432"/>
      <c r="O61" s="302"/>
      <c r="P61" s="287"/>
      <c r="Q61" s="152"/>
    </row>
    <row r="62" spans="1:17" s="152" customFormat="1" ht="15" customHeight="1" x14ac:dyDescent="0.25">
      <c r="A62" s="300">
        <v>44258</v>
      </c>
      <c r="B62" s="499" t="s">
        <v>122</v>
      </c>
      <c r="C62" s="499" t="s">
        <v>120</v>
      </c>
      <c r="D62" s="310"/>
      <c r="E62" s="440"/>
      <c r="F62" s="441">
        <v>76000</v>
      </c>
      <c r="G62" s="394">
        <f t="shared" si="0"/>
        <v>16924860.99927</v>
      </c>
      <c r="H62" s="310" t="s">
        <v>62</v>
      </c>
      <c r="I62" s="308"/>
      <c r="J62" s="387"/>
      <c r="K62" s="302"/>
      <c r="L62" s="302"/>
      <c r="M62" s="303"/>
      <c r="N62" s="431"/>
      <c r="O62" s="303"/>
    </row>
    <row r="63" spans="1:17" s="152" customFormat="1" ht="15" customHeight="1" x14ac:dyDescent="0.25">
      <c r="A63" s="300">
        <v>44258</v>
      </c>
      <c r="B63" s="499" t="s">
        <v>255</v>
      </c>
      <c r="C63" s="499" t="s">
        <v>26</v>
      </c>
      <c r="D63" s="300" t="s">
        <v>121</v>
      </c>
      <c r="E63" s="440"/>
      <c r="F63" s="441">
        <v>50000</v>
      </c>
      <c r="G63" s="394">
        <f t="shared" si="0"/>
        <v>16874860.99927</v>
      </c>
      <c r="H63" s="310" t="s">
        <v>62</v>
      </c>
      <c r="I63" s="304" t="s">
        <v>134</v>
      </c>
      <c r="J63" s="386" t="s">
        <v>400</v>
      </c>
      <c r="K63" s="302" t="s">
        <v>401</v>
      </c>
      <c r="L63" s="302" t="s">
        <v>410</v>
      </c>
      <c r="M63" s="303"/>
      <c r="N63" s="431"/>
      <c r="O63" s="303"/>
    </row>
    <row r="64" spans="1:17" s="152" customFormat="1" ht="15" customHeight="1" x14ac:dyDescent="0.25">
      <c r="A64" s="300">
        <v>44258</v>
      </c>
      <c r="B64" s="499" t="s">
        <v>77</v>
      </c>
      <c r="C64" s="499" t="s">
        <v>120</v>
      </c>
      <c r="D64" s="310"/>
      <c r="E64" s="440"/>
      <c r="F64" s="441">
        <v>12000</v>
      </c>
      <c r="G64" s="394">
        <f t="shared" si="0"/>
        <v>16862860.99927</v>
      </c>
      <c r="H64" s="310" t="s">
        <v>62</v>
      </c>
      <c r="I64" s="381"/>
      <c r="J64" s="386"/>
      <c r="K64" s="301"/>
      <c r="L64" s="302"/>
      <c r="M64" s="303"/>
      <c r="N64" s="432"/>
      <c r="O64" s="303"/>
    </row>
    <row r="65" spans="1:66" s="152" customFormat="1" ht="15" customHeight="1" x14ac:dyDescent="0.25">
      <c r="A65" s="300">
        <v>44258</v>
      </c>
      <c r="B65" s="499" t="s">
        <v>69</v>
      </c>
      <c r="C65" s="499" t="s">
        <v>120</v>
      </c>
      <c r="D65" s="310"/>
      <c r="E65" s="440"/>
      <c r="F65" s="441">
        <v>10000</v>
      </c>
      <c r="G65" s="394">
        <f t="shared" si="0"/>
        <v>16852860.99927</v>
      </c>
      <c r="H65" s="310" t="s">
        <v>62</v>
      </c>
      <c r="I65" s="308"/>
      <c r="J65" s="313"/>
      <c r="K65" s="302"/>
      <c r="L65" s="302"/>
      <c r="M65" s="303"/>
      <c r="N65" s="431"/>
      <c r="O65" s="303"/>
    </row>
    <row r="66" spans="1:66" s="269" customFormat="1" ht="15" customHeight="1" x14ac:dyDescent="0.25">
      <c r="A66" s="300">
        <v>44258</v>
      </c>
      <c r="B66" s="309" t="s">
        <v>435</v>
      </c>
      <c r="C66" s="309" t="s">
        <v>30</v>
      </c>
      <c r="D66" s="309" t="s">
        <v>21</v>
      </c>
      <c r="E66" s="441"/>
      <c r="F66" s="441">
        <v>2000</v>
      </c>
      <c r="G66" s="394">
        <f t="shared" si="0"/>
        <v>16850860.99927</v>
      </c>
      <c r="H66" s="310" t="s">
        <v>62</v>
      </c>
      <c r="I66" s="313" t="s">
        <v>75</v>
      </c>
      <c r="J66" s="386" t="s">
        <v>400</v>
      </c>
      <c r="K66" s="302" t="s">
        <v>401</v>
      </c>
      <c r="L66" s="302" t="s">
        <v>410</v>
      </c>
      <c r="M66" s="303"/>
      <c r="N66" s="431"/>
      <c r="O66" s="303"/>
      <c r="P66" s="287"/>
    </row>
    <row r="67" spans="1:66" s="152" customFormat="1" ht="15" customHeight="1" x14ac:dyDescent="0.25">
      <c r="A67" s="300">
        <v>44258</v>
      </c>
      <c r="B67" s="298" t="s">
        <v>276</v>
      </c>
      <c r="C67" s="310" t="s">
        <v>72</v>
      </c>
      <c r="D67" s="306" t="s">
        <v>121</v>
      </c>
      <c r="E67" s="440"/>
      <c r="F67" s="440">
        <v>10000</v>
      </c>
      <c r="G67" s="394">
        <f t="shared" si="0"/>
        <v>16840860.99927</v>
      </c>
      <c r="H67" s="298" t="s">
        <v>122</v>
      </c>
      <c r="I67" s="396" t="s">
        <v>75</v>
      </c>
      <c r="J67" s="386" t="s">
        <v>157</v>
      </c>
      <c r="K67" s="302" t="s">
        <v>402</v>
      </c>
      <c r="L67" s="302" t="s">
        <v>410</v>
      </c>
      <c r="M67" s="304" t="s">
        <v>562</v>
      </c>
      <c r="N67" s="431" t="s">
        <v>452</v>
      </c>
      <c r="O67" s="303"/>
    </row>
    <row r="68" spans="1:66" s="269" customFormat="1" ht="15" customHeight="1" x14ac:dyDescent="0.25">
      <c r="A68" s="300">
        <v>44258</v>
      </c>
      <c r="B68" s="298" t="s">
        <v>168</v>
      </c>
      <c r="C68" s="312" t="s">
        <v>120</v>
      </c>
      <c r="D68" s="312"/>
      <c r="E68" s="440">
        <v>76000</v>
      </c>
      <c r="F68" s="440"/>
      <c r="G68" s="394">
        <f t="shared" si="0"/>
        <v>16916860.99927</v>
      </c>
      <c r="H68" s="298" t="s">
        <v>122</v>
      </c>
      <c r="I68" s="298"/>
      <c r="J68" s="386"/>
      <c r="K68" s="302"/>
      <c r="L68" s="302"/>
      <c r="M68" s="303"/>
      <c r="N68" s="431"/>
      <c r="O68" s="303"/>
      <c r="P68" s="287"/>
    </row>
    <row r="69" spans="1:66" s="152" customFormat="1" ht="15" customHeight="1" x14ac:dyDescent="0.25">
      <c r="A69" s="300">
        <v>44258</v>
      </c>
      <c r="B69" s="298" t="s">
        <v>181</v>
      </c>
      <c r="C69" s="298" t="s">
        <v>120</v>
      </c>
      <c r="D69" s="298"/>
      <c r="E69" s="438">
        <v>10000</v>
      </c>
      <c r="F69" s="438"/>
      <c r="G69" s="394">
        <f t="shared" si="0"/>
        <v>16926860.99927</v>
      </c>
      <c r="H69" s="298" t="s">
        <v>69</v>
      </c>
      <c r="I69" s="405"/>
      <c r="J69" s="386"/>
      <c r="K69" s="302"/>
      <c r="L69" s="302"/>
      <c r="M69" s="303"/>
      <c r="N69" s="431"/>
      <c r="O69" s="303"/>
      <c r="P69" s="287"/>
    </row>
    <row r="70" spans="1:66" s="269" customFormat="1" ht="15" customHeight="1" x14ac:dyDescent="0.25">
      <c r="A70" s="300">
        <v>44258</v>
      </c>
      <c r="B70" s="298" t="s">
        <v>352</v>
      </c>
      <c r="C70" s="310" t="s">
        <v>120</v>
      </c>
      <c r="D70" s="310"/>
      <c r="E70" s="438">
        <v>12000</v>
      </c>
      <c r="F70" s="438"/>
      <c r="G70" s="394">
        <f t="shared" si="0"/>
        <v>16938860.99927</v>
      </c>
      <c r="H70" s="301" t="s">
        <v>77</v>
      </c>
      <c r="I70" s="384"/>
      <c r="J70" s="386"/>
      <c r="K70" s="302"/>
      <c r="L70" s="302"/>
      <c r="M70" s="303"/>
      <c r="N70" s="431"/>
      <c r="O70" s="303"/>
      <c r="P70" s="287"/>
    </row>
    <row r="71" spans="1:66" s="152" customFormat="1" ht="15" customHeight="1" x14ac:dyDescent="0.25">
      <c r="A71" s="300">
        <v>44258</v>
      </c>
      <c r="B71" s="302" t="s">
        <v>466</v>
      </c>
      <c r="C71" s="310" t="s">
        <v>120</v>
      </c>
      <c r="D71" s="303"/>
      <c r="E71" s="455">
        <v>118000</v>
      </c>
      <c r="F71" s="448"/>
      <c r="G71" s="394">
        <f t="shared" si="0"/>
        <v>17056860.99927</v>
      </c>
      <c r="H71" s="302" t="s">
        <v>67</v>
      </c>
      <c r="I71" s="419"/>
      <c r="J71" s="386"/>
      <c r="K71" s="302"/>
      <c r="L71" s="302"/>
      <c r="M71" s="303"/>
      <c r="N71" s="431"/>
      <c r="O71" s="303"/>
      <c r="P71" s="287"/>
    </row>
    <row r="72" spans="1:66" s="283" customFormat="1" ht="15" customHeight="1" x14ac:dyDescent="0.25">
      <c r="A72" s="300">
        <v>44259</v>
      </c>
      <c r="B72" s="406" t="s">
        <v>227</v>
      </c>
      <c r="C72" s="306" t="s">
        <v>60</v>
      </c>
      <c r="D72" s="306" t="s">
        <v>121</v>
      </c>
      <c r="E72" s="448"/>
      <c r="F72" s="438">
        <v>200000</v>
      </c>
      <c r="G72" s="394">
        <f t="shared" si="0"/>
        <v>16856860.99927</v>
      </c>
      <c r="H72" s="301" t="s">
        <v>59</v>
      </c>
      <c r="I72" s="423">
        <v>3643424</v>
      </c>
      <c r="J72" s="391" t="s">
        <v>157</v>
      </c>
      <c r="K72" s="428" t="s">
        <v>402</v>
      </c>
      <c r="L72" s="302" t="s">
        <v>410</v>
      </c>
      <c r="M72" s="304" t="s">
        <v>563</v>
      </c>
      <c r="N72" s="436" t="s">
        <v>411</v>
      </c>
      <c r="O72" s="303"/>
    </row>
    <row r="73" spans="1:66" s="152" customFormat="1" ht="15" customHeight="1" x14ac:dyDescent="0.25">
      <c r="A73" s="300">
        <v>44259</v>
      </c>
      <c r="B73" s="309" t="s">
        <v>91</v>
      </c>
      <c r="C73" s="310" t="s">
        <v>120</v>
      </c>
      <c r="D73" s="309"/>
      <c r="E73" s="441"/>
      <c r="F73" s="441">
        <v>10000</v>
      </c>
      <c r="G73" s="394">
        <f t="shared" si="0"/>
        <v>16846860.99927</v>
      </c>
      <c r="H73" s="310" t="s">
        <v>62</v>
      </c>
      <c r="I73" s="382"/>
      <c r="J73" s="386"/>
      <c r="K73" s="302"/>
      <c r="L73" s="302"/>
      <c r="M73" s="303"/>
      <c r="N73" s="431"/>
      <c r="O73" s="302"/>
    </row>
    <row r="74" spans="1:66" s="152" customFormat="1" ht="15" customHeight="1" x14ac:dyDescent="0.25">
      <c r="A74" s="300">
        <v>44259</v>
      </c>
      <c r="B74" s="310" t="s">
        <v>434</v>
      </c>
      <c r="C74" s="300" t="s">
        <v>30</v>
      </c>
      <c r="D74" s="300" t="s">
        <v>21</v>
      </c>
      <c r="E74" s="441"/>
      <c r="F74" s="441">
        <v>18000</v>
      </c>
      <c r="G74" s="394">
        <f t="shared" si="0"/>
        <v>16828860.99927</v>
      </c>
      <c r="H74" s="310" t="s">
        <v>62</v>
      </c>
      <c r="I74" s="313" t="s">
        <v>75</v>
      </c>
      <c r="J74" s="418" t="s">
        <v>400</v>
      </c>
      <c r="K74" s="419" t="s">
        <v>401</v>
      </c>
      <c r="L74" s="302" t="s">
        <v>410</v>
      </c>
      <c r="M74" s="303"/>
      <c r="N74" s="435"/>
      <c r="O74" s="307"/>
    </row>
    <row r="75" spans="1:66" s="152" customFormat="1" ht="15" customHeight="1" x14ac:dyDescent="0.25">
      <c r="A75" s="300">
        <v>44259</v>
      </c>
      <c r="B75" s="298" t="s">
        <v>277</v>
      </c>
      <c r="C75" s="312" t="s">
        <v>156</v>
      </c>
      <c r="D75" s="300" t="s">
        <v>121</v>
      </c>
      <c r="E75" s="440"/>
      <c r="F75" s="440">
        <v>20000</v>
      </c>
      <c r="G75" s="394">
        <f t="shared" si="0"/>
        <v>16808860.99927</v>
      </c>
      <c r="H75" s="298" t="s">
        <v>122</v>
      </c>
      <c r="I75" s="304" t="s">
        <v>134</v>
      </c>
      <c r="J75" s="386" t="s">
        <v>157</v>
      </c>
      <c r="K75" s="302" t="s">
        <v>402</v>
      </c>
      <c r="L75" s="302" t="s">
        <v>410</v>
      </c>
      <c r="M75" s="304" t="s">
        <v>564</v>
      </c>
      <c r="N75" s="431" t="s">
        <v>453</v>
      </c>
      <c r="O75" s="302"/>
    </row>
    <row r="76" spans="1:66" s="152" customFormat="1" ht="15" customHeight="1" x14ac:dyDescent="0.25">
      <c r="A76" s="300">
        <v>44259</v>
      </c>
      <c r="B76" s="298" t="s">
        <v>278</v>
      </c>
      <c r="C76" s="312" t="s">
        <v>156</v>
      </c>
      <c r="D76" s="300" t="s">
        <v>121</v>
      </c>
      <c r="E76" s="440"/>
      <c r="F76" s="440">
        <v>30000</v>
      </c>
      <c r="G76" s="394">
        <f t="shared" si="0"/>
        <v>16778860.99927</v>
      </c>
      <c r="H76" s="298" t="s">
        <v>122</v>
      </c>
      <c r="I76" s="313" t="s">
        <v>75</v>
      </c>
      <c r="J76" s="386" t="s">
        <v>157</v>
      </c>
      <c r="K76" s="302" t="s">
        <v>402</v>
      </c>
      <c r="L76" s="302" t="s">
        <v>410</v>
      </c>
      <c r="M76" s="304" t="s">
        <v>565</v>
      </c>
      <c r="N76" s="431" t="s">
        <v>453</v>
      </c>
      <c r="O76" s="303"/>
    </row>
    <row r="77" spans="1:66" ht="15" customHeight="1" x14ac:dyDescent="0.25">
      <c r="A77" s="300">
        <v>44259</v>
      </c>
      <c r="B77" s="395" t="s">
        <v>179</v>
      </c>
      <c r="C77" s="524" t="s">
        <v>120</v>
      </c>
      <c r="D77" s="395"/>
      <c r="E77" s="443">
        <v>10000</v>
      </c>
      <c r="F77" s="443"/>
      <c r="G77" s="394">
        <f t="shared" si="0"/>
        <v>16788860.99927</v>
      </c>
      <c r="H77" s="395" t="s">
        <v>91</v>
      </c>
      <c r="I77" s="395"/>
      <c r="J77" s="387"/>
      <c r="K77" s="302"/>
      <c r="L77" s="302"/>
      <c r="M77" s="303"/>
      <c r="N77" s="431"/>
      <c r="O77" s="303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</row>
    <row r="78" spans="1:66" s="152" customFormat="1" ht="15" customHeight="1" x14ac:dyDescent="0.25">
      <c r="A78" s="300">
        <v>44259</v>
      </c>
      <c r="B78" s="301" t="s">
        <v>341</v>
      </c>
      <c r="C78" s="312" t="s">
        <v>156</v>
      </c>
      <c r="D78" s="305" t="s">
        <v>31</v>
      </c>
      <c r="E78" s="447"/>
      <c r="F78" s="447">
        <v>45000</v>
      </c>
      <c r="G78" s="394">
        <f t="shared" si="0"/>
        <v>16743860.99927</v>
      </c>
      <c r="H78" s="307" t="s">
        <v>68</v>
      </c>
      <c r="I78" s="313" t="s">
        <v>75</v>
      </c>
      <c r="J78" s="386" t="s">
        <v>157</v>
      </c>
      <c r="K78" s="302" t="s">
        <v>402</v>
      </c>
      <c r="L78" s="302" t="s">
        <v>410</v>
      </c>
      <c r="M78" s="304" t="s">
        <v>566</v>
      </c>
      <c r="N78" s="431" t="s">
        <v>453</v>
      </c>
      <c r="O78" s="303"/>
    </row>
    <row r="79" spans="1:66" s="152" customFormat="1" ht="15" customHeight="1" x14ac:dyDescent="0.25">
      <c r="A79" s="300">
        <v>44259</v>
      </c>
      <c r="B79" s="301" t="s">
        <v>513</v>
      </c>
      <c r="C79" s="310" t="s">
        <v>72</v>
      </c>
      <c r="D79" s="298" t="s">
        <v>31</v>
      </c>
      <c r="E79" s="447"/>
      <c r="F79" s="447">
        <v>5000</v>
      </c>
      <c r="G79" s="394">
        <f t="shared" ref="G79:G142" si="1">G78+E79-F79</f>
        <v>16738860.99927</v>
      </c>
      <c r="H79" s="307" t="s">
        <v>68</v>
      </c>
      <c r="I79" s="313" t="s">
        <v>75</v>
      </c>
      <c r="J79" s="386" t="s">
        <v>157</v>
      </c>
      <c r="K79" s="302" t="s">
        <v>402</v>
      </c>
      <c r="L79" s="302" t="s">
        <v>410</v>
      </c>
      <c r="M79" s="304" t="s">
        <v>567</v>
      </c>
      <c r="N79" s="431" t="s">
        <v>452</v>
      </c>
      <c r="O79" s="303"/>
    </row>
    <row r="80" spans="1:66" s="152" customFormat="1" ht="15" customHeight="1" x14ac:dyDescent="0.25">
      <c r="A80" s="300">
        <v>44259</v>
      </c>
      <c r="B80" s="302" t="s">
        <v>367</v>
      </c>
      <c r="C80" s="310" t="s">
        <v>72</v>
      </c>
      <c r="D80" s="298" t="s">
        <v>31</v>
      </c>
      <c r="E80" s="456"/>
      <c r="F80" s="448">
        <v>8000</v>
      </c>
      <c r="G80" s="394">
        <f t="shared" si="1"/>
        <v>16730860.99927</v>
      </c>
      <c r="H80" s="302" t="s">
        <v>67</v>
      </c>
      <c r="I80" s="313" t="s">
        <v>75</v>
      </c>
      <c r="J80" s="386" t="s">
        <v>400</v>
      </c>
      <c r="K80" s="302" t="s">
        <v>401</v>
      </c>
      <c r="L80" s="302" t="s">
        <v>410</v>
      </c>
      <c r="M80" s="303"/>
      <c r="N80" s="431"/>
      <c r="O80" s="303"/>
    </row>
    <row r="81" spans="1:16" ht="15" customHeight="1" x14ac:dyDescent="0.25">
      <c r="A81" s="300">
        <v>44259</v>
      </c>
      <c r="B81" s="302" t="s">
        <v>368</v>
      </c>
      <c r="C81" s="310" t="s">
        <v>156</v>
      </c>
      <c r="D81" s="298" t="s">
        <v>31</v>
      </c>
      <c r="E81" s="456"/>
      <c r="F81" s="448">
        <v>45000</v>
      </c>
      <c r="G81" s="394">
        <f t="shared" si="1"/>
        <v>16685860.99927</v>
      </c>
      <c r="H81" s="302" t="s">
        <v>67</v>
      </c>
      <c r="I81" s="313" t="s">
        <v>75</v>
      </c>
      <c r="J81" s="386" t="s">
        <v>157</v>
      </c>
      <c r="K81" s="302" t="s">
        <v>402</v>
      </c>
      <c r="L81" s="302" t="s">
        <v>410</v>
      </c>
      <c r="M81" s="304" t="s">
        <v>568</v>
      </c>
      <c r="N81" s="431" t="s">
        <v>453</v>
      </c>
      <c r="O81" s="303"/>
      <c r="P81" s="287"/>
    </row>
    <row r="82" spans="1:16" s="283" customFormat="1" ht="15" customHeight="1" x14ac:dyDescent="0.25">
      <c r="A82" s="300">
        <v>44260</v>
      </c>
      <c r="B82" s="406" t="s">
        <v>228</v>
      </c>
      <c r="C82" s="306" t="s">
        <v>60</v>
      </c>
      <c r="D82" s="300" t="s">
        <v>121</v>
      </c>
      <c r="E82" s="448"/>
      <c r="F82" s="438">
        <v>200000</v>
      </c>
      <c r="G82" s="394">
        <f t="shared" si="1"/>
        <v>16485860.99927</v>
      </c>
      <c r="H82" s="301" t="s">
        <v>59</v>
      </c>
      <c r="I82" s="304">
        <v>3643425</v>
      </c>
      <c r="J82" s="313" t="s">
        <v>157</v>
      </c>
      <c r="K82" s="301" t="s">
        <v>402</v>
      </c>
      <c r="L82" s="302" t="s">
        <v>410</v>
      </c>
      <c r="M82" s="304" t="s">
        <v>569</v>
      </c>
      <c r="N82" s="432" t="s">
        <v>411</v>
      </c>
      <c r="O82" s="303"/>
    </row>
    <row r="83" spans="1:16" s="152" customFormat="1" ht="15" customHeight="1" x14ac:dyDescent="0.25">
      <c r="A83" s="300">
        <v>44260</v>
      </c>
      <c r="B83" s="309" t="s">
        <v>439</v>
      </c>
      <c r="C83" s="309" t="s">
        <v>26</v>
      </c>
      <c r="D83" s="312" t="s">
        <v>175</v>
      </c>
      <c r="E83" s="441"/>
      <c r="F83" s="441">
        <v>10000</v>
      </c>
      <c r="G83" s="394">
        <f t="shared" si="1"/>
        <v>16475860.99927</v>
      </c>
      <c r="H83" s="310" t="s">
        <v>62</v>
      </c>
      <c r="I83" s="304" t="s">
        <v>134</v>
      </c>
      <c r="J83" s="386" t="s">
        <v>440</v>
      </c>
      <c r="K83" s="302" t="s">
        <v>401</v>
      </c>
      <c r="L83" s="302" t="s">
        <v>410</v>
      </c>
      <c r="M83" s="303"/>
      <c r="N83" s="431"/>
      <c r="O83" s="303"/>
      <c r="P83" s="287"/>
    </row>
    <row r="84" spans="1:16" s="152" customFormat="1" ht="15" customHeight="1" x14ac:dyDescent="0.25">
      <c r="A84" s="300">
        <v>44260</v>
      </c>
      <c r="B84" s="309" t="s">
        <v>441</v>
      </c>
      <c r="C84" s="309" t="s">
        <v>26</v>
      </c>
      <c r="D84" s="312" t="s">
        <v>175</v>
      </c>
      <c r="E84" s="441"/>
      <c r="F84" s="441">
        <v>50000</v>
      </c>
      <c r="G84" s="394">
        <f t="shared" si="1"/>
        <v>16425860.99927</v>
      </c>
      <c r="H84" s="310" t="s">
        <v>62</v>
      </c>
      <c r="I84" s="304" t="s">
        <v>134</v>
      </c>
      <c r="J84" s="386" t="s">
        <v>440</v>
      </c>
      <c r="K84" s="302" t="s">
        <v>401</v>
      </c>
      <c r="L84" s="302" t="s">
        <v>410</v>
      </c>
      <c r="M84" s="303"/>
      <c r="N84" s="431"/>
      <c r="O84" s="303"/>
    </row>
    <row r="85" spans="1:16" s="152" customFormat="1" ht="15" customHeight="1" x14ac:dyDescent="0.25">
      <c r="A85" s="300">
        <v>44260</v>
      </c>
      <c r="B85" s="309" t="s">
        <v>256</v>
      </c>
      <c r="C85" s="401" t="s">
        <v>15</v>
      </c>
      <c r="D85" s="401" t="s">
        <v>502</v>
      </c>
      <c r="E85" s="441"/>
      <c r="F85" s="441">
        <f>40000+112000+15000+10000+5000</f>
        <v>182000</v>
      </c>
      <c r="G85" s="394">
        <f t="shared" si="1"/>
        <v>16243860.99927</v>
      </c>
      <c r="H85" s="309" t="s">
        <v>62</v>
      </c>
      <c r="I85" s="313" t="s">
        <v>75</v>
      </c>
      <c r="J85" s="386" t="s">
        <v>400</v>
      </c>
      <c r="K85" s="301" t="s">
        <v>401</v>
      </c>
      <c r="L85" s="301" t="s">
        <v>410</v>
      </c>
      <c r="M85" s="303"/>
      <c r="N85" s="431"/>
      <c r="O85" s="303"/>
      <c r="P85" s="287"/>
    </row>
    <row r="86" spans="1:16" s="283" customFormat="1" ht="15" customHeight="1" x14ac:dyDescent="0.25">
      <c r="A86" s="300">
        <v>44260</v>
      </c>
      <c r="B86" s="310" t="s">
        <v>442</v>
      </c>
      <c r="C86" s="309" t="s">
        <v>26</v>
      </c>
      <c r="D86" s="310" t="s">
        <v>61</v>
      </c>
      <c r="E86" s="440"/>
      <c r="F86" s="441">
        <v>47000</v>
      </c>
      <c r="G86" s="394">
        <f t="shared" si="1"/>
        <v>16196860.99927</v>
      </c>
      <c r="H86" s="310" t="s">
        <v>62</v>
      </c>
      <c r="I86" s="304" t="s">
        <v>134</v>
      </c>
      <c r="J86" s="386" t="s">
        <v>400</v>
      </c>
      <c r="K86" s="302" t="s">
        <v>401</v>
      </c>
      <c r="L86" s="302" t="s">
        <v>410</v>
      </c>
      <c r="M86" s="303"/>
      <c r="N86" s="431"/>
      <c r="O86" s="303"/>
      <c r="P86" s="291"/>
    </row>
    <row r="87" spans="1:16" ht="15" customHeight="1" x14ac:dyDescent="0.25">
      <c r="A87" s="300">
        <v>44260</v>
      </c>
      <c r="B87" s="309" t="s">
        <v>443</v>
      </c>
      <c r="C87" s="309" t="s">
        <v>26</v>
      </c>
      <c r="D87" s="312" t="s">
        <v>175</v>
      </c>
      <c r="E87" s="441"/>
      <c r="F87" s="441">
        <v>50000</v>
      </c>
      <c r="G87" s="394">
        <f t="shared" si="1"/>
        <v>16146860.99927</v>
      </c>
      <c r="H87" s="310" t="s">
        <v>62</v>
      </c>
      <c r="I87" s="304" t="s">
        <v>134</v>
      </c>
      <c r="J87" s="386" t="s">
        <v>440</v>
      </c>
      <c r="K87" s="302" t="s">
        <v>401</v>
      </c>
      <c r="L87" s="302" t="s">
        <v>410</v>
      </c>
      <c r="M87" s="303"/>
      <c r="N87" s="431"/>
      <c r="O87" s="303"/>
      <c r="P87" s="287"/>
    </row>
    <row r="88" spans="1:16" s="152" customFormat="1" ht="15" customHeight="1" x14ac:dyDescent="0.25">
      <c r="A88" s="300">
        <v>44260</v>
      </c>
      <c r="B88" s="298" t="s">
        <v>279</v>
      </c>
      <c r="C88" s="310" t="s">
        <v>72</v>
      </c>
      <c r="D88" s="306" t="s">
        <v>121</v>
      </c>
      <c r="E88" s="440"/>
      <c r="F88" s="440">
        <v>10000</v>
      </c>
      <c r="G88" s="394">
        <f t="shared" si="1"/>
        <v>16136860.99927</v>
      </c>
      <c r="H88" s="298" t="s">
        <v>122</v>
      </c>
      <c r="I88" s="396" t="s">
        <v>75</v>
      </c>
      <c r="J88" s="386" t="s">
        <v>157</v>
      </c>
      <c r="K88" s="302" t="s">
        <v>402</v>
      </c>
      <c r="L88" s="302" t="s">
        <v>410</v>
      </c>
      <c r="M88" s="304" t="s">
        <v>570</v>
      </c>
      <c r="N88" s="431" t="s">
        <v>452</v>
      </c>
      <c r="O88" s="303"/>
    </row>
    <row r="89" spans="1:16" ht="15" customHeight="1" x14ac:dyDescent="0.25">
      <c r="A89" s="300">
        <v>44260</v>
      </c>
      <c r="B89" s="302" t="s">
        <v>369</v>
      </c>
      <c r="C89" s="310" t="s">
        <v>72</v>
      </c>
      <c r="D89" s="298" t="s">
        <v>31</v>
      </c>
      <c r="E89" s="456"/>
      <c r="F89" s="448">
        <v>8000</v>
      </c>
      <c r="G89" s="394">
        <f t="shared" si="1"/>
        <v>16128860.99927</v>
      </c>
      <c r="H89" s="302" t="s">
        <v>67</v>
      </c>
      <c r="I89" s="313" t="s">
        <v>75</v>
      </c>
      <c r="J89" s="386" t="s">
        <v>157</v>
      </c>
      <c r="K89" s="302" t="s">
        <v>402</v>
      </c>
      <c r="L89" s="302" t="s">
        <v>410</v>
      </c>
      <c r="M89" s="304" t="s">
        <v>571</v>
      </c>
      <c r="N89" s="431" t="s">
        <v>452</v>
      </c>
      <c r="O89" s="303"/>
      <c r="P89" s="287"/>
    </row>
    <row r="90" spans="1:16" s="152" customFormat="1" ht="15" customHeight="1" x14ac:dyDescent="0.25">
      <c r="A90" s="300">
        <v>44261</v>
      </c>
      <c r="B90" s="301" t="s">
        <v>342</v>
      </c>
      <c r="C90" s="310" t="s">
        <v>156</v>
      </c>
      <c r="D90" s="298" t="s">
        <v>31</v>
      </c>
      <c r="E90" s="447"/>
      <c r="F90" s="447">
        <v>30000</v>
      </c>
      <c r="G90" s="394">
        <f t="shared" si="1"/>
        <v>16098860.99927</v>
      </c>
      <c r="H90" s="307" t="s">
        <v>68</v>
      </c>
      <c r="I90" s="313" t="s">
        <v>75</v>
      </c>
      <c r="J90" s="386" t="s">
        <v>157</v>
      </c>
      <c r="K90" s="302" t="s">
        <v>402</v>
      </c>
      <c r="L90" s="302" t="s">
        <v>410</v>
      </c>
      <c r="M90" s="304" t="s">
        <v>572</v>
      </c>
      <c r="N90" s="431" t="s">
        <v>453</v>
      </c>
      <c r="O90" s="303"/>
    </row>
    <row r="91" spans="1:16" s="152" customFormat="1" ht="15" customHeight="1" x14ac:dyDescent="0.25">
      <c r="A91" s="300">
        <v>44261</v>
      </c>
      <c r="B91" s="301" t="s">
        <v>539</v>
      </c>
      <c r="C91" s="310" t="s">
        <v>72</v>
      </c>
      <c r="D91" s="298" t="s">
        <v>31</v>
      </c>
      <c r="E91" s="447"/>
      <c r="F91" s="447">
        <v>10000</v>
      </c>
      <c r="G91" s="394">
        <f t="shared" si="1"/>
        <v>16088860.99927</v>
      </c>
      <c r="H91" s="307" t="s">
        <v>68</v>
      </c>
      <c r="I91" s="313" t="s">
        <v>75</v>
      </c>
      <c r="J91" s="386" t="s">
        <v>157</v>
      </c>
      <c r="K91" s="302" t="s">
        <v>402</v>
      </c>
      <c r="L91" s="302" t="s">
        <v>410</v>
      </c>
      <c r="M91" s="304" t="s">
        <v>573</v>
      </c>
      <c r="N91" s="431" t="s">
        <v>452</v>
      </c>
      <c r="O91" s="303"/>
    </row>
    <row r="92" spans="1:16" ht="15" customHeight="1" x14ac:dyDescent="0.25">
      <c r="A92" s="300">
        <v>44261</v>
      </c>
      <c r="B92" s="302" t="s">
        <v>370</v>
      </c>
      <c r="C92" s="525" t="s">
        <v>156</v>
      </c>
      <c r="D92" s="530" t="s">
        <v>31</v>
      </c>
      <c r="E92" s="456"/>
      <c r="F92" s="448">
        <v>30000</v>
      </c>
      <c r="G92" s="394">
        <f t="shared" si="1"/>
        <v>16058860.99927</v>
      </c>
      <c r="H92" s="302" t="s">
        <v>67</v>
      </c>
      <c r="I92" s="313" t="s">
        <v>75</v>
      </c>
      <c r="J92" s="386" t="s">
        <v>157</v>
      </c>
      <c r="K92" s="302" t="s">
        <v>402</v>
      </c>
      <c r="L92" s="302" t="s">
        <v>410</v>
      </c>
      <c r="M92" s="304" t="s">
        <v>574</v>
      </c>
      <c r="N92" s="431" t="s">
        <v>453</v>
      </c>
      <c r="O92" s="303"/>
      <c r="P92" s="287"/>
    </row>
    <row r="93" spans="1:16" s="269" customFormat="1" ht="15" customHeight="1" x14ac:dyDescent="0.25">
      <c r="A93" s="300">
        <v>44263</v>
      </c>
      <c r="B93" s="298" t="s">
        <v>221</v>
      </c>
      <c r="C93" s="298" t="s">
        <v>120</v>
      </c>
      <c r="D93" s="298"/>
      <c r="E93" s="491"/>
      <c r="F93" s="440">
        <v>1000000</v>
      </c>
      <c r="G93" s="394">
        <f t="shared" si="1"/>
        <v>15058860.99927</v>
      </c>
      <c r="H93" s="301" t="s">
        <v>58</v>
      </c>
      <c r="I93" s="304">
        <v>3654435</v>
      </c>
      <c r="J93" s="386"/>
      <c r="K93" s="302"/>
      <c r="L93" s="302"/>
      <c r="M93" s="303"/>
      <c r="N93" s="431"/>
      <c r="O93" s="303"/>
      <c r="P93" s="287"/>
    </row>
    <row r="94" spans="1:16" s="152" customFormat="1" ht="15" customHeight="1" x14ac:dyDescent="0.25">
      <c r="A94" s="300">
        <v>44263</v>
      </c>
      <c r="B94" s="310" t="s">
        <v>257</v>
      </c>
      <c r="C94" s="298" t="s">
        <v>17</v>
      </c>
      <c r="D94" s="310" t="s">
        <v>18</v>
      </c>
      <c r="E94" s="440"/>
      <c r="F94" s="441">
        <v>52733</v>
      </c>
      <c r="G94" s="394">
        <f t="shared" si="1"/>
        <v>15006127.99927</v>
      </c>
      <c r="H94" s="310" t="s">
        <v>62</v>
      </c>
      <c r="I94" s="313" t="s">
        <v>75</v>
      </c>
      <c r="J94" s="406" t="s">
        <v>157</v>
      </c>
      <c r="K94" s="420" t="s">
        <v>402</v>
      </c>
      <c r="L94" s="302" t="s">
        <v>410</v>
      </c>
      <c r="M94" s="304" t="s">
        <v>575</v>
      </c>
      <c r="N94" s="432" t="s">
        <v>432</v>
      </c>
      <c r="O94" s="303"/>
    </row>
    <row r="95" spans="1:16" s="152" customFormat="1" ht="15" customHeight="1" x14ac:dyDescent="0.25">
      <c r="A95" s="300">
        <v>44263</v>
      </c>
      <c r="B95" s="310" t="s">
        <v>258</v>
      </c>
      <c r="C95" s="499" t="s">
        <v>26</v>
      </c>
      <c r="D95" s="298" t="s">
        <v>31</v>
      </c>
      <c r="E95" s="440"/>
      <c r="F95" s="441">
        <v>50000</v>
      </c>
      <c r="G95" s="394">
        <f t="shared" si="1"/>
        <v>14956127.99927</v>
      </c>
      <c r="H95" s="310" t="s">
        <v>62</v>
      </c>
      <c r="I95" s="304" t="s">
        <v>134</v>
      </c>
      <c r="J95" s="386" t="s">
        <v>400</v>
      </c>
      <c r="K95" s="302" t="s">
        <v>401</v>
      </c>
      <c r="L95" s="302" t="s">
        <v>410</v>
      </c>
      <c r="M95" s="303"/>
      <c r="N95" s="431"/>
      <c r="O95" s="303"/>
    </row>
    <row r="96" spans="1:16" s="152" customFormat="1" ht="15" customHeight="1" x14ac:dyDescent="0.25">
      <c r="A96" s="300">
        <v>44263</v>
      </c>
      <c r="B96" s="310" t="s">
        <v>259</v>
      </c>
      <c r="C96" s="310" t="s">
        <v>26</v>
      </c>
      <c r="D96" s="298" t="s">
        <v>31</v>
      </c>
      <c r="E96" s="440"/>
      <c r="F96" s="441">
        <v>20000</v>
      </c>
      <c r="G96" s="394">
        <f t="shared" si="1"/>
        <v>14936127.99927</v>
      </c>
      <c r="H96" s="310" t="s">
        <v>62</v>
      </c>
      <c r="I96" s="304" t="s">
        <v>134</v>
      </c>
      <c r="J96" s="386" t="s">
        <v>400</v>
      </c>
      <c r="K96" s="302" t="s">
        <v>401</v>
      </c>
      <c r="L96" s="302" t="s">
        <v>410</v>
      </c>
      <c r="M96" s="303"/>
      <c r="N96" s="431"/>
      <c r="O96" s="303"/>
    </row>
    <row r="97" spans="1:66" s="152" customFormat="1" ht="15" customHeight="1" x14ac:dyDescent="0.25">
      <c r="A97" s="300">
        <v>44263</v>
      </c>
      <c r="B97" s="310" t="s">
        <v>58</v>
      </c>
      <c r="C97" s="310" t="s">
        <v>120</v>
      </c>
      <c r="D97" s="310"/>
      <c r="E97" s="440">
        <v>1000000</v>
      </c>
      <c r="F97" s="441"/>
      <c r="G97" s="394">
        <f t="shared" si="1"/>
        <v>15936127.99927</v>
      </c>
      <c r="H97" s="310" t="s">
        <v>62</v>
      </c>
      <c r="I97" s="304"/>
      <c r="J97" s="386"/>
      <c r="K97" s="302"/>
      <c r="L97" s="302"/>
      <c r="M97" s="303"/>
      <c r="N97" s="431"/>
      <c r="O97" s="303"/>
    </row>
    <row r="98" spans="1:66" s="152" customFormat="1" ht="15" customHeight="1" x14ac:dyDescent="0.25">
      <c r="A98" s="300">
        <v>44263</v>
      </c>
      <c r="B98" s="310" t="s">
        <v>433</v>
      </c>
      <c r="C98" s="405" t="s">
        <v>17</v>
      </c>
      <c r="D98" s="310" t="s">
        <v>18</v>
      </c>
      <c r="E98" s="440"/>
      <c r="F98" s="441">
        <v>13500</v>
      </c>
      <c r="G98" s="394">
        <f t="shared" si="1"/>
        <v>15922627.99927</v>
      </c>
      <c r="H98" s="310" t="s">
        <v>62</v>
      </c>
      <c r="I98" s="313" t="s">
        <v>75</v>
      </c>
      <c r="J98" s="389" t="s">
        <v>400</v>
      </c>
      <c r="K98" s="299" t="s">
        <v>401</v>
      </c>
      <c r="L98" s="302" t="s">
        <v>410</v>
      </c>
      <c r="M98" s="303"/>
      <c r="N98" s="375"/>
      <c r="O98" s="303"/>
      <c r="P98" s="287"/>
    </row>
    <row r="99" spans="1:66" s="152" customFormat="1" ht="15" customHeight="1" x14ac:dyDescent="0.25">
      <c r="A99" s="300">
        <v>44263</v>
      </c>
      <c r="B99" s="310" t="s">
        <v>122</v>
      </c>
      <c r="C99" s="310" t="s">
        <v>120</v>
      </c>
      <c r="D99" s="310"/>
      <c r="E99" s="440"/>
      <c r="F99" s="441">
        <v>96000</v>
      </c>
      <c r="G99" s="394">
        <f t="shared" si="1"/>
        <v>15826627.99927</v>
      </c>
      <c r="H99" s="310" t="s">
        <v>62</v>
      </c>
      <c r="I99" s="304"/>
      <c r="J99" s="386"/>
      <c r="K99" s="302"/>
      <c r="L99" s="302"/>
      <c r="M99" s="303"/>
      <c r="N99" s="431"/>
      <c r="O99" s="303"/>
      <c r="P99" s="287"/>
    </row>
    <row r="100" spans="1:66" s="152" customFormat="1" ht="15" customHeight="1" x14ac:dyDescent="0.25">
      <c r="A100" s="300">
        <v>44263</v>
      </c>
      <c r="B100" s="310" t="s">
        <v>436</v>
      </c>
      <c r="C100" s="310" t="s">
        <v>260</v>
      </c>
      <c r="D100" s="310" t="s">
        <v>19</v>
      </c>
      <c r="E100" s="440"/>
      <c r="F100" s="441">
        <v>20000</v>
      </c>
      <c r="G100" s="394">
        <f t="shared" si="1"/>
        <v>15806627.99927</v>
      </c>
      <c r="H100" s="310" t="s">
        <v>62</v>
      </c>
      <c r="I100" s="313" t="s">
        <v>75</v>
      </c>
      <c r="J100" s="386" t="s">
        <v>400</v>
      </c>
      <c r="K100" s="302" t="s">
        <v>401</v>
      </c>
      <c r="L100" s="302" t="s">
        <v>410</v>
      </c>
      <c r="M100" s="303"/>
      <c r="N100" s="431"/>
      <c r="O100" s="303"/>
      <c r="P100" s="28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spans="1:66" ht="15" customHeight="1" x14ac:dyDescent="0.25">
      <c r="A101" s="300">
        <v>44263</v>
      </c>
      <c r="B101" s="310" t="s">
        <v>142</v>
      </c>
      <c r="C101" s="310" t="s">
        <v>120</v>
      </c>
      <c r="D101" s="310"/>
      <c r="E101" s="440"/>
      <c r="F101" s="441">
        <v>10000</v>
      </c>
      <c r="G101" s="394">
        <f t="shared" si="1"/>
        <v>15796627.99927</v>
      </c>
      <c r="H101" s="310" t="s">
        <v>62</v>
      </c>
      <c r="I101" s="308"/>
      <c r="J101" s="387"/>
      <c r="K101" s="302"/>
      <c r="L101" s="302"/>
      <c r="M101" s="303"/>
      <c r="N101" s="431"/>
      <c r="O101" s="303"/>
      <c r="P101" s="287"/>
    </row>
    <row r="102" spans="1:66" ht="15" customHeight="1" x14ac:dyDescent="0.25">
      <c r="A102" s="300">
        <v>44263</v>
      </c>
      <c r="B102" s="310" t="s">
        <v>69</v>
      </c>
      <c r="C102" s="499" t="s">
        <v>120</v>
      </c>
      <c r="D102" s="310"/>
      <c r="E102" s="440"/>
      <c r="F102" s="441">
        <v>10000</v>
      </c>
      <c r="G102" s="394">
        <f t="shared" si="1"/>
        <v>15786627.99927</v>
      </c>
      <c r="H102" s="310" t="s">
        <v>62</v>
      </c>
      <c r="I102" s="308"/>
      <c r="J102" s="387"/>
      <c r="K102" s="302"/>
      <c r="L102" s="302"/>
      <c r="M102" s="303"/>
      <c r="N102" s="431"/>
      <c r="O102" s="303"/>
      <c r="P102" s="287"/>
    </row>
    <row r="103" spans="1:66" s="152" customFormat="1" ht="15" customHeight="1" x14ac:dyDescent="0.25">
      <c r="A103" s="300">
        <v>44263</v>
      </c>
      <c r="B103" s="310" t="s">
        <v>114</v>
      </c>
      <c r="C103" s="310" t="s">
        <v>120</v>
      </c>
      <c r="D103" s="310"/>
      <c r="E103" s="437"/>
      <c r="F103" s="441">
        <v>10000</v>
      </c>
      <c r="G103" s="394">
        <f t="shared" si="1"/>
        <v>15776627.99927</v>
      </c>
      <c r="H103" s="310" t="s">
        <v>62</v>
      </c>
      <c r="I103" s="382"/>
      <c r="J103" s="386"/>
      <c r="K103" s="302"/>
      <c r="L103" s="302"/>
      <c r="M103" s="303"/>
      <c r="N103" s="431"/>
      <c r="O103" s="303"/>
    </row>
    <row r="104" spans="1:66" s="152" customFormat="1" ht="15" customHeight="1" x14ac:dyDescent="0.25">
      <c r="A104" s="300">
        <v>44263</v>
      </c>
      <c r="B104" s="298" t="s">
        <v>280</v>
      </c>
      <c r="C104" s="310" t="s">
        <v>72</v>
      </c>
      <c r="D104" s="306" t="s">
        <v>121</v>
      </c>
      <c r="E104" s="437"/>
      <c r="F104" s="440">
        <v>20000</v>
      </c>
      <c r="G104" s="394">
        <f t="shared" si="1"/>
        <v>15756627.99927</v>
      </c>
      <c r="H104" s="298" t="s">
        <v>122</v>
      </c>
      <c r="I104" s="313" t="s">
        <v>75</v>
      </c>
      <c r="J104" s="386" t="s">
        <v>157</v>
      </c>
      <c r="K104" s="302" t="s">
        <v>402</v>
      </c>
      <c r="L104" s="302" t="s">
        <v>410</v>
      </c>
      <c r="M104" s="304" t="s">
        <v>576</v>
      </c>
      <c r="N104" s="431" t="s">
        <v>452</v>
      </c>
      <c r="O104" s="303"/>
    </row>
    <row r="105" spans="1:66" s="152" customFormat="1" ht="15" customHeight="1" x14ac:dyDescent="0.25">
      <c r="A105" s="300">
        <v>44263</v>
      </c>
      <c r="B105" s="298" t="s">
        <v>168</v>
      </c>
      <c r="C105" s="310" t="s">
        <v>120</v>
      </c>
      <c r="D105" s="310"/>
      <c r="E105" s="437">
        <v>96000</v>
      </c>
      <c r="F105" s="440"/>
      <c r="G105" s="394">
        <f t="shared" si="1"/>
        <v>15852627.99927</v>
      </c>
      <c r="H105" s="298" t="s">
        <v>122</v>
      </c>
      <c r="I105" s="298"/>
      <c r="J105" s="386"/>
      <c r="K105" s="302"/>
      <c r="L105" s="302"/>
      <c r="M105" s="303"/>
      <c r="N105" s="431"/>
      <c r="O105" s="303"/>
      <c r="P105" s="287"/>
    </row>
    <row r="106" spans="1:66" ht="15" customHeight="1" x14ac:dyDescent="0.25">
      <c r="A106" s="300">
        <v>44263</v>
      </c>
      <c r="B106" s="377" t="s">
        <v>167</v>
      </c>
      <c r="C106" s="306" t="s">
        <v>120</v>
      </c>
      <c r="D106" s="377"/>
      <c r="E106" s="546">
        <v>10000</v>
      </c>
      <c r="F106" s="445"/>
      <c r="G106" s="394">
        <f t="shared" si="1"/>
        <v>15862627.99927</v>
      </c>
      <c r="H106" s="377" t="s">
        <v>64</v>
      </c>
      <c r="I106" s="303"/>
      <c r="J106" s="561"/>
      <c r="K106" s="310"/>
      <c r="L106" s="302"/>
      <c r="M106" s="303"/>
      <c r="N106" s="431"/>
      <c r="O106" s="303"/>
      <c r="P106" s="287"/>
    </row>
    <row r="107" spans="1:66" ht="15" customHeight="1" x14ac:dyDescent="0.25">
      <c r="A107" s="300">
        <v>44264</v>
      </c>
      <c r="B107" s="310" t="s">
        <v>154</v>
      </c>
      <c r="C107" s="310" t="s">
        <v>120</v>
      </c>
      <c r="D107" s="310"/>
      <c r="E107" s="437"/>
      <c r="F107" s="441">
        <v>100000</v>
      </c>
      <c r="G107" s="394">
        <f t="shared" si="1"/>
        <v>15762627.99927</v>
      </c>
      <c r="H107" s="310" t="s">
        <v>62</v>
      </c>
      <c r="I107" s="381"/>
      <c r="J107" s="386"/>
      <c r="K107" s="302"/>
      <c r="L107" s="302"/>
      <c r="M107" s="303"/>
      <c r="N107" s="431"/>
      <c r="O107" s="302"/>
      <c r="P107" s="287"/>
    </row>
    <row r="108" spans="1:66" ht="15" customHeight="1" x14ac:dyDescent="0.25">
      <c r="A108" s="300">
        <v>44264</v>
      </c>
      <c r="B108" s="310" t="s">
        <v>67</v>
      </c>
      <c r="C108" s="310" t="s">
        <v>120</v>
      </c>
      <c r="D108" s="310"/>
      <c r="E108" s="437"/>
      <c r="F108" s="441">
        <v>100000</v>
      </c>
      <c r="G108" s="394">
        <f t="shared" si="1"/>
        <v>15662627.99927</v>
      </c>
      <c r="H108" s="310" t="s">
        <v>62</v>
      </c>
      <c r="I108" s="308"/>
      <c r="J108" s="386"/>
      <c r="K108" s="302"/>
      <c r="L108" s="302"/>
      <c r="M108" s="303"/>
      <c r="N108" s="431"/>
      <c r="O108" s="303"/>
      <c r="P108" s="287"/>
    </row>
    <row r="109" spans="1:66" s="152" customFormat="1" ht="15" customHeight="1" x14ac:dyDescent="0.25">
      <c r="A109" s="300">
        <v>44264</v>
      </c>
      <c r="B109" s="298" t="s">
        <v>281</v>
      </c>
      <c r="C109" s="310" t="s">
        <v>156</v>
      </c>
      <c r="D109" s="306" t="s">
        <v>121</v>
      </c>
      <c r="E109" s="437"/>
      <c r="F109" s="440">
        <v>20000</v>
      </c>
      <c r="G109" s="394">
        <f t="shared" si="1"/>
        <v>15642627.99927</v>
      </c>
      <c r="H109" s="298" t="s">
        <v>122</v>
      </c>
      <c r="I109" s="304" t="s">
        <v>134</v>
      </c>
      <c r="J109" s="386" t="s">
        <v>157</v>
      </c>
      <c r="K109" s="302" t="s">
        <v>402</v>
      </c>
      <c r="L109" s="302" t="s">
        <v>410</v>
      </c>
      <c r="M109" s="304" t="s">
        <v>577</v>
      </c>
      <c r="N109" s="431" t="s">
        <v>453</v>
      </c>
      <c r="O109" s="303"/>
    </row>
    <row r="110" spans="1:66" s="152" customFormat="1" ht="15" customHeight="1" x14ac:dyDescent="0.25">
      <c r="A110" s="300">
        <v>44264</v>
      </c>
      <c r="B110" s="298" t="s">
        <v>181</v>
      </c>
      <c r="C110" s="305" t="s">
        <v>120</v>
      </c>
      <c r="D110" s="305"/>
      <c r="E110" s="439">
        <v>10000</v>
      </c>
      <c r="F110" s="438"/>
      <c r="G110" s="394">
        <f t="shared" si="1"/>
        <v>15652627.99927</v>
      </c>
      <c r="H110" s="298" t="s">
        <v>69</v>
      </c>
      <c r="I110" s="298"/>
      <c r="J110" s="386"/>
      <c r="K110" s="302"/>
      <c r="L110" s="302"/>
      <c r="M110" s="303"/>
      <c r="N110" s="431"/>
      <c r="O110" s="303"/>
      <c r="P110" s="287"/>
    </row>
    <row r="111" spans="1:66" ht="15" customHeight="1" x14ac:dyDescent="0.25">
      <c r="A111" s="300">
        <v>44264</v>
      </c>
      <c r="B111" s="301" t="s">
        <v>183</v>
      </c>
      <c r="C111" s="521" t="s">
        <v>120</v>
      </c>
      <c r="D111" s="409"/>
      <c r="E111" s="447">
        <v>100000</v>
      </c>
      <c r="F111" s="447"/>
      <c r="G111" s="394">
        <f t="shared" si="1"/>
        <v>15752627.99927</v>
      </c>
      <c r="H111" s="307" t="s">
        <v>68</v>
      </c>
      <c r="I111" s="301"/>
      <c r="J111" s="562"/>
      <c r="K111" s="299"/>
      <c r="L111" s="302"/>
      <c r="M111" s="303"/>
      <c r="N111" s="375"/>
      <c r="O111" s="303"/>
      <c r="P111" s="287"/>
    </row>
    <row r="112" spans="1:66" s="152" customFormat="1" ht="15" customHeight="1" x14ac:dyDescent="0.25">
      <c r="A112" s="300">
        <v>44264</v>
      </c>
      <c r="B112" s="301" t="s">
        <v>515</v>
      </c>
      <c r="C112" s="499" t="s">
        <v>72</v>
      </c>
      <c r="D112" s="298" t="s">
        <v>31</v>
      </c>
      <c r="E112" s="534"/>
      <c r="F112" s="447">
        <v>15000</v>
      </c>
      <c r="G112" s="394">
        <f t="shared" si="1"/>
        <v>15737627.99927</v>
      </c>
      <c r="H112" s="307" t="s">
        <v>68</v>
      </c>
      <c r="I112" s="313" t="s">
        <v>75</v>
      </c>
      <c r="J112" s="389" t="s">
        <v>157</v>
      </c>
      <c r="K112" s="299" t="s">
        <v>402</v>
      </c>
      <c r="L112" s="302" t="s">
        <v>410</v>
      </c>
      <c r="M112" s="304" t="s">
        <v>578</v>
      </c>
      <c r="N112" s="375" t="s">
        <v>452</v>
      </c>
      <c r="O112" s="303"/>
    </row>
    <row r="113" spans="1:66" ht="15" customHeight="1" x14ac:dyDescent="0.25">
      <c r="A113" s="300">
        <v>44264</v>
      </c>
      <c r="B113" s="302" t="s">
        <v>466</v>
      </c>
      <c r="C113" s="310" t="s">
        <v>120</v>
      </c>
      <c r="D113" s="303"/>
      <c r="E113" s="538">
        <v>100000</v>
      </c>
      <c r="F113" s="448"/>
      <c r="G113" s="394">
        <f t="shared" si="1"/>
        <v>15837627.99927</v>
      </c>
      <c r="H113" s="302" t="s">
        <v>67</v>
      </c>
      <c r="I113" s="302"/>
      <c r="J113" s="386"/>
      <c r="K113" s="302"/>
      <c r="L113" s="302"/>
      <c r="M113" s="303"/>
      <c r="N113" s="431"/>
      <c r="O113" s="303"/>
      <c r="P113" s="287"/>
      <c r="Q113" s="269"/>
    </row>
    <row r="114" spans="1:66" s="152" customFormat="1" ht="15" customHeight="1" x14ac:dyDescent="0.25">
      <c r="A114" s="300">
        <v>44264</v>
      </c>
      <c r="B114" s="302" t="s">
        <v>522</v>
      </c>
      <c r="C114" s="310" t="s">
        <v>72</v>
      </c>
      <c r="D114" s="298" t="s">
        <v>31</v>
      </c>
      <c r="E114" s="538"/>
      <c r="F114" s="448">
        <v>15000</v>
      </c>
      <c r="G114" s="394">
        <f t="shared" si="1"/>
        <v>15822627.99927</v>
      </c>
      <c r="H114" s="302" t="s">
        <v>67</v>
      </c>
      <c r="I114" s="313" t="s">
        <v>75</v>
      </c>
      <c r="J114" s="386" t="s">
        <v>157</v>
      </c>
      <c r="K114" s="302" t="s">
        <v>402</v>
      </c>
      <c r="L114" s="302" t="s">
        <v>410</v>
      </c>
      <c r="M114" s="304" t="s">
        <v>579</v>
      </c>
      <c r="N114" s="431" t="s">
        <v>452</v>
      </c>
      <c r="O114" s="303"/>
    </row>
    <row r="115" spans="1:66" s="152" customFormat="1" ht="15" customHeight="1" x14ac:dyDescent="0.25">
      <c r="A115" s="300">
        <v>44264</v>
      </c>
      <c r="B115" s="302" t="s">
        <v>371</v>
      </c>
      <c r="C115" s="310" t="s">
        <v>156</v>
      </c>
      <c r="D115" s="298" t="s">
        <v>31</v>
      </c>
      <c r="E115" s="538"/>
      <c r="F115" s="448">
        <v>100000</v>
      </c>
      <c r="G115" s="394">
        <f t="shared" si="1"/>
        <v>15722627.99927</v>
      </c>
      <c r="H115" s="302" t="s">
        <v>67</v>
      </c>
      <c r="I115" s="304" t="s">
        <v>134</v>
      </c>
      <c r="J115" s="386" t="s">
        <v>157</v>
      </c>
      <c r="K115" s="302" t="s">
        <v>402</v>
      </c>
      <c r="L115" s="302" t="s">
        <v>410</v>
      </c>
      <c r="M115" s="304" t="s">
        <v>580</v>
      </c>
      <c r="N115" s="431" t="s">
        <v>453</v>
      </c>
      <c r="O115" s="303"/>
    </row>
    <row r="116" spans="1:66" s="152" customFormat="1" ht="15" customHeight="1" x14ac:dyDescent="0.25">
      <c r="A116" s="300">
        <v>44264</v>
      </c>
      <c r="B116" s="298" t="s">
        <v>465</v>
      </c>
      <c r="C116" s="310" t="s">
        <v>120</v>
      </c>
      <c r="D116" s="310"/>
      <c r="E116" s="437">
        <v>10000</v>
      </c>
      <c r="F116" s="451"/>
      <c r="G116" s="394">
        <f t="shared" si="1"/>
        <v>15732627.99927</v>
      </c>
      <c r="H116" s="303" t="s">
        <v>142</v>
      </c>
      <c r="I116" s="427"/>
      <c r="J116" s="390"/>
      <c r="K116" s="424"/>
      <c r="L116" s="302"/>
      <c r="M116" s="303"/>
      <c r="N116" s="434"/>
      <c r="O116" s="303"/>
      <c r="P116" s="287"/>
      <c r="Q116" s="47"/>
    </row>
    <row r="117" spans="1:66" s="152" customFormat="1" ht="15" customHeight="1" x14ac:dyDescent="0.25">
      <c r="A117" s="300">
        <v>44265</v>
      </c>
      <c r="B117" s="310" t="s">
        <v>261</v>
      </c>
      <c r="C117" s="306" t="s">
        <v>74</v>
      </c>
      <c r="D117" s="306" t="s">
        <v>21</v>
      </c>
      <c r="E117" s="437"/>
      <c r="F117" s="441">
        <v>10250</v>
      </c>
      <c r="G117" s="394">
        <f t="shared" si="1"/>
        <v>15722377.99927</v>
      </c>
      <c r="H117" s="310" t="s">
        <v>62</v>
      </c>
      <c r="I117" s="313" t="s">
        <v>75</v>
      </c>
      <c r="J117" s="313" t="s">
        <v>400</v>
      </c>
      <c r="K117" s="301" t="s">
        <v>401</v>
      </c>
      <c r="L117" s="302" t="s">
        <v>410</v>
      </c>
      <c r="M117" s="303"/>
      <c r="N117" s="431"/>
      <c r="O117" s="303"/>
    </row>
    <row r="118" spans="1:66" s="283" customFormat="1" ht="15" customHeight="1" x14ac:dyDescent="0.25">
      <c r="A118" s="300">
        <v>44265</v>
      </c>
      <c r="B118" s="298" t="s">
        <v>283</v>
      </c>
      <c r="C118" s="310" t="s">
        <v>72</v>
      </c>
      <c r="D118" s="306" t="s">
        <v>121</v>
      </c>
      <c r="E118" s="437"/>
      <c r="F118" s="440">
        <v>20000</v>
      </c>
      <c r="G118" s="394">
        <f t="shared" si="1"/>
        <v>15702377.99927</v>
      </c>
      <c r="H118" s="298" t="s">
        <v>122</v>
      </c>
      <c r="I118" s="396" t="s">
        <v>75</v>
      </c>
      <c r="J118" s="418" t="s">
        <v>157</v>
      </c>
      <c r="K118" s="419" t="s">
        <v>402</v>
      </c>
      <c r="L118" s="302" t="s">
        <v>410</v>
      </c>
      <c r="M118" s="304" t="s">
        <v>581</v>
      </c>
      <c r="N118" s="433" t="s">
        <v>452</v>
      </c>
      <c r="O118" s="303"/>
    </row>
    <row r="119" spans="1:66" s="152" customFormat="1" ht="15" customHeight="1" x14ac:dyDescent="0.25">
      <c r="A119" s="300">
        <v>44265</v>
      </c>
      <c r="B119" s="301" t="s">
        <v>343</v>
      </c>
      <c r="C119" s="310" t="s">
        <v>156</v>
      </c>
      <c r="D119" s="298" t="s">
        <v>31</v>
      </c>
      <c r="E119" s="534"/>
      <c r="F119" s="447">
        <v>100000</v>
      </c>
      <c r="G119" s="394">
        <f t="shared" si="1"/>
        <v>15602377.99927</v>
      </c>
      <c r="H119" s="307" t="s">
        <v>68</v>
      </c>
      <c r="I119" s="304" t="s">
        <v>134</v>
      </c>
      <c r="J119" s="386" t="s">
        <v>157</v>
      </c>
      <c r="K119" s="302" t="s">
        <v>402</v>
      </c>
      <c r="L119" s="302" t="s">
        <v>410</v>
      </c>
      <c r="M119" s="304" t="s">
        <v>582</v>
      </c>
      <c r="N119" s="431" t="s">
        <v>453</v>
      </c>
      <c r="O119" s="303"/>
    </row>
    <row r="120" spans="1:66" s="152" customFormat="1" ht="15" customHeight="1" x14ac:dyDescent="0.25">
      <c r="A120" s="300">
        <v>44266</v>
      </c>
      <c r="B120" s="310" t="s">
        <v>262</v>
      </c>
      <c r="C120" s="298" t="s">
        <v>17</v>
      </c>
      <c r="D120" s="310" t="s">
        <v>18</v>
      </c>
      <c r="E120" s="440"/>
      <c r="F120" s="440">
        <v>12700</v>
      </c>
      <c r="G120" s="394">
        <f t="shared" si="1"/>
        <v>15589677.99927</v>
      </c>
      <c r="H120" s="310" t="s">
        <v>62</v>
      </c>
      <c r="I120" s="313" t="s">
        <v>75</v>
      </c>
      <c r="J120" s="304" t="s">
        <v>157</v>
      </c>
      <c r="K120" s="420" t="s">
        <v>402</v>
      </c>
      <c r="L120" s="302" t="s">
        <v>410</v>
      </c>
      <c r="M120" s="304" t="s">
        <v>583</v>
      </c>
      <c r="N120" s="432" t="s">
        <v>432</v>
      </c>
      <c r="O120" s="307"/>
    </row>
    <row r="121" spans="1:66" s="392" customFormat="1" ht="15" customHeight="1" x14ac:dyDescent="0.25">
      <c r="A121" s="300">
        <v>44266</v>
      </c>
      <c r="B121" s="310" t="s">
        <v>263</v>
      </c>
      <c r="C121" s="298" t="s">
        <v>17</v>
      </c>
      <c r="D121" s="310" t="s">
        <v>18</v>
      </c>
      <c r="E121" s="437"/>
      <c r="F121" s="441">
        <v>24000</v>
      </c>
      <c r="G121" s="394">
        <f t="shared" si="1"/>
        <v>15565677.99927</v>
      </c>
      <c r="H121" s="310" t="s">
        <v>62</v>
      </c>
      <c r="I121" s="313" t="s">
        <v>75</v>
      </c>
      <c r="J121" s="391" t="s">
        <v>157</v>
      </c>
      <c r="K121" s="302" t="s">
        <v>402</v>
      </c>
      <c r="L121" s="302" t="s">
        <v>410</v>
      </c>
      <c r="M121" s="304" t="s">
        <v>584</v>
      </c>
      <c r="N121" s="431" t="s">
        <v>432</v>
      </c>
      <c r="O121" s="303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</row>
    <row r="122" spans="1:66" s="269" customFormat="1" ht="15" customHeight="1" x14ac:dyDescent="0.25">
      <c r="A122" s="300">
        <v>44266</v>
      </c>
      <c r="B122" s="310" t="s">
        <v>77</v>
      </c>
      <c r="C122" s="310" t="s">
        <v>120</v>
      </c>
      <c r="D122" s="310"/>
      <c r="E122" s="437"/>
      <c r="F122" s="441">
        <v>10000</v>
      </c>
      <c r="G122" s="394">
        <f t="shared" si="1"/>
        <v>15555677.99927</v>
      </c>
      <c r="H122" s="310" t="s">
        <v>62</v>
      </c>
      <c r="I122" s="304"/>
      <c r="J122" s="386"/>
      <c r="K122" s="302"/>
      <c r="L122" s="302"/>
      <c r="M122" s="303"/>
      <c r="N122" s="431"/>
      <c r="O122" s="303"/>
      <c r="P122" s="287"/>
    </row>
    <row r="123" spans="1:66" s="152" customFormat="1" ht="15" customHeight="1" x14ac:dyDescent="0.25">
      <c r="A123" s="300">
        <v>44266</v>
      </c>
      <c r="B123" s="298" t="s">
        <v>282</v>
      </c>
      <c r="C123" s="310" t="s">
        <v>156</v>
      </c>
      <c r="D123" s="306" t="s">
        <v>121</v>
      </c>
      <c r="E123" s="437"/>
      <c r="F123" s="440">
        <v>30000</v>
      </c>
      <c r="G123" s="394">
        <f t="shared" si="1"/>
        <v>15525677.99927</v>
      </c>
      <c r="H123" s="298" t="s">
        <v>122</v>
      </c>
      <c r="I123" s="313" t="s">
        <v>75</v>
      </c>
      <c r="J123" s="386" t="s">
        <v>157</v>
      </c>
      <c r="K123" s="302" t="s">
        <v>402</v>
      </c>
      <c r="L123" s="302" t="s">
        <v>410</v>
      </c>
      <c r="M123" s="304" t="s">
        <v>585</v>
      </c>
      <c r="N123" s="431" t="s">
        <v>453</v>
      </c>
      <c r="O123" s="303"/>
    </row>
    <row r="124" spans="1:66" s="208" customFormat="1" ht="15" customHeight="1" x14ac:dyDescent="0.25">
      <c r="A124" s="300">
        <v>44267</v>
      </c>
      <c r="B124" s="310" t="s">
        <v>154</v>
      </c>
      <c r="C124" s="310" t="s">
        <v>120</v>
      </c>
      <c r="D124" s="310"/>
      <c r="E124" s="437"/>
      <c r="F124" s="441">
        <v>230000</v>
      </c>
      <c r="G124" s="394">
        <f t="shared" si="1"/>
        <v>15295677.99927</v>
      </c>
      <c r="H124" s="310" t="s">
        <v>62</v>
      </c>
      <c r="I124" s="308"/>
      <c r="J124" s="386"/>
      <c r="K124" s="302"/>
      <c r="L124" s="302"/>
      <c r="M124" s="303"/>
      <c r="N124" s="431"/>
      <c r="O124" s="303"/>
      <c r="P124" s="291"/>
    </row>
    <row r="125" spans="1:66" s="152" customFormat="1" ht="15" customHeight="1" x14ac:dyDescent="0.25">
      <c r="A125" s="300">
        <v>44267</v>
      </c>
      <c r="B125" s="310" t="s">
        <v>184</v>
      </c>
      <c r="C125" s="310" t="s">
        <v>120</v>
      </c>
      <c r="D125" s="310"/>
      <c r="E125" s="437"/>
      <c r="F125" s="441">
        <v>25000</v>
      </c>
      <c r="G125" s="394">
        <f t="shared" si="1"/>
        <v>15270677.99927</v>
      </c>
      <c r="H125" s="310" t="s">
        <v>62</v>
      </c>
      <c r="I125" s="304"/>
      <c r="J125" s="386"/>
      <c r="K125" s="302"/>
      <c r="L125" s="302"/>
      <c r="M125" s="303"/>
      <c r="N125" s="431"/>
      <c r="O125" s="304"/>
    </row>
    <row r="126" spans="1:66" s="152" customFormat="1" ht="15" customHeight="1" x14ac:dyDescent="0.25">
      <c r="A126" s="300">
        <v>44267</v>
      </c>
      <c r="B126" s="310" t="s">
        <v>67</v>
      </c>
      <c r="C126" s="310" t="s">
        <v>120</v>
      </c>
      <c r="D126" s="310"/>
      <c r="E126" s="437"/>
      <c r="F126" s="441">
        <v>211000</v>
      </c>
      <c r="G126" s="394">
        <f t="shared" si="1"/>
        <v>15059677.99927</v>
      </c>
      <c r="H126" s="310" t="s">
        <v>62</v>
      </c>
      <c r="I126" s="381"/>
      <c r="J126" s="386"/>
      <c r="K126" s="302"/>
      <c r="L126" s="302"/>
      <c r="M126" s="303"/>
      <c r="N126" s="431"/>
      <c r="O126" s="303"/>
      <c r="P126" s="287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</row>
    <row r="127" spans="1:66" s="152" customFormat="1" ht="15" customHeight="1" x14ac:dyDescent="0.25">
      <c r="A127" s="300">
        <v>44267</v>
      </c>
      <c r="B127" s="310" t="s">
        <v>264</v>
      </c>
      <c r="C127" s="306" t="s">
        <v>63</v>
      </c>
      <c r="D127" s="306" t="s">
        <v>21</v>
      </c>
      <c r="E127" s="437"/>
      <c r="F127" s="441">
        <f>6900+6330</f>
        <v>13230</v>
      </c>
      <c r="G127" s="394">
        <f t="shared" si="1"/>
        <v>15046447.99927</v>
      </c>
      <c r="H127" s="310" t="s">
        <v>62</v>
      </c>
      <c r="I127" s="391" t="s">
        <v>75</v>
      </c>
      <c r="J127" s="390" t="s">
        <v>157</v>
      </c>
      <c r="K127" s="568" t="s">
        <v>402</v>
      </c>
      <c r="L127" s="302" t="s">
        <v>410</v>
      </c>
      <c r="M127" s="304" t="s">
        <v>586</v>
      </c>
      <c r="N127" s="434" t="s">
        <v>403</v>
      </c>
      <c r="O127" s="303"/>
    </row>
    <row r="128" spans="1:66" s="152" customFormat="1" ht="15" customHeight="1" x14ac:dyDescent="0.25">
      <c r="A128" s="300">
        <v>44267</v>
      </c>
      <c r="B128" s="301" t="s">
        <v>183</v>
      </c>
      <c r="C128" s="306" t="s">
        <v>120</v>
      </c>
      <c r="D128" s="409"/>
      <c r="E128" s="534">
        <v>230000</v>
      </c>
      <c r="F128" s="447"/>
      <c r="G128" s="394">
        <f t="shared" si="1"/>
        <v>15276447.99927</v>
      </c>
      <c r="H128" s="307" t="s">
        <v>68</v>
      </c>
      <c r="I128" s="301"/>
      <c r="J128" s="387"/>
      <c r="K128" s="302"/>
      <c r="L128" s="302"/>
      <c r="M128" s="303"/>
      <c r="N128" s="431"/>
      <c r="O128" s="303"/>
    </row>
    <row r="129" spans="1:66" s="191" customFormat="1" ht="15.75" x14ac:dyDescent="0.25">
      <c r="A129" s="300">
        <v>44267</v>
      </c>
      <c r="B129" s="298" t="s">
        <v>352</v>
      </c>
      <c r="C129" s="310" t="s">
        <v>120</v>
      </c>
      <c r="D129" s="310"/>
      <c r="E129" s="439">
        <v>10000</v>
      </c>
      <c r="F129" s="438"/>
      <c r="G129" s="394">
        <f t="shared" si="1"/>
        <v>15286447.99927</v>
      </c>
      <c r="H129" s="301" t="s">
        <v>77</v>
      </c>
      <c r="I129" s="384"/>
      <c r="J129" s="418"/>
      <c r="K129" s="419"/>
      <c r="L129" s="302"/>
      <c r="M129" s="303"/>
      <c r="N129" s="433"/>
      <c r="O129" s="303"/>
      <c r="P129" s="287"/>
      <c r="Q129" s="269"/>
    </row>
    <row r="130" spans="1:66" s="191" customFormat="1" ht="15" customHeight="1" x14ac:dyDescent="0.25">
      <c r="A130" s="300">
        <v>44267</v>
      </c>
      <c r="B130" s="302" t="s">
        <v>466</v>
      </c>
      <c r="C130" s="312" t="s">
        <v>120</v>
      </c>
      <c r="D130" s="527"/>
      <c r="E130" s="538">
        <v>211000</v>
      </c>
      <c r="F130" s="448"/>
      <c r="G130" s="394">
        <f t="shared" si="1"/>
        <v>15497447.99927</v>
      </c>
      <c r="H130" s="302" t="s">
        <v>67</v>
      </c>
      <c r="I130" s="302"/>
      <c r="J130" s="386"/>
      <c r="K130" s="302"/>
      <c r="L130" s="302"/>
      <c r="M130" s="303"/>
      <c r="N130" s="431"/>
      <c r="O130" s="303"/>
      <c r="P130" s="287"/>
      <c r="Q130" s="47"/>
    </row>
    <row r="131" spans="1:66" s="269" customFormat="1" ht="15" customHeight="1" x14ac:dyDescent="0.25">
      <c r="A131" s="300">
        <v>44267</v>
      </c>
      <c r="B131" s="494" t="s">
        <v>382</v>
      </c>
      <c r="C131" s="498" t="s">
        <v>120</v>
      </c>
      <c r="D131" s="498"/>
      <c r="E131" s="536">
        <v>25000</v>
      </c>
      <c r="F131" s="536"/>
      <c r="G131" s="394">
        <f t="shared" si="1"/>
        <v>15522447.99927</v>
      </c>
      <c r="H131" s="556" t="s">
        <v>184</v>
      </c>
      <c r="I131" s="556"/>
      <c r="J131" s="386"/>
      <c r="K131" s="302"/>
      <c r="L131" s="302"/>
      <c r="M131" s="303"/>
      <c r="N131" s="431"/>
      <c r="O131" s="303"/>
      <c r="P131" s="287"/>
    </row>
    <row r="132" spans="1:66" s="152" customFormat="1" ht="15" customHeight="1" x14ac:dyDescent="0.25">
      <c r="A132" s="300">
        <v>44268</v>
      </c>
      <c r="B132" s="301" t="s">
        <v>344</v>
      </c>
      <c r="C132" s="310" t="s">
        <v>156</v>
      </c>
      <c r="D132" s="298" t="s">
        <v>31</v>
      </c>
      <c r="E132" s="447"/>
      <c r="F132" s="447">
        <v>45000</v>
      </c>
      <c r="G132" s="394">
        <f t="shared" si="1"/>
        <v>15477447.99927</v>
      </c>
      <c r="H132" s="307" t="s">
        <v>68</v>
      </c>
      <c r="I132" s="313" t="s">
        <v>75</v>
      </c>
      <c r="J132" s="386" t="s">
        <v>157</v>
      </c>
      <c r="K132" s="302" t="s">
        <v>402</v>
      </c>
      <c r="L132" s="302" t="s">
        <v>410</v>
      </c>
      <c r="M132" s="304" t="s">
        <v>587</v>
      </c>
      <c r="N132" s="431" t="s">
        <v>453</v>
      </c>
      <c r="O132" s="303"/>
    </row>
    <row r="133" spans="1:66" s="152" customFormat="1" ht="15" customHeight="1" x14ac:dyDescent="0.25">
      <c r="A133" s="300">
        <v>44268</v>
      </c>
      <c r="B133" s="301" t="s">
        <v>516</v>
      </c>
      <c r="C133" s="310" t="s">
        <v>72</v>
      </c>
      <c r="D133" s="298" t="s">
        <v>31</v>
      </c>
      <c r="E133" s="447"/>
      <c r="F133" s="447">
        <v>8000</v>
      </c>
      <c r="G133" s="394">
        <f t="shared" si="1"/>
        <v>15469447.99927</v>
      </c>
      <c r="H133" s="307" t="s">
        <v>68</v>
      </c>
      <c r="I133" s="391" t="s">
        <v>75</v>
      </c>
      <c r="J133" s="390" t="s">
        <v>400</v>
      </c>
      <c r="K133" s="424" t="s">
        <v>401</v>
      </c>
      <c r="L133" s="302" t="s">
        <v>410</v>
      </c>
      <c r="M133" s="303"/>
      <c r="N133" s="434"/>
      <c r="O133" s="303"/>
    </row>
    <row r="134" spans="1:66" s="152" customFormat="1" ht="15" customHeight="1" x14ac:dyDescent="0.25">
      <c r="A134" s="300">
        <v>44268</v>
      </c>
      <c r="B134" s="302" t="s">
        <v>372</v>
      </c>
      <c r="C134" s="310" t="s">
        <v>156</v>
      </c>
      <c r="D134" s="298" t="s">
        <v>31</v>
      </c>
      <c r="E134" s="456"/>
      <c r="F134" s="448">
        <v>45000</v>
      </c>
      <c r="G134" s="394">
        <f t="shared" si="1"/>
        <v>15424447.99927</v>
      </c>
      <c r="H134" s="302" t="s">
        <v>67</v>
      </c>
      <c r="I134" s="313" t="s">
        <v>75</v>
      </c>
      <c r="J134" s="386" t="s">
        <v>157</v>
      </c>
      <c r="K134" s="302" t="s">
        <v>402</v>
      </c>
      <c r="L134" s="302" t="s">
        <v>410</v>
      </c>
      <c r="M134" s="304" t="s">
        <v>588</v>
      </c>
      <c r="N134" s="431" t="s">
        <v>453</v>
      </c>
      <c r="O134" s="303"/>
    </row>
    <row r="135" spans="1:66" s="152" customFormat="1" ht="15" customHeight="1" x14ac:dyDescent="0.25">
      <c r="A135" s="300">
        <v>44268</v>
      </c>
      <c r="B135" s="302" t="s">
        <v>373</v>
      </c>
      <c r="C135" s="310" t="s">
        <v>72</v>
      </c>
      <c r="D135" s="298" t="s">
        <v>31</v>
      </c>
      <c r="E135" s="456"/>
      <c r="F135" s="448">
        <v>5000</v>
      </c>
      <c r="G135" s="394">
        <f t="shared" si="1"/>
        <v>15419447.99927</v>
      </c>
      <c r="H135" s="302" t="s">
        <v>67</v>
      </c>
      <c r="I135" s="311" t="s">
        <v>134</v>
      </c>
      <c r="J135" s="418" t="s">
        <v>400</v>
      </c>
      <c r="K135" s="419" t="s">
        <v>401</v>
      </c>
      <c r="L135" s="302" t="s">
        <v>410</v>
      </c>
      <c r="M135" s="303"/>
      <c r="N135" s="433"/>
      <c r="O135" s="30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</row>
    <row r="136" spans="1:66" ht="15" customHeight="1" x14ac:dyDescent="0.25">
      <c r="A136" s="300">
        <v>44270</v>
      </c>
      <c r="B136" s="310" t="s">
        <v>122</v>
      </c>
      <c r="C136" s="310" t="s">
        <v>120</v>
      </c>
      <c r="D136" s="310"/>
      <c r="E136" s="440"/>
      <c r="F136" s="441">
        <v>15000</v>
      </c>
      <c r="G136" s="394">
        <f t="shared" si="1"/>
        <v>15404447.99927</v>
      </c>
      <c r="H136" s="310" t="s">
        <v>62</v>
      </c>
      <c r="I136" s="423"/>
      <c r="J136" s="390"/>
      <c r="K136" s="424"/>
      <c r="L136" s="302"/>
      <c r="M136" s="303"/>
      <c r="N136" s="434"/>
      <c r="O136" s="303"/>
      <c r="P136" s="287"/>
      <c r="Q136" s="269"/>
    </row>
    <row r="137" spans="1:66" s="152" customFormat="1" ht="15" customHeight="1" x14ac:dyDescent="0.25">
      <c r="A137" s="300">
        <v>44270</v>
      </c>
      <c r="B137" s="298" t="s">
        <v>168</v>
      </c>
      <c r="C137" s="310" t="s">
        <v>120</v>
      </c>
      <c r="D137" s="310"/>
      <c r="E137" s="440">
        <v>15000</v>
      </c>
      <c r="F137" s="440"/>
      <c r="G137" s="394">
        <f t="shared" si="1"/>
        <v>15419447.99927</v>
      </c>
      <c r="H137" s="298" t="s">
        <v>122</v>
      </c>
      <c r="I137" s="298"/>
      <c r="J137" s="386"/>
      <c r="K137" s="302"/>
      <c r="L137" s="302"/>
      <c r="M137" s="303"/>
      <c r="N137" s="431"/>
      <c r="O137" s="303"/>
    </row>
    <row r="138" spans="1:66" s="152" customFormat="1" ht="15" customHeight="1" x14ac:dyDescent="0.25">
      <c r="A138" s="300">
        <v>44270</v>
      </c>
      <c r="B138" s="301" t="s">
        <v>518</v>
      </c>
      <c r="C138" s="310" t="s">
        <v>156</v>
      </c>
      <c r="D138" s="298" t="s">
        <v>31</v>
      </c>
      <c r="E138" s="447"/>
      <c r="F138" s="447">
        <v>30000</v>
      </c>
      <c r="G138" s="394">
        <f t="shared" si="1"/>
        <v>15389447.99927</v>
      </c>
      <c r="H138" s="307" t="s">
        <v>68</v>
      </c>
      <c r="I138" s="396" t="s">
        <v>75</v>
      </c>
      <c r="J138" s="418" t="s">
        <v>157</v>
      </c>
      <c r="K138" s="419" t="s">
        <v>402</v>
      </c>
      <c r="L138" s="302" t="s">
        <v>410</v>
      </c>
      <c r="M138" s="304" t="s">
        <v>589</v>
      </c>
      <c r="N138" s="433" t="s">
        <v>453</v>
      </c>
      <c r="O138" s="303"/>
    </row>
    <row r="139" spans="1:66" s="152" customFormat="1" ht="15" customHeight="1" x14ac:dyDescent="0.25">
      <c r="A139" s="300">
        <v>44270</v>
      </c>
      <c r="B139" s="301" t="s">
        <v>517</v>
      </c>
      <c r="C139" s="310" t="s">
        <v>72</v>
      </c>
      <c r="D139" s="298" t="s">
        <v>31</v>
      </c>
      <c r="E139" s="447"/>
      <c r="F139" s="447">
        <v>15000</v>
      </c>
      <c r="G139" s="394">
        <f t="shared" si="1"/>
        <v>15374447.99927</v>
      </c>
      <c r="H139" s="307" t="s">
        <v>68</v>
      </c>
      <c r="I139" s="391" t="s">
        <v>75</v>
      </c>
      <c r="J139" s="397" t="s">
        <v>400</v>
      </c>
      <c r="K139" s="424" t="s">
        <v>401</v>
      </c>
      <c r="L139" s="302" t="s">
        <v>410</v>
      </c>
      <c r="M139" s="303"/>
      <c r="N139" s="375"/>
      <c r="O139" s="303"/>
    </row>
    <row r="140" spans="1:66" s="152" customFormat="1" ht="15" customHeight="1" x14ac:dyDescent="0.25">
      <c r="A140" s="300">
        <v>44270</v>
      </c>
      <c r="B140" s="494" t="s">
        <v>507</v>
      </c>
      <c r="C140" s="306" t="s">
        <v>60</v>
      </c>
      <c r="D140" s="306" t="s">
        <v>121</v>
      </c>
      <c r="E140" s="533"/>
      <c r="F140" s="552">
        <v>25000</v>
      </c>
      <c r="G140" s="394">
        <f t="shared" si="1"/>
        <v>15349447.99927</v>
      </c>
      <c r="H140" s="556" t="s">
        <v>184</v>
      </c>
      <c r="I140" s="313" t="s">
        <v>75</v>
      </c>
      <c r="J140" s="386" t="s">
        <v>400</v>
      </c>
      <c r="K140" s="301" t="s">
        <v>401</v>
      </c>
      <c r="L140" s="302" t="s">
        <v>410</v>
      </c>
      <c r="M140" s="303"/>
      <c r="N140" s="431"/>
      <c r="O140" s="303"/>
    </row>
    <row r="141" spans="1:66" s="152" customFormat="1" ht="15" customHeight="1" x14ac:dyDescent="0.25">
      <c r="A141" s="300">
        <v>44271</v>
      </c>
      <c r="B141" s="298" t="s">
        <v>222</v>
      </c>
      <c r="C141" s="298" t="s">
        <v>120</v>
      </c>
      <c r="D141" s="298"/>
      <c r="E141" s="491"/>
      <c r="F141" s="440">
        <v>1000000</v>
      </c>
      <c r="G141" s="394">
        <f t="shared" si="1"/>
        <v>14349447.99927</v>
      </c>
      <c r="H141" s="301" t="s">
        <v>58</v>
      </c>
      <c r="I141" s="311">
        <v>3654434</v>
      </c>
      <c r="J141" s="418"/>
      <c r="K141" s="419"/>
      <c r="L141" s="302"/>
      <c r="M141" s="303"/>
      <c r="N141" s="433"/>
      <c r="O141" s="303"/>
    </row>
    <row r="142" spans="1:66" s="152" customFormat="1" ht="15" customHeight="1" x14ac:dyDescent="0.25">
      <c r="A142" s="300">
        <v>44271</v>
      </c>
      <c r="B142" s="298" t="s">
        <v>399</v>
      </c>
      <c r="C142" s="298" t="s">
        <v>30</v>
      </c>
      <c r="D142" s="298" t="s">
        <v>21</v>
      </c>
      <c r="E142" s="491"/>
      <c r="F142" s="440">
        <v>143000</v>
      </c>
      <c r="G142" s="394">
        <f t="shared" si="1"/>
        <v>14206447.99927</v>
      </c>
      <c r="H142" s="301" t="s">
        <v>58</v>
      </c>
      <c r="I142" s="304" t="s">
        <v>133</v>
      </c>
      <c r="J142" s="386" t="s">
        <v>400</v>
      </c>
      <c r="K142" s="302" t="s">
        <v>401</v>
      </c>
      <c r="L142" s="302" t="s">
        <v>410</v>
      </c>
      <c r="M142" s="303"/>
      <c r="N142" s="431"/>
      <c r="O142" s="303"/>
    </row>
    <row r="143" spans="1:66" s="152" customFormat="1" ht="15" customHeight="1" x14ac:dyDescent="0.25">
      <c r="A143" s="300">
        <v>44271</v>
      </c>
      <c r="B143" s="406" t="s">
        <v>229</v>
      </c>
      <c r="C143" s="306" t="s">
        <v>60</v>
      </c>
      <c r="D143" s="306" t="s">
        <v>121</v>
      </c>
      <c r="E143" s="448"/>
      <c r="F143" s="438">
        <v>300000</v>
      </c>
      <c r="G143" s="394">
        <f t="shared" ref="G143:G206" si="2">G142+E143-F143</f>
        <v>13906447.99927</v>
      </c>
      <c r="H143" s="301" t="s">
        <v>59</v>
      </c>
      <c r="I143" s="304">
        <v>3643426</v>
      </c>
      <c r="J143" s="313" t="s">
        <v>157</v>
      </c>
      <c r="K143" s="301" t="s">
        <v>402</v>
      </c>
      <c r="L143" s="302" t="s">
        <v>410</v>
      </c>
      <c r="M143" s="304" t="s">
        <v>590</v>
      </c>
      <c r="N143" s="432" t="s">
        <v>411</v>
      </c>
      <c r="O143" s="303"/>
    </row>
    <row r="144" spans="1:66" s="152" customFormat="1" ht="15" customHeight="1" x14ac:dyDescent="0.25">
      <c r="A144" s="300">
        <v>44271</v>
      </c>
      <c r="B144" s="310" t="s">
        <v>123</v>
      </c>
      <c r="C144" s="499" t="s">
        <v>120</v>
      </c>
      <c r="D144" s="310"/>
      <c r="E144" s="440"/>
      <c r="F144" s="441">
        <v>12000</v>
      </c>
      <c r="G144" s="394">
        <f t="shared" si="2"/>
        <v>13894447.99927</v>
      </c>
      <c r="H144" s="310" t="s">
        <v>62</v>
      </c>
      <c r="I144" s="313"/>
      <c r="J144" s="386"/>
      <c r="K144" s="301"/>
      <c r="L144" s="302"/>
      <c r="M144" s="303"/>
      <c r="N144" s="431"/>
      <c r="O144" s="303"/>
    </row>
    <row r="145" spans="1:66" s="152" customFormat="1" ht="15" customHeight="1" x14ac:dyDescent="0.25">
      <c r="A145" s="300">
        <v>44271</v>
      </c>
      <c r="B145" s="310" t="s">
        <v>58</v>
      </c>
      <c r="C145" s="310" t="s">
        <v>120</v>
      </c>
      <c r="D145" s="310"/>
      <c r="E145" s="440">
        <v>1000000</v>
      </c>
      <c r="F145" s="441"/>
      <c r="G145" s="394">
        <f t="shared" si="2"/>
        <v>14894447.99927</v>
      </c>
      <c r="H145" s="310" t="s">
        <v>62</v>
      </c>
      <c r="I145" s="425"/>
      <c r="J145" s="390"/>
      <c r="K145" s="424"/>
      <c r="L145" s="302"/>
      <c r="M145" s="303"/>
      <c r="N145" s="434"/>
      <c r="O145" s="303"/>
      <c r="P145" s="287"/>
    </row>
    <row r="146" spans="1:66" s="152" customFormat="1" ht="15" customHeight="1" x14ac:dyDescent="0.25">
      <c r="A146" s="300">
        <v>44271</v>
      </c>
      <c r="B146" s="310" t="s">
        <v>123</v>
      </c>
      <c r="C146" s="310" t="s">
        <v>120</v>
      </c>
      <c r="D146" s="310"/>
      <c r="E146" s="440"/>
      <c r="F146" s="441">
        <v>35100</v>
      </c>
      <c r="G146" s="394">
        <f t="shared" si="2"/>
        <v>14859347.99927</v>
      </c>
      <c r="H146" s="310" t="s">
        <v>62</v>
      </c>
      <c r="I146" s="381"/>
      <c r="J146" s="386"/>
      <c r="K146" s="302"/>
      <c r="L146" s="302"/>
      <c r="M146" s="303"/>
      <c r="N146" s="431"/>
      <c r="O146" s="303"/>
    </row>
    <row r="147" spans="1:66" ht="15" customHeight="1" x14ac:dyDescent="0.25">
      <c r="A147" s="300">
        <v>44271</v>
      </c>
      <c r="B147" s="310" t="s">
        <v>114</v>
      </c>
      <c r="C147" s="310" t="s">
        <v>120</v>
      </c>
      <c r="D147" s="310"/>
      <c r="E147" s="440"/>
      <c r="F147" s="441">
        <v>130000</v>
      </c>
      <c r="G147" s="394">
        <f t="shared" si="2"/>
        <v>14729347.99927</v>
      </c>
      <c r="H147" s="310" t="s">
        <v>62</v>
      </c>
      <c r="I147" s="384"/>
      <c r="J147" s="418"/>
      <c r="K147" s="419"/>
      <c r="L147" s="302"/>
      <c r="M147" s="303"/>
      <c r="N147" s="433"/>
      <c r="O147" s="302"/>
      <c r="P147" s="287"/>
    </row>
    <row r="148" spans="1:66" s="152" customFormat="1" ht="15" customHeight="1" x14ac:dyDescent="0.25">
      <c r="A148" s="300">
        <v>44271</v>
      </c>
      <c r="B148" s="298" t="s">
        <v>310</v>
      </c>
      <c r="C148" s="310" t="s">
        <v>72</v>
      </c>
      <c r="D148" s="310" t="s">
        <v>175</v>
      </c>
      <c r="E148" s="438"/>
      <c r="F148" s="438">
        <v>10000</v>
      </c>
      <c r="G148" s="394">
        <f t="shared" si="2"/>
        <v>14719347.99927</v>
      </c>
      <c r="H148" s="298" t="s">
        <v>69</v>
      </c>
      <c r="I148" s="313" t="s">
        <v>75</v>
      </c>
      <c r="J148" s="386" t="s">
        <v>157</v>
      </c>
      <c r="K148" s="302" t="s">
        <v>402</v>
      </c>
      <c r="L148" s="302" t="s">
        <v>410</v>
      </c>
      <c r="M148" s="304" t="s">
        <v>591</v>
      </c>
      <c r="N148" s="431" t="s">
        <v>452</v>
      </c>
      <c r="O148" s="303"/>
    </row>
    <row r="149" spans="1:66" s="269" customFormat="1" ht="15" customHeight="1" x14ac:dyDescent="0.25">
      <c r="A149" s="300">
        <v>44271</v>
      </c>
      <c r="B149" s="309" t="s">
        <v>316</v>
      </c>
      <c r="C149" s="309" t="s">
        <v>120</v>
      </c>
      <c r="D149" s="309"/>
      <c r="E149" s="441">
        <v>35100</v>
      </c>
      <c r="F149" s="441"/>
      <c r="G149" s="394">
        <f t="shared" si="2"/>
        <v>14754447.99927</v>
      </c>
      <c r="H149" s="298" t="s">
        <v>123</v>
      </c>
      <c r="I149" s="305"/>
      <c r="J149" s="397"/>
      <c r="K149" s="428"/>
      <c r="L149" s="302"/>
      <c r="M149" s="303"/>
      <c r="N149" s="436"/>
      <c r="O149" s="303"/>
      <c r="P149" s="287"/>
    </row>
    <row r="150" spans="1:66" s="152" customFormat="1" ht="15" customHeight="1" x14ac:dyDescent="0.25">
      <c r="A150" s="300">
        <v>44271</v>
      </c>
      <c r="B150" s="309" t="s">
        <v>316</v>
      </c>
      <c r="C150" s="309" t="s">
        <v>120</v>
      </c>
      <c r="D150" s="309"/>
      <c r="E150" s="441">
        <v>12000</v>
      </c>
      <c r="F150" s="441"/>
      <c r="G150" s="394">
        <f t="shared" si="2"/>
        <v>14766447.99927</v>
      </c>
      <c r="H150" s="298" t="s">
        <v>123</v>
      </c>
      <c r="I150" s="298"/>
      <c r="J150" s="386"/>
      <c r="K150" s="302"/>
      <c r="L150" s="302"/>
      <c r="M150" s="303"/>
      <c r="N150" s="431"/>
      <c r="O150" s="303"/>
    </row>
    <row r="151" spans="1:66" s="152" customFormat="1" ht="15" customHeight="1" x14ac:dyDescent="0.25">
      <c r="A151" s="300">
        <v>44271</v>
      </c>
      <c r="B151" s="309" t="s">
        <v>325</v>
      </c>
      <c r="C151" s="310" t="s">
        <v>72</v>
      </c>
      <c r="D151" s="310" t="s">
        <v>175</v>
      </c>
      <c r="E151" s="441"/>
      <c r="F151" s="441">
        <v>10000</v>
      </c>
      <c r="G151" s="394">
        <f t="shared" si="2"/>
        <v>14756447.99927</v>
      </c>
      <c r="H151" s="298" t="s">
        <v>123</v>
      </c>
      <c r="I151" s="396" t="s">
        <v>75</v>
      </c>
      <c r="J151" s="418" t="s">
        <v>157</v>
      </c>
      <c r="K151" s="419" t="s">
        <v>402</v>
      </c>
      <c r="L151" s="302" t="s">
        <v>410</v>
      </c>
      <c r="M151" s="304" t="s">
        <v>592</v>
      </c>
      <c r="N151" s="433" t="s">
        <v>452</v>
      </c>
      <c r="O151" s="303"/>
    </row>
    <row r="152" spans="1:66" ht="15" customHeight="1" x14ac:dyDescent="0.25">
      <c r="A152" s="300">
        <v>44271</v>
      </c>
      <c r="B152" s="377" t="s">
        <v>167</v>
      </c>
      <c r="C152" s="306" t="s">
        <v>120</v>
      </c>
      <c r="D152" s="377"/>
      <c r="E152" s="443">
        <v>130000</v>
      </c>
      <c r="F152" s="445"/>
      <c r="G152" s="394">
        <f t="shared" si="2"/>
        <v>14886447.99927</v>
      </c>
      <c r="H152" s="377" t="s">
        <v>64</v>
      </c>
      <c r="I152" s="303"/>
      <c r="J152" s="386"/>
      <c r="K152" s="302"/>
      <c r="L152" s="302"/>
      <c r="M152" s="303"/>
      <c r="N152" s="431"/>
      <c r="O152" s="303"/>
      <c r="P152" s="287"/>
    </row>
    <row r="153" spans="1:66" s="152" customFormat="1" ht="15" customHeight="1" x14ac:dyDescent="0.25">
      <c r="A153" s="300">
        <v>44271</v>
      </c>
      <c r="B153" s="377" t="s">
        <v>328</v>
      </c>
      <c r="C153" s="310" t="s">
        <v>72</v>
      </c>
      <c r="D153" s="310" t="s">
        <v>175</v>
      </c>
      <c r="E153" s="443"/>
      <c r="F153" s="445">
        <v>10000</v>
      </c>
      <c r="G153" s="394">
        <f t="shared" si="2"/>
        <v>14876447.99927</v>
      </c>
      <c r="H153" s="377" t="s">
        <v>64</v>
      </c>
      <c r="I153" s="313" t="s">
        <v>75</v>
      </c>
      <c r="J153" s="389" t="s">
        <v>157</v>
      </c>
      <c r="K153" s="299" t="s">
        <v>402</v>
      </c>
      <c r="L153" s="302" t="s">
        <v>410</v>
      </c>
      <c r="M153" s="304" t="s">
        <v>593</v>
      </c>
      <c r="N153" s="431" t="s">
        <v>452</v>
      </c>
      <c r="O153" s="303"/>
      <c r="P153" s="287"/>
    </row>
    <row r="154" spans="1:66" s="152" customFormat="1" ht="15" customHeight="1" x14ac:dyDescent="0.25">
      <c r="A154" s="300">
        <v>44271</v>
      </c>
      <c r="B154" s="302" t="s">
        <v>374</v>
      </c>
      <c r="C154" s="310" t="s">
        <v>156</v>
      </c>
      <c r="D154" s="298" t="s">
        <v>31</v>
      </c>
      <c r="E154" s="456"/>
      <c r="F154" s="448">
        <v>45000</v>
      </c>
      <c r="G154" s="394">
        <f t="shared" si="2"/>
        <v>14831447.99927</v>
      </c>
      <c r="H154" s="302" t="s">
        <v>67</v>
      </c>
      <c r="I154" s="396" t="s">
        <v>75</v>
      </c>
      <c r="J154" s="386" t="s">
        <v>157</v>
      </c>
      <c r="K154" s="302" t="s">
        <v>402</v>
      </c>
      <c r="L154" s="302" t="s">
        <v>410</v>
      </c>
      <c r="M154" s="304" t="s">
        <v>594</v>
      </c>
      <c r="N154" s="431" t="s">
        <v>453</v>
      </c>
      <c r="O154" s="303"/>
    </row>
    <row r="155" spans="1:66" s="269" customFormat="1" ht="15" customHeight="1" x14ac:dyDescent="0.25">
      <c r="A155" s="300">
        <v>44271</v>
      </c>
      <c r="B155" s="302" t="s">
        <v>375</v>
      </c>
      <c r="C155" s="517" t="s">
        <v>72</v>
      </c>
      <c r="D155" s="298" t="s">
        <v>31</v>
      </c>
      <c r="E155" s="456"/>
      <c r="F155" s="448">
        <v>10000</v>
      </c>
      <c r="G155" s="394">
        <f t="shared" si="2"/>
        <v>14821447.99927</v>
      </c>
      <c r="H155" s="302" t="s">
        <v>67</v>
      </c>
      <c r="I155" s="304" t="s">
        <v>134</v>
      </c>
      <c r="J155" s="386" t="s">
        <v>400</v>
      </c>
      <c r="K155" s="302" t="s">
        <v>401</v>
      </c>
      <c r="L155" s="302" t="s">
        <v>410</v>
      </c>
      <c r="M155" s="303"/>
      <c r="N155" s="431"/>
      <c r="O155" s="303"/>
      <c r="P155" s="287"/>
      <c r="Q155" s="28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spans="1:66" s="152" customFormat="1" ht="15" customHeight="1" x14ac:dyDescent="0.25">
      <c r="A156" s="300">
        <v>44272</v>
      </c>
      <c r="B156" s="310" t="s">
        <v>91</v>
      </c>
      <c r="C156" s="310" t="s">
        <v>120</v>
      </c>
      <c r="D156" s="310"/>
      <c r="E156" s="440"/>
      <c r="F156" s="441">
        <v>76000</v>
      </c>
      <c r="G156" s="394">
        <f t="shared" si="2"/>
        <v>14745447.99927</v>
      </c>
      <c r="H156" s="310" t="s">
        <v>62</v>
      </c>
      <c r="I156" s="308"/>
      <c r="J156" s="386"/>
      <c r="K156" s="302"/>
      <c r="L156" s="302"/>
      <c r="M156" s="303"/>
      <c r="N156" s="431"/>
      <c r="O156" s="303"/>
    </row>
    <row r="157" spans="1:66" s="269" customFormat="1" ht="15" customHeight="1" x14ac:dyDescent="0.25">
      <c r="A157" s="300">
        <v>44272</v>
      </c>
      <c r="B157" s="310" t="s">
        <v>184</v>
      </c>
      <c r="C157" s="310" t="s">
        <v>120</v>
      </c>
      <c r="D157" s="310"/>
      <c r="E157" s="440"/>
      <c r="F157" s="441">
        <v>76000</v>
      </c>
      <c r="G157" s="394">
        <f t="shared" si="2"/>
        <v>14669447.99927</v>
      </c>
      <c r="H157" s="310" t="s">
        <v>62</v>
      </c>
      <c r="I157" s="308"/>
      <c r="J157" s="390"/>
      <c r="K157" s="302"/>
      <c r="L157" s="302"/>
      <c r="M157" s="303"/>
      <c r="N157" s="431"/>
      <c r="O157" s="303"/>
      <c r="P157" s="287"/>
      <c r="Q157" s="28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spans="1:66" s="152" customFormat="1" ht="15" customHeight="1" x14ac:dyDescent="0.25">
      <c r="A158" s="300">
        <v>44272</v>
      </c>
      <c r="B158" s="310" t="s">
        <v>69</v>
      </c>
      <c r="C158" s="312" t="s">
        <v>120</v>
      </c>
      <c r="D158" s="312"/>
      <c r="E158" s="440"/>
      <c r="F158" s="441">
        <v>176000</v>
      </c>
      <c r="G158" s="394">
        <f t="shared" si="2"/>
        <v>14493447.99927</v>
      </c>
      <c r="H158" s="310" t="s">
        <v>62</v>
      </c>
      <c r="I158" s="308"/>
      <c r="J158" s="387"/>
      <c r="K158" s="302"/>
      <c r="L158" s="302"/>
      <c r="M158" s="303"/>
      <c r="N158" s="431"/>
      <c r="O158" s="303"/>
    </row>
    <row r="159" spans="1:66" s="269" customFormat="1" ht="15" customHeight="1" x14ac:dyDescent="0.25">
      <c r="A159" s="300">
        <v>44272</v>
      </c>
      <c r="B159" s="310" t="s">
        <v>69</v>
      </c>
      <c r="C159" s="310" t="s">
        <v>120</v>
      </c>
      <c r="D159" s="310"/>
      <c r="E159" s="440"/>
      <c r="F159" s="441">
        <v>30000</v>
      </c>
      <c r="G159" s="394">
        <f t="shared" si="2"/>
        <v>14463447.99927</v>
      </c>
      <c r="H159" s="310" t="s">
        <v>62</v>
      </c>
      <c r="I159" s="384"/>
      <c r="J159" s="386"/>
      <c r="K159" s="302"/>
      <c r="L159" s="302"/>
      <c r="M159" s="303"/>
      <c r="N159" s="431"/>
      <c r="O159" s="304"/>
      <c r="P159" s="287"/>
    </row>
    <row r="160" spans="1:66" s="152" customFormat="1" ht="15" customHeight="1" x14ac:dyDescent="0.25">
      <c r="A160" s="300">
        <v>44272</v>
      </c>
      <c r="B160" s="310" t="s">
        <v>265</v>
      </c>
      <c r="C160" s="306" t="s">
        <v>63</v>
      </c>
      <c r="D160" s="306" t="s">
        <v>21</v>
      </c>
      <c r="E160" s="440"/>
      <c r="F160" s="441">
        <v>5280</v>
      </c>
      <c r="G160" s="394">
        <f t="shared" si="2"/>
        <v>14458167.99927</v>
      </c>
      <c r="H160" s="310" t="s">
        <v>62</v>
      </c>
      <c r="I160" s="313" t="s">
        <v>75</v>
      </c>
      <c r="J160" s="386" t="s">
        <v>157</v>
      </c>
      <c r="K160" s="420" t="s">
        <v>402</v>
      </c>
      <c r="L160" s="302" t="s">
        <v>410</v>
      </c>
      <c r="M160" s="304" t="s">
        <v>595</v>
      </c>
      <c r="N160" s="431" t="s">
        <v>403</v>
      </c>
      <c r="O160" s="303"/>
    </row>
    <row r="161" spans="1:17" ht="15" customHeight="1" x14ac:dyDescent="0.25">
      <c r="A161" s="300">
        <v>44272</v>
      </c>
      <c r="B161" s="310" t="s">
        <v>122</v>
      </c>
      <c r="C161" s="310" t="s">
        <v>120</v>
      </c>
      <c r="D161" s="310"/>
      <c r="E161" s="440"/>
      <c r="F161" s="441">
        <v>30000</v>
      </c>
      <c r="G161" s="394">
        <f t="shared" si="2"/>
        <v>14428167.99927</v>
      </c>
      <c r="H161" s="310" t="s">
        <v>62</v>
      </c>
      <c r="I161" s="311"/>
      <c r="J161" s="386"/>
      <c r="K161" s="302"/>
      <c r="L161" s="302"/>
      <c r="M161" s="303"/>
      <c r="N161" s="431"/>
      <c r="O161" s="303"/>
      <c r="P161" s="287"/>
    </row>
    <row r="162" spans="1:17" s="152" customFormat="1" ht="15" customHeight="1" x14ac:dyDescent="0.25">
      <c r="A162" s="300">
        <v>44272</v>
      </c>
      <c r="B162" s="310" t="s">
        <v>266</v>
      </c>
      <c r="C162" s="521" t="s">
        <v>700</v>
      </c>
      <c r="D162" s="306" t="s">
        <v>21</v>
      </c>
      <c r="E162" s="440"/>
      <c r="F162" s="441">
        <v>25000</v>
      </c>
      <c r="G162" s="394">
        <f t="shared" si="2"/>
        <v>14403167.99927</v>
      </c>
      <c r="H162" s="310" t="s">
        <v>62</v>
      </c>
      <c r="I162" s="313" t="s">
        <v>75</v>
      </c>
      <c r="J162" s="313" t="s">
        <v>157</v>
      </c>
      <c r="K162" s="302" t="s">
        <v>402</v>
      </c>
      <c r="L162" s="302" t="s">
        <v>410</v>
      </c>
      <c r="M162" s="304" t="s">
        <v>596</v>
      </c>
      <c r="N162" s="432" t="s">
        <v>431</v>
      </c>
      <c r="O162" s="302"/>
    </row>
    <row r="163" spans="1:17" s="152" customFormat="1" ht="15" customHeight="1" x14ac:dyDescent="0.25">
      <c r="A163" s="300">
        <v>44272</v>
      </c>
      <c r="B163" s="310" t="s">
        <v>122</v>
      </c>
      <c r="C163" s="310" t="s">
        <v>120</v>
      </c>
      <c r="D163" s="310"/>
      <c r="E163" s="440"/>
      <c r="F163" s="440">
        <v>12000</v>
      </c>
      <c r="G163" s="394">
        <f t="shared" si="2"/>
        <v>14391167.99927</v>
      </c>
      <c r="H163" s="310" t="s">
        <v>62</v>
      </c>
      <c r="I163" s="304"/>
      <c r="J163" s="386"/>
      <c r="K163" s="302"/>
      <c r="L163" s="302"/>
      <c r="M163" s="303"/>
      <c r="N163" s="431"/>
      <c r="O163" s="303"/>
    </row>
    <row r="164" spans="1:17" ht="15" customHeight="1" x14ac:dyDescent="0.25">
      <c r="A164" s="300">
        <v>44272</v>
      </c>
      <c r="B164" s="298" t="s">
        <v>168</v>
      </c>
      <c r="C164" s="310" t="s">
        <v>120</v>
      </c>
      <c r="D164" s="310"/>
      <c r="E164" s="440">
        <v>30000</v>
      </c>
      <c r="F164" s="440"/>
      <c r="G164" s="394">
        <f t="shared" si="2"/>
        <v>14421167.99927</v>
      </c>
      <c r="H164" s="298" t="s">
        <v>122</v>
      </c>
      <c r="I164" s="298"/>
      <c r="J164" s="386"/>
      <c r="K164" s="301"/>
      <c r="L164" s="302"/>
      <c r="M164" s="303"/>
      <c r="N164" s="432"/>
      <c r="O164" s="307"/>
      <c r="P164" s="287"/>
      <c r="Q164" s="287"/>
    </row>
    <row r="165" spans="1:17" s="152" customFormat="1" ht="14.25" customHeight="1" x14ac:dyDescent="0.25">
      <c r="A165" s="300">
        <v>44272</v>
      </c>
      <c r="B165" s="298" t="s">
        <v>168</v>
      </c>
      <c r="C165" s="310" t="s">
        <v>120</v>
      </c>
      <c r="D165" s="310"/>
      <c r="E165" s="440">
        <v>12000</v>
      </c>
      <c r="F165" s="440"/>
      <c r="G165" s="394">
        <f t="shared" si="2"/>
        <v>14433167.99927</v>
      </c>
      <c r="H165" s="298" t="s">
        <v>122</v>
      </c>
      <c r="I165" s="298"/>
      <c r="J165" s="313"/>
      <c r="K165" s="302"/>
      <c r="L165" s="302"/>
      <c r="M165" s="303"/>
      <c r="N165" s="431"/>
      <c r="O165" s="303"/>
    </row>
    <row r="166" spans="1:17" s="152" customFormat="1" ht="15" customHeight="1" x14ac:dyDescent="0.25">
      <c r="A166" s="300">
        <v>44272</v>
      </c>
      <c r="B166" s="298" t="s">
        <v>290</v>
      </c>
      <c r="C166" s="310" t="s">
        <v>156</v>
      </c>
      <c r="D166" s="310" t="s">
        <v>175</v>
      </c>
      <c r="E166" s="440"/>
      <c r="F166" s="440">
        <v>5600</v>
      </c>
      <c r="G166" s="394">
        <f t="shared" si="2"/>
        <v>14427567.99927</v>
      </c>
      <c r="H166" s="298" t="s">
        <v>122</v>
      </c>
      <c r="I166" s="313" t="s">
        <v>75</v>
      </c>
      <c r="J166" s="387" t="s">
        <v>400</v>
      </c>
      <c r="K166" s="302" t="s">
        <v>401</v>
      </c>
      <c r="L166" s="302" t="s">
        <v>410</v>
      </c>
      <c r="M166" s="303"/>
      <c r="N166" s="431"/>
      <c r="O166" s="303"/>
    </row>
    <row r="167" spans="1:17" s="152" customFormat="1" ht="15" customHeight="1" x14ac:dyDescent="0.25">
      <c r="A167" s="300">
        <v>44272</v>
      </c>
      <c r="B167" s="298" t="s">
        <v>291</v>
      </c>
      <c r="C167" s="310" t="s">
        <v>156</v>
      </c>
      <c r="D167" s="310" t="s">
        <v>175</v>
      </c>
      <c r="E167" s="440"/>
      <c r="F167" s="440">
        <v>1250</v>
      </c>
      <c r="G167" s="394">
        <f t="shared" si="2"/>
        <v>14426317.99927</v>
      </c>
      <c r="H167" s="298" t="s">
        <v>122</v>
      </c>
      <c r="I167" s="313" t="s">
        <v>75</v>
      </c>
      <c r="J167" s="387" t="s">
        <v>400</v>
      </c>
      <c r="K167" s="302" t="s">
        <v>401</v>
      </c>
      <c r="L167" s="302" t="s">
        <v>410</v>
      </c>
      <c r="M167" s="303"/>
      <c r="N167" s="431"/>
      <c r="O167" s="303"/>
    </row>
    <row r="168" spans="1:17" s="283" customFormat="1" ht="15" customHeight="1" x14ac:dyDescent="0.25">
      <c r="A168" s="300">
        <v>44272</v>
      </c>
      <c r="B168" s="298" t="s">
        <v>292</v>
      </c>
      <c r="C168" s="310" t="s">
        <v>156</v>
      </c>
      <c r="D168" s="310" t="s">
        <v>175</v>
      </c>
      <c r="E168" s="440"/>
      <c r="F168" s="440">
        <v>8030</v>
      </c>
      <c r="G168" s="394">
        <f t="shared" si="2"/>
        <v>14418287.99927</v>
      </c>
      <c r="H168" s="298" t="s">
        <v>122</v>
      </c>
      <c r="I168" s="313" t="s">
        <v>75</v>
      </c>
      <c r="J168" s="387" t="s">
        <v>400</v>
      </c>
      <c r="K168" s="302" t="s">
        <v>401</v>
      </c>
      <c r="L168" s="302" t="s">
        <v>410</v>
      </c>
      <c r="M168" s="303"/>
      <c r="N168" s="431"/>
      <c r="O168" s="303"/>
    </row>
    <row r="169" spans="1:17" s="152" customFormat="1" ht="15" customHeight="1" x14ac:dyDescent="0.25">
      <c r="A169" s="300">
        <v>44272</v>
      </c>
      <c r="B169" s="298" t="s">
        <v>293</v>
      </c>
      <c r="C169" s="310" t="s">
        <v>156</v>
      </c>
      <c r="D169" s="310" t="s">
        <v>175</v>
      </c>
      <c r="E169" s="440"/>
      <c r="F169" s="440">
        <v>1100</v>
      </c>
      <c r="G169" s="394">
        <f t="shared" si="2"/>
        <v>14417187.99927</v>
      </c>
      <c r="H169" s="298" t="s">
        <v>122</v>
      </c>
      <c r="I169" s="313" t="s">
        <v>75</v>
      </c>
      <c r="J169" s="387" t="s">
        <v>400</v>
      </c>
      <c r="K169" s="302" t="s">
        <v>401</v>
      </c>
      <c r="L169" s="302" t="s">
        <v>410</v>
      </c>
      <c r="M169" s="303"/>
      <c r="N169" s="431"/>
      <c r="O169" s="302"/>
    </row>
    <row r="170" spans="1:17" s="269" customFormat="1" ht="15" customHeight="1" x14ac:dyDescent="0.25">
      <c r="A170" s="300">
        <v>44272</v>
      </c>
      <c r="B170" s="395" t="s">
        <v>179</v>
      </c>
      <c r="C170" s="395" t="s">
        <v>120</v>
      </c>
      <c r="D170" s="395"/>
      <c r="E170" s="443">
        <v>76000</v>
      </c>
      <c r="F170" s="443"/>
      <c r="G170" s="394">
        <f t="shared" si="2"/>
        <v>14493187.99927</v>
      </c>
      <c r="H170" s="395" t="s">
        <v>91</v>
      </c>
      <c r="I170" s="395"/>
      <c r="J170" s="386"/>
      <c r="K170" s="302"/>
      <c r="L170" s="302"/>
      <c r="M170" s="303"/>
      <c r="N170" s="431"/>
      <c r="O170" s="307"/>
      <c r="P170" s="287"/>
    </row>
    <row r="171" spans="1:17" s="152" customFormat="1" ht="15" customHeight="1" x14ac:dyDescent="0.25">
      <c r="A171" s="300">
        <v>44272</v>
      </c>
      <c r="B171" s="395" t="s">
        <v>510</v>
      </c>
      <c r="C171" s="310" t="s">
        <v>72</v>
      </c>
      <c r="D171" s="310" t="s">
        <v>175</v>
      </c>
      <c r="E171" s="443"/>
      <c r="F171" s="443">
        <v>10000</v>
      </c>
      <c r="G171" s="394">
        <f t="shared" si="2"/>
        <v>14483187.99927</v>
      </c>
      <c r="H171" s="395" t="s">
        <v>91</v>
      </c>
      <c r="I171" s="313" t="s">
        <v>75</v>
      </c>
      <c r="J171" s="386" t="s">
        <v>157</v>
      </c>
      <c r="K171" s="302" t="s">
        <v>402</v>
      </c>
      <c r="L171" s="302" t="s">
        <v>410</v>
      </c>
      <c r="M171" s="304" t="s">
        <v>597</v>
      </c>
      <c r="N171" s="431" t="s">
        <v>452</v>
      </c>
      <c r="O171" s="303"/>
    </row>
    <row r="172" spans="1:17" s="191" customFormat="1" ht="15" customHeight="1" x14ac:dyDescent="0.25">
      <c r="A172" s="300">
        <v>44272</v>
      </c>
      <c r="B172" s="298" t="s">
        <v>181</v>
      </c>
      <c r="C172" s="298" t="s">
        <v>120</v>
      </c>
      <c r="D172" s="298"/>
      <c r="E172" s="438">
        <v>176000</v>
      </c>
      <c r="F172" s="438"/>
      <c r="G172" s="394">
        <f t="shared" si="2"/>
        <v>14659187.99927</v>
      </c>
      <c r="H172" s="298" t="s">
        <v>69</v>
      </c>
      <c r="I172" s="305"/>
      <c r="J172" s="390"/>
      <c r="K172" s="428"/>
      <c r="L172" s="302"/>
      <c r="M172" s="303"/>
      <c r="N172" s="436"/>
      <c r="O172" s="303"/>
      <c r="P172" s="287"/>
      <c r="Q172" s="287"/>
    </row>
    <row r="173" spans="1:17" s="152" customFormat="1" ht="15" customHeight="1" x14ac:dyDescent="0.25">
      <c r="A173" s="300">
        <v>44272</v>
      </c>
      <c r="B173" s="298" t="s">
        <v>181</v>
      </c>
      <c r="C173" s="298" t="s">
        <v>120</v>
      </c>
      <c r="D173" s="298"/>
      <c r="E173" s="438">
        <v>30000</v>
      </c>
      <c r="F173" s="438"/>
      <c r="G173" s="394">
        <f t="shared" si="2"/>
        <v>14689187.99927</v>
      </c>
      <c r="H173" s="298" t="s">
        <v>69</v>
      </c>
      <c r="I173" s="298"/>
      <c r="J173" s="313"/>
      <c r="K173" s="301"/>
      <c r="L173" s="302"/>
      <c r="M173" s="303"/>
      <c r="N173" s="432"/>
      <c r="O173" s="303"/>
    </row>
    <row r="174" spans="1:17" s="152" customFormat="1" ht="15" customHeight="1" x14ac:dyDescent="0.25">
      <c r="A174" s="300">
        <v>44272</v>
      </c>
      <c r="B174" s="298" t="s">
        <v>457</v>
      </c>
      <c r="C174" s="298" t="s">
        <v>120</v>
      </c>
      <c r="D174" s="298"/>
      <c r="E174" s="438"/>
      <c r="F174" s="438">
        <v>103000</v>
      </c>
      <c r="G174" s="394">
        <f t="shared" si="2"/>
        <v>14586187.99927</v>
      </c>
      <c r="H174" s="298" t="s">
        <v>69</v>
      </c>
      <c r="I174" s="405"/>
      <c r="J174" s="418"/>
      <c r="K174" s="419"/>
      <c r="L174" s="302"/>
      <c r="M174" s="303"/>
      <c r="N174" s="433"/>
      <c r="O174" s="303"/>
    </row>
    <row r="175" spans="1:17" s="152" customFormat="1" ht="15" customHeight="1" x14ac:dyDescent="0.25">
      <c r="A175" s="300">
        <v>44272</v>
      </c>
      <c r="B175" s="298" t="s">
        <v>312</v>
      </c>
      <c r="C175" s="312" t="s">
        <v>156</v>
      </c>
      <c r="D175" s="312" t="s">
        <v>175</v>
      </c>
      <c r="E175" s="438"/>
      <c r="F175" s="438">
        <v>50000</v>
      </c>
      <c r="G175" s="394">
        <f t="shared" si="2"/>
        <v>14536187.99927</v>
      </c>
      <c r="H175" s="298" t="s">
        <v>69</v>
      </c>
      <c r="I175" s="304" t="s">
        <v>134</v>
      </c>
      <c r="J175" s="386" t="s">
        <v>157</v>
      </c>
      <c r="K175" s="302" t="s">
        <v>402</v>
      </c>
      <c r="L175" s="302" t="s">
        <v>410</v>
      </c>
      <c r="M175" s="304" t="s">
        <v>598</v>
      </c>
      <c r="N175" s="431" t="s">
        <v>453</v>
      </c>
      <c r="O175" s="303"/>
    </row>
    <row r="176" spans="1:17" s="152" customFormat="1" ht="15" customHeight="1" x14ac:dyDescent="0.25">
      <c r="A176" s="300">
        <v>44272</v>
      </c>
      <c r="B176" s="309" t="s">
        <v>322</v>
      </c>
      <c r="C176" s="310" t="s">
        <v>156</v>
      </c>
      <c r="D176" s="310" t="s">
        <v>175</v>
      </c>
      <c r="E176" s="441"/>
      <c r="F176" s="441">
        <v>30000</v>
      </c>
      <c r="G176" s="394">
        <f t="shared" si="2"/>
        <v>14506187.99927</v>
      </c>
      <c r="H176" s="298" t="s">
        <v>123</v>
      </c>
      <c r="I176" s="313" t="s">
        <v>75</v>
      </c>
      <c r="J176" s="387" t="s">
        <v>157</v>
      </c>
      <c r="K176" s="302" t="s">
        <v>402</v>
      </c>
      <c r="L176" s="302" t="s">
        <v>410</v>
      </c>
      <c r="M176" s="304" t="s">
        <v>599</v>
      </c>
      <c r="N176" s="431" t="s">
        <v>453</v>
      </c>
      <c r="O176" s="303"/>
    </row>
    <row r="177" spans="1:66" s="152" customFormat="1" ht="15" customHeight="1" x14ac:dyDescent="0.25">
      <c r="A177" s="300">
        <v>44272</v>
      </c>
      <c r="B177" s="309" t="s">
        <v>324</v>
      </c>
      <c r="C177" s="310" t="s">
        <v>156</v>
      </c>
      <c r="D177" s="310" t="s">
        <v>175</v>
      </c>
      <c r="E177" s="441"/>
      <c r="F177" s="441">
        <v>50000</v>
      </c>
      <c r="G177" s="394">
        <f t="shared" si="2"/>
        <v>14456187.99927</v>
      </c>
      <c r="H177" s="298" t="s">
        <v>123</v>
      </c>
      <c r="I177" s="429" t="s">
        <v>134</v>
      </c>
      <c r="J177" s="397" t="s">
        <v>157</v>
      </c>
      <c r="K177" s="424" t="s">
        <v>402</v>
      </c>
      <c r="L177" s="302" t="s">
        <v>410</v>
      </c>
      <c r="M177" s="304" t="s">
        <v>600</v>
      </c>
      <c r="N177" s="434" t="s">
        <v>453</v>
      </c>
      <c r="O177" s="304"/>
    </row>
    <row r="178" spans="1:66" s="152" customFormat="1" ht="15" customHeight="1" x14ac:dyDescent="0.25">
      <c r="A178" s="300">
        <v>44272</v>
      </c>
      <c r="B178" s="301" t="s">
        <v>345</v>
      </c>
      <c r="C178" s="310" t="s">
        <v>156</v>
      </c>
      <c r="D178" s="298" t="s">
        <v>31</v>
      </c>
      <c r="E178" s="447"/>
      <c r="F178" s="447">
        <v>30000</v>
      </c>
      <c r="G178" s="394">
        <f t="shared" si="2"/>
        <v>14426187.99927</v>
      </c>
      <c r="H178" s="307" t="s">
        <v>68</v>
      </c>
      <c r="I178" s="313" t="s">
        <v>75</v>
      </c>
      <c r="J178" s="386" t="s">
        <v>157</v>
      </c>
      <c r="K178" s="302" t="s">
        <v>402</v>
      </c>
      <c r="L178" s="302" t="s">
        <v>410</v>
      </c>
      <c r="M178" s="304" t="s">
        <v>601</v>
      </c>
      <c r="N178" s="431" t="s">
        <v>453</v>
      </c>
      <c r="O178" s="303"/>
    </row>
    <row r="179" spans="1:66" s="152" customFormat="1" ht="15" customHeight="1" x14ac:dyDescent="0.25">
      <c r="A179" s="300">
        <v>44272</v>
      </c>
      <c r="B179" s="301" t="s">
        <v>346</v>
      </c>
      <c r="C179" s="310" t="s">
        <v>72</v>
      </c>
      <c r="D179" s="298" t="s">
        <v>31</v>
      </c>
      <c r="E179" s="447"/>
      <c r="F179" s="447">
        <v>15000</v>
      </c>
      <c r="G179" s="394">
        <f t="shared" si="2"/>
        <v>14411187.99927</v>
      </c>
      <c r="H179" s="307" t="s">
        <v>68</v>
      </c>
      <c r="I179" s="396" t="s">
        <v>75</v>
      </c>
      <c r="J179" s="569" t="s">
        <v>400</v>
      </c>
      <c r="K179" s="419" t="s">
        <v>401</v>
      </c>
      <c r="L179" s="302" t="s">
        <v>410</v>
      </c>
      <c r="M179" s="303"/>
      <c r="N179" s="433"/>
      <c r="O179" s="303"/>
    </row>
    <row r="180" spans="1:66" s="191" customFormat="1" ht="15" customHeight="1" x14ac:dyDescent="0.25">
      <c r="A180" s="300">
        <v>44272</v>
      </c>
      <c r="B180" s="494" t="s">
        <v>382</v>
      </c>
      <c r="C180" s="498" t="s">
        <v>120</v>
      </c>
      <c r="D180" s="498"/>
      <c r="E180" s="533">
        <v>160000</v>
      </c>
      <c r="F180" s="533"/>
      <c r="G180" s="394">
        <f t="shared" si="2"/>
        <v>14571187.99927</v>
      </c>
      <c r="H180" s="556" t="s">
        <v>184</v>
      </c>
      <c r="I180" s="559"/>
      <c r="J180" s="386"/>
      <c r="K180" s="302"/>
      <c r="L180" s="302"/>
      <c r="M180" s="303"/>
      <c r="N180" s="431"/>
      <c r="O180" s="303"/>
      <c r="P180" s="287"/>
      <c r="Q180" s="269"/>
    </row>
    <row r="181" spans="1:66" ht="15" customHeight="1" x14ac:dyDescent="0.25">
      <c r="A181" s="300">
        <v>44272</v>
      </c>
      <c r="B181" s="494" t="s">
        <v>382</v>
      </c>
      <c r="C181" s="498" t="s">
        <v>120</v>
      </c>
      <c r="D181" s="498"/>
      <c r="E181" s="533">
        <v>76000</v>
      </c>
      <c r="F181" s="533"/>
      <c r="G181" s="394">
        <f t="shared" si="2"/>
        <v>14647187.99927</v>
      </c>
      <c r="H181" s="556" t="s">
        <v>184</v>
      </c>
      <c r="I181" s="556"/>
      <c r="J181" s="386"/>
      <c r="K181" s="302"/>
      <c r="L181" s="302"/>
      <c r="M181" s="303"/>
      <c r="N181" s="431"/>
      <c r="O181" s="303"/>
      <c r="P181" s="287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69"/>
    </row>
    <row r="182" spans="1:66" ht="15" customHeight="1" x14ac:dyDescent="0.25">
      <c r="A182" s="300">
        <v>44272</v>
      </c>
      <c r="B182" s="498" t="s">
        <v>383</v>
      </c>
      <c r="C182" s="310" t="s">
        <v>72</v>
      </c>
      <c r="D182" s="310" t="s">
        <v>175</v>
      </c>
      <c r="E182" s="533"/>
      <c r="F182" s="533">
        <v>10000</v>
      </c>
      <c r="G182" s="394">
        <f t="shared" si="2"/>
        <v>14637187.99927</v>
      </c>
      <c r="H182" s="556" t="s">
        <v>184</v>
      </c>
      <c r="I182" s="313" t="s">
        <v>75</v>
      </c>
      <c r="J182" s="387" t="s">
        <v>157</v>
      </c>
      <c r="K182" s="302" t="s">
        <v>402</v>
      </c>
      <c r="L182" s="302" t="s">
        <v>410</v>
      </c>
      <c r="M182" s="304" t="s">
        <v>602</v>
      </c>
      <c r="N182" s="431" t="s">
        <v>452</v>
      </c>
      <c r="O182" s="303"/>
      <c r="P182" s="287"/>
    </row>
    <row r="183" spans="1:66" ht="15" customHeight="1" x14ac:dyDescent="0.25">
      <c r="A183" s="300">
        <v>44273</v>
      </c>
      <c r="B183" s="400" t="s">
        <v>223</v>
      </c>
      <c r="C183" s="298" t="s">
        <v>120</v>
      </c>
      <c r="D183" s="305"/>
      <c r="E183" s="491"/>
      <c r="F183" s="440">
        <v>1000000</v>
      </c>
      <c r="G183" s="394">
        <f t="shared" si="2"/>
        <v>13637187.99927</v>
      </c>
      <c r="H183" s="301" t="s">
        <v>58</v>
      </c>
      <c r="I183" s="304">
        <v>3654436</v>
      </c>
      <c r="J183" s="387"/>
      <c r="K183" s="301"/>
      <c r="L183" s="302"/>
      <c r="M183" s="303"/>
      <c r="N183" s="431"/>
      <c r="O183" s="303"/>
      <c r="P183" s="287"/>
    </row>
    <row r="184" spans="1:66" s="152" customFormat="1" ht="15.75" x14ac:dyDescent="0.25">
      <c r="A184" s="300">
        <v>44273</v>
      </c>
      <c r="B184" s="506" t="s">
        <v>230</v>
      </c>
      <c r="C184" s="298" t="s">
        <v>17</v>
      </c>
      <c r="D184" s="407" t="s">
        <v>21</v>
      </c>
      <c r="E184" s="448"/>
      <c r="F184" s="438">
        <v>500000</v>
      </c>
      <c r="G184" s="394">
        <f t="shared" si="2"/>
        <v>13137187.99927</v>
      </c>
      <c r="H184" s="301" t="s">
        <v>59</v>
      </c>
      <c r="I184" s="304" t="s">
        <v>133</v>
      </c>
      <c r="J184" s="386" t="s">
        <v>157</v>
      </c>
      <c r="K184" s="302" t="s">
        <v>402</v>
      </c>
      <c r="L184" s="302" t="s">
        <v>410</v>
      </c>
      <c r="M184" s="304" t="s">
        <v>603</v>
      </c>
      <c r="N184" s="431" t="s">
        <v>409</v>
      </c>
      <c r="O184" s="303"/>
    </row>
    <row r="185" spans="1:66" ht="15.75" x14ac:dyDescent="0.25">
      <c r="A185" s="300">
        <v>44273</v>
      </c>
      <c r="B185" s="496" t="s">
        <v>122</v>
      </c>
      <c r="C185" s="310" t="s">
        <v>120</v>
      </c>
      <c r="D185" s="312"/>
      <c r="E185" s="440"/>
      <c r="F185" s="441">
        <v>30000</v>
      </c>
      <c r="G185" s="394">
        <f t="shared" si="2"/>
        <v>13107187.99927</v>
      </c>
      <c r="H185" s="310" t="s">
        <v>62</v>
      </c>
      <c r="I185" s="304"/>
      <c r="J185" s="390"/>
      <c r="K185" s="302"/>
      <c r="L185" s="302"/>
      <c r="M185" s="303"/>
      <c r="N185" s="431"/>
      <c r="O185" s="303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</row>
    <row r="186" spans="1:66" ht="15.75" x14ac:dyDescent="0.25">
      <c r="A186" s="300">
        <v>44273</v>
      </c>
      <c r="B186" s="496" t="s">
        <v>67</v>
      </c>
      <c r="C186" s="310" t="s">
        <v>120</v>
      </c>
      <c r="D186" s="312"/>
      <c r="E186" s="440"/>
      <c r="F186" s="441">
        <v>29000</v>
      </c>
      <c r="G186" s="394">
        <f t="shared" si="2"/>
        <v>13078187.99927</v>
      </c>
      <c r="H186" s="310" t="s">
        <v>62</v>
      </c>
      <c r="I186" s="304"/>
      <c r="J186" s="390"/>
      <c r="K186" s="302"/>
      <c r="L186" s="302"/>
      <c r="M186" s="303"/>
      <c r="N186" s="431"/>
      <c r="O186" s="303"/>
      <c r="P186" s="287"/>
      <c r="Q186" s="269"/>
    </row>
    <row r="187" spans="1:66" s="152" customFormat="1" ht="15.75" x14ac:dyDescent="0.25">
      <c r="A187" s="300">
        <v>44273</v>
      </c>
      <c r="B187" s="496" t="s">
        <v>267</v>
      </c>
      <c r="C187" s="306" t="s">
        <v>63</v>
      </c>
      <c r="D187" s="300" t="s">
        <v>21</v>
      </c>
      <c r="E187" s="440"/>
      <c r="F187" s="441">
        <v>870</v>
      </c>
      <c r="G187" s="394">
        <f t="shared" si="2"/>
        <v>13077317.99927</v>
      </c>
      <c r="H187" s="310" t="s">
        <v>62</v>
      </c>
      <c r="I187" s="313" t="s">
        <v>75</v>
      </c>
      <c r="J187" s="386" t="s">
        <v>157</v>
      </c>
      <c r="K187" s="420" t="s">
        <v>402</v>
      </c>
      <c r="L187" s="302" t="s">
        <v>410</v>
      </c>
      <c r="M187" s="304" t="s">
        <v>604</v>
      </c>
      <c r="N187" s="431" t="s">
        <v>403</v>
      </c>
      <c r="O187" s="303"/>
    </row>
    <row r="188" spans="1:66" s="191" customFormat="1" ht="15.75" x14ac:dyDescent="0.25">
      <c r="A188" s="300">
        <v>44273</v>
      </c>
      <c r="B188" s="496" t="s">
        <v>142</v>
      </c>
      <c r="C188" s="310" t="s">
        <v>120</v>
      </c>
      <c r="D188" s="312"/>
      <c r="E188" s="440"/>
      <c r="F188" s="441">
        <v>10000</v>
      </c>
      <c r="G188" s="394">
        <f t="shared" si="2"/>
        <v>13067317.99927</v>
      </c>
      <c r="H188" s="310" t="s">
        <v>62</v>
      </c>
      <c r="I188" s="381"/>
      <c r="J188" s="386"/>
      <c r="K188" s="302"/>
      <c r="L188" s="302"/>
      <c r="M188" s="303"/>
      <c r="N188" s="431"/>
      <c r="O188" s="303"/>
      <c r="P188" s="287"/>
      <c r="Q188" s="269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spans="1:66" s="152" customFormat="1" ht="15.75" x14ac:dyDescent="0.25">
      <c r="A189" s="300">
        <v>44273</v>
      </c>
      <c r="B189" s="496" t="s">
        <v>58</v>
      </c>
      <c r="C189" s="310" t="s">
        <v>120</v>
      </c>
      <c r="D189" s="310"/>
      <c r="E189" s="440">
        <v>1000000</v>
      </c>
      <c r="F189" s="441"/>
      <c r="G189" s="394">
        <f t="shared" si="2"/>
        <v>14067317.99927</v>
      </c>
      <c r="H189" s="310" t="s">
        <v>62</v>
      </c>
      <c r="I189" s="308"/>
      <c r="J189" s="386"/>
      <c r="K189" s="302"/>
      <c r="L189" s="302"/>
      <c r="M189" s="303"/>
      <c r="N189" s="431"/>
      <c r="O189" s="303"/>
    </row>
    <row r="190" spans="1:66" s="152" customFormat="1" ht="15" customHeight="1" x14ac:dyDescent="0.25">
      <c r="A190" s="300">
        <v>44273</v>
      </c>
      <c r="B190" s="400" t="s">
        <v>168</v>
      </c>
      <c r="C190" s="310" t="s">
        <v>120</v>
      </c>
      <c r="D190" s="312"/>
      <c r="E190" s="440">
        <v>30000</v>
      </c>
      <c r="F190" s="440"/>
      <c r="G190" s="394">
        <f t="shared" si="2"/>
        <v>14097317.99927</v>
      </c>
      <c r="H190" s="298" t="s">
        <v>122</v>
      </c>
      <c r="I190" s="298"/>
      <c r="J190" s="397"/>
      <c r="K190" s="302"/>
      <c r="L190" s="302"/>
      <c r="M190" s="303"/>
      <c r="N190" s="431"/>
      <c r="O190" s="303"/>
    </row>
    <row r="191" spans="1:66" ht="15" customHeight="1" x14ac:dyDescent="0.25">
      <c r="A191" s="300">
        <v>44273</v>
      </c>
      <c r="B191" s="508" t="s">
        <v>304</v>
      </c>
      <c r="C191" s="310" t="s">
        <v>156</v>
      </c>
      <c r="D191" s="312" t="s">
        <v>175</v>
      </c>
      <c r="E191" s="443"/>
      <c r="F191" s="443">
        <v>70000</v>
      </c>
      <c r="G191" s="394">
        <f t="shared" si="2"/>
        <v>14027317.99927</v>
      </c>
      <c r="H191" s="395" t="s">
        <v>91</v>
      </c>
      <c r="I191" s="304" t="s">
        <v>134</v>
      </c>
      <c r="J191" s="390" t="s">
        <v>157</v>
      </c>
      <c r="K191" s="302" t="s">
        <v>402</v>
      </c>
      <c r="L191" s="302" t="s">
        <v>410</v>
      </c>
      <c r="M191" s="304" t="s">
        <v>605</v>
      </c>
      <c r="N191" s="431" t="s">
        <v>453</v>
      </c>
      <c r="O191" s="303"/>
      <c r="P191" s="287"/>
    </row>
    <row r="192" spans="1:66" s="152" customFormat="1" ht="15" customHeight="1" x14ac:dyDescent="0.25">
      <c r="A192" s="300">
        <v>44273</v>
      </c>
      <c r="B192" s="400" t="s">
        <v>311</v>
      </c>
      <c r="C192" s="310" t="s">
        <v>156</v>
      </c>
      <c r="D192" s="312" t="s">
        <v>175</v>
      </c>
      <c r="E192" s="438"/>
      <c r="F192" s="438">
        <v>15000</v>
      </c>
      <c r="G192" s="394">
        <f t="shared" si="2"/>
        <v>14012317.99927</v>
      </c>
      <c r="H192" s="298" t="s">
        <v>69</v>
      </c>
      <c r="I192" s="313" t="s">
        <v>75</v>
      </c>
      <c r="J192" s="386" t="s">
        <v>157</v>
      </c>
      <c r="K192" s="302" t="s">
        <v>402</v>
      </c>
      <c r="L192" s="302" t="s">
        <v>410</v>
      </c>
      <c r="M192" s="304" t="s">
        <v>606</v>
      </c>
      <c r="N192" s="431" t="s">
        <v>453</v>
      </c>
      <c r="O192" s="303"/>
      <c r="P192" s="565"/>
    </row>
    <row r="193" spans="1:66" s="208" customFormat="1" ht="15" customHeight="1" x14ac:dyDescent="0.25">
      <c r="A193" s="300">
        <v>44273</v>
      </c>
      <c r="B193" s="495" t="s">
        <v>317</v>
      </c>
      <c r="C193" s="309" t="s">
        <v>120</v>
      </c>
      <c r="D193" s="309"/>
      <c r="E193" s="441">
        <v>103000</v>
      </c>
      <c r="F193" s="441"/>
      <c r="G193" s="394">
        <f t="shared" si="2"/>
        <v>14115317.99927</v>
      </c>
      <c r="H193" s="298" t="s">
        <v>123</v>
      </c>
      <c r="I193" s="298"/>
      <c r="J193" s="386"/>
      <c r="K193" s="302"/>
      <c r="L193" s="302"/>
      <c r="M193" s="303"/>
      <c r="N193" s="431"/>
      <c r="O193" s="303"/>
      <c r="P193" s="291"/>
      <c r="Q193" s="285"/>
    </row>
    <row r="194" spans="1:66" s="269" customFormat="1" ht="15" customHeight="1" x14ac:dyDescent="0.25">
      <c r="A194" s="300">
        <v>44273</v>
      </c>
      <c r="B194" s="492" t="s">
        <v>329</v>
      </c>
      <c r="C194" s="310" t="s">
        <v>156</v>
      </c>
      <c r="D194" s="310" t="s">
        <v>175</v>
      </c>
      <c r="E194" s="443"/>
      <c r="F194" s="445">
        <v>15000</v>
      </c>
      <c r="G194" s="394">
        <f t="shared" si="2"/>
        <v>14100317.99927</v>
      </c>
      <c r="H194" s="377" t="s">
        <v>64</v>
      </c>
      <c r="I194" s="313" t="s">
        <v>75</v>
      </c>
      <c r="J194" s="387" t="s">
        <v>157</v>
      </c>
      <c r="K194" s="302" t="s">
        <v>402</v>
      </c>
      <c r="L194" s="302" t="s">
        <v>410</v>
      </c>
      <c r="M194" s="304" t="s">
        <v>607</v>
      </c>
      <c r="N194" s="431" t="s">
        <v>453</v>
      </c>
      <c r="O194" s="302"/>
      <c r="P194" s="28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spans="1:66" ht="15" customHeight="1" x14ac:dyDescent="0.25">
      <c r="A195" s="300">
        <v>44273</v>
      </c>
      <c r="B195" s="509" t="s">
        <v>466</v>
      </c>
      <c r="C195" s="310" t="s">
        <v>120</v>
      </c>
      <c r="D195" s="303"/>
      <c r="E195" s="456">
        <v>29000</v>
      </c>
      <c r="F195" s="448"/>
      <c r="G195" s="394">
        <f t="shared" si="2"/>
        <v>14129317.99927</v>
      </c>
      <c r="H195" s="302" t="s">
        <v>67</v>
      </c>
      <c r="I195" s="302"/>
      <c r="J195" s="386"/>
      <c r="K195" s="302"/>
      <c r="L195" s="302"/>
      <c r="M195" s="303"/>
      <c r="N195" s="431"/>
      <c r="O195" s="303"/>
      <c r="P195" s="287"/>
    </row>
    <row r="196" spans="1:66" ht="15" customHeight="1" x14ac:dyDescent="0.25">
      <c r="A196" s="300">
        <v>44273</v>
      </c>
      <c r="B196" s="512" t="s">
        <v>384</v>
      </c>
      <c r="C196" s="310" t="s">
        <v>72</v>
      </c>
      <c r="D196" s="310" t="s">
        <v>175</v>
      </c>
      <c r="E196" s="533"/>
      <c r="F196" s="533">
        <v>2000</v>
      </c>
      <c r="G196" s="394">
        <f t="shared" si="2"/>
        <v>14127317.99927</v>
      </c>
      <c r="H196" s="556" t="s">
        <v>184</v>
      </c>
      <c r="I196" s="313" t="s">
        <v>75</v>
      </c>
      <c r="J196" s="387" t="s">
        <v>157</v>
      </c>
      <c r="K196" s="302" t="s">
        <v>402</v>
      </c>
      <c r="L196" s="302" t="s">
        <v>410</v>
      </c>
      <c r="M196" s="304" t="s">
        <v>608</v>
      </c>
      <c r="N196" s="431" t="s">
        <v>452</v>
      </c>
      <c r="O196" s="303"/>
      <c r="P196" s="287"/>
      <c r="Q196" s="269"/>
    </row>
    <row r="197" spans="1:66" s="191" customFormat="1" ht="15" customHeight="1" x14ac:dyDescent="0.25">
      <c r="A197" s="300">
        <v>44273</v>
      </c>
      <c r="B197" s="512" t="s">
        <v>385</v>
      </c>
      <c r="C197" s="310" t="s">
        <v>156</v>
      </c>
      <c r="D197" s="310" t="s">
        <v>175</v>
      </c>
      <c r="E197" s="533"/>
      <c r="F197" s="533">
        <v>50000</v>
      </c>
      <c r="G197" s="394">
        <f t="shared" si="2"/>
        <v>14077317.99927</v>
      </c>
      <c r="H197" s="556" t="s">
        <v>184</v>
      </c>
      <c r="I197" s="304" t="s">
        <v>134</v>
      </c>
      <c r="J197" s="387" t="s">
        <v>157</v>
      </c>
      <c r="K197" s="302" t="s">
        <v>402</v>
      </c>
      <c r="L197" s="302" t="s">
        <v>410</v>
      </c>
      <c r="M197" s="304" t="s">
        <v>609</v>
      </c>
      <c r="N197" s="431" t="s">
        <v>453</v>
      </c>
      <c r="O197" s="303"/>
      <c r="P197" s="287"/>
      <c r="Q197" s="269"/>
    </row>
    <row r="198" spans="1:66" s="152" customFormat="1" ht="15" customHeight="1" x14ac:dyDescent="0.25">
      <c r="A198" s="300">
        <v>44274</v>
      </c>
      <c r="B198" s="506" t="s">
        <v>242</v>
      </c>
      <c r="C198" s="312" t="s">
        <v>166</v>
      </c>
      <c r="D198" s="528"/>
      <c r="E198" s="448">
        <v>28506579</v>
      </c>
      <c r="F198" s="438"/>
      <c r="G198" s="394">
        <f t="shared" si="2"/>
        <v>42583896.99927</v>
      </c>
      <c r="H198" s="301" t="s">
        <v>59</v>
      </c>
      <c r="I198" s="304" t="s">
        <v>29</v>
      </c>
      <c r="J198" s="386" t="s">
        <v>157</v>
      </c>
      <c r="K198" s="302" t="s">
        <v>402</v>
      </c>
      <c r="L198" s="302" t="s">
        <v>410</v>
      </c>
      <c r="M198" s="303"/>
      <c r="N198" s="431"/>
      <c r="O198" s="302"/>
      <c r="P198" s="287"/>
    </row>
    <row r="199" spans="1:66" ht="15" customHeight="1" x14ac:dyDescent="0.25">
      <c r="A199" s="300">
        <v>44274</v>
      </c>
      <c r="B199" s="496" t="s">
        <v>184</v>
      </c>
      <c r="C199" s="312" t="s">
        <v>120</v>
      </c>
      <c r="D199" s="312"/>
      <c r="E199" s="440"/>
      <c r="F199" s="441">
        <f>-300000+480000-20000</f>
        <v>160000</v>
      </c>
      <c r="G199" s="394">
        <f t="shared" si="2"/>
        <v>42423896.99927</v>
      </c>
      <c r="H199" s="310" t="s">
        <v>62</v>
      </c>
      <c r="I199" s="308"/>
      <c r="J199" s="387"/>
      <c r="K199" s="302"/>
      <c r="L199" s="302"/>
      <c r="M199" s="303"/>
      <c r="N199" s="431"/>
      <c r="O199" s="303"/>
      <c r="P199" s="287"/>
    </row>
    <row r="200" spans="1:66" s="269" customFormat="1" ht="15" customHeight="1" x14ac:dyDescent="0.25">
      <c r="A200" s="300">
        <v>44274</v>
      </c>
      <c r="B200" s="496" t="s">
        <v>154</v>
      </c>
      <c r="C200" s="310" t="s">
        <v>120</v>
      </c>
      <c r="D200" s="310"/>
      <c r="E200" s="440"/>
      <c r="F200" s="441">
        <v>156000</v>
      </c>
      <c r="G200" s="394">
        <f t="shared" si="2"/>
        <v>42267896.99927</v>
      </c>
      <c r="H200" s="310" t="s">
        <v>62</v>
      </c>
      <c r="I200" s="304"/>
      <c r="J200" s="386"/>
      <c r="K200" s="302"/>
      <c r="L200" s="302"/>
      <c r="M200" s="303"/>
      <c r="N200" s="431"/>
      <c r="O200" s="303"/>
      <c r="P200" s="287"/>
    </row>
    <row r="201" spans="1:66" s="152" customFormat="1" ht="15" customHeight="1" x14ac:dyDescent="0.25">
      <c r="A201" s="300">
        <v>44274</v>
      </c>
      <c r="B201" s="496" t="s">
        <v>177</v>
      </c>
      <c r="C201" s="306" t="s">
        <v>63</v>
      </c>
      <c r="D201" s="300" t="s">
        <v>21</v>
      </c>
      <c r="E201" s="440"/>
      <c r="F201" s="441">
        <v>4680</v>
      </c>
      <c r="G201" s="394">
        <f t="shared" si="2"/>
        <v>42263216.99927</v>
      </c>
      <c r="H201" s="310" t="s">
        <v>62</v>
      </c>
      <c r="I201" s="313" t="s">
        <v>75</v>
      </c>
      <c r="J201" s="386" t="s">
        <v>157</v>
      </c>
      <c r="K201" s="420" t="s">
        <v>402</v>
      </c>
      <c r="L201" s="302" t="s">
        <v>410</v>
      </c>
      <c r="M201" s="304" t="s">
        <v>610</v>
      </c>
      <c r="N201" s="431" t="s">
        <v>403</v>
      </c>
      <c r="O201" s="303"/>
    </row>
    <row r="202" spans="1:66" s="191" customFormat="1" ht="15" customHeight="1" x14ac:dyDescent="0.25">
      <c r="A202" s="300">
        <v>44274</v>
      </c>
      <c r="B202" s="400" t="s">
        <v>168</v>
      </c>
      <c r="C202" s="310" t="s">
        <v>120</v>
      </c>
      <c r="D202" s="312"/>
      <c r="E202" s="440">
        <v>20000</v>
      </c>
      <c r="F202" s="440"/>
      <c r="G202" s="394">
        <f t="shared" si="2"/>
        <v>42283216.99927</v>
      </c>
      <c r="H202" s="298" t="s">
        <v>122</v>
      </c>
      <c r="I202" s="298"/>
      <c r="J202" s="391"/>
      <c r="K202" s="302"/>
      <c r="L202" s="302"/>
      <c r="M202" s="303"/>
      <c r="N202" s="432"/>
      <c r="O202" s="303"/>
      <c r="P202" s="287"/>
      <c r="Q202" s="269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spans="1:66" s="152" customFormat="1" ht="15" customHeight="1" x14ac:dyDescent="0.25">
      <c r="A203" s="300">
        <v>44274</v>
      </c>
      <c r="B203" s="400" t="s">
        <v>284</v>
      </c>
      <c r="C203" s="310" t="s">
        <v>73</v>
      </c>
      <c r="D203" s="300" t="s">
        <v>121</v>
      </c>
      <c r="E203" s="440"/>
      <c r="F203" s="440">
        <v>10815</v>
      </c>
      <c r="G203" s="394">
        <f t="shared" si="2"/>
        <v>42272401.99927</v>
      </c>
      <c r="H203" s="298" t="s">
        <v>122</v>
      </c>
      <c r="I203" s="313" t="s">
        <v>75</v>
      </c>
      <c r="J203" s="397" t="s">
        <v>400</v>
      </c>
      <c r="K203" s="302" t="s">
        <v>401</v>
      </c>
      <c r="L203" s="302" t="s">
        <v>410</v>
      </c>
      <c r="M203" s="303"/>
      <c r="N203" s="431"/>
      <c r="O203" s="303"/>
    </row>
    <row r="204" spans="1:66" s="152" customFormat="1" ht="15" customHeight="1" x14ac:dyDescent="0.25">
      <c r="A204" s="300">
        <v>44274</v>
      </c>
      <c r="B204" s="400" t="s">
        <v>285</v>
      </c>
      <c r="C204" s="310" t="s">
        <v>73</v>
      </c>
      <c r="D204" s="300" t="s">
        <v>121</v>
      </c>
      <c r="E204" s="440"/>
      <c r="F204" s="440">
        <v>30000</v>
      </c>
      <c r="G204" s="394">
        <f t="shared" si="2"/>
        <v>42242401.99927</v>
      </c>
      <c r="H204" s="298" t="s">
        <v>122</v>
      </c>
      <c r="I204" s="313" t="s">
        <v>75</v>
      </c>
      <c r="J204" s="387" t="s">
        <v>400</v>
      </c>
      <c r="K204" s="302" t="s">
        <v>401</v>
      </c>
      <c r="L204" s="302" t="s">
        <v>410</v>
      </c>
      <c r="M204" s="303"/>
      <c r="N204" s="431"/>
      <c r="O204" s="303"/>
    </row>
    <row r="205" spans="1:66" s="152" customFormat="1" ht="15" customHeight="1" x14ac:dyDescent="0.25">
      <c r="A205" s="300">
        <v>44274</v>
      </c>
      <c r="B205" s="400" t="s">
        <v>295</v>
      </c>
      <c r="C205" s="310" t="s">
        <v>73</v>
      </c>
      <c r="D205" s="306" t="s">
        <v>121</v>
      </c>
      <c r="E205" s="440"/>
      <c r="F205" s="440">
        <v>12000</v>
      </c>
      <c r="G205" s="394">
        <f t="shared" si="2"/>
        <v>42230401.99927</v>
      </c>
      <c r="H205" s="298" t="s">
        <v>122</v>
      </c>
      <c r="I205" s="304" t="s">
        <v>134</v>
      </c>
      <c r="J205" s="387" t="s">
        <v>400</v>
      </c>
      <c r="K205" s="302" t="s">
        <v>401</v>
      </c>
      <c r="L205" s="302" t="s">
        <v>410</v>
      </c>
      <c r="M205" s="303"/>
      <c r="N205" s="431"/>
      <c r="O205" s="303"/>
    </row>
    <row r="206" spans="1:66" ht="15" customHeight="1" x14ac:dyDescent="0.25">
      <c r="A206" s="300">
        <v>44274</v>
      </c>
      <c r="B206" s="501" t="s">
        <v>543</v>
      </c>
      <c r="C206" s="301" t="s">
        <v>76</v>
      </c>
      <c r="D206" s="309" t="s">
        <v>175</v>
      </c>
      <c r="E206" s="443"/>
      <c r="F206" s="443">
        <v>1000</v>
      </c>
      <c r="G206" s="394">
        <f t="shared" si="2"/>
        <v>42229401.99927</v>
      </c>
      <c r="H206" s="395" t="s">
        <v>91</v>
      </c>
      <c r="I206" s="304" t="s">
        <v>134</v>
      </c>
      <c r="J206" s="390" t="s">
        <v>400</v>
      </c>
      <c r="K206" s="302" t="s">
        <v>401</v>
      </c>
      <c r="L206" s="302" t="s">
        <v>410</v>
      </c>
      <c r="M206" s="303"/>
      <c r="N206" s="431"/>
      <c r="O206" s="303"/>
      <c r="P206" s="287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9"/>
      <c r="AV206" s="269"/>
      <c r="AW206" s="269"/>
      <c r="AX206" s="269"/>
      <c r="AY206" s="269"/>
      <c r="AZ206" s="269"/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</row>
    <row r="207" spans="1:66" ht="15" customHeight="1" x14ac:dyDescent="0.25">
      <c r="A207" s="300">
        <v>44274</v>
      </c>
      <c r="B207" s="501" t="s">
        <v>543</v>
      </c>
      <c r="C207" s="301" t="s">
        <v>76</v>
      </c>
      <c r="D207" s="309" t="s">
        <v>175</v>
      </c>
      <c r="E207" s="443"/>
      <c r="F207" s="443">
        <v>1000</v>
      </c>
      <c r="G207" s="394">
        <f t="shared" ref="G207:G270" si="3">G206+E207-F207</f>
        <v>42228401.99927</v>
      </c>
      <c r="H207" s="395" t="s">
        <v>123</v>
      </c>
      <c r="I207" s="304" t="s">
        <v>134</v>
      </c>
      <c r="J207" s="390" t="s">
        <v>400</v>
      </c>
      <c r="K207" s="302" t="s">
        <v>401</v>
      </c>
      <c r="L207" s="302" t="s">
        <v>410</v>
      </c>
      <c r="M207" s="303"/>
      <c r="N207" s="431"/>
      <c r="O207" s="303"/>
      <c r="P207" s="287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  <c r="AI207" s="269"/>
      <c r="AJ207" s="269"/>
      <c r="AK207" s="269"/>
      <c r="AL207" s="269"/>
      <c r="AM207" s="269"/>
      <c r="AN207" s="269"/>
      <c r="AO207" s="269"/>
      <c r="AP207" s="269"/>
      <c r="AQ207" s="269"/>
      <c r="AR207" s="269"/>
      <c r="AS207" s="269"/>
      <c r="AT207" s="269"/>
      <c r="AU207" s="269"/>
      <c r="AV207" s="269"/>
      <c r="AW207" s="269"/>
      <c r="AX207" s="269"/>
      <c r="AY207" s="269"/>
      <c r="AZ207" s="269"/>
      <c r="BA207" s="269"/>
      <c r="BB207" s="269"/>
      <c r="BC207" s="269"/>
      <c r="BD207" s="269"/>
      <c r="BE207" s="269"/>
      <c r="BF207" s="269"/>
      <c r="BG207" s="269"/>
      <c r="BH207" s="269"/>
      <c r="BI207" s="269"/>
      <c r="BJ207" s="269"/>
      <c r="BK207" s="269"/>
      <c r="BL207" s="269"/>
      <c r="BM207" s="269"/>
      <c r="BN207" s="269"/>
    </row>
    <row r="208" spans="1:66" s="152" customFormat="1" ht="15.75" x14ac:dyDescent="0.25">
      <c r="A208" s="300">
        <v>44274</v>
      </c>
      <c r="B208" s="400" t="s">
        <v>470</v>
      </c>
      <c r="C208" s="305" t="s">
        <v>120</v>
      </c>
      <c r="D208" s="305"/>
      <c r="E208" s="438">
        <v>2000</v>
      </c>
      <c r="F208" s="438"/>
      <c r="G208" s="394">
        <f t="shared" si="3"/>
        <v>42230401.99927</v>
      </c>
      <c r="H208" s="298" t="s">
        <v>69</v>
      </c>
      <c r="I208" s="298"/>
      <c r="J208" s="386"/>
      <c r="K208" s="302"/>
      <c r="L208" s="302"/>
      <c r="M208" s="303"/>
      <c r="N208" s="431"/>
      <c r="O208" s="303"/>
      <c r="P208" s="287"/>
    </row>
    <row r="209" spans="1:66" s="152" customFormat="1" ht="15" customHeight="1" x14ac:dyDescent="0.25">
      <c r="A209" s="300">
        <v>44274</v>
      </c>
      <c r="B209" s="495" t="s">
        <v>541</v>
      </c>
      <c r="C209" s="522" t="s">
        <v>76</v>
      </c>
      <c r="D209" s="401" t="s">
        <v>175</v>
      </c>
      <c r="E209" s="438"/>
      <c r="F209" s="438">
        <v>2000</v>
      </c>
      <c r="G209" s="394">
        <f t="shared" si="3"/>
        <v>42228401.99927</v>
      </c>
      <c r="H209" s="298" t="s">
        <v>69</v>
      </c>
      <c r="I209" s="304" t="s">
        <v>134</v>
      </c>
      <c r="J209" s="386" t="s">
        <v>400</v>
      </c>
      <c r="K209" s="302" t="s">
        <v>401</v>
      </c>
      <c r="L209" s="302" t="s">
        <v>410</v>
      </c>
      <c r="M209" s="303"/>
      <c r="N209" s="431"/>
      <c r="O209" s="303"/>
      <c r="P209" s="287"/>
    </row>
    <row r="210" spans="1:66" s="152" customFormat="1" ht="15" customHeight="1" x14ac:dyDescent="0.25">
      <c r="A210" s="300">
        <v>44274</v>
      </c>
      <c r="B210" s="495" t="s">
        <v>540</v>
      </c>
      <c r="C210" s="401" t="s">
        <v>156</v>
      </c>
      <c r="D210" s="401" t="s">
        <v>175</v>
      </c>
      <c r="E210" s="438"/>
      <c r="F210" s="438">
        <v>1000</v>
      </c>
      <c r="G210" s="394">
        <f t="shared" si="3"/>
        <v>42227401.99927</v>
      </c>
      <c r="H210" s="298" t="s">
        <v>69</v>
      </c>
      <c r="I210" s="304" t="s">
        <v>134</v>
      </c>
      <c r="J210" s="386" t="s">
        <v>400</v>
      </c>
      <c r="K210" s="302" t="s">
        <v>401</v>
      </c>
      <c r="L210" s="302" t="s">
        <v>410</v>
      </c>
      <c r="M210" s="303"/>
      <c r="N210" s="431"/>
      <c r="O210" s="303"/>
      <c r="P210" s="287"/>
    </row>
    <row r="211" spans="1:66" s="283" customFormat="1" ht="15" customHeight="1" x14ac:dyDescent="0.25">
      <c r="A211" s="300">
        <v>44274</v>
      </c>
      <c r="B211" s="495" t="s">
        <v>318</v>
      </c>
      <c r="C211" s="309" t="s">
        <v>120</v>
      </c>
      <c r="D211" s="309"/>
      <c r="E211" s="441">
        <v>1000</v>
      </c>
      <c r="F211" s="441"/>
      <c r="G211" s="394">
        <f t="shared" si="3"/>
        <v>42228401.99927</v>
      </c>
      <c r="H211" s="298" t="s">
        <v>123</v>
      </c>
      <c r="I211" s="298"/>
      <c r="J211" s="386"/>
      <c r="K211" s="301"/>
      <c r="L211" s="302"/>
      <c r="M211" s="307"/>
      <c r="N211" s="432"/>
      <c r="O211" s="307"/>
      <c r="P211" s="291"/>
    </row>
    <row r="212" spans="1:66" s="152" customFormat="1" ht="15" customHeight="1" x14ac:dyDescent="0.25">
      <c r="A212" s="300">
        <v>44274</v>
      </c>
      <c r="B212" s="495" t="s">
        <v>527</v>
      </c>
      <c r="C212" s="310" t="s">
        <v>156</v>
      </c>
      <c r="D212" s="309" t="s">
        <v>175</v>
      </c>
      <c r="E212" s="441"/>
      <c r="F212" s="441">
        <v>15000</v>
      </c>
      <c r="G212" s="394">
        <f t="shared" si="3"/>
        <v>42213401.99927</v>
      </c>
      <c r="H212" s="298" t="s">
        <v>123</v>
      </c>
      <c r="I212" s="313" t="s">
        <v>75</v>
      </c>
      <c r="J212" s="386" t="s">
        <v>400</v>
      </c>
      <c r="K212" s="302" t="s">
        <v>401</v>
      </c>
      <c r="L212" s="302" t="s">
        <v>410</v>
      </c>
      <c r="M212" s="303"/>
      <c r="N212" s="431"/>
      <c r="O212" s="303"/>
    </row>
    <row r="213" spans="1:66" s="269" customFormat="1" ht="15" customHeight="1" x14ac:dyDescent="0.25">
      <c r="A213" s="300">
        <v>44274</v>
      </c>
      <c r="B213" s="495" t="s">
        <v>528</v>
      </c>
      <c r="C213" s="310" t="s">
        <v>156</v>
      </c>
      <c r="D213" s="309" t="s">
        <v>175</v>
      </c>
      <c r="E213" s="441"/>
      <c r="F213" s="441">
        <v>2000</v>
      </c>
      <c r="G213" s="394">
        <f t="shared" si="3"/>
        <v>42211401.99927</v>
      </c>
      <c r="H213" s="298" t="s">
        <v>123</v>
      </c>
      <c r="I213" s="304" t="s">
        <v>134</v>
      </c>
      <c r="J213" s="387" t="s">
        <v>400</v>
      </c>
      <c r="K213" s="302" t="s">
        <v>401</v>
      </c>
      <c r="L213" s="302" t="s">
        <v>410</v>
      </c>
      <c r="M213" s="303"/>
      <c r="N213" s="432"/>
      <c r="O213" s="303"/>
      <c r="P213" s="287"/>
    </row>
    <row r="214" spans="1:66" ht="15" customHeight="1" x14ac:dyDescent="0.25">
      <c r="A214" s="300">
        <v>44274</v>
      </c>
      <c r="B214" s="495" t="s">
        <v>319</v>
      </c>
      <c r="C214" s="309" t="s">
        <v>120</v>
      </c>
      <c r="D214" s="309"/>
      <c r="E214" s="441">
        <v>28000</v>
      </c>
      <c r="F214" s="441"/>
      <c r="G214" s="394">
        <f t="shared" si="3"/>
        <v>42239401.99927</v>
      </c>
      <c r="H214" s="298" t="s">
        <v>123</v>
      </c>
      <c r="I214" s="298"/>
      <c r="J214" s="387"/>
      <c r="K214" s="302"/>
      <c r="L214" s="302"/>
      <c r="M214" s="303"/>
      <c r="N214" s="432"/>
      <c r="O214" s="303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</row>
    <row r="215" spans="1:66" s="152" customFormat="1" ht="15" customHeight="1" x14ac:dyDescent="0.25">
      <c r="A215" s="300">
        <v>44274</v>
      </c>
      <c r="B215" s="495" t="s">
        <v>471</v>
      </c>
      <c r="C215" s="310" t="s">
        <v>156</v>
      </c>
      <c r="D215" s="310" t="s">
        <v>175</v>
      </c>
      <c r="E215" s="441"/>
      <c r="F215" s="441">
        <v>70000</v>
      </c>
      <c r="G215" s="394">
        <f t="shared" si="3"/>
        <v>42169401.99927</v>
      </c>
      <c r="H215" s="298" t="s">
        <v>123</v>
      </c>
      <c r="I215" s="313" t="s">
        <v>75</v>
      </c>
      <c r="J215" s="387" t="s">
        <v>157</v>
      </c>
      <c r="K215" s="302" t="s">
        <v>402</v>
      </c>
      <c r="L215" s="302" t="s">
        <v>410</v>
      </c>
      <c r="M215" s="304" t="s">
        <v>611</v>
      </c>
      <c r="N215" s="431" t="s">
        <v>453</v>
      </c>
      <c r="O215" s="303"/>
      <c r="P215" s="282"/>
    </row>
    <row r="216" spans="1:66" s="283" customFormat="1" ht="15" customHeight="1" x14ac:dyDescent="0.25">
      <c r="A216" s="300">
        <v>44274</v>
      </c>
      <c r="B216" s="492" t="s">
        <v>330</v>
      </c>
      <c r="C216" s="395" t="s">
        <v>331</v>
      </c>
      <c r="D216" s="300" t="s">
        <v>121</v>
      </c>
      <c r="E216" s="443"/>
      <c r="F216" s="445">
        <v>50000</v>
      </c>
      <c r="G216" s="394">
        <f t="shared" si="3"/>
        <v>42119401.99927</v>
      </c>
      <c r="H216" s="377" t="s">
        <v>64</v>
      </c>
      <c r="I216" s="304" t="s">
        <v>134</v>
      </c>
      <c r="J216" s="386" t="s">
        <v>400</v>
      </c>
      <c r="K216" s="302" t="s">
        <v>401</v>
      </c>
      <c r="L216" s="302" t="s">
        <v>410</v>
      </c>
      <c r="M216" s="303"/>
      <c r="N216" s="431"/>
      <c r="O216" s="303"/>
      <c r="P216" s="287"/>
      <c r="Q216" s="269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spans="1:66" s="283" customFormat="1" ht="15" customHeight="1" x14ac:dyDescent="0.25">
      <c r="A217" s="300">
        <v>44274</v>
      </c>
      <c r="B217" s="503" t="s">
        <v>339</v>
      </c>
      <c r="C217" s="522" t="s">
        <v>76</v>
      </c>
      <c r="D217" s="401" t="s">
        <v>175</v>
      </c>
      <c r="E217" s="539"/>
      <c r="F217" s="550">
        <v>1500</v>
      </c>
      <c r="G217" s="394">
        <f t="shared" si="3"/>
        <v>42117901.99927</v>
      </c>
      <c r="H217" s="377" t="s">
        <v>64</v>
      </c>
      <c r="I217" s="304" t="s">
        <v>134</v>
      </c>
      <c r="J217" s="386" t="s">
        <v>400</v>
      </c>
      <c r="K217" s="302" t="s">
        <v>401</v>
      </c>
      <c r="L217" s="302" t="s">
        <v>410</v>
      </c>
      <c r="M217" s="303"/>
      <c r="N217" s="431"/>
      <c r="O217" s="303"/>
      <c r="P217" s="291"/>
      <c r="Q217" s="152"/>
    </row>
    <row r="218" spans="1:66" s="269" customFormat="1" ht="15" customHeight="1" x14ac:dyDescent="0.25">
      <c r="A218" s="300">
        <v>44274</v>
      </c>
      <c r="B218" s="301" t="s">
        <v>183</v>
      </c>
      <c r="C218" s="306" t="s">
        <v>120</v>
      </c>
      <c r="D218" s="409"/>
      <c r="E218" s="447">
        <v>156000</v>
      </c>
      <c r="F218" s="447"/>
      <c r="G218" s="394">
        <f t="shared" si="3"/>
        <v>42273901.99927</v>
      </c>
      <c r="H218" s="307" t="s">
        <v>68</v>
      </c>
      <c r="I218" s="301"/>
      <c r="J218" s="397"/>
      <c r="K218" s="302"/>
      <c r="L218" s="302"/>
      <c r="M218" s="303"/>
      <c r="N218" s="431"/>
      <c r="O218" s="303"/>
      <c r="P218" s="287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</row>
    <row r="219" spans="1:66" s="269" customFormat="1" ht="15" customHeight="1" x14ac:dyDescent="0.25">
      <c r="A219" s="300">
        <v>44274</v>
      </c>
      <c r="B219" s="301" t="s">
        <v>455</v>
      </c>
      <c r="C219" s="306" t="s">
        <v>120</v>
      </c>
      <c r="D219" s="409"/>
      <c r="E219" s="447"/>
      <c r="F219" s="447">
        <v>28000</v>
      </c>
      <c r="G219" s="394">
        <f t="shared" si="3"/>
        <v>42245901.99927</v>
      </c>
      <c r="H219" s="307" t="s">
        <v>68</v>
      </c>
      <c r="I219" s="301"/>
      <c r="J219" s="387"/>
      <c r="K219" s="302"/>
      <c r="L219" s="302"/>
      <c r="M219" s="303"/>
      <c r="N219" s="431"/>
      <c r="O219" s="303"/>
      <c r="P219" s="287"/>
      <c r="Q219" s="47"/>
    </row>
    <row r="220" spans="1:66" s="152" customFormat="1" ht="15" customHeight="1" x14ac:dyDescent="0.25">
      <c r="A220" s="300">
        <v>44274</v>
      </c>
      <c r="B220" s="301" t="s">
        <v>525</v>
      </c>
      <c r="C220" s="310" t="s">
        <v>156</v>
      </c>
      <c r="D220" s="310" t="s">
        <v>175</v>
      </c>
      <c r="E220" s="447"/>
      <c r="F220" s="447">
        <v>70000</v>
      </c>
      <c r="G220" s="394">
        <f t="shared" si="3"/>
        <v>42175901.99927</v>
      </c>
      <c r="H220" s="307" t="s">
        <v>68</v>
      </c>
      <c r="I220" s="313" t="s">
        <v>75</v>
      </c>
      <c r="J220" s="387" t="s">
        <v>400</v>
      </c>
      <c r="K220" s="302" t="s">
        <v>401</v>
      </c>
      <c r="L220" s="302" t="s">
        <v>410</v>
      </c>
      <c r="M220" s="303"/>
      <c r="N220" s="431"/>
      <c r="O220" s="303"/>
    </row>
    <row r="221" spans="1:66" s="152" customFormat="1" ht="15" customHeight="1" x14ac:dyDescent="0.25">
      <c r="A221" s="300">
        <v>44274</v>
      </c>
      <c r="B221" s="301" t="s">
        <v>526</v>
      </c>
      <c r="C221" s="310" t="s">
        <v>156</v>
      </c>
      <c r="D221" s="310" t="s">
        <v>175</v>
      </c>
      <c r="E221" s="447"/>
      <c r="F221" s="447">
        <v>45000</v>
      </c>
      <c r="G221" s="394">
        <f t="shared" si="3"/>
        <v>42130901.99927</v>
      </c>
      <c r="H221" s="307" t="s">
        <v>68</v>
      </c>
      <c r="I221" s="313" t="s">
        <v>75</v>
      </c>
      <c r="J221" s="386" t="s">
        <v>157</v>
      </c>
      <c r="K221" s="302" t="s">
        <v>402</v>
      </c>
      <c r="L221" s="302" t="s">
        <v>410</v>
      </c>
      <c r="M221" s="304" t="s">
        <v>612</v>
      </c>
      <c r="N221" s="431" t="s">
        <v>453</v>
      </c>
      <c r="O221" s="303"/>
    </row>
    <row r="222" spans="1:66" s="152" customFormat="1" ht="15" customHeight="1" x14ac:dyDescent="0.25">
      <c r="A222" s="300">
        <v>44274</v>
      </c>
      <c r="B222" s="301" t="s">
        <v>512</v>
      </c>
      <c r="C222" s="310" t="s">
        <v>72</v>
      </c>
      <c r="D222" s="310" t="s">
        <v>175</v>
      </c>
      <c r="E222" s="447"/>
      <c r="F222" s="447">
        <v>30000</v>
      </c>
      <c r="G222" s="394">
        <f t="shared" si="3"/>
        <v>42100901.99927</v>
      </c>
      <c r="H222" s="307" t="s">
        <v>68</v>
      </c>
      <c r="I222" s="313" t="s">
        <v>75</v>
      </c>
      <c r="J222" s="397" t="s">
        <v>400</v>
      </c>
      <c r="K222" s="302" t="s">
        <v>401</v>
      </c>
      <c r="L222" s="302" t="s">
        <v>410</v>
      </c>
      <c r="M222" s="303"/>
      <c r="N222" s="431"/>
      <c r="O222" s="303"/>
      <c r="P222" s="282"/>
    </row>
    <row r="223" spans="1:66" s="269" customFormat="1" ht="15" customHeight="1" x14ac:dyDescent="0.25">
      <c r="A223" s="300">
        <v>44274</v>
      </c>
      <c r="B223" s="302" t="s">
        <v>523</v>
      </c>
      <c r="C223" s="310" t="s">
        <v>72</v>
      </c>
      <c r="D223" s="305" t="s">
        <v>31</v>
      </c>
      <c r="E223" s="456"/>
      <c r="F223" s="448">
        <v>15000</v>
      </c>
      <c r="G223" s="394">
        <f t="shared" si="3"/>
        <v>42085901.99927</v>
      </c>
      <c r="H223" s="302" t="s">
        <v>67</v>
      </c>
      <c r="I223" s="313" t="s">
        <v>75</v>
      </c>
      <c r="J223" s="386" t="s">
        <v>157</v>
      </c>
      <c r="K223" s="302" t="s">
        <v>402</v>
      </c>
      <c r="L223" s="302" t="s">
        <v>410</v>
      </c>
      <c r="M223" s="304" t="s">
        <v>613</v>
      </c>
      <c r="N223" s="431" t="s">
        <v>452</v>
      </c>
      <c r="O223" s="303"/>
      <c r="P223" s="287"/>
    </row>
    <row r="224" spans="1:66" s="152" customFormat="1" ht="15" customHeight="1" x14ac:dyDescent="0.25">
      <c r="A224" s="300">
        <v>44274</v>
      </c>
      <c r="B224" s="298" t="s">
        <v>465</v>
      </c>
      <c r="C224" s="310" t="s">
        <v>120</v>
      </c>
      <c r="D224" s="310"/>
      <c r="E224" s="440">
        <v>10000</v>
      </c>
      <c r="F224" s="451"/>
      <c r="G224" s="394">
        <f t="shared" si="3"/>
        <v>42095901.99927</v>
      </c>
      <c r="H224" s="303" t="s">
        <v>142</v>
      </c>
      <c r="I224" s="308"/>
      <c r="J224" s="386"/>
      <c r="K224" s="302"/>
      <c r="L224" s="302"/>
      <c r="M224" s="303"/>
      <c r="N224" s="431"/>
      <c r="O224" s="303"/>
      <c r="P224" s="287"/>
      <c r="Q224" s="269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spans="1:66" s="269" customFormat="1" ht="15" customHeight="1" x14ac:dyDescent="0.25">
      <c r="A225" s="300">
        <v>44274</v>
      </c>
      <c r="B225" s="505" t="s">
        <v>472</v>
      </c>
      <c r="C225" s="523" t="s">
        <v>386</v>
      </c>
      <c r="D225" s="401" t="s">
        <v>175</v>
      </c>
      <c r="E225" s="533"/>
      <c r="F225" s="533">
        <v>2000</v>
      </c>
      <c r="G225" s="394">
        <f t="shared" si="3"/>
        <v>42093901.99927</v>
      </c>
      <c r="H225" s="556" t="s">
        <v>184</v>
      </c>
      <c r="I225" s="313" t="s">
        <v>75</v>
      </c>
      <c r="J225" s="386" t="s">
        <v>400</v>
      </c>
      <c r="K225" s="302" t="s">
        <v>401</v>
      </c>
      <c r="L225" s="302" t="s">
        <v>410</v>
      </c>
      <c r="M225" s="303"/>
      <c r="N225" s="431"/>
      <c r="O225" s="303"/>
      <c r="P225" s="287"/>
    </row>
    <row r="226" spans="1:66" s="152" customFormat="1" ht="15" customHeight="1" x14ac:dyDescent="0.25">
      <c r="A226" s="300">
        <v>44274</v>
      </c>
      <c r="B226" s="505" t="s">
        <v>462</v>
      </c>
      <c r="C226" s="498" t="s">
        <v>120</v>
      </c>
      <c r="D226" s="526"/>
      <c r="E226" s="533"/>
      <c r="F226" s="533">
        <v>2000</v>
      </c>
      <c r="G226" s="394">
        <f t="shared" si="3"/>
        <v>42091901.99927</v>
      </c>
      <c r="H226" s="556" t="s">
        <v>184</v>
      </c>
      <c r="I226" s="556"/>
      <c r="J226" s="386"/>
      <c r="K226" s="302"/>
      <c r="L226" s="302"/>
      <c r="M226" s="303"/>
      <c r="N226" s="431"/>
      <c r="O226" s="303"/>
      <c r="P226" s="287"/>
      <c r="Q226" s="47"/>
    </row>
    <row r="227" spans="1:66" s="152" customFormat="1" ht="15" customHeight="1" x14ac:dyDescent="0.25">
      <c r="A227" s="300">
        <v>44274</v>
      </c>
      <c r="B227" s="505" t="s">
        <v>463</v>
      </c>
      <c r="C227" s="498" t="s">
        <v>120</v>
      </c>
      <c r="D227" s="526"/>
      <c r="E227" s="533"/>
      <c r="F227" s="533">
        <v>1000</v>
      </c>
      <c r="G227" s="394">
        <f t="shared" si="3"/>
        <v>42090901.99927</v>
      </c>
      <c r="H227" s="556" t="s">
        <v>184</v>
      </c>
      <c r="I227" s="556"/>
      <c r="J227" s="386"/>
      <c r="K227" s="302"/>
      <c r="L227" s="302"/>
      <c r="M227" s="303"/>
      <c r="N227" s="431"/>
      <c r="O227" s="303"/>
      <c r="P227" s="292"/>
    </row>
    <row r="228" spans="1:66" ht="15" customHeight="1" x14ac:dyDescent="0.25">
      <c r="A228" s="300">
        <v>44275</v>
      </c>
      <c r="B228" s="310" t="s">
        <v>69</v>
      </c>
      <c r="C228" s="310" t="s">
        <v>120</v>
      </c>
      <c r="D228" s="310"/>
      <c r="E228" s="440"/>
      <c r="F228" s="441">
        <v>482000</v>
      </c>
      <c r="G228" s="394">
        <f t="shared" si="3"/>
        <v>41608901.99927</v>
      </c>
      <c r="H228" s="310" t="s">
        <v>62</v>
      </c>
      <c r="I228" s="304"/>
      <c r="J228" s="386"/>
      <c r="K228" s="302"/>
      <c r="L228" s="302"/>
      <c r="M228" s="303"/>
      <c r="N228" s="431"/>
      <c r="O228" s="303"/>
      <c r="P228" s="287"/>
    </row>
    <row r="229" spans="1:66" s="152" customFormat="1" ht="15" customHeight="1" x14ac:dyDescent="0.25">
      <c r="A229" s="300">
        <v>44275</v>
      </c>
      <c r="B229" s="310" t="s">
        <v>268</v>
      </c>
      <c r="C229" s="306" t="s">
        <v>63</v>
      </c>
      <c r="D229" s="306" t="s">
        <v>21</v>
      </c>
      <c r="E229" s="440"/>
      <c r="F229" s="441">
        <v>14460</v>
      </c>
      <c r="G229" s="394">
        <f t="shared" si="3"/>
        <v>41594441.99927</v>
      </c>
      <c r="H229" s="310" t="s">
        <v>62</v>
      </c>
      <c r="I229" s="313" t="s">
        <v>75</v>
      </c>
      <c r="J229" s="386" t="s">
        <v>157</v>
      </c>
      <c r="K229" s="420" t="s">
        <v>402</v>
      </c>
      <c r="L229" s="302" t="s">
        <v>410</v>
      </c>
      <c r="M229" s="304" t="s">
        <v>614</v>
      </c>
      <c r="N229" s="431" t="s">
        <v>403</v>
      </c>
      <c r="O229" s="303"/>
    </row>
    <row r="230" spans="1:66" s="152" customFormat="1" ht="15" customHeight="1" x14ac:dyDescent="0.25">
      <c r="A230" s="300">
        <v>44275</v>
      </c>
      <c r="B230" s="310" t="s">
        <v>122</v>
      </c>
      <c r="C230" s="310" t="s">
        <v>120</v>
      </c>
      <c r="D230" s="310"/>
      <c r="E230" s="440"/>
      <c r="F230" s="441">
        <v>20000</v>
      </c>
      <c r="G230" s="394">
        <f t="shared" si="3"/>
        <v>41574441.99927</v>
      </c>
      <c r="H230" s="310" t="s">
        <v>62</v>
      </c>
      <c r="I230" s="304"/>
      <c r="J230" s="313"/>
      <c r="K230" s="301"/>
      <c r="L230" s="302"/>
      <c r="M230" s="303"/>
      <c r="N230" s="432"/>
      <c r="O230" s="303"/>
      <c r="P230" s="287"/>
    </row>
    <row r="231" spans="1:66" s="152" customFormat="1" ht="15" customHeight="1" x14ac:dyDescent="0.25">
      <c r="A231" s="300">
        <v>44275</v>
      </c>
      <c r="B231" s="395" t="s">
        <v>296</v>
      </c>
      <c r="C231" s="310" t="s">
        <v>156</v>
      </c>
      <c r="D231" s="310" t="s">
        <v>175</v>
      </c>
      <c r="E231" s="443"/>
      <c r="F231" s="443">
        <v>30000</v>
      </c>
      <c r="G231" s="394">
        <f t="shared" si="3"/>
        <v>41544441.99927</v>
      </c>
      <c r="H231" s="395" t="s">
        <v>91</v>
      </c>
      <c r="I231" s="313" t="s">
        <v>75</v>
      </c>
      <c r="J231" s="390" t="s">
        <v>157</v>
      </c>
      <c r="K231" s="302" t="s">
        <v>402</v>
      </c>
      <c r="L231" s="302" t="s">
        <v>410</v>
      </c>
      <c r="M231" s="304" t="s">
        <v>615</v>
      </c>
      <c r="N231" s="431" t="s">
        <v>453</v>
      </c>
      <c r="O231" s="303"/>
      <c r="P231" s="287"/>
    </row>
    <row r="232" spans="1:66" ht="15" customHeight="1" x14ac:dyDescent="0.25">
      <c r="A232" s="300">
        <v>44275</v>
      </c>
      <c r="B232" s="298" t="s">
        <v>181</v>
      </c>
      <c r="C232" s="298" t="s">
        <v>120</v>
      </c>
      <c r="D232" s="298"/>
      <c r="E232" s="438">
        <v>482000</v>
      </c>
      <c r="F232" s="438"/>
      <c r="G232" s="394">
        <f t="shared" si="3"/>
        <v>42026441.99927</v>
      </c>
      <c r="H232" s="298" t="s">
        <v>69</v>
      </c>
      <c r="I232" s="298"/>
      <c r="J232" s="390"/>
      <c r="K232" s="302"/>
      <c r="L232" s="302"/>
      <c r="M232" s="303"/>
      <c r="N232" s="431"/>
      <c r="O232" s="303"/>
      <c r="P232" s="287"/>
      <c r="Q232" s="269"/>
    </row>
    <row r="233" spans="1:66" s="269" customFormat="1" ht="15" customHeight="1" x14ac:dyDescent="0.25">
      <c r="A233" s="300">
        <v>44275</v>
      </c>
      <c r="B233" s="298" t="s">
        <v>458</v>
      </c>
      <c r="C233" s="298" t="s">
        <v>120</v>
      </c>
      <c r="D233" s="298"/>
      <c r="E233" s="438"/>
      <c r="F233" s="438">
        <v>91000</v>
      </c>
      <c r="G233" s="394">
        <f t="shared" si="3"/>
        <v>41935441.99927</v>
      </c>
      <c r="H233" s="298" t="s">
        <v>69</v>
      </c>
      <c r="I233" s="298"/>
      <c r="J233" s="386"/>
      <c r="K233" s="302"/>
      <c r="L233" s="302"/>
      <c r="M233" s="303"/>
      <c r="N233" s="431"/>
      <c r="O233" s="304"/>
      <c r="P233" s="292"/>
    </row>
    <row r="234" spans="1:66" ht="15" customHeight="1" x14ac:dyDescent="0.25">
      <c r="A234" s="300">
        <v>44275</v>
      </c>
      <c r="B234" s="298" t="s">
        <v>459</v>
      </c>
      <c r="C234" s="298" t="s">
        <v>120</v>
      </c>
      <c r="D234" s="298"/>
      <c r="E234" s="438"/>
      <c r="F234" s="438">
        <v>137000</v>
      </c>
      <c r="G234" s="394">
        <f t="shared" si="3"/>
        <v>41798441.99927</v>
      </c>
      <c r="H234" s="298" t="s">
        <v>69</v>
      </c>
      <c r="I234" s="298"/>
      <c r="J234" s="386"/>
      <c r="K234" s="302"/>
      <c r="L234" s="302"/>
      <c r="M234" s="303"/>
      <c r="N234" s="431"/>
      <c r="O234" s="303"/>
      <c r="P234" s="287"/>
      <c r="Q234" s="287"/>
      <c r="R234" s="287"/>
    </row>
    <row r="235" spans="1:66" s="269" customFormat="1" ht="15" customHeight="1" x14ac:dyDescent="0.25">
      <c r="A235" s="300">
        <v>44275</v>
      </c>
      <c r="B235" s="298" t="s">
        <v>460</v>
      </c>
      <c r="C235" s="298" t="s">
        <v>120</v>
      </c>
      <c r="D235" s="298"/>
      <c r="E235" s="438"/>
      <c r="F235" s="438">
        <v>101000</v>
      </c>
      <c r="G235" s="394">
        <f t="shared" si="3"/>
        <v>41697441.99927</v>
      </c>
      <c r="H235" s="298" t="s">
        <v>69</v>
      </c>
      <c r="I235" s="298"/>
      <c r="J235" s="386"/>
      <c r="K235" s="302"/>
      <c r="L235" s="302"/>
      <c r="M235" s="303"/>
      <c r="N235" s="431"/>
      <c r="O235" s="303"/>
      <c r="P235" s="287"/>
    </row>
    <row r="236" spans="1:66" s="269" customFormat="1" ht="15" customHeight="1" x14ac:dyDescent="0.25">
      <c r="A236" s="300">
        <v>44275</v>
      </c>
      <c r="B236" s="298" t="s">
        <v>461</v>
      </c>
      <c r="C236" s="298" t="s">
        <v>120</v>
      </c>
      <c r="D236" s="298"/>
      <c r="E236" s="438"/>
      <c r="F236" s="438">
        <v>91000</v>
      </c>
      <c r="G236" s="394">
        <f t="shared" si="3"/>
        <v>41606441.99927</v>
      </c>
      <c r="H236" s="298" t="s">
        <v>69</v>
      </c>
      <c r="I236" s="298"/>
      <c r="J236" s="386"/>
      <c r="K236" s="302"/>
      <c r="L236" s="302"/>
      <c r="M236" s="303"/>
      <c r="N236" s="431"/>
      <c r="O236" s="303"/>
      <c r="P236" s="287"/>
    </row>
    <row r="237" spans="1:66" s="152" customFormat="1" ht="15" customHeight="1" x14ac:dyDescent="0.25">
      <c r="A237" s="300">
        <v>44275</v>
      </c>
      <c r="B237" s="309" t="s">
        <v>320</v>
      </c>
      <c r="C237" s="310" t="s">
        <v>73</v>
      </c>
      <c r="D237" s="309" t="s">
        <v>121</v>
      </c>
      <c r="E237" s="441"/>
      <c r="F237" s="441">
        <v>4760</v>
      </c>
      <c r="G237" s="394">
        <f t="shared" si="3"/>
        <v>41601681.99927</v>
      </c>
      <c r="H237" s="298" t="s">
        <v>123</v>
      </c>
      <c r="I237" s="304" t="s">
        <v>134</v>
      </c>
      <c r="J237" s="386" t="s">
        <v>400</v>
      </c>
      <c r="K237" s="302" t="s">
        <v>401</v>
      </c>
      <c r="L237" s="302" t="s">
        <v>410</v>
      </c>
      <c r="M237" s="303"/>
      <c r="N237" s="431"/>
      <c r="O237" s="303"/>
    </row>
    <row r="238" spans="1:66" s="191" customFormat="1" ht="15" customHeight="1" x14ac:dyDescent="0.25">
      <c r="A238" s="300">
        <v>44275</v>
      </c>
      <c r="B238" s="309" t="s">
        <v>321</v>
      </c>
      <c r="C238" s="309" t="s">
        <v>120</v>
      </c>
      <c r="D238" s="309"/>
      <c r="E238" s="441">
        <v>137000</v>
      </c>
      <c r="F238" s="441"/>
      <c r="G238" s="394">
        <f t="shared" si="3"/>
        <v>41738681.99927</v>
      </c>
      <c r="H238" s="298" t="s">
        <v>123</v>
      </c>
      <c r="I238" s="298"/>
      <c r="J238" s="313"/>
      <c r="K238" s="302"/>
      <c r="L238" s="302"/>
      <c r="M238" s="303"/>
      <c r="N238" s="430"/>
      <c r="O238" s="303"/>
      <c r="P238" s="287"/>
      <c r="Q238" s="287"/>
      <c r="R238" s="28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spans="1:66" s="152" customFormat="1" ht="15" customHeight="1" x14ac:dyDescent="0.25">
      <c r="A239" s="300">
        <v>44275</v>
      </c>
      <c r="B239" s="301" t="s">
        <v>347</v>
      </c>
      <c r="C239" s="310" t="s">
        <v>156</v>
      </c>
      <c r="D239" s="310" t="s">
        <v>175</v>
      </c>
      <c r="E239" s="447"/>
      <c r="F239" s="447">
        <v>15000</v>
      </c>
      <c r="G239" s="394">
        <f t="shared" si="3"/>
        <v>41723681.99927</v>
      </c>
      <c r="H239" s="307" t="s">
        <v>68</v>
      </c>
      <c r="I239" s="313" t="s">
        <v>75</v>
      </c>
      <c r="J239" s="386" t="s">
        <v>157</v>
      </c>
      <c r="K239" s="302" t="s">
        <v>402</v>
      </c>
      <c r="L239" s="302" t="s">
        <v>410</v>
      </c>
      <c r="M239" s="304" t="s">
        <v>616</v>
      </c>
      <c r="N239" s="431" t="s">
        <v>453</v>
      </c>
      <c r="O239" s="303"/>
      <c r="P239" s="566"/>
    </row>
    <row r="240" spans="1:66" s="152" customFormat="1" ht="15" customHeight="1" x14ac:dyDescent="0.25">
      <c r="A240" s="300">
        <v>44275</v>
      </c>
      <c r="B240" s="301" t="s">
        <v>519</v>
      </c>
      <c r="C240" s="310" t="s">
        <v>72</v>
      </c>
      <c r="D240" s="298" t="s">
        <v>31</v>
      </c>
      <c r="E240" s="447"/>
      <c r="F240" s="447">
        <v>8000</v>
      </c>
      <c r="G240" s="394">
        <f t="shared" si="3"/>
        <v>41715681.99927</v>
      </c>
      <c r="H240" s="307" t="s">
        <v>68</v>
      </c>
      <c r="I240" s="313" t="s">
        <v>75</v>
      </c>
      <c r="J240" s="390" t="s">
        <v>157</v>
      </c>
      <c r="K240" s="302" t="s">
        <v>402</v>
      </c>
      <c r="L240" s="302" t="s">
        <v>410</v>
      </c>
      <c r="M240" s="304" t="s">
        <v>617</v>
      </c>
      <c r="N240" s="431" t="s">
        <v>452</v>
      </c>
      <c r="O240" s="303"/>
      <c r="P240" s="282"/>
    </row>
    <row r="241" spans="1:66" s="191" customFormat="1" ht="15" customHeight="1" x14ac:dyDescent="0.25">
      <c r="A241" s="300">
        <v>44275</v>
      </c>
      <c r="B241" s="302" t="s">
        <v>376</v>
      </c>
      <c r="C241" s="310" t="s">
        <v>156</v>
      </c>
      <c r="D241" s="298" t="s">
        <v>31</v>
      </c>
      <c r="E241" s="456"/>
      <c r="F241" s="448">
        <v>60000</v>
      </c>
      <c r="G241" s="394">
        <f t="shared" si="3"/>
        <v>41655681.99927</v>
      </c>
      <c r="H241" s="302" t="s">
        <v>67</v>
      </c>
      <c r="I241" s="304" t="s">
        <v>134</v>
      </c>
      <c r="J241" s="390" t="s">
        <v>157</v>
      </c>
      <c r="K241" s="302" t="s">
        <v>402</v>
      </c>
      <c r="L241" s="302" t="s">
        <v>410</v>
      </c>
      <c r="M241" s="304" t="s">
        <v>618</v>
      </c>
      <c r="N241" s="431" t="s">
        <v>453</v>
      </c>
      <c r="O241" s="303"/>
      <c r="P241" s="293"/>
      <c r="Q241" s="236"/>
    </row>
    <row r="242" spans="1:66" s="152" customFormat="1" ht="15" customHeight="1" x14ac:dyDescent="0.25">
      <c r="A242" s="300">
        <v>44275</v>
      </c>
      <c r="B242" s="570" t="s">
        <v>381</v>
      </c>
      <c r="C242" s="517" t="s">
        <v>72</v>
      </c>
      <c r="D242" s="517" t="s">
        <v>19</v>
      </c>
      <c r="E242" s="571"/>
      <c r="F242" s="571">
        <v>4000</v>
      </c>
      <c r="G242" s="394">
        <f t="shared" si="3"/>
        <v>41651681.99927</v>
      </c>
      <c r="H242" s="303" t="s">
        <v>70</v>
      </c>
      <c r="I242" s="304" t="s">
        <v>134</v>
      </c>
      <c r="J242" s="387" t="s">
        <v>157</v>
      </c>
      <c r="K242" s="302" t="s">
        <v>402</v>
      </c>
      <c r="L242" s="302" t="s">
        <v>410</v>
      </c>
      <c r="M242" s="304" t="s">
        <v>619</v>
      </c>
      <c r="N242" s="431" t="s">
        <v>452</v>
      </c>
      <c r="O242" s="303"/>
      <c r="P242" s="282"/>
    </row>
    <row r="243" spans="1:66" s="191" customFormat="1" ht="15" customHeight="1" x14ac:dyDescent="0.25">
      <c r="A243" s="300">
        <v>44275</v>
      </c>
      <c r="B243" s="494" t="s">
        <v>387</v>
      </c>
      <c r="C243" s="498" t="s">
        <v>120</v>
      </c>
      <c r="D243" s="498"/>
      <c r="E243" s="533">
        <v>91000</v>
      </c>
      <c r="F243" s="533"/>
      <c r="G243" s="394">
        <f t="shared" si="3"/>
        <v>41742681.99927</v>
      </c>
      <c r="H243" s="556" t="s">
        <v>184</v>
      </c>
      <c r="I243" s="556"/>
      <c r="J243" s="386"/>
      <c r="K243" s="302"/>
      <c r="L243" s="302"/>
      <c r="M243" s="303"/>
      <c r="N243" s="433"/>
      <c r="O243" s="314"/>
      <c r="P243" s="289"/>
      <c r="Q243" s="269"/>
    </row>
    <row r="244" spans="1:66" s="191" customFormat="1" ht="15" customHeight="1" x14ac:dyDescent="0.25">
      <c r="A244" s="300">
        <v>44275</v>
      </c>
      <c r="B244" s="498" t="s">
        <v>388</v>
      </c>
      <c r="C244" s="518" t="s">
        <v>26</v>
      </c>
      <c r="D244" s="310" t="s">
        <v>175</v>
      </c>
      <c r="E244" s="533"/>
      <c r="F244" s="533">
        <v>80000</v>
      </c>
      <c r="G244" s="394">
        <f t="shared" si="3"/>
        <v>41662681.99927</v>
      </c>
      <c r="H244" s="556" t="s">
        <v>184</v>
      </c>
      <c r="I244" s="313" t="s">
        <v>75</v>
      </c>
      <c r="J244" s="386" t="s">
        <v>400</v>
      </c>
      <c r="K244" s="302" t="s">
        <v>401</v>
      </c>
      <c r="L244" s="302" t="s">
        <v>410</v>
      </c>
      <c r="M244" s="303"/>
      <c r="N244" s="433"/>
      <c r="O244" s="314"/>
      <c r="P244" s="287"/>
      <c r="Q244" s="269"/>
    </row>
    <row r="245" spans="1:66" s="191" customFormat="1" ht="15" customHeight="1" x14ac:dyDescent="0.25">
      <c r="A245" s="300">
        <v>44275</v>
      </c>
      <c r="B245" s="498" t="s">
        <v>389</v>
      </c>
      <c r="C245" s="518" t="s">
        <v>26</v>
      </c>
      <c r="D245" s="310" t="s">
        <v>175</v>
      </c>
      <c r="E245" s="533"/>
      <c r="F245" s="533">
        <v>50000</v>
      </c>
      <c r="G245" s="394">
        <f t="shared" si="3"/>
        <v>41612681.99927</v>
      </c>
      <c r="H245" s="556" t="s">
        <v>184</v>
      </c>
      <c r="I245" s="313" t="s">
        <v>75</v>
      </c>
      <c r="J245" s="386" t="s">
        <v>400</v>
      </c>
      <c r="K245" s="302" t="s">
        <v>401</v>
      </c>
      <c r="L245" s="302" t="s">
        <v>410</v>
      </c>
      <c r="M245" s="303"/>
      <c r="N245" s="431"/>
      <c r="O245" s="303"/>
      <c r="P245" s="287"/>
      <c r="Q245" s="269"/>
    </row>
    <row r="246" spans="1:66" s="152" customFormat="1" ht="15" customHeight="1" x14ac:dyDescent="0.25">
      <c r="A246" s="300">
        <v>44276</v>
      </c>
      <c r="B246" s="298" t="s">
        <v>313</v>
      </c>
      <c r="C246" s="310" t="s">
        <v>156</v>
      </c>
      <c r="D246" s="310" t="s">
        <v>175</v>
      </c>
      <c r="E246" s="438"/>
      <c r="F246" s="438">
        <v>60000</v>
      </c>
      <c r="G246" s="394">
        <f t="shared" si="3"/>
        <v>41552681.99927</v>
      </c>
      <c r="H246" s="298" t="s">
        <v>69</v>
      </c>
      <c r="I246" s="313" t="s">
        <v>75</v>
      </c>
      <c r="J246" s="386" t="s">
        <v>157</v>
      </c>
      <c r="K246" s="302" t="s">
        <v>402</v>
      </c>
      <c r="L246" s="302" t="s">
        <v>410</v>
      </c>
      <c r="M246" s="304" t="s">
        <v>620</v>
      </c>
      <c r="N246" s="431" t="s">
        <v>453</v>
      </c>
      <c r="O246" s="303"/>
    </row>
    <row r="247" spans="1:66" s="152" customFormat="1" ht="15" customHeight="1" x14ac:dyDescent="0.25">
      <c r="A247" s="300">
        <v>44276</v>
      </c>
      <c r="B247" s="309" t="s">
        <v>323</v>
      </c>
      <c r="C247" s="310" t="s">
        <v>156</v>
      </c>
      <c r="D247" s="310" t="s">
        <v>175</v>
      </c>
      <c r="E247" s="441"/>
      <c r="F247" s="441">
        <v>45000</v>
      </c>
      <c r="G247" s="394">
        <f t="shared" si="3"/>
        <v>41507681.99927</v>
      </c>
      <c r="H247" s="298" t="s">
        <v>123</v>
      </c>
      <c r="I247" s="313" t="s">
        <v>75</v>
      </c>
      <c r="J247" s="387" t="s">
        <v>157</v>
      </c>
      <c r="K247" s="302" t="s">
        <v>402</v>
      </c>
      <c r="L247" s="302" t="s">
        <v>410</v>
      </c>
      <c r="M247" s="304" t="s">
        <v>621</v>
      </c>
      <c r="N247" s="431" t="s">
        <v>453</v>
      </c>
      <c r="O247" s="303"/>
    </row>
    <row r="248" spans="1:66" s="208" customFormat="1" ht="15" customHeight="1" x14ac:dyDescent="0.25">
      <c r="A248" s="300">
        <v>44277</v>
      </c>
      <c r="B248" s="310" t="s">
        <v>77</v>
      </c>
      <c r="C248" s="310" t="s">
        <v>120</v>
      </c>
      <c r="D248" s="310"/>
      <c r="E248" s="440"/>
      <c r="F248" s="441">
        <v>10000</v>
      </c>
      <c r="G248" s="394">
        <f t="shared" si="3"/>
        <v>41497681.99927</v>
      </c>
      <c r="H248" s="310" t="s">
        <v>62</v>
      </c>
      <c r="I248" s="304"/>
      <c r="J248" s="386"/>
      <c r="K248" s="302"/>
      <c r="L248" s="302"/>
      <c r="M248" s="303"/>
      <c r="N248" s="431"/>
      <c r="O248" s="303"/>
      <c r="P248" s="291"/>
      <c r="Q248" s="269"/>
    </row>
    <row r="249" spans="1:66" s="283" customFormat="1" ht="15" customHeight="1" x14ac:dyDescent="0.25">
      <c r="A249" s="300">
        <v>44277</v>
      </c>
      <c r="B249" s="310" t="s">
        <v>122</v>
      </c>
      <c r="C249" s="310" t="s">
        <v>120</v>
      </c>
      <c r="D249" s="310"/>
      <c r="E249" s="440"/>
      <c r="F249" s="441">
        <v>99000</v>
      </c>
      <c r="G249" s="394">
        <f t="shared" si="3"/>
        <v>41398681.99927</v>
      </c>
      <c r="H249" s="310" t="s">
        <v>62</v>
      </c>
      <c r="I249" s="381"/>
      <c r="J249" s="386"/>
      <c r="K249" s="302"/>
      <c r="L249" s="302"/>
      <c r="M249" s="303"/>
      <c r="N249" s="431"/>
      <c r="O249" s="303"/>
      <c r="Q249" s="152"/>
    </row>
    <row r="250" spans="1:66" s="191" customFormat="1" ht="15" customHeight="1" x14ac:dyDescent="0.25">
      <c r="A250" s="300">
        <v>44277</v>
      </c>
      <c r="B250" s="310" t="s">
        <v>269</v>
      </c>
      <c r="C250" s="516" t="s">
        <v>20</v>
      </c>
      <c r="D250" s="407" t="s">
        <v>21</v>
      </c>
      <c r="E250" s="440"/>
      <c r="F250" s="441">
        <v>15000</v>
      </c>
      <c r="G250" s="394">
        <f t="shared" si="3"/>
        <v>41383681.99927</v>
      </c>
      <c r="H250" s="310" t="s">
        <v>62</v>
      </c>
      <c r="I250" s="313" t="s">
        <v>75</v>
      </c>
      <c r="J250" s="313" t="s">
        <v>400</v>
      </c>
      <c r="K250" s="302" t="s">
        <v>401</v>
      </c>
      <c r="L250" s="302" t="s">
        <v>410</v>
      </c>
      <c r="M250" s="303"/>
      <c r="N250" s="431"/>
      <c r="O250" s="307"/>
      <c r="P250" s="287"/>
    </row>
    <row r="251" spans="1:66" s="152" customFormat="1" ht="15" customHeight="1" x14ac:dyDescent="0.25">
      <c r="A251" s="300">
        <v>44277</v>
      </c>
      <c r="B251" s="310" t="s">
        <v>114</v>
      </c>
      <c r="C251" s="310" t="s">
        <v>120</v>
      </c>
      <c r="D251" s="310"/>
      <c r="E251" s="440"/>
      <c r="F251" s="441">
        <v>149000</v>
      </c>
      <c r="G251" s="394">
        <f t="shared" si="3"/>
        <v>41234681.99927</v>
      </c>
      <c r="H251" s="310" t="s">
        <v>62</v>
      </c>
      <c r="I251" s="308"/>
      <c r="J251" s="386"/>
      <c r="K251" s="302"/>
      <c r="L251" s="302"/>
      <c r="M251" s="303"/>
      <c r="N251" s="431"/>
      <c r="O251" s="307"/>
    </row>
    <row r="252" spans="1:66" s="152" customFormat="1" ht="15" customHeight="1" x14ac:dyDescent="0.25">
      <c r="A252" s="300">
        <v>44277</v>
      </c>
      <c r="B252" s="310" t="s">
        <v>270</v>
      </c>
      <c r="C252" s="306" t="s">
        <v>63</v>
      </c>
      <c r="D252" s="306" t="s">
        <v>21</v>
      </c>
      <c r="E252" s="440"/>
      <c r="F252" s="441">
        <v>4470</v>
      </c>
      <c r="G252" s="394">
        <f t="shared" si="3"/>
        <v>41230211.99927</v>
      </c>
      <c r="H252" s="310" t="s">
        <v>62</v>
      </c>
      <c r="I252" s="313" t="s">
        <v>75</v>
      </c>
      <c r="J252" s="386" t="s">
        <v>157</v>
      </c>
      <c r="K252" s="420" t="s">
        <v>402</v>
      </c>
      <c r="L252" s="302" t="s">
        <v>410</v>
      </c>
      <c r="M252" s="304" t="s">
        <v>622</v>
      </c>
      <c r="N252" s="431" t="s">
        <v>403</v>
      </c>
      <c r="O252" s="307"/>
      <c r="P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  <c r="AB252" s="283"/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3"/>
      <c r="AN252" s="28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  <c r="BJ252" s="283"/>
      <c r="BK252" s="283"/>
      <c r="BL252" s="283"/>
      <c r="BM252" s="283"/>
      <c r="BN252" s="283"/>
    </row>
    <row r="253" spans="1:66" s="152" customFormat="1" ht="15" customHeight="1" x14ac:dyDescent="0.25">
      <c r="A253" s="300">
        <v>44277</v>
      </c>
      <c r="B253" s="298" t="s">
        <v>168</v>
      </c>
      <c r="C253" s="310" t="s">
        <v>120</v>
      </c>
      <c r="D253" s="310"/>
      <c r="E253" s="440">
        <v>99000</v>
      </c>
      <c r="F253" s="440"/>
      <c r="G253" s="394">
        <f t="shared" si="3"/>
        <v>41329211.99927</v>
      </c>
      <c r="H253" s="298" t="s">
        <v>122</v>
      </c>
      <c r="I253" s="298"/>
      <c r="J253" s="386"/>
      <c r="K253" s="302"/>
      <c r="L253" s="302"/>
      <c r="M253" s="303"/>
      <c r="N253" s="431"/>
      <c r="O253" s="303"/>
    </row>
    <row r="254" spans="1:66" s="152" customFormat="1" ht="15" customHeight="1" x14ac:dyDescent="0.25">
      <c r="A254" s="300">
        <v>44277</v>
      </c>
      <c r="B254" s="298" t="s">
        <v>280</v>
      </c>
      <c r="C254" s="310" t="s">
        <v>72</v>
      </c>
      <c r="D254" s="306" t="s">
        <v>121</v>
      </c>
      <c r="E254" s="440"/>
      <c r="F254" s="440">
        <v>20000</v>
      </c>
      <c r="G254" s="394">
        <f t="shared" si="3"/>
        <v>41309211.99927</v>
      </c>
      <c r="H254" s="298" t="s">
        <v>122</v>
      </c>
      <c r="I254" s="313" t="s">
        <v>75</v>
      </c>
      <c r="J254" s="386" t="s">
        <v>157</v>
      </c>
      <c r="K254" s="302" t="s">
        <v>402</v>
      </c>
      <c r="L254" s="302" t="s">
        <v>410</v>
      </c>
      <c r="M254" s="304" t="s">
        <v>623</v>
      </c>
      <c r="N254" s="431" t="s">
        <v>452</v>
      </c>
      <c r="O254" s="304"/>
    </row>
    <row r="255" spans="1:66" s="152" customFormat="1" ht="15" customHeight="1" x14ac:dyDescent="0.25">
      <c r="A255" s="300">
        <v>44277</v>
      </c>
      <c r="B255" s="301" t="s">
        <v>297</v>
      </c>
      <c r="C255" s="395" t="s">
        <v>74</v>
      </c>
      <c r="D255" s="306" t="s">
        <v>121</v>
      </c>
      <c r="E255" s="443"/>
      <c r="F255" s="443">
        <v>7500</v>
      </c>
      <c r="G255" s="394">
        <f t="shared" si="3"/>
        <v>41301711.99927</v>
      </c>
      <c r="H255" s="395" t="s">
        <v>91</v>
      </c>
      <c r="I255" s="313" t="s">
        <v>75</v>
      </c>
      <c r="J255" s="386" t="s">
        <v>157</v>
      </c>
      <c r="K255" s="302" t="s">
        <v>402</v>
      </c>
      <c r="L255" s="302" t="s">
        <v>410</v>
      </c>
      <c r="M255" s="304" t="s">
        <v>624</v>
      </c>
      <c r="N255" s="431" t="s">
        <v>431</v>
      </c>
      <c r="O255" s="303"/>
    </row>
    <row r="256" spans="1:66" s="152" customFormat="1" ht="15" customHeight="1" x14ac:dyDescent="0.25">
      <c r="A256" s="300">
        <v>44277</v>
      </c>
      <c r="B256" s="395" t="s">
        <v>298</v>
      </c>
      <c r="C256" s="395" t="s">
        <v>120</v>
      </c>
      <c r="D256" s="395"/>
      <c r="E256" s="443">
        <v>25000</v>
      </c>
      <c r="F256" s="443"/>
      <c r="G256" s="394">
        <f t="shared" si="3"/>
        <v>41326711.99927</v>
      </c>
      <c r="H256" s="395" t="s">
        <v>91</v>
      </c>
      <c r="I256" s="395"/>
      <c r="J256" s="387"/>
      <c r="K256" s="302"/>
      <c r="L256" s="302"/>
      <c r="M256" s="303"/>
      <c r="N256" s="431"/>
      <c r="O256" s="303"/>
    </row>
    <row r="257" spans="1:17" s="152" customFormat="1" ht="15" customHeight="1" x14ac:dyDescent="0.25">
      <c r="A257" s="300">
        <v>44277</v>
      </c>
      <c r="B257" s="395" t="s">
        <v>468</v>
      </c>
      <c r="C257" s="395" t="s">
        <v>120</v>
      </c>
      <c r="D257" s="395"/>
      <c r="E257" s="443">
        <v>91000</v>
      </c>
      <c r="F257" s="443"/>
      <c r="G257" s="394">
        <f t="shared" si="3"/>
        <v>41417711.99927</v>
      </c>
      <c r="H257" s="395" t="s">
        <v>91</v>
      </c>
      <c r="I257" s="395"/>
      <c r="J257" s="386"/>
      <c r="K257" s="302"/>
      <c r="L257" s="302"/>
      <c r="M257" s="303"/>
      <c r="N257" s="431"/>
      <c r="O257" s="303"/>
    </row>
    <row r="258" spans="1:17" s="152" customFormat="1" ht="15" customHeight="1" x14ac:dyDescent="0.25">
      <c r="A258" s="300">
        <v>44277</v>
      </c>
      <c r="B258" s="395" t="s">
        <v>180</v>
      </c>
      <c r="C258" s="395" t="s">
        <v>120</v>
      </c>
      <c r="D258" s="395"/>
      <c r="E258" s="443">
        <v>62000</v>
      </c>
      <c r="F258" s="443"/>
      <c r="G258" s="394">
        <f t="shared" si="3"/>
        <v>41479711.99927</v>
      </c>
      <c r="H258" s="395" t="s">
        <v>91</v>
      </c>
      <c r="I258" s="395"/>
      <c r="J258" s="386"/>
      <c r="K258" s="302"/>
      <c r="L258" s="302"/>
      <c r="M258" s="303"/>
      <c r="N258" s="431"/>
      <c r="O258" s="303"/>
    </row>
    <row r="259" spans="1:17" s="152" customFormat="1" ht="15" customHeight="1" x14ac:dyDescent="0.25">
      <c r="A259" s="300">
        <v>44277</v>
      </c>
      <c r="B259" s="298" t="s">
        <v>314</v>
      </c>
      <c r="C259" s="310" t="s">
        <v>72</v>
      </c>
      <c r="D259" s="310" t="s">
        <v>175</v>
      </c>
      <c r="E259" s="438"/>
      <c r="F259" s="438">
        <v>10000</v>
      </c>
      <c r="G259" s="394">
        <f t="shared" si="3"/>
        <v>41469711.99927</v>
      </c>
      <c r="H259" s="298" t="s">
        <v>69</v>
      </c>
      <c r="I259" s="313" t="s">
        <v>75</v>
      </c>
      <c r="J259" s="386" t="s">
        <v>157</v>
      </c>
      <c r="K259" s="302" t="s">
        <v>402</v>
      </c>
      <c r="L259" s="302" t="s">
        <v>410</v>
      </c>
      <c r="M259" s="304" t="s">
        <v>625</v>
      </c>
      <c r="N259" s="431" t="s">
        <v>452</v>
      </c>
      <c r="O259" s="303"/>
    </row>
    <row r="260" spans="1:17" s="152" customFormat="1" ht="15" customHeight="1" x14ac:dyDescent="0.25">
      <c r="A260" s="300">
        <v>44277</v>
      </c>
      <c r="B260" s="309" t="s">
        <v>326</v>
      </c>
      <c r="C260" s="310" t="s">
        <v>72</v>
      </c>
      <c r="D260" s="310" t="s">
        <v>175</v>
      </c>
      <c r="E260" s="441"/>
      <c r="F260" s="441">
        <v>10000</v>
      </c>
      <c r="G260" s="394">
        <f t="shared" si="3"/>
        <v>41459711.99927</v>
      </c>
      <c r="H260" s="298" t="s">
        <v>123</v>
      </c>
      <c r="I260" s="313" t="s">
        <v>75</v>
      </c>
      <c r="J260" s="386" t="s">
        <v>157</v>
      </c>
      <c r="K260" s="302" t="s">
        <v>402</v>
      </c>
      <c r="L260" s="302" t="s">
        <v>410</v>
      </c>
      <c r="M260" s="304" t="s">
        <v>626</v>
      </c>
      <c r="N260" s="431" t="s">
        <v>452</v>
      </c>
      <c r="O260" s="303"/>
    </row>
    <row r="261" spans="1:17" s="152" customFormat="1" ht="15" customHeight="1" x14ac:dyDescent="0.25">
      <c r="A261" s="300">
        <v>44277</v>
      </c>
      <c r="B261" s="309" t="s">
        <v>511</v>
      </c>
      <c r="C261" s="310" t="s">
        <v>72</v>
      </c>
      <c r="D261" s="306" t="s">
        <v>121</v>
      </c>
      <c r="E261" s="441"/>
      <c r="F261" s="441">
        <v>48300</v>
      </c>
      <c r="G261" s="394">
        <f t="shared" si="3"/>
        <v>41411411.99927</v>
      </c>
      <c r="H261" s="298" t="s">
        <v>123</v>
      </c>
      <c r="I261" s="304" t="s">
        <v>134</v>
      </c>
      <c r="J261" s="386" t="s">
        <v>157</v>
      </c>
      <c r="K261" s="302" t="s">
        <v>402</v>
      </c>
      <c r="L261" s="302" t="s">
        <v>410</v>
      </c>
      <c r="M261" s="304" t="s">
        <v>627</v>
      </c>
      <c r="N261" s="431" t="s">
        <v>452</v>
      </c>
      <c r="O261" s="307"/>
    </row>
    <row r="262" spans="1:17" s="152" customFormat="1" ht="15" customHeight="1" x14ac:dyDescent="0.25">
      <c r="A262" s="300">
        <v>44277</v>
      </c>
      <c r="B262" s="309" t="s">
        <v>327</v>
      </c>
      <c r="C262" s="310" t="s">
        <v>73</v>
      </c>
      <c r="D262" s="306" t="s">
        <v>121</v>
      </c>
      <c r="E262" s="441"/>
      <c r="F262" s="441">
        <v>16900</v>
      </c>
      <c r="G262" s="394">
        <f t="shared" si="3"/>
        <v>41394511.99927</v>
      </c>
      <c r="H262" s="298" t="s">
        <v>123</v>
      </c>
      <c r="I262" s="304" t="s">
        <v>134</v>
      </c>
      <c r="J262" s="386" t="s">
        <v>400</v>
      </c>
      <c r="K262" s="302" t="s">
        <v>401</v>
      </c>
      <c r="L262" s="302" t="s">
        <v>410</v>
      </c>
      <c r="M262" s="303"/>
      <c r="N262" s="431"/>
      <c r="O262" s="303"/>
    </row>
    <row r="263" spans="1:17" s="152" customFormat="1" ht="15" customHeight="1" x14ac:dyDescent="0.25">
      <c r="A263" s="300">
        <v>44277</v>
      </c>
      <c r="B263" s="377" t="s">
        <v>469</v>
      </c>
      <c r="C263" s="306" t="s">
        <v>120</v>
      </c>
      <c r="D263" s="377"/>
      <c r="E263" s="443">
        <v>101000</v>
      </c>
      <c r="F263" s="445"/>
      <c r="G263" s="394">
        <f t="shared" si="3"/>
        <v>41495511.99927</v>
      </c>
      <c r="H263" s="377" t="s">
        <v>64</v>
      </c>
      <c r="I263" s="303"/>
      <c r="J263" s="386"/>
      <c r="K263" s="302"/>
      <c r="L263" s="302"/>
      <c r="M263" s="303"/>
      <c r="N263" s="432"/>
      <c r="O263" s="307"/>
    </row>
    <row r="264" spans="1:17" s="152" customFormat="1" ht="15" customHeight="1" x14ac:dyDescent="0.25">
      <c r="A264" s="300">
        <v>44277</v>
      </c>
      <c r="B264" s="377" t="s">
        <v>167</v>
      </c>
      <c r="C264" s="306" t="s">
        <v>120</v>
      </c>
      <c r="D264" s="377"/>
      <c r="E264" s="454">
        <v>149000</v>
      </c>
      <c r="F264" s="446"/>
      <c r="G264" s="394">
        <f t="shared" si="3"/>
        <v>41644511.99927</v>
      </c>
      <c r="H264" s="377" t="s">
        <v>64</v>
      </c>
      <c r="I264" s="303"/>
      <c r="J264" s="313"/>
      <c r="K264" s="302"/>
      <c r="L264" s="302"/>
      <c r="M264" s="303"/>
      <c r="N264" s="431"/>
      <c r="O264" s="303"/>
    </row>
    <row r="265" spans="1:17" s="285" customFormat="1" ht="15" customHeight="1" x14ac:dyDescent="0.25">
      <c r="A265" s="300">
        <v>44277</v>
      </c>
      <c r="B265" s="377" t="s">
        <v>182</v>
      </c>
      <c r="C265" s="306" t="s">
        <v>120</v>
      </c>
      <c r="D265" s="377"/>
      <c r="E265" s="443"/>
      <c r="F265" s="445">
        <v>62000</v>
      </c>
      <c r="G265" s="394">
        <f t="shared" si="3"/>
        <v>41582511.99927</v>
      </c>
      <c r="H265" s="377" t="s">
        <v>64</v>
      </c>
      <c r="I265" s="303"/>
      <c r="J265" s="388"/>
      <c r="K265" s="302"/>
      <c r="L265" s="302"/>
      <c r="M265" s="303"/>
      <c r="N265" s="431"/>
      <c r="O265" s="303"/>
      <c r="P265" s="291"/>
      <c r="Q265" s="269"/>
    </row>
    <row r="266" spans="1:17" ht="15" customHeight="1" x14ac:dyDescent="0.25">
      <c r="A266" s="300">
        <v>44277</v>
      </c>
      <c r="B266" s="298" t="s">
        <v>352</v>
      </c>
      <c r="C266" s="310" t="s">
        <v>120</v>
      </c>
      <c r="D266" s="310"/>
      <c r="E266" s="438">
        <v>10000</v>
      </c>
      <c r="F266" s="438"/>
      <c r="G266" s="394">
        <f t="shared" si="3"/>
        <v>41592511.99927</v>
      </c>
      <c r="H266" s="301" t="s">
        <v>77</v>
      </c>
      <c r="I266" s="308"/>
      <c r="J266" s="386"/>
      <c r="K266" s="302"/>
      <c r="L266" s="302"/>
      <c r="M266" s="303"/>
      <c r="N266" s="431"/>
      <c r="O266" s="303"/>
      <c r="P266" s="287"/>
    </row>
    <row r="267" spans="1:17" ht="15" customHeight="1" x14ac:dyDescent="0.25">
      <c r="A267" s="300">
        <v>44277</v>
      </c>
      <c r="B267" s="498" t="s">
        <v>390</v>
      </c>
      <c r="C267" s="310" t="s">
        <v>156</v>
      </c>
      <c r="D267" s="310" t="s">
        <v>175</v>
      </c>
      <c r="E267" s="533"/>
      <c r="F267" s="533">
        <v>75000</v>
      </c>
      <c r="G267" s="394">
        <f t="shared" si="3"/>
        <v>41517511.99927</v>
      </c>
      <c r="H267" s="556" t="s">
        <v>184</v>
      </c>
      <c r="I267" s="313" t="s">
        <v>75</v>
      </c>
      <c r="J267" s="387" t="s">
        <v>157</v>
      </c>
      <c r="K267" s="302" t="s">
        <v>402</v>
      </c>
      <c r="L267" s="302" t="s">
        <v>410</v>
      </c>
      <c r="M267" s="304" t="s">
        <v>628</v>
      </c>
      <c r="N267" s="431" t="s">
        <v>453</v>
      </c>
      <c r="O267" s="303"/>
      <c r="P267" s="287"/>
      <c r="Q267" s="269"/>
    </row>
    <row r="268" spans="1:17" s="152" customFormat="1" ht="15" customHeight="1" x14ac:dyDescent="0.25">
      <c r="A268" s="300">
        <v>44277</v>
      </c>
      <c r="B268" s="494" t="s">
        <v>391</v>
      </c>
      <c r="C268" s="310" t="s">
        <v>72</v>
      </c>
      <c r="D268" s="310" t="s">
        <v>175</v>
      </c>
      <c r="E268" s="533"/>
      <c r="F268" s="533">
        <v>10000</v>
      </c>
      <c r="G268" s="394">
        <f t="shared" si="3"/>
        <v>41507511.99927</v>
      </c>
      <c r="H268" s="556" t="s">
        <v>184</v>
      </c>
      <c r="I268" s="313" t="s">
        <v>75</v>
      </c>
      <c r="J268" s="387" t="s">
        <v>157</v>
      </c>
      <c r="K268" s="302" t="s">
        <v>402</v>
      </c>
      <c r="L268" s="302" t="s">
        <v>410</v>
      </c>
      <c r="M268" s="304" t="s">
        <v>629</v>
      </c>
      <c r="N268" s="431" t="s">
        <v>452</v>
      </c>
      <c r="O268" s="303"/>
    </row>
    <row r="269" spans="1:17" s="152" customFormat="1" ht="15" customHeight="1" x14ac:dyDescent="0.25">
      <c r="A269" s="300">
        <v>44278</v>
      </c>
      <c r="B269" s="298" t="s">
        <v>286</v>
      </c>
      <c r="C269" s="310" t="s">
        <v>156</v>
      </c>
      <c r="D269" s="306" t="s">
        <v>121</v>
      </c>
      <c r="E269" s="440"/>
      <c r="F269" s="440">
        <v>20000</v>
      </c>
      <c r="G269" s="394">
        <f t="shared" si="3"/>
        <v>41487511.99927</v>
      </c>
      <c r="H269" s="298" t="s">
        <v>122</v>
      </c>
      <c r="I269" s="304" t="s">
        <v>134</v>
      </c>
      <c r="J269" s="386" t="s">
        <v>157</v>
      </c>
      <c r="K269" s="302" t="s">
        <v>402</v>
      </c>
      <c r="L269" s="302" t="s">
        <v>410</v>
      </c>
      <c r="M269" s="304" t="s">
        <v>630</v>
      </c>
      <c r="N269" s="431" t="s">
        <v>453</v>
      </c>
      <c r="O269" s="303"/>
    </row>
    <row r="270" spans="1:17" s="152" customFormat="1" ht="15" customHeight="1" x14ac:dyDescent="0.25">
      <c r="A270" s="300">
        <v>44278</v>
      </c>
      <c r="B270" s="307" t="s">
        <v>509</v>
      </c>
      <c r="C270" s="395" t="s">
        <v>74</v>
      </c>
      <c r="D270" s="306" t="s">
        <v>121</v>
      </c>
      <c r="E270" s="443"/>
      <c r="F270" s="445">
        <v>4200</v>
      </c>
      <c r="G270" s="394">
        <f t="shared" si="3"/>
        <v>41483311.99927</v>
      </c>
      <c r="H270" s="377" t="s">
        <v>64</v>
      </c>
      <c r="I270" s="313" t="s">
        <v>75</v>
      </c>
      <c r="J270" s="386" t="s">
        <v>157</v>
      </c>
      <c r="K270" s="302" t="s">
        <v>402</v>
      </c>
      <c r="L270" s="302" t="s">
        <v>410</v>
      </c>
      <c r="M270" s="304" t="s">
        <v>631</v>
      </c>
      <c r="N270" s="432" t="s">
        <v>431</v>
      </c>
      <c r="O270" s="307"/>
    </row>
    <row r="271" spans="1:17" s="269" customFormat="1" ht="15" customHeight="1" x14ac:dyDescent="0.25">
      <c r="A271" s="300">
        <v>44278</v>
      </c>
      <c r="B271" s="307" t="s">
        <v>332</v>
      </c>
      <c r="C271" s="395" t="s">
        <v>74</v>
      </c>
      <c r="D271" s="306" t="s">
        <v>121</v>
      </c>
      <c r="E271" s="443"/>
      <c r="F271" s="445">
        <v>375</v>
      </c>
      <c r="G271" s="394">
        <f t="shared" ref="G271:G334" si="4">G270+E271-F271</f>
        <v>41482936.99927</v>
      </c>
      <c r="H271" s="377" t="s">
        <v>64</v>
      </c>
      <c r="I271" s="304" t="s">
        <v>134</v>
      </c>
      <c r="J271" s="313" t="s">
        <v>400</v>
      </c>
      <c r="K271" s="302" t="s">
        <v>401</v>
      </c>
      <c r="L271" s="302" t="s">
        <v>410</v>
      </c>
      <c r="M271" s="303"/>
      <c r="N271" s="431"/>
      <c r="O271" s="303"/>
      <c r="P271" s="287"/>
      <c r="Q271" s="47"/>
    </row>
    <row r="272" spans="1:17" s="152" customFormat="1" ht="15" customHeight="1" x14ac:dyDescent="0.25">
      <c r="A272" s="300">
        <v>44278</v>
      </c>
      <c r="B272" s="307" t="s">
        <v>333</v>
      </c>
      <c r="C272" s="395" t="s">
        <v>74</v>
      </c>
      <c r="D272" s="306" t="s">
        <v>121</v>
      </c>
      <c r="E272" s="443"/>
      <c r="F272" s="445">
        <v>4875</v>
      </c>
      <c r="G272" s="394">
        <f t="shared" si="4"/>
        <v>41478061.99927</v>
      </c>
      <c r="H272" s="377" t="s">
        <v>64</v>
      </c>
      <c r="I272" s="313" t="s">
        <v>75</v>
      </c>
      <c r="J272" s="386" t="s">
        <v>157</v>
      </c>
      <c r="K272" s="302" t="s">
        <v>402</v>
      </c>
      <c r="L272" s="302" t="s">
        <v>410</v>
      </c>
      <c r="M272" s="304" t="s">
        <v>632</v>
      </c>
      <c r="N272" s="432" t="s">
        <v>431</v>
      </c>
      <c r="O272" s="303"/>
    </row>
    <row r="273" spans="1:18" s="152" customFormat="1" ht="15" customHeight="1" x14ac:dyDescent="0.25">
      <c r="A273" s="300">
        <v>44278</v>
      </c>
      <c r="B273" s="494" t="s">
        <v>392</v>
      </c>
      <c r="C273" s="312" t="s">
        <v>72</v>
      </c>
      <c r="D273" s="310" t="s">
        <v>175</v>
      </c>
      <c r="E273" s="533"/>
      <c r="F273" s="533">
        <v>2000</v>
      </c>
      <c r="G273" s="394">
        <f t="shared" si="4"/>
        <v>41476061.99927</v>
      </c>
      <c r="H273" s="556" t="s">
        <v>184</v>
      </c>
      <c r="I273" s="313" t="s">
        <v>75</v>
      </c>
      <c r="J273" s="387" t="s">
        <v>157</v>
      </c>
      <c r="K273" s="302" t="s">
        <v>402</v>
      </c>
      <c r="L273" s="302" t="s">
        <v>410</v>
      </c>
      <c r="M273" s="304" t="s">
        <v>633</v>
      </c>
      <c r="N273" s="375" t="s">
        <v>452</v>
      </c>
      <c r="O273" s="303"/>
    </row>
    <row r="274" spans="1:18" s="152" customFormat="1" ht="15" customHeight="1" x14ac:dyDescent="0.25">
      <c r="A274" s="300">
        <v>44279</v>
      </c>
      <c r="B274" s="298" t="s">
        <v>224</v>
      </c>
      <c r="C274" s="298" t="s">
        <v>120</v>
      </c>
      <c r="D274" s="298"/>
      <c r="E274" s="491"/>
      <c r="F274" s="440">
        <v>1000000</v>
      </c>
      <c r="G274" s="394">
        <f t="shared" si="4"/>
        <v>40476061.99927</v>
      </c>
      <c r="H274" s="301" t="s">
        <v>58</v>
      </c>
      <c r="I274" s="304">
        <v>3654437</v>
      </c>
      <c r="J274" s="386"/>
      <c r="K274" s="302"/>
      <c r="L274" s="302"/>
      <c r="M274" s="303"/>
      <c r="N274" s="431"/>
      <c r="O274" s="303"/>
    </row>
    <row r="275" spans="1:18" ht="15" customHeight="1" x14ac:dyDescent="0.25">
      <c r="A275" s="300">
        <v>44279</v>
      </c>
      <c r="B275" s="406" t="s">
        <v>231</v>
      </c>
      <c r="C275" s="399" t="s">
        <v>15</v>
      </c>
      <c r="D275" s="306" t="s">
        <v>121</v>
      </c>
      <c r="E275" s="448"/>
      <c r="F275" s="438">
        <v>326000</v>
      </c>
      <c r="G275" s="394">
        <f t="shared" si="4"/>
        <v>40150061.99927</v>
      </c>
      <c r="H275" s="301" t="s">
        <v>59</v>
      </c>
      <c r="I275" s="304" t="s">
        <v>133</v>
      </c>
      <c r="J275" s="386" t="s">
        <v>157</v>
      </c>
      <c r="K275" s="302" t="s">
        <v>402</v>
      </c>
      <c r="L275" s="302" t="s">
        <v>410</v>
      </c>
      <c r="M275" s="304" t="s">
        <v>634</v>
      </c>
      <c r="N275" s="431" t="s">
        <v>406</v>
      </c>
      <c r="O275" s="303"/>
      <c r="P275" s="287"/>
    </row>
    <row r="276" spans="1:18" s="269" customFormat="1" ht="15" customHeight="1" x14ac:dyDescent="0.25">
      <c r="A276" s="300">
        <v>44279</v>
      </c>
      <c r="B276" s="406" t="s">
        <v>232</v>
      </c>
      <c r="C276" s="399" t="s">
        <v>15</v>
      </c>
      <c r="D276" s="399" t="s">
        <v>61</v>
      </c>
      <c r="E276" s="448"/>
      <c r="F276" s="438">
        <v>230000</v>
      </c>
      <c r="G276" s="394">
        <f t="shared" si="4"/>
        <v>39920061.99927</v>
      </c>
      <c r="H276" s="301" t="s">
        <v>59</v>
      </c>
      <c r="I276" s="304" t="s">
        <v>133</v>
      </c>
      <c r="J276" s="386" t="s">
        <v>157</v>
      </c>
      <c r="K276" s="302" t="s">
        <v>402</v>
      </c>
      <c r="L276" s="302" t="s">
        <v>410</v>
      </c>
      <c r="M276" s="304" t="s">
        <v>635</v>
      </c>
      <c r="N276" s="431" t="s">
        <v>407</v>
      </c>
      <c r="O276" s="303"/>
      <c r="P276" s="287"/>
      <c r="Q276" s="47"/>
    </row>
    <row r="277" spans="1:18" s="269" customFormat="1" ht="15" customHeight="1" x14ac:dyDescent="0.25">
      <c r="A277" s="300">
        <v>44279</v>
      </c>
      <c r="B277" s="406" t="s">
        <v>233</v>
      </c>
      <c r="C277" s="399" t="s">
        <v>15</v>
      </c>
      <c r="D277" s="298" t="s">
        <v>31</v>
      </c>
      <c r="E277" s="448"/>
      <c r="F277" s="438">
        <v>400000</v>
      </c>
      <c r="G277" s="394">
        <f t="shared" si="4"/>
        <v>39520061.99927</v>
      </c>
      <c r="H277" s="301" t="s">
        <v>59</v>
      </c>
      <c r="I277" s="304">
        <v>3643427</v>
      </c>
      <c r="J277" s="386" t="s">
        <v>157</v>
      </c>
      <c r="K277" s="302" t="s">
        <v>402</v>
      </c>
      <c r="L277" s="302" t="s">
        <v>410</v>
      </c>
      <c r="M277" s="304" t="s">
        <v>636</v>
      </c>
      <c r="N277" s="431" t="s">
        <v>408</v>
      </c>
      <c r="O277" s="303"/>
      <c r="P277" s="287"/>
    </row>
    <row r="278" spans="1:18" s="152" customFormat="1" ht="15" customHeight="1" x14ac:dyDescent="0.25">
      <c r="A278" s="300">
        <v>44279</v>
      </c>
      <c r="B278" s="406" t="s">
        <v>501</v>
      </c>
      <c r="C278" s="399" t="s">
        <v>15</v>
      </c>
      <c r="D278" s="298" t="s">
        <v>31</v>
      </c>
      <c r="E278" s="448"/>
      <c r="F278" s="438">
        <v>191000</v>
      </c>
      <c r="G278" s="394">
        <f t="shared" si="4"/>
        <v>39329061.99927</v>
      </c>
      <c r="H278" s="301" t="s">
        <v>59</v>
      </c>
      <c r="I278" s="304">
        <v>3643428</v>
      </c>
      <c r="J278" s="386" t="s">
        <v>157</v>
      </c>
      <c r="K278" s="302" t="s">
        <v>402</v>
      </c>
      <c r="L278" s="302" t="s">
        <v>410</v>
      </c>
      <c r="M278" s="304" t="s">
        <v>637</v>
      </c>
      <c r="N278" s="431" t="s">
        <v>408</v>
      </c>
      <c r="O278" s="303"/>
    </row>
    <row r="279" spans="1:18" s="152" customFormat="1" ht="15" customHeight="1" x14ac:dyDescent="0.25">
      <c r="A279" s="300">
        <v>44279</v>
      </c>
      <c r="B279" s="406" t="s">
        <v>234</v>
      </c>
      <c r="C279" s="399" t="s">
        <v>15</v>
      </c>
      <c r="D279" s="306" t="s">
        <v>121</v>
      </c>
      <c r="E279" s="448"/>
      <c r="F279" s="438">
        <v>193600</v>
      </c>
      <c r="G279" s="394">
        <f t="shared" si="4"/>
        <v>39135461.99927</v>
      </c>
      <c r="H279" s="301" t="s">
        <v>59</v>
      </c>
      <c r="I279" s="304">
        <v>3643429</v>
      </c>
      <c r="J279" s="386" t="s">
        <v>157</v>
      </c>
      <c r="K279" s="302" t="s">
        <v>402</v>
      </c>
      <c r="L279" s="302" t="s">
        <v>410</v>
      </c>
      <c r="M279" s="304" t="s">
        <v>638</v>
      </c>
      <c r="N279" s="431" t="s">
        <v>406</v>
      </c>
      <c r="O279" s="303"/>
    </row>
    <row r="280" spans="1:18" s="152" customFormat="1" ht="15" customHeight="1" x14ac:dyDescent="0.25">
      <c r="A280" s="300">
        <v>44279</v>
      </c>
      <c r="B280" s="406" t="s">
        <v>235</v>
      </c>
      <c r="C280" s="399" t="s">
        <v>15</v>
      </c>
      <c r="D280" s="306" t="s">
        <v>121</v>
      </c>
      <c r="E280" s="448"/>
      <c r="F280" s="438">
        <v>308000</v>
      </c>
      <c r="G280" s="394">
        <f t="shared" si="4"/>
        <v>38827461.99927</v>
      </c>
      <c r="H280" s="301" t="s">
        <v>59</v>
      </c>
      <c r="I280" s="304">
        <v>3643430</v>
      </c>
      <c r="J280" s="386" t="s">
        <v>157</v>
      </c>
      <c r="K280" s="302" t="s">
        <v>402</v>
      </c>
      <c r="L280" s="302" t="s">
        <v>410</v>
      </c>
      <c r="M280" s="304" t="s">
        <v>639</v>
      </c>
      <c r="N280" s="431" t="s">
        <v>406</v>
      </c>
      <c r="O280" s="303"/>
    </row>
    <row r="281" spans="1:18" ht="15" customHeight="1" x14ac:dyDescent="0.25">
      <c r="A281" s="300">
        <v>44279</v>
      </c>
      <c r="B281" s="406" t="s">
        <v>236</v>
      </c>
      <c r="C281" s="399" t="s">
        <v>15</v>
      </c>
      <c r="D281" s="300" t="s">
        <v>121</v>
      </c>
      <c r="E281" s="448"/>
      <c r="F281" s="438">
        <v>193600</v>
      </c>
      <c r="G281" s="394">
        <f t="shared" si="4"/>
        <v>38633861.99927</v>
      </c>
      <c r="H281" s="301" t="s">
        <v>59</v>
      </c>
      <c r="I281" s="304">
        <v>3643431</v>
      </c>
      <c r="J281" s="386" t="s">
        <v>157</v>
      </c>
      <c r="K281" s="302" t="s">
        <v>402</v>
      </c>
      <c r="L281" s="302" t="s">
        <v>410</v>
      </c>
      <c r="M281" s="304" t="s">
        <v>640</v>
      </c>
      <c r="N281" s="431" t="s">
        <v>406</v>
      </c>
      <c r="O281" s="303"/>
      <c r="P281" s="287"/>
    </row>
    <row r="282" spans="1:18" ht="15" customHeight="1" x14ac:dyDescent="0.25">
      <c r="A282" s="300">
        <v>44279</v>
      </c>
      <c r="B282" s="406" t="s">
        <v>237</v>
      </c>
      <c r="C282" s="520" t="s">
        <v>15</v>
      </c>
      <c r="D282" s="300" t="s">
        <v>121</v>
      </c>
      <c r="E282" s="448"/>
      <c r="F282" s="438">
        <v>356500</v>
      </c>
      <c r="G282" s="394">
        <f t="shared" si="4"/>
        <v>38277361.99927</v>
      </c>
      <c r="H282" s="301" t="s">
        <v>59</v>
      </c>
      <c r="I282" s="304">
        <v>3643432</v>
      </c>
      <c r="J282" s="390" t="s">
        <v>157</v>
      </c>
      <c r="K282" s="302" t="s">
        <v>402</v>
      </c>
      <c r="L282" s="302" t="s">
        <v>410</v>
      </c>
      <c r="M282" s="304" t="s">
        <v>641</v>
      </c>
      <c r="N282" s="431" t="s">
        <v>406</v>
      </c>
      <c r="O282" s="303"/>
      <c r="P282" s="287"/>
    </row>
    <row r="283" spans="1:18" ht="15" customHeight="1" x14ac:dyDescent="0.25">
      <c r="A283" s="300">
        <v>44279</v>
      </c>
      <c r="B283" s="507" t="s">
        <v>238</v>
      </c>
      <c r="C283" s="520" t="s">
        <v>15</v>
      </c>
      <c r="D283" s="528" t="s">
        <v>19</v>
      </c>
      <c r="E283" s="542"/>
      <c r="F283" s="540">
        <v>400000</v>
      </c>
      <c r="G283" s="394">
        <f t="shared" si="4"/>
        <v>37877361.99927</v>
      </c>
      <c r="H283" s="301" t="s">
        <v>59</v>
      </c>
      <c r="I283" s="304">
        <v>3643434</v>
      </c>
      <c r="J283" s="386" t="s">
        <v>157</v>
      </c>
      <c r="K283" s="302" t="s">
        <v>402</v>
      </c>
      <c r="L283" s="302" t="s">
        <v>410</v>
      </c>
      <c r="M283" s="304" t="s">
        <v>642</v>
      </c>
      <c r="N283" s="431" t="s">
        <v>405</v>
      </c>
      <c r="O283" s="303"/>
      <c r="P283" s="287"/>
    </row>
    <row r="284" spans="1:18" s="152" customFormat="1" ht="15" customHeight="1" x14ac:dyDescent="0.25">
      <c r="A284" s="300">
        <v>44279</v>
      </c>
      <c r="B284" s="406" t="s">
        <v>239</v>
      </c>
      <c r="C284" s="399" t="s">
        <v>15</v>
      </c>
      <c r="D284" s="407" t="s">
        <v>19</v>
      </c>
      <c r="E284" s="448"/>
      <c r="F284" s="438">
        <v>275000</v>
      </c>
      <c r="G284" s="394">
        <f t="shared" si="4"/>
        <v>37602361.99927</v>
      </c>
      <c r="H284" s="301" t="s">
        <v>59</v>
      </c>
      <c r="I284" s="304">
        <v>3643433</v>
      </c>
      <c r="J284" s="386" t="s">
        <v>157</v>
      </c>
      <c r="K284" s="302" t="s">
        <v>402</v>
      </c>
      <c r="L284" s="302" t="s">
        <v>410</v>
      </c>
      <c r="M284" s="304" t="s">
        <v>643</v>
      </c>
      <c r="N284" s="431" t="s">
        <v>405</v>
      </c>
      <c r="O284" s="303"/>
    </row>
    <row r="285" spans="1:18" ht="15" customHeight="1" x14ac:dyDescent="0.25">
      <c r="A285" s="300">
        <v>44279</v>
      </c>
      <c r="B285" s="406" t="s">
        <v>240</v>
      </c>
      <c r="C285" s="399" t="s">
        <v>15</v>
      </c>
      <c r="D285" s="407" t="s">
        <v>19</v>
      </c>
      <c r="E285" s="448"/>
      <c r="F285" s="438">
        <v>827611</v>
      </c>
      <c r="G285" s="394">
        <f t="shared" si="4"/>
        <v>36774750.99927</v>
      </c>
      <c r="H285" s="301" t="s">
        <v>59</v>
      </c>
      <c r="I285" s="304">
        <v>3643440</v>
      </c>
      <c r="J285" s="386" t="s">
        <v>157</v>
      </c>
      <c r="K285" s="302" t="s">
        <v>402</v>
      </c>
      <c r="L285" s="302" t="s">
        <v>410</v>
      </c>
      <c r="M285" s="304" t="s">
        <v>644</v>
      </c>
      <c r="N285" s="431" t="s">
        <v>404</v>
      </c>
      <c r="O285" s="303"/>
      <c r="P285" s="287"/>
    </row>
    <row r="286" spans="1:18" ht="15" customHeight="1" x14ac:dyDescent="0.25">
      <c r="A286" s="300">
        <v>44279</v>
      </c>
      <c r="B286" s="406" t="s">
        <v>503</v>
      </c>
      <c r="C286" s="516" t="s">
        <v>20</v>
      </c>
      <c r="D286" s="298" t="s">
        <v>31</v>
      </c>
      <c r="E286" s="448"/>
      <c r="F286" s="438">
        <v>40000</v>
      </c>
      <c r="G286" s="394">
        <f t="shared" si="4"/>
        <v>36734750.99927</v>
      </c>
      <c r="H286" s="301" t="s">
        <v>59</v>
      </c>
      <c r="I286" s="304">
        <v>3643437</v>
      </c>
      <c r="J286" s="386" t="s">
        <v>157</v>
      </c>
      <c r="K286" s="420" t="s">
        <v>402</v>
      </c>
      <c r="L286" s="302" t="s">
        <v>410</v>
      </c>
      <c r="M286" s="304" t="s">
        <v>645</v>
      </c>
      <c r="N286" s="431" t="s">
        <v>415</v>
      </c>
      <c r="O286" s="303"/>
      <c r="P286" s="287"/>
    </row>
    <row r="287" spans="1:18" ht="15" customHeight="1" x14ac:dyDescent="0.25">
      <c r="A287" s="300">
        <v>44279</v>
      </c>
      <c r="B287" s="406" t="s">
        <v>413</v>
      </c>
      <c r="C287" s="516" t="s">
        <v>20</v>
      </c>
      <c r="D287" s="306" t="s">
        <v>121</v>
      </c>
      <c r="E287" s="448"/>
      <c r="F287" s="438">
        <v>61000</v>
      </c>
      <c r="G287" s="394">
        <f t="shared" si="4"/>
        <v>36673750.99927</v>
      </c>
      <c r="H287" s="301" t="s">
        <v>59</v>
      </c>
      <c r="I287" s="304">
        <v>3643437</v>
      </c>
      <c r="J287" s="386" t="s">
        <v>157</v>
      </c>
      <c r="K287" s="420" t="s">
        <v>402</v>
      </c>
      <c r="L287" s="302" t="s">
        <v>410</v>
      </c>
      <c r="M287" s="304" t="s">
        <v>646</v>
      </c>
      <c r="N287" s="431" t="s">
        <v>415</v>
      </c>
      <c r="O287" s="303"/>
      <c r="P287" s="287"/>
      <c r="Q287" s="287"/>
      <c r="R287" s="287"/>
    </row>
    <row r="288" spans="1:18" ht="15" customHeight="1" x14ac:dyDescent="0.25">
      <c r="A288" s="300">
        <v>44279</v>
      </c>
      <c r="B288" s="406" t="s">
        <v>412</v>
      </c>
      <c r="C288" s="516" t="s">
        <v>20</v>
      </c>
      <c r="D288" s="305" t="s">
        <v>61</v>
      </c>
      <c r="E288" s="448"/>
      <c r="F288" s="438">
        <v>10000</v>
      </c>
      <c r="G288" s="394">
        <f t="shared" si="4"/>
        <v>36663750.99927</v>
      </c>
      <c r="H288" s="301" t="s">
        <v>59</v>
      </c>
      <c r="I288" s="304">
        <v>3643437</v>
      </c>
      <c r="J288" s="386" t="s">
        <v>157</v>
      </c>
      <c r="K288" s="420" t="s">
        <v>402</v>
      </c>
      <c r="L288" s="302" t="s">
        <v>410</v>
      </c>
      <c r="M288" s="304" t="s">
        <v>647</v>
      </c>
      <c r="N288" s="431" t="s">
        <v>415</v>
      </c>
      <c r="O288" s="303"/>
      <c r="P288" s="287"/>
    </row>
    <row r="289" spans="1:66" s="152" customFormat="1" ht="15" customHeight="1" x14ac:dyDescent="0.25">
      <c r="A289" s="300">
        <v>44279</v>
      </c>
      <c r="B289" s="406" t="s">
        <v>414</v>
      </c>
      <c r="C289" s="516" t="s">
        <v>20</v>
      </c>
      <c r="D289" s="298" t="s">
        <v>19</v>
      </c>
      <c r="E289" s="448"/>
      <c r="F289" s="438">
        <v>61000</v>
      </c>
      <c r="G289" s="394">
        <f t="shared" si="4"/>
        <v>36602750.99927</v>
      </c>
      <c r="H289" s="301" t="s">
        <v>59</v>
      </c>
      <c r="I289" s="304">
        <v>3643437</v>
      </c>
      <c r="J289" s="386" t="s">
        <v>157</v>
      </c>
      <c r="K289" s="420" t="s">
        <v>402</v>
      </c>
      <c r="L289" s="302" t="s">
        <v>410</v>
      </c>
      <c r="M289" s="304" t="s">
        <v>648</v>
      </c>
      <c r="N289" s="431" t="s">
        <v>415</v>
      </c>
      <c r="O289" s="303"/>
    </row>
    <row r="290" spans="1:66" s="152" customFormat="1" ht="15" customHeight="1" x14ac:dyDescent="0.25">
      <c r="A290" s="300">
        <v>44279</v>
      </c>
      <c r="B290" s="406" t="s">
        <v>504</v>
      </c>
      <c r="C290" s="516" t="s">
        <v>20</v>
      </c>
      <c r="D290" s="305" t="s">
        <v>31</v>
      </c>
      <c r="E290" s="448"/>
      <c r="F290" s="438">
        <v>42000</v>
      </c>
      <c r="G290" s="394">
        <f t="shared" si="4"/>
        <v>36560750.99927</v>
      </c>
      <c r="H290" s="301" t="s">
        <v>59</v>
      </c>
      <c r="I290" s="304">
        <v>3643436</v>
      </c>
      <c r="J290" s="386" t="s">
        <v>157</v>
      </c>
      <c r="K290" s="420" t="s">
        <v>402</v>
      </c>
      <c r="L290" s="302" t="s">
        <v>410</v>
      </c>
      <c r="M290" s="304" t="s">
        <v>649</v>
      </c>
      <c r="N290" s="431" t="s">
        <v>415</v>
      </c>
      <c r="O290" s="303"/>
      <c r="P290" s="287"/>
    </row>
    <row r="291" spans="1:66" s="152" customFormat="1" ht="15" customHeight="1" x14ac:dyDescent="0.25">
      <c r="A291" s="300">
        <v>44279</v>
      </c>
      <c r="B291" s="406" t="s">
        <v>416</v>
      </c>
      <c r="C291" s="516" t="s">
        <v>20</v>
      </c>
      <c r="D291" s="300" t="s">
        <v>121</v>
      </c>
      <c r="E291" s="448"/>
      <c r="F291" s="438">
        <v>94000</v>
      </c>
      <c r="G291" s="394">
        <f t="shared" si="4"/>
        <v>36466750.99927</v>
      </c>
      <c r="H291" s="301" t="s">
        <v>59</v>
      </c>
      <c r="I291" s="304">
        <v>3643436</v>
      </c>
      <c r="J291" s="386" t="s">
        <v>157</v>
      </c>
      <c r="K291" s="420" t="s">
        <v>402</v>
      </c>
      <c r="L291" s="302" t="s">
        <v>410</v>
      </c>
      <c r="M291" s="304" t="s">
        <v>650</v>
      </c>
      <c r="N291" s="431" t="s">
        <v>415</v>
      </c>
      <c r="O291" s="303"/>
      <c r="P291" s="287"/>
    </row>
    <row r="292" spans="1:66" ht="15" customHeight="1" x14ac:dyDescent="0.25">
      <c r="A292" s="300">
        <v>44279</v>
      </c>
      <c r="B292" s="406" t="s">
        <v>417</v>
      </c>
      <c r="C292" s="516" t="s">
        <v>20</v>
      </c>
      <c r="D292" s="305" t="s">
        <v>61</v>
      </c>
      <c r="E292" s="448"/>
      <c r="F292" s="438">
        <v>11000</v>
      </c>
      <c r="G292" s="394">
        <f t="shared" si="4"/>
        <v>36455750.99927</v>
      </c>
      <c r="H292" s="301" t="s">
        <v>59</v>
      </c>
      <c r="I292" s="304">
        <v>3643436</v>
      </c>
      <c r="J292" s="386" t="s">
        <v>157</v>
      </c>
      <c r="K292" s="420" t="s">
        <v>402</v>
      </c>
      <c r="L292" s="302" t="s">
        <v>410</v>
      </c>
      <c r="M292" s="304" t="s">
        <v>651</v>
      </c>
      <c r="N292" s="431" t="s">
        <v>415</v>
      </c>
      <c r="O292" s="303"/>
      <c r="P292" s="287"/>
      <c r="Q292" s="287"/>
      <c r="R292" s="287"/>
    </row>
    <row r="293" spans="1:66" ht="15" customHeight="1" x14ac:dyDescent="0.25">
      <c r="A293" s="300">
        <v>44279</v>
      </c>
      <c r="B293" s="406" t="s">
        <v>418</v>
      </c>
      <c r="C293" s="516" t="s">
        <v>20</v>
      </c>
      <c r="D293" s="298" t="s">
        <v>19</v>
      </c>
      <c r="E293" s="448"/>
      <c r="F293" s="438">
        <v>22000</v>
      </c>
      <c r="G293" s="394">
        <f t="shared" si="4"/>
        <v>36433750.99927</v>
      </c>
      <c r="H293" s="301" t="s">
        <v>59</v>
      </c>
      <c r="I293" s="304">
        <v>3643436</v>
      </c>
      <c r="J293" s="386" t="s">
        <v>157</v>
      </c>
      <c r="K293" s="420" t="s">
        <v>402</v>
      </c>
      <c r="L293" s="302" t="s">
        <v>410</v>
      </c>
      <c r="M293" s="304" t="s">
        <v>652</v>
      </c>
      <c r="N293" s="431" t="s">
        <v>415</v>
      </c>
      <c r="O293" s="303"/>
      <c r="P293" s="287"/>
      <c r="Q293" s="269"/>
    </row>
    <row r="294" spans="1:66" s="152" customFormat="1" ht="15" customHeight="1" x14ac:dyDescent="0.25">
      <c r="A294" s="300">
        <v>44279</v>
      </c>
      <c r="B294" s="310" t="s">
        <v>69</v>
      </c>
      <c r="C294" s="310" t="s">
        <v>120</v>
      </c>
      <c r="D294" s="312"/>
      <c r="E294" s="440"/>
      <c r="F294" s="441">
        <v>10000</v>
      </c>
      <c r="G294" s="394">
        <f t="shared" si="4"/>
        <v>36423750.99927</v>
      </c>
      <c r="H294" s="310" t="s">
        <v>62</v>
      </c>
      <c r="I294" s="308"/>
      <c r="J294" s="386"/>
      <c r="K294" s="302"/>
      <c r="L294" s="302"/>
      <c r="M294" s="303"/>
      <c r="N294" s="431"/>
      <c r="O294" s="303"/>
      <c r="P294" s="287"/>
    </row>
    <row r="295" spans="1:66" ht="15" customHeight="1" x14ac:dyDescent="0.25">
      <c r="A295" s="300">
        <v>44279</v>
      </c>
      <c r="B295" s="310" t="s">
        <v>429</v>
      </c>
      <c r="C295" s="310" t="s">
        <v>26</v>
      </c>
      <c r="D295" s="310" t="s">
        <v>61</v>
      </c>
      <c r="E295" s="440"/>
      <c r="F295" s="441">
        <v>104000</v>
      </c>
      <c r="G295" s="394">
        <f t="shared" si="4"/>
        <v>36319750.99927</v>
      </c>
      <c r="H295" s="310" t="s">
        <v>62</v>
      </c>
      <c r="I295" s="304" t="s">
        <v>134</v>
      </c>
      <c r="J295" s="386" t="s">
        <v>400</v>
      </c>
      <c r="K295" s="302" t="s">
        <v>401</v>
      </c>
      <c r="L295" s="302" t="s">
        <v>410</v>
      </c>
      <c r="M295" s="303"/>
      <c r="N295" s="431"/>
      <c r="O295" s="303"/>
      <c r="P295" s="287"/>
      <c r="Q295" s="269"/>
    </row>
    <row r="296" spans="1:66" s="152" customFormat="1" ht="15" customHeight="1" x14ac:dyDescent="0.25">
      <c r="A296" s="300">
        <v>44279</v>
      </c>
      <c r="B296" s="310" t="s">
        <v>91</v>
      </c>
      <c r="C296" s="310" t="s">
        <v>120</v>
      </c>
      <c r="D296" s="310"/>
      <c r="E296" s="440"/>
      <c r="F296" s="441">
        <v>20000</v>
      </c>
      <c r="G296" s="394">
        <f t="shared" si="4"/>
        <v>36299750.99927</v>
      </c>
      <c r="H296" s="310" t="s">
        <v>62</v>
      </c>
      <c r="I296" s="308"/>
      <c r="J296" s="386"/>
      <c r="K296" s="302"/>
      <c r="L296" s="302"/>
      <c r="M296" s="303"/>
      <c r="N296" s="431"/>
      <c r="O296" s="304"/>
      <c r="P296" s="287"/>
    </row>
    <row r="297" spans="1:66" s="152" customFormat="1" ht="15" customHeight="1" x14ac:dyDescent="0.25">
      <c r="A297" s="300">
        <v>44279</v>
      </c>
      <c r="B297" s="310" t="s">
        <v>270</v>
      </c>
      <c r="C297" s="306" t="s">
        <v>63</v>
      </c>
      <c r="D297" s="306" t="s">
        <v>21</v>
      </c>
      <c r="E297" s="440"/>
      <c r="F297" s="441">
        <v>600</v>
      </c>
      <c r="G297" s="394">
        <f t="shared" si="4"/>
        <v>36299150.99927</v>
      </c>
      <c r="H297" s="310" t="s">
        <v>62</v>
      </c>
      <c r="I297" s="313" t="s">
        <v>75</v>
      </c>
      <c r="J297" s="386" t="s">
        <v>157</v>
      </c>
      <c r="K297" s="420" t="s">
        <v>402</v>
      </c>
      <c r="L297" s="302" t="s">
        <v>410</v>
      </c>
      <c r="M297" s="304" t="s">
        <v>653</v>
      </c>
      <c r="N297" s="431" t="s">
        <v>403</v>
      </c>
      <c r="O297" s="303"/>
    </row>
    <row r="298" spans="1:66" ht="15" customHeight="1" x14ac:dyDescent="0.25">
      <c r="A298" s="300">
        <v>44279</v>
      </c>
      <c r="B298" s="310" t="s">
        <v>154</v>
      </c>
      <c r="C298" s="310" t="s">
        <v>120</v>
      </c>
      <c r="D298" s="312"/>
      <c r="E298" s="440"/>
      <c r="F298" s="441">
        <v>76200</v>
      </c>
      <c r="G298" s="394">
        <f t="shared" si="4"/>
        <v>36222950.99927</v>
      </c>
      <c r="H298" s="310" t="s">
        <v>62</v>
      </c>
      <c r="I298" s="304"/>
      <c r="J298" s="386"/>
      <c r="K298" s="302"/>
      <c r="L298" s="302"/>
      <c r="M298" s="303"/>
      <c r="N298" s="431"/>
      <c r="O298" s="303"/>
      <c r="P298" s="287"/>
      <c r="Q298" s="269"/>
    </row>
    <row r="299" spans="1:66" ht="15" customHeight="1" x14ac:dyDescent="0.25">
      <c r="A299" s="300">
        <v>44279</v>
      </c>
      <c r="B299" s="310" t="s">
        <v>271</v>
      </c>
      <c r="C299" s="310" t="s">
        <v>30</v>
      </c>
      <c r="D299" s="312" t="s">
        <v>21</v>
      </c>
      <c r="E299" s="440"/>
      <c r="F299" s="441">
        <v>110000</v>
      </c>
      <c r="G299" s="394">
        <f t="shared" si="4"/>
        <v>36112950.99927</v>
      </c>
      <c r="H299" s="310" t="s">
        <v>62</v>
      </c>
      <c r="I299" s="313" t="s">
        <v>75</v>
      </c>
      <c r="J299" s="386" t="s">
        <v>400</v>
      </c>
      <c r="K299" s="301" t="s">
        <v>401</v>
      </c>
      <c r="L299" s="302" t="s">
        <v>410</v>
      </c>
      <c r="M299" s="303"/>
      <c r="N299" s="431"/>
      <c r="O299" s="303"/>
      <c r="P299" s="287"/>
      <c r="Q299" s="287"/>
      <c r="R299" s="287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  <c r="AH299" s="269"/>
      <c r="AI299" s="269"/>
      <c r="AJ299" s="269"/>
      <c r="AK299" s="269"/>
      <c r="AL299" s="269"/>
      <c r="AM299" s="269"/>
      <c r="AN299" s="269"/>
      <c r="AO299" s="269"/>
      <c r="AP299" s="269"/>
      <c r="AQ299" s="269"/>
      <c r="AR299" s="269"/>
      <c r="AS299" s="269"/>
      <c r="AT299" s="269"/>
      <c r="AU299" s="269"/>
      <c r="AV299" s="269"/>
      <c r="AW299" s="269"/>
      <c r="AX299" s="269"/>
      <c r="AY299" s="269"/>
      <c r="AZ299" s="269"/>
      <c r="BA299" s="269"/>
      <c r="BB299" s="269"/>
      <c r="BC299" s="269"/>
      <c r="BD299" s="269"/>
      <c r="BE299" s="269"/>
      <c r="BF299" s="269"/>
      <c r="BG299" s="269"/>
      <c r="BH299" s="269"/>
      <c r="BI299" s="269"/>
      <c r="BJ299" s="269"/>
      <c r="BK299" s="269"/>
      <c r="BL299" s="269"/>
      <c r="BM299" s="269"/>
      <c r="BN299" s="269"/>
    </row>
    <row r="300" spans="1:66" s="152" customFormat="1" ht="15" customHeight="1" x14ac:dyDescent="0.25">
      <c r="A300" s="300">
        <v>44279</v>
      </c>
      <c r="B300" s="310" t="s">
        <v>58</v>
      </c>
      <c r="C300" s="310" t="s">
        <v>120</v>
      </c>
      <c r="D300" s="310"/>
      <c r="E300" s="440">
        <v>1000000</v>
      </c>
      <c r="F300" s="441"/>
      <c r="G300" s="394">
        <f t="shared" si="4"/>
        <v>37112950.99927</v>
      </c>
      <c r="H300" s="310" t="s">
        <v>62</v>
      </c>
      <c r="I300" s="381"/>
      <c r="J300" s="387"/>
      <c r="K300" s="302"/>
      <c r="L300" s="302"/>
      <c r="M300" s="303"/>
      <c r="N300" s="431"/>
      <c r="O300" s="303"/>
    </row>
    <row r="301" spans="1:66" s="152" customFormat="1" ht="15" customHeight="1" x14ac:dyDescent="0.25">
      <c r="A301" s="300">
        <v>44279</v>
      </c>
      <c r="B301" s="298" t="s">
        <v>283</v>
      </c>
      <c r="C301" s="310" t="s">
        <v>72</v>
      </c>
      <c r="D301" s="306" t="s">
        <v>121</v>
      </c>
      <c r="E301" s="440"/>
      <c r="F301" s="440">
        <v>20000</v>
      </c>
      <c r="G301" s="394">
        <f t="shared" si="4"/>
        <v>37092950.99927</v>
      </c>
      <c r="H301" s="298" t="s">
        <v>122</v>
      </c>
      <c r="I301" s="313" t="s">
        <v>75</v>
      </c>
      <c r="J301" s="386" t="s">
        <v>157</v>
      </c>
      <c r="K301" s="302" t="s">
        <v>402</v>
      </c>
      <c r="L301" s="302" t="s">
        <v>410</v>
      </c>
      <c r="M301" s="304" t="s">
        <v>654</v>
      </c>
      <c r="N301" s="431" t="s">
        <v>452</v>
      </c>
      <c r="O301" s="303"/>
    </row>
    <row r="302" spans="1:66" s="152" customFormat="1" ht="15" customHeight="1" x14ac:dyDescent="0.25">
      <c r="A302" s="300">
        <v>44279</v>
      </c>
      <c r="B302" s="301" t="s">
        <v>299</v>
      </c>
      <c r="C302" s="395" t="s">
        <v>74</v>
      </c>
      <c r="D302" s="306" t="s">
        <v>121</v>
      </c>
      <c r="E302" s="443"/>
      <c r="F302" s="443">
        <v>6600</v>
      </c>
      <c r="G302" s="394">
        <f t="shared" si="4"/>
        <v>37086350.99927</v>
      </c>
      <c r="H302" s="395" t="s">
        <v>91</v>
      </c>
      <c r="I302" s="313" t="s">
        <v>75</v>
      </c>
      <c r="J302" s="386" t="s">
        <v>157</v>
      </c>
      <c r="K302" s="302" t="s">
        <v>402</v>
      </c>
      <c r="L302" s="302" t="s">
        <v>410</v>
      </c>
      <c r="M302" s="304" t="s">
        <v>655</v>
      </c>
      <c r="N302" s="431" t="s">
        <v>431</v>
      </c>
      <c r="O302" s="303"/>
    </row>
    <row r="303" spans="1:66" s="152" customFormat="1" ht="15" customHeight="1" x14ac:dyDescent="0.25">
      <c r="A303" s="300">
        <v>44279</v>
      </c>
      <c r="B303" s="301" t="s">
        <v>300</v>
      </c>
      <c r="C303" s="395" t="s">
        <v>74</v>
      </c>
      <c r="D303" s="306" t="s">
        <v>121</v>
      </c>
      <c r="E303" s="443"/>
      <c r="F303" s="443">
        <v>800</v>
      </c>
      <c r="G303" s="394">
        <f t="shared" si="4"/>
        <v>37085550.99927</v>
      </c>
      <c r="H303" s="395" t="s">
        <v>91</v>
      </c>
      <c r="I303" s="313" t="s">
        <v>75</v>
      </c>
      <c r="J303" s="386" t="s">
        <v>157</v>
      </c>
      <c r="K303" s="302" t="s">
        <v>402</v>
      </c>
      <c r="L303" s="302" t="s">
        <v>410</v>
      </c>
      <c r="M303" s="304" t="s">
        <v>656</v>
      </c>
      <c r="N303" s="431" t="s">
        <v>431</v>
      </c>
      <c r="O303" s="304"/>
    </row>
    <row r="304" spans="1:66" s="152" customFormat="1" ht="15" customHeight="1" x14ac:dyDescent="0.25">
      <c r="A304" s="300">
        <v>44279</v>
      </c>
      <c r="B304" s="395" t="s">
        <v>301</v>
      </c>
      <c r="C304" s="310" t="s">
        <v>72</v>
      </c>
      <c r="D304" s="310" t="s">
        <v>175</v>
      </c>
      <c r="E304" s="443"/>
      <c r="F304" s="443">
        <v>25000</v>
      </c>
      <c r="G304" s="394">
        <f t="shared" si="4"/>
        <v>37060550.99927</v>
      </c>
      <c r="H304" s="395" t="s">
        <v>91</v>
      </c>
      <c r="I304" s="313" t="s">
        <v>75</v>
      </c>
      <c r="J304" s="386" t="s">
        <v>157</v>
      </c>
      <c r="K304" s="302" t="s">
        <v>402</v>
      </c>
      <c r="L304" s="302" t="s">
        <v>410</v>
      </c>
      <c r="M304" s="304" t="s">
        <v>657</v>
      </c>
      <c r="N304" s="431" t="s">
        <v>452</v>
      </c>
      <c r="O304" s="303"/>
    </row>
    <row r="305" spans="1:15" s="152" customFormat="1" ht="15" customHeight="1" x14ac:dyDescent="0.25">
      <c r="A305" s="300">
        <v>44279</v>
      </c>
      <c r="B305" s="395" t="s">
        <v>302</v>
      </c>
      <c r="C305" s="310" t="s">
        <v>72</v>
      </c>
      <c r="D305" s="310" t="s">
        <v>175</v>
      </c>
      <c r="E305" s="443"/>
      <c r="F305" s="443">
        <v>10000</v>
      </c>
      <c r="G305" s="394">
        <f t="shared" si="4"/>
        <v>37050550.99927</v>
      </c>
      <c r="H305" s="395" t="s">
        <v>91</v>
      </c>
      <c r="I305" s="313" t="s">
        <v>75</v>
      </c>
      <c r="J305" s="386" t="s">
        <v>157</v>
      </c>
      <c r="K305" s="302" t="s">
        <v>402</v>
      </c>
      <c r="L305" s="302" t="s">
        <v>410</v>
      </c>
      <c r="M305" s="304" t="s">
        <v>658</v>
      </c>
      <c r="N305" s="431" t="s">
        <v>452</v>
      </c>
      <c r="O305" s="303"/>
    </row>
    <row r="306" spans="1:15" s="152" customFormat="1" ht="15" customHeight="1" x14ac:dyDescent="0.25">
      <c r="A306" s="300">
        <v>44279</v>
      </c>
      <c r="B306" s="395" t="s">
        <v>303</v>
      </c>
      <c r="C306" s="310" t="s">
        <v>156</v>
      </c>
      <c r="D306" s="310" t="s">
        <v>175</v>
      </c>
      <c r="E306" s="443"/>
      <c r="F306" s="443">
        <v>75000</v>
      </c>
      <c r="G306" s="394">
        <f t="shared" si="4"/>
        <v>36975550.99927</v>
      </c>
      <c r="H306" s="395" t="s">
        <v>91</v>
      </c>
      <c r="I306" s="313" t="s">
        <v>75</v>
      </c>
      <c r="J306" s="386" t="s">
        <v>157</v>
      </c>
      <c r="K306" s="302" t="s">
        <v>402</v>
      </c>
      <c r="L306" s="302" t="s">
        <v>410</v>
      </c>
      <c r="M306" s="304" t="s">
        <v>659</v>
      </c>
      <c r="N306" s="431" t="s">
        <v>453</v>
      </c>
      <c r="O306" s="303"/>
    </row>
    <row r="307" spans="1:15" s="152" customFormat="1" ht="15" customHeight="1" x14ac:dyDescent="0.25">
      <c r="A307" s="300">
        <v>44279</v>
      </c>
      <c r="B307" s="395" t="s">
        <v>454</v>
      </c>
      <c r="C307" s="395" t="s">
        <v>120</v>
      </c>
      <c r="D307" s="395"/>
      <c r="E307" s="443">
        <v>20000</v>
      </c>
      <c r="F307" s="443"/>
      <c r="G307" s="394">
        <f t="shared" si="4"/>
        <v>36995550.99927</v>
      </c>
      <c r="H307" s="395" t="s">
        <v>91</v>
      </c>
      <c r="I307" s="395"/>
      <c r="J307" s="386"/>
      <c r="K307" s="302"/>
      <c r="L307" s="302"/>
      <c r="M307" s="303"/>
      <c r="N307" s="431"/>
      <c r="O307" s="307"/>
    </row>
    <row r="308" spans="1:15" s="152" customFormat="1" ht="15" customHeight="1" x14ac:dyDescent="0.25">
      <c r="A308" s="300">
        <v>44279</v>
      </c>
      <c r="B308" s="298" t="s">
        <v>181</v>
      </c>
      <c r="C308" s="298" t="s">
        <v>120</v>
      </c>
      <c r="D308" s="298"/>
      <c r="E308" s="438">
        <v>10000</v>
      </c>
      <c r="F308" s="438"/>
      <c r="G308" s="394">
        <f t="shared" si="4"/>
        <v>37005550.99927</v>
      </c>
      <c r="H308" s="298" t="s">
        <v>69</v>
      </c>
      <c r="I308" s="298"/>
      <c r="J308" s="387"/>
      <c r="K308" s="302"/>
      <c r="L308" s="302"/>
      <c r="M308" s="303"/>
      <c r="N308" s="431"/>
      <c r="O308" s="303"/>
    </row>
    <row r="309" spans="1:15" s="152" customFormat="1" ht="15" customHeight="1" x14ac:dyDescent="0.25">
      <c r="A309" s="300">
        <v>44279</v>
      </c>
      <c r="B309" s="377" t="s">
        <v>334</v>
      </c>
      <c r="C309" s="310" t="s">
        <v>72</v>
      </c>
      <c r="D309" s="306" t="s">
        <v>121</v>
      </c>
      <c r="E309" s="454"/>
      <c r="F309" s="445">
        <v>10000</v>
      </c>
      <c r="G309" s="394">
        <f t="shared" si="4"/>
        <v>36995550.99927</v>
      </c>
      <c r="H309" s="377" t="s">
        <v>64</v>
      </c>
      <c r="I309" s="313" t="s">
        <v>75</v>
      </c>
      <c r="J309" s="386" t="s">
        <v>157</v>
      </c>
      <c r="K309" s="302" t="s">
        <v>402</v>
      </c>
      <c r="L309" s="302" t="s">
        <v>410</v>
      </c>
      <c r="M309" s="304" t="s">
        <v>660</v>
      </c>
      <c r="N309" s="431" t="s">
        <v>452</v>
      </c>
      <c r="O309" s="303"/>
    </row>
    <row r="310" spans="1:15" s="152" customFormat="1" ht="15" customHeight="1" x14ac:dyDescent="0.25">
      <c r="A310" s="300">
        <v>44279</v>
      </c>
      <c r="B310" s="377" t="s">
        <v>335</v>
      </c>
      <c r="C310" s="310" t="s">
        <v>156</v>
      </c>
      <c r="D310" s="310" t="s">
        <v>175</v>
      </c>
      <c r="E310" s="443"/>
      <c r="F310" s="445">
        <v>105000</v>
      </c>
      <c r="G310" s="394">
        <f t="shared" si="4"/>
        <v>36890550.99927</v>
      </c>
      <c r="H310" s="377" t="s">
        <v>64</v>
      </c>
      <c r="I310" s="313" t="s">
        <v>75</v>
      </c>
      <c r="J310" s="387" t="s">
        <v>157</v>
      </c>
      <c r="K310" s="302" t="s">
        <v>402</v>
      </c>
      <c r="L310" s="302" t="s">
        <v>410</v>
      </c>
      <c r="M310" s="304" t="s">
        <v>661</v>
      </c>
      <c r="N310" s="431" t="s">
        <v>453</v>
      </c>
      <c r="O310" s="303"/>
    </row>
    <row r="311" spans="1:15" s="152" customFormat="1" ht="15" customHeight="1" x14ac:dyDescent="0.25">
      <c r="A311" s="300">
        <v>44279</v>
      </c>
      <c r="B311" s="377" t="s">
        <v>338</v>
      </c>
      <c r="C311" s="395" t="s">
        <v>73</v>
      </c>
      <c r="D311" s="306" t="s">
        <v>121</v>
      </c>
      <c r="E311" s="443"/>
      <c r="F311" s="445">
        <v>12050</v>
      </c>
      <c r="G311" s="394">
        <f t="shared" si="4"/>
        <v>36878500.99927</v>
      </c>
      <c r="H311" s="377" t="s">
        <v>64</v>
      </c>
      <c r="I311" s="304" t="s">
        <v>134</v>
      </c>
      <c r="J311" s="386" t="s">
        <v>400</v>
      </c>
      <c r="K311" s="302" t="s">
        <v>401</v>
      </c>
      <c r="L311" s="302" t="s">
        <v>410</v>
      </c>
      <c r="M311" s="303"/>
      <c r="N311" s="431"/>
      <c r="O311" s="303"/>
    </row>
    <row r="312" spans="1:15" s="152" customFormat="1" ht="15" customHeight="1" x14ac:dyDescent="0.25">
      <c r="A312" s="300">
        <v>44279</v>
      </c>
      <c r="B312" s="301" t="s">
        <v>183</v>
      </c>
      <c r="C312" s="306" t="s">
        <v>120</v>
      </c>
      <c r="D312" s="409"/>
      <c r="E312" s="447">
        <v>76200</v>
      </c>
      <c r="F312" s="447"/>
      <c r="G312" s="394">
        <f t="shared" si="4"/>
        <v>36954700.99927</v>
      </c>
      <c r="H312" s="307" t="s">
        <v>68</v>
      </c>
      <c r="I312" s="301"/>
      <c r="J312" s="387"/>
      <c r="K312" s="302"/>
      <c r="L312" s="302"/>
      <c r="M312" s="303"/>
      <c r="N312" s="431"/>
      <c r="O312" s="303"/>
    </row>
    <row r="313" spans="1:15" s="152" customFormat="1" ht="15" customHeight="1" x14ac:dyDescent="0.25">
      <c r="A313" s="300">
        <v>44279</v>
      </c>
      <c r="B313" s="494" t="s">
        <v>464</v>
      </c>
      <c r="C313" s="498" t="s">
        <v>120</v>
      </c>
      <c r="D313" s="498"/>
      <c r="E313" s="533"/>
      <c r="F313" s="533">
        <v>25000</v>
      </c>
      <c r="G313" s="394">
        <f t="shared" si="4"/>
        <v>36929700.99927</v>
      </c>
      <c r="H313" s="556" t="s">
        <v>184</v>
      </c>
      <c r="I313" s="556"/>
      <c r="J313" s="386"/>
      <c r="K313" s="302"/>
      <c r="L313" s="302"/>
      <c r="M313" s="303"/>
      <c r="N313" s="431"/>
      <c r="O313" s="303"/>
    </row>
    <row r="314" spans="1:15" s="152" customFormat="1" ht="15" customHeight="1" x14ac:dyDescent="0.25">
      <c r="A314" s="300">
        <v>44280</v>
      </c>
      <c r="B314" s="310" t="s">
        <v>69</v>
      </c>
      <c r="C314" s="310" t="s">
        <v>120</v>
      </c>
      <c r="D314" s="310"/>
      <c r="E314" s="440"/>
      <c r="F314" s="441">
        <v>10000</v>
      </c>
      <c r="G314" s="394">
        <f t="shared" si="4"/>
        <v>36919700.99927</v>
      </c>
      <c r="H314" s="310" t="s">
        <v>62</v>
      </c>
      <c r="I314" s="308"/>
      <c r="J314" s="386"/>
      <c r="K314" s="302"/>
      <c r="L314" s="302"/>
      <c r="M314" s="303"/>
      <c r="N314" s="431"/>
      <c r="O314" s="303"/>
    </row>
    <row r="315" spans="1:15" s="152" customFormat="1" ht="15" customHeight="1" x14ac:dyDescent="0.25">
      <c r="A315" s="300">
        <v>44280</v>
      </c>
      <c r="B315" s="310" t="s">
        <v>77</v>
      </c>
      <c r="C315" s="310" t="s">
        <v>120</v>
      </c>
      <c r="D315" s="310"/>
      <c r="E315" s="440"/>
      <c r="F315" s="441">
        <v>30000</v>
      </c>
      <c r="G315" s="394">
        <f t="shared" si="4"/>
        <v>36889700.99927</v>
      </c>
      <c r="H315" s="310" t="s">
        <v>62</v>
      </c>
      <c r="I315" s="304"/>
      <c r="J315" s="386"/>
      <c r="K315" s="302"/>
      <c r="L315" s="302"/>
      <c r="M315" s="303"/>
      <c r="N315" s="431"/>
      <c r="O315" s="303"/>
    </row>
    <row r="316" spans="1:15" s="152" customFormat="1" ht="15" customHeight="1" x14ac:dyDescent="0.25">
      <c r="A316" s="300">
        <v>44280</v>
      </c>
      <c r="B316" s="310" t="s">
        <v>437</v>
      </c>
      <c r="C316" s="298" t="s">
        <v>76</v>
      </c>
      <c r="D316" s="298" t="s">
        <v>31</v>
      </c>
      <c r="E316" s="440"/>
      <c r="F316" s="441">
        <v>10500</v>
      </c>
      <c r="G316" s="394">
        <f t="shared" si="4"/>
        <v>36879200.99927</v>
      </c>
      <c r="H316" s="310" t="s">
        <v>62</v>
      </c>
      <c r="I316" s="304" t="s">
        <v>134</v>
      </c>
      <c r="J316" s="386" t="s">
        <v>400</v>
      </c>
      <c r="K316" s="302" t="s">
        <v>401</v>
      </c>
      <c r="L316" s="302" t="s">
        <v>410</v>
      </c>
      <c r="M316" s="303"/>
      <c r="N316" s="431"/>
      <c r="O316" s="303"/>
    </row>
    <row r="317" spans="1:15" s="152" customFormat="1" ht="15" customHeight="1" x14ac:dyDescent="0.25">
      <c r="A317" s="300">
        <v>44280</v>
      </c>
      <c r="B317" s="310" t="s">
        <v>438</v>
      </c>
      <c r="C317" s="310" t="s">
        <v>76</v>
      </c>
      <c r="D317" s="298" t="s">
        <v>31</v>
      </c>
      <c r="E317" s="440"/>
      <c r="F317" s="441">
        <v>10500</v>
      </c>
      <c r="G317" s="394">
        <f t="shared" si="4"/>
        <v>36868700.99927</v>
      </c>
      <c r="H317" s="310" t="s">
        <v>62</v>
      </c>
      <c r="I317" s="304" t="s">
        <v>134</v>
      </c>
      <c r="J317" s="313" t="s">
        <v>400</v>
      </c>
      <c r="K317" s="302" t="s">
        <v>401</v>
      </c>
      <c r="L317" s="302" t="s">
        <v>410</v>
      </c>
      <c r="M317" s="303"/>
      <c r="N317" s="432"/>
      <c r="O317" s="303"/>
    </row>
    <row r="318" spans="1:15" s="152" customFormat="1" ht="15" customHeight="1" x14ac:dyDescent="0.25">
      <c r="A318" s="300">
        <v>44280</v>
      </c>
      <c r="B318" s="310" t="s">
        <v>154</v>
      </c>
      <c r="C318" s="310" t="s">
        <v>120</v>
      </c>
      <c r="D318" s="310"/>
      <c r="E318" s="440"/>
      <c r="F318" s="441">
        <v>150000</v>
      </c>
      <c r="G318" s="394">
        <f t="shared" si="4"/>
        <v>36718700.99927</v>
      </c>
      <c r="H318" s="310" t="s">
        <v>62</v>
      </c>
      <c r="I318" s="304"/>
      <c r="J318" s="313"/>
      <c r="K318" s="302"/>
      <c r="L318" s="302"/>
      <c r="M318" s="303"/>
      <c r="N318" s="431"/>
      <c r="O318" s="303"/>
    </row>
    <row r="319" spans="1:15" s="152" customFormat="1" ht="15" customHeight="1" x14ac:dyDescent="0.25">
      <c r="A319" s="300">
        <v>44280</v>
      </c>
      <c r="B319" s="310" t="s">
        <v>178</v>
      </c>
      <c r="C319" s="310" t="s">
        <v>73</v>
      </c>
      <c r="D319" s="306" t="s">
        <v>121</v>
      </c>
      <c r="E319" s="440"/>
      <c r="F319" s="441">
        <v>30000</v>
      </c>
      <c r="G319" s="394">
        <f t="shared" si="4"/>
        <v>36688700.99927</v>
      </c>
      <c r="H319" s="310" t="s">
        <v>62</v>
      </c>
      <c r="I319" s="313" t="s">
        <v>75</v>
      </c>
      <c r="J319" s="386" t="s">
        <v>400</v>
      </c>
      <c r="K319" s="302" t="s">
        <v>401</v>
      </c>
      <c r="L319" s="302" t="s">
        <v>410</v>
      </c>
      <c r="M319" s="303"/>
      <c r="N319" s="432"/>
      <c r="O319" s="307"/>
    </row>
    <row r="320" spans="1:15" s="152" customFormat="1" ht="15" customHeight="1" x14ac:dyDescent="0.25">
      <c r="A320" s="300">
        <v>44280</v>
      </c>
      <c r="B320" s="298" t="s">
        <v>287</v>
      </c>
      <c r="C320" s="310" t="s">
        <v>156</v>
      </c>
      <c r="D320" s="306" t="s">
        <v>121</v>
      </c>
      <c r="E320" s="440"/>
      <c r="F320" s="440">
        <v>30000</v>
      </c>
      <c r="G320" s="394">
        <f t="shared" si="4"/>
        <v>36658700.99927</v>
      </c>
      <c r="H320" s="298" t="s">
        <v>122</v>
      </c>
      <c r="I320" s="313" t="s">
        <v>75</v>
      </c>
      <c r="J320" s="386" t="s">
        <v>157</v>
      </c>
      <c r="K320" s="302" t="s">
        <v>402</v>
      </c>
      <c r="L320" s="302" t="s">
        <v>410</v>
      </c>
      <c r="M320" s="304" t="s">
        <v>662</v>
      </c>
      <c r="N320" s="431" t="s">
        <v>453</v>
      </c>
      <c r="O320" s="303"/>
    </row>
    <row r="321" spans="1:17" s="152" customFormat="1" ht="15" customHeight="1" x14ac:dyDescent="0.25">
      <c r="A321" s="300">
        <v>44280</v>
      </c>
      <c r="B321" s="298" t="s">
        <v>181</v>
      </c>
      <c r="C321" s="298" t="s">
        <v>120</v>
      </c>
      <c r="D321" s="298"/>
      <c r="E321" s="438">
        <v>10000</v>
      </c>
      <c r="F321" s="438"/>
      <c r="G321" s="394">
        <f t="shared" si="4"/>
        <v>36668700.99927</v>
      </c>
      <c r="H321" s="298" t="s">
        <v>69</v>
      </c>
      <c r="I321" s="298"/>
      <c r="J321" s="386"/>
      <c r="K321" s="302"/>
      <c r="L321" s="302"/>
      <c r="M321" s="303"/>
      <c r="N321" s="431"/>
      <c r="O321" s="303"/>
    </row>
    <row r="322" spans="1:17" s="152" customFormat="1" ht="15" customHeight="1" x14ac:dyDescent="0.25">
      <c r="A322" s="300">
        <v>44272</v>
      </c>
      <c r="B322" s="377" t="s">
        <v>336</v>
      </c>
      <c r="C322" s="310" t="s">
        <v>156</v>
      </c>
      <c r="D322" s="310" t="s">
        <v>175</v>
      </c>
      <c r="E322" s="443"/>
      <c r="F322" s="445">
        <v>80000</v>
      </c>
      <c r="G322" s="394">
        <f t="shared" si="4"/>
        <v>36588700.99927</v>
      </c>
      <c r="H322" s="377" t="s">
        <v>64</v>
      </c>
      <c r="I322" s="304" t="s">
        <v>134</v>
      </c>
      <c r="J322" s="387" t="s">
        <v>157</v>
      </c>
      <c r="K322" s="302" t="s">
        <v>402</v>
      </c>
      <c r="L322" s="302" t="s">
        <v>410</v>
      </c>
      <c r="M322" s="304" t="s">
        <v>663</v>
      </c>
      <c r="N322" s="431" t="s">
        <v>453</v>
      </c>
      <c r="O322" s="303"/>
    </row>
    <row r="323" spans="1:17" s="152" customFormat="1" ht="15" customHeight="1" x14ac:dyDescent="0.25">
      <c r="A323" s="300">
        <v>44280</v>
      </c>
      <c r="B323" s="377" t="s">
        <v>337</v>
      </c>
      <c r="C323" s="310" t="s">
        <v>72</v>
      </c>
      <c r="D323" s="306" t="s">
        <v>121</v>
      </c>
      <c r="E323" s="443"/>
      <c r="F323" s="445">
        <v>72200</v>
      </c>
      <c r="G323" s="394">
        <f t="shared" si="4"/>
        <v>36516500.99927</v>
      </c>
      <c r="H323" s="377" t="s">
        <v>64</v>
      </c>
      <c r="I323" s="304" t="s">
        <v>134</v>
      </c>
      <c r="J323" s="386" t="s">
        <v>157</v>
      </c>
      <c r="K323" s="302" t="s">
        <v>402</v>
      </c>
      <c r="L323" s="302" t="s">
        <v>410</v>
      </c>
      <c r="M323" s="304" t="s">
        <v>664</v>
      </c>
      <c r="N323" s="431" t="s">
        <v>452</v>
      </c>
      <c r="O323" s="303"/>
    </row>
    <row r="324" spans="1:17" s="152" customFormat="1" ht="15" customHeight="1" x14ac:dyDescent="0.25">
      <c r="A324" s="300">
        <v>44280</v>
      </c>
      <c r="B324" s="301" t="s">
        <v>183</v>
      </c>
      <c r="C324" s="306" t="s">
        <v>120</v>
      </c>
      <c r="D324" s="409"/>
      <c r="E324" s="447">
        <v>150000</v>
      </c>
      <c r="F324" s="447"/>
      <c r="G324" s="394">
        <f t="shared" si="4"/>
        <v>36666500.99927</v>
      </c>
      <c r="H324" s="307" t="s">
        <v>68</v>
      </c>
      <c r="I324" s="301"/>
      <c r="J324" s="387"/>
      <c r="K324" s="302"/>
      <c r="L324" s="302"/>
      <c r="M324" s="303"/>
      <c r="N324" s="431"/>
      <c r="O324" s="303"/>
    </row>
    <row r="325" spans="1:17" s="152" customFormat="1" ht="15" customHeight="1" x14ac:dyDescent="0.25">
      <c r="A325" s="300">
        <v>44280</v>
      </c>
      <c r="B325" s="301" t="s">
        <v>520</v>
      </c>
      <c r="C325" s="310" t="s">
        <v>72</v>
      </c>
      <c r="D325" s="298" t="s">
        <v>31</v>
      </c>
      <c r="E325" s="447"/>
      <c r="F325" s="447">
        <v>40000</v>
      </c>
      <c r="G325" s="394">
        <f t="shared" si="4"/>
        <v>36626500.99927</v>
      </c>
      <c r="H325" s="307" t="s">
        <v>68</v>
      </c>
      <c r="I325" s="313" t="s">
        <v>75</v>
      </c>
      <c r="J325" s="386" t="s">
        <v>157</v>
      </c>
      <c r="K325" s="302" t="s">
        <v>402</v>
      </c>
      <c r="L325" s="302" t="s">
        <v>410</v>
      </c>
      <c r="M325" s="304" t="s">
        <v>665</v>
      </c>
      <c r="N325" s="431" t="s">
        <v>452</v>
      </c>
      <c r="O325" s="303"/>
    </row>
    <row r="326" spans="1:17" s="152" customFormat="1" ht="15" customHeight="1" x14ac:dyDescent="0.25">
      <c r="A326" s="300">
        <v>44280</v>
      </c>
      <c r="B326" s="298" t="s">
        <v>352</v>
      </c>
      <c r="C326" s="310" t="s">
        <v>120</v>
      </c>
      <c r="D326" s="310"/>
      <c r="E326" s="438">
        <v>30000</v>
      </c>
      <c r="F326" s="438"/>
      <c r="G326" s="394">
        <f t="shared" si="4"/>
        <v>36656500.99927</v>
      </c>
      <c r="H326" s="301" t="s">
        <v>77</v>
      </c>
      <c r="I326" s="308"/>
      <c r="J326" s="386"/>
      <c r="K326" s="302"/>
      <c r="L326" s="302"/>
      <c r="M326" s="303"/>
      <c r="N326" s="431"/>
      <c r="O326" s="303"/>
    </row>
    <row r="327" spans="1:17" s="152" customFormat="1" ht="15" customHeight="1" x14ac:dyDescent="0.25">
      <c r="A327" s="300">
        <v>44280</v>
      </c>
      <c r="B327" s="298" t="s">
        <v>356</v>
      </c>
      <c r="C327" s="306" t="s">
        <v>73</v>
      </c>
      <c r="D327" s="306" t="s">
        <v>121</v>
      </c>
      <c r="E327" s="438"/>
      <c r="F327" s="438">
        <v>4500</v>
      </c>
      <c r="G327" s="394">
        <f t="shared" si="4"/>
        <v>36652000.99927</v>
      </c>
      <c r="H327" s="301" t="s">
        <v>77</v>
      </c>
      <c r="I327" s="313" t="s">
        <v>75</v>
      </c>
      <c r="J327" s="386" t="s">
        <v>400</v>
      </c>
      <c r="K327" s="302" t="s">
        <v>401</v>
      </c>
      <c r="L327" s="302" t="s">
        <v>410</v>
      </c>
      <c r="M327" s="303"/>
      <c r="N327" s="431"/>
      <c r="O327" s="303"/>
    </row>
    <row r="328" spans="1:17" s="152" customFormat="1" ht="15" customHeight="1" x14ac:dyDescent="0.25">
      <c r="A328" s="300">
        <v>44280</v>
      </c>
      <c r="B328" s="298" t="s">
        <v>357</v>
      </c>
      <c r="C328" s="306" t="s">
        <v>73</v>
      </c>
      <c r="D328" s="306" t="s">
        <v>121</v>
      </c>
      <c r="E328" s="438"/>
      <c r="F328" s="438">
        <v>8000</v>
      </c>
      <c r="G328" s="394">
        <f t="shared" si="4"/>
        <v>36644000.99927</v>
      </c>
      <c r="H328" s="301" t="s">
        <v>77</v>
      </c>
      <c r="I328" s="313" t="s">
        <v>75</v>
      </c>
      <c r="J328" s="386" t="s">
        <v>400</v>
      </c>
      <c r="K328" s="302" t="s">
        <v>401</v>
      </c>
      <c r="L328" s="302" t="s">
        <v>410</v>
      </c>
      <c r="M328" s="303"/>
      <c r="N328" s="431"/>
      <c r="O328" s="303"/>
    </row>
    <row r="329" spans="1:17" s="152" customFormat="1" ht="15" customHeight="1" x14ac:dyDescent="0.25">
      <c r="A329" s="300">
        <v>44280</v>
      </c>
      <c r="B329" s="298" t="s">
        <v>358</v>
      </c>
      <c r="C329" s="306" t="s">
        <v>73</v>
      </c>
      <c r="D329" s="306" t="s">
        <v>121</v>
      </c>
      <c r="E329" s="438"/>
      <c r="F329" s="438">
        <v>14500</v>
      </c>
      <c r="G329" s="394">
        <f t="shared" si="4"/>
        <v>36629500.99927</v>
      </c>
      <c r="H329" s="301" t="s">
        <v>77</v>
      </c>
      <c r="I329" s="313" t="s">
        <v>75</v>
      </c>
      <c r="J329" s="386" t="s">
        <v>400</v>
      </c>
      <c r="K329" s="302" t="s">
        <v>401</v>
      </c>
      <c r="L329" s="302" t="s">
        <v>410</v>
      </c>
      <c r="M329" s="303"/>
      <c r="N329" s="431"/>
      <c r="O329" s="303"/>
    </row>
    <row r="330" spans="1:17" s="152" customFormat="1" ht="15" customHeight="1" x14ac:dyDescent="0.25">
      <c r="A330" s="300">
        <v>44281</v>
      </c>
      <c r="B330" s="310" t="s">
        <v>430</v>
      </c>
      <c r="C330" s="310" t="s">
        <v>26</v>
      </c>
      <c r="D330" s="310" t="s">
        <v>61</v>
      </c>
      <c r="E330" s="440"/>
      <c r="F330" s="441">
        <v>150000</v>
      </c>
      <c r="G330" s="394">
        <f t="shared" si="4"/>
        <v>36479500.99927</v>
      </c>
      <c r="H330" s="310" t="s">
        <v>62</v>
      </c>
      <c r="I330" s="304" t="s">
        <v>134</v>
      </c>
      <c r="J330" s="386" t="s">
        <v>400</v>
      </c>
      <c r="K330" s="302" t="s">
        <v>401</v>
      </c>
      <c r="L330" s="302" t="s">
        <v>410</v>
      </c>
      <c r="M330" s="303"/>
      <c r="N330" s="431"/>
      <c r="O330" s="303"/>
    </row>
    <row r="331" spans="1:17" s="152" customFormat="1" ht="15" customHeight="1" x14ac:dyDescent="0.25">
      <c r="A331" s="300">
        <v>44281</v>
      </c>
      <c r="B331" s="310" t="s">
        <v>67</v>
      </c>
      <c r="C331" s="310" t="s">
        <v>120</v>
      </c>
      <c r="D331" s="310"/>
      <c r="E331" s="440"/>
      <c r="F331" s="441">
        <v>100000</v>
      </c>
      <c r="G331" s="394">
        <f t="shared" si="4"/>
        <v>36379500.99927</v>
      </c>
      <c r="H331" s="310" t="s">
        <v>62</v>
      </c>
      <c r="I331" s="382"/>
      <c r="J331" s="386"/>
      <c r="K331" s="302"/>
      <c r="L331" s="302"/>
      <c r="M331" s="303"/>
      <c r="N331" s="431"/>
      <c r="O331" s="303"/>
    </row>
    <row r="332" spans="1:17" s="152" customFormat="1" ht="15" customHeight="1" x14ac:dyDescent="0.25">
      <c r="A332" s="300">
        <v>44281</v>
      </c>
      <c r="B332" s="310" t="s">
        <v>272</v>
      </c>
      <c r="C332" s="516" t="s">
        <v>20</v>
      </c>
      <c r="D332" s="407" t="s">
        <v>21</v>
      </c>
      <c r="E332" s="440"/>
      <c r="F332" s="441">
        <v>10000</v>
      </c>
      <c r="G332" s="394">
        <f t="shared" si="4"/>
        <v>36369500.99927</v>
      </c>
      <c r="H332" s="310" t="s">
        <v>62</v>
      </c>
      <c r="I332" s="313" t="s">
        <v>75</v>
      </c>
      <c r="J332" s="313" t="s">
        <v>400</v>
      </c>
      <c r="K332" s="302" t="s">
        <v>401</v>
      </c>
      <c r="L332" s="302" t="s">
        <v>410</v>
      </c>
      <c r="M332" s="303"/>
      <c r="N332" s="431"/>
      <c r="O332" s="303"/>
    </row>
    <row r="333" spans="1:17" s="152" customFormat="1" ht="15" customHeight="1" x14ac:dyDescent="0.25">
      <c r="A333" s="300">
        <v>44281</v>
      </c>
      <c r="B333" s="310" t="s">
        <v>70</v>
      </c>
      <c r="C333" s="310" t="s">
        <v>120</v>
      </c>
      <c r="D333" s="310"/>
      <c r="E333" s="440"/>
      <c r="F333" s="441">
        <v>60000</v>
      </c>
      <c r="G333" s="394">
        <f t="shared" si="4"/>
        <v>36309500.99927</v>
      </c>
      <c r="H333" s="310" t="s">
        <v>62</v>
      </c>
      <c r="I333" s="308"/>
      <c r="J333" s="387"/>
      <c r="K333" s="302"/>
      <c r="L333" s="302"/>
      <c r="M333" s="303"/>
      <c r="N333" s="431"/>
      <c r="O333" s="303"/>
    </row>
    <row r="334" spans="1:17" ht="15" customHeight="1" x14ac:dyDescent="0.25">
      <c r="A334" s="300">
        <v>44281</v>
      </c>
      <c r="B334" s="310" t="s">
        <v>123</v>
      </c>
      <c r="C334" s="310" t="s">
        <v>120</v>
      </c>
      <c r="D334" s="310"/>
      <c r="E334" s="440"/>
      <c r="F334" s="441">
        <v>60000</v>
      </c>
      <c r="G334" s="394">
        <f t="shared" si="4"/>
        <v>36249500.99927</v>
      </c>
      <c r="H334" s="310" t="s">
        <v>62</v>
      </c>
      <c r="I334" s="382"/>
      <c r="J334" s="386"/>
      <c r="K334" s="302"/>
      <c r="L334" s="302"/>
      <c r="M334" s="303"/>
      <c r="N334" s="432"/>
      <c r="O334" s="303"/>
      <c r="P334" s="287"/>
      <c r="Q334" s="269"/>
    </row>
    <row r="335" spans="1:17" s="152" customFormat="1" ht="15" customHeight="1" x14ac:dyDescent="0.25">
      <c r="A335" s="300">
        <v>44281</v>
      </c>
      <c r="B335" s="310" t="s">
        <v>184</v>
      </c>
      <c r="C335" s="310" t="s">
        <v>120</v>
      </c>
      <c r="D335" s="310"/>
      <c r="E335" s="440"/>
      <c r="F335" s="441">
        <v>117000</v>
      </c>
      <c r="G335" s="394">
        <f t="shared" ref="G335:G398" si="5">G334+E335-F335</f>
        <v>36132500.99927</v>
      </c>
      <c r="H335" s="310" t="s">
        <v>62</v>
      </c>
      <c r="I335" s="308"/>
      <c r="J335" s="387"/>
      <c r="K335" s="302"/>
      <c r="L335" s="302"/>
      <c r="M335" s="303"/>
      <c r="N335" s="431"/>
      <c r="O335" s="303"/>
      <c r="P335" s="287"/>
    </row>
    <row r="336" spans="1:17" s="152" customFormat="1" ht="15" customHeight="1" x14ac:dyDescent="0.25">
      <c r="A336" s="300">
        <v>44281</v>
      </c>
      <c r="B336" s="310" t="s">
        <v>91</v>
      </c>
      <c r="C336" s="312" t="s">
        <v>120</v>
      </c>
      <c r="D336" s="312"/>
      <c r="E336" s="440"/>
      <c r="F336" s="441">
        <v>117000</v>
      </c>
      <c r="G336" s="394">
        <f t="shared" si="5"/>
        <v>36015500.99927</v>
      </c>
      <c r="H336" s="310" t="s">
        <v>62</v>
      </c>
      <c r="I336" s="304"/>
      <c r="J336" s="386"/>
      <c r="K336" s="302"/>
      <c r="L336" s="302"/>
      <c r="M336" s="303"/>
      <c r="N336" s="432"/>
      <c r="O336" s="303"/>
      <c r="P336" s="287"/>
    </row>
    <row r="337" spans="1:16" s="152" customFormat="1" ht="15" customHeight="1" x14ac:dyDescent="0.25">
      <c r="A337" s="300">
        <v>44281</v>
      </c>
      <c r="B337" s="310" t="s">
        <v>77</v>
      </c>
      <c r="C337" s="310" t="s">
        <v>120</v>
      </c>
      <c r="D337" s="310"/>
      <c r="E337" s="440"/>
      <c r="F337" s="441">
        <v>88000</v>
      </c>
      <c r="G337" s="394">
        <f t="shared" si="5"/>
        <v>35927500.99927</v>
      </c>
      <c r="H337" s="310" t="s">
        <v>62</v>
      </c>
      <c r="I337" s="308"/>
      <c r="J337" s="386"/>
      <c r="K337" s="302"/>
      <c r="L337" s="302"/>
      <c r="M337" s="303"/>
      <c r="N337" s="431"/>
      <c r="O337" s="303"/>
      <c r="P337" s="287"/>
    </row>
    <row r="338" spans="1:16" s="152" customFormat="1" ht="15" customHeight="1" x14ac:dyDescent="0.25">
      <c r="A338" s="300">
        <v>44281</v>
      </c>
      <c r="B338" s="310" t="s">
        <v>122</v>
      </c>
      <c r="C338" s="312" t="s">
        <v>120</v>
      </c>
      <c r="D338" s="312"/>
      <c r="E338" s="440"/>
      <c r="F338" s="441">
        <v>50000</v>
      </c>
      <c r="G338" s="394">
        <f t="shared" si="5"/>
        <v>35877500.99927</v>
      </c>
      <c r="H338" s="310" t="s">
        <v>62</v>
      </c>
      <c r="I338" s="304"/>
      <c r="J338" s="386"/>
      <c r="K338" s="302"/>
      <c r="L338" s="302"/>
      <c r="M338" s="303"/>
      <c r="N338" s="432"/>
      <c r="O338" s="303"/>
      <c r="P338" s="287"/>
    </row>
    <row r="339" spans="1:16" s="152" customFormat="1" ht="15" customHeight="1" x14ac:dyDescent="0.25">
      <c r="A339" s="300">
        <v>44281</v>
      </c>
      <c r="B339" s="310" t="s">
        <v>122</v>
      </c>
      <c r="C339" s="310" t="s">
        <v>120</v>
      </c>
      <c r="D339" s="310"/>
      <c r="E339" s="440"/>
      <c r="F339" s="441">
        <v>10000</v>
      </c>
      <c r="G339" s="394">
        <f t="shared" si="5"/>
        <v>35867500.99927</v>
      </c>
      <c r="H339" s="310" t="s">
        <v>62</v>
      </c>
      <c r="I339" s="308"/>
      <c r="J339" s="386"/>
      <c r="K339" s="302"/>
      <c r="L339" s="302"/>
      <c r="M339" s="303"/>
      <c r="N339" s="431"/>
      <c r="O339" s="303"/>
      <c r="P339" s="287"/>
    </row>
    <row r="340" spans="1:16" s="152" customFormat="1" ht="15" customHeight="1" x14ac:dyDescent="0.25">
      <c r="A340" s="300">
        <v>44281</v>
      </c>
      <c r="B340" s="310" t="s">
        <v>274</v>
      </c>
      <c r="C340" s="312" t="s">
        <v>74</v>
      </c>
      <c r="D340" s="305" t="s">
        <v>21</v>
      </c>
      <c r="E340" s="440"/>
      <c r="F340" s="441">
        <v>120000</v>
      </c>
      <c r="G340" s="394">
        <f t="shared" si="5"/>
        <v>35747500.99927</v>
      </c>
      <c r="H340" s="310" t="s">
        <v>62</v>
      </c>
      <c r="I340" s="313" t="s">
        <v>75</v>
      </c>
      <c r="J340" s="386" t="s">
        <v>157</v>
      </c>
      <c r="K340" s="302" t="s">
        <v>402</v>
      </c>
      <c r="L340" s="302" t="s">
        <v>410</v>
      </c>
      <c r="M340" s="304" t="s">
        <v>666</v>
      </c>
      <c r="N340" s="432" t="s">
        <v>431</v>
      </c>
      <c r="O340" s="307"/>
    </row>
    <row r="341" spans="1:16" s="152" customFormat="1" ht="15" customHeight="1" x14ac:dyDescent="0.25">
      <c r="A341" s="300">
        <v>44281</v>
      </c>
      <c r="B341" s="298" t="s">
        <v>168</v>
      </c>
      <c r="C341" s="310" t="s">
        <v>120</v>
      </c>
      <c r="D341" s="310"/>
      <c r="E341" s="440">
        <v>10000</v>
      </c>
      <c r="F341" s="440"/>
      <c r="G341" s="394">
        <f t="shared" si="5"/>
        <v>35757500.99927</v>
      </c>
      <c r="H341" s="298" t="s">
        <v>122</v>
      </c>
      <c r="I341" s="298"/>
      <c r="J341" s="386"/>
      <c r="K341" s="302"/>
      <c r="L341" s="302"/>
      <c r="M341" s="303"/>
      <c r="N341" s="431"/>
      <c r="O341" s="303"/>
      <c r="P341" s="287"/>
    </row>
    <row r="342" spans="1:16" s="152" customFormat="1" ht="15" customHeight="1" x14ac:dyDescent="0.25">
      <c r="A342" s="300">
        <v>44281</v>
      </c>
      <c r="B342" s="298" t="s">
        <v>168</v>
      </c>
      <c r="C342" s="310" t="s">
        <v>120</v>
      </c>
      <c r="D342" s="310"/>
      <c r="E342" s="440">
        <v>50000</v>
      </c>
      <c r="F342" s="440"/>
      <c r="G342" s="394">
        <f t="shared" si="5"/>
        <v>35807500.99927</v>
      </c>
      <c r="H342" s="298" t="s">
        <v>122</v>
      </c>
      <c r="I342" s="298"/>
      <c r="J342" s="386"/>
      <c r="K342" s="302"/>
      <c r="L342" s="302"/>
      <c r="M342" s="303"/>
      <c r="N342" s="431"/>
      <c r="O342" s="303"/>
      <c r="P342" s="287"/>
    </row>
    <row r="343" spans="1:16" s="152" customFormat="1" ht="15" customHeight="1" x14ac:dyDescent="0.25">
      <c r="A343" s="300">
        <v>44281</v>
      </c>
      <c r="B343" s="298" t="s">
        <v>288</v>
      </c>
      <c r="C343" s="310" t="s">
        <v>73</v>
      </c>
      <c r="D343" s="306" t="s">
        <v>121</v>
      </c>
      <c r="E343" s="440"/>
      <c r="F343" s="440">
        <v>4825</v>
      </c>
      <c r="G343" s="394">
        <f t="shared" si="5"/>
        <v>35802675.99927</v>
      </c>
      <c r="H343" s="298" t="s">
        <v>122</v>
      </c>
      <c r="I343" s="313" t="s">
        <v>75</v>
      </c>
      <c r="J343" s="387" t="s">
        <v>400</v>
      </c>
      <c r="K343" s="302" t="s">
        <v>401</v>
      </c>
      <c r="L343" s="302" t="s">
        <v>410</v>
      </c>
      <c r="M343" s="303"/>
      <c r="N343" s="431"/>
      <c r="O343" s="303"/>
    </row>
    <row r="344" spans="1:16" s="152" customFormat="1" ht="15" customHeight="1" x14ac:dyDescent="0.25">
      <c r="A344" s="300">
        <v>44281</v>
      </c>
      <c r="B344" s="395" t="s">
        <v>179</v>
      </c>
      <c r="C344" s="395" t="s">
        <v>120</v>
      </c>
      <c r="D344" s="395"/>
      <c r="E344" s="443">
        <v>117000</v>
      </c>
      <c r="F344" s="443"/>
      <c r="G344" s="394">
        <f t="shared" si="5"/>
        <v>35919675.99927</v>
      </c>
      <c r="H344" s="395" t="s">
        <v>91</v>
      </c>
      <c r="I344" s="395"/>
      <c r="J344" s="386"/>
      <c r="K344" s="302"/>
      <c r="L344" s="302"/>
      <c r="M344" s="303"/>
      <c r="N344" s="432"/>
      <c r="O344" s="303"/>
      <c r="P344" s="287"/>
    </row>
    <row r="345" spans="1:16" s="152" customFormat="1" ht="15" customHeight="1" x14ac:dyDescent="0.25">
      <c r="A345" s="300">
        <v>44281</v>
      </c>
      <c r="B345" s="395" t="s">
        <v>305</v>
      </c>
      <c r="C345" s="312" t="s">
        <v>72</v>
      </c>
      <c r="D345" s="522" t="s">
        <v>19</v>
      </c>
      <c r="E345" s="443"/>
      <c r="F345" s="443">
        <v>15000</v>
      </c>
      <c r="G345" s="394">
        <f t="shared" si="5"/>
        <v>35904675.99927</v>
      </c>
      <c r="H345" s="395" t="s">
        <v>91</v>
      </c>
      <c r="I345" s="313" t="s">
        <v>75</v>
      </c>
      <c r="J345" s="386" t="s">
        <v>157</v>
      </c>
      <c r="K345" s="302" t="s">
        <v>402</v>
      </c>
      <c r="L345" s="302" t="s">
        <v>410</v>
      </c>
      <c r="M345" s="304" t="s">
        <v>667</v>
      </c>
      <c r="N345" s="431" t="s">
        <v>452</v>
      </c>
      <c r="O345" s="303"/>
      <c r="P345" s="287"/>
    </row>
    <row r="346" spans="1:16" s="152" customFormat="1" ht="15" customHeight="1" x14ac:dyDescent="0.25">
      <c r="A346" s="300">
        <v>44281</v>
      </c>
      <c r="B346" s="309" t="s">
        <v>316</v>
      </c>
      <c r="C346" s="401" t="s">
        <v>120</v>
      </c>
      <c r="D346" s="401"/>
      <c r="E346" s="441">
        <v>60000</v>
      </c>
      <c r="F346" s="441"/>
      <c r="G346" s="394">
        <f t="shared" si="5"/>
        <v>35964675.99927</v>
      </c>
      <c r="H346" s="298" t="s">
        <v>123</v>
      </c>
      <c r="I346" s="298"/>
      <c r="J346" s="386"/>
      <c r="K346" s="302"/>
      <c r="L346" s="302"/>
      <c r="M346" s="303"/>
      <c r="N346" s="431"/>
      <c r="O346" s="303"/>
      <c r="P346" s="287"/>
    </row>
    <row r="347" spans="1:16" s="152" customFormat="1" ht="15" customHeight="1" x14ac:dyDescent="0.25">
      <c r="A347" s="300">
        <v>44281</v>
      </c>
      <c r="B347" s="301" t="s">
        <v>348</v>
      </c>
      <c r="C347" s="312" t="s">
        <v>156</v>
      </c>
      <c r="D347" s="305" t="s">
        <v>31</v>
      </c>
      <c r="E347" s="447"/>
      <c r="F347" s="447">
        <v>50000</v>
      </c>
      <c r="G347" s="394">
        <f t="shared" si="5"/>
        <v>35914675.99927</v>
      </c>
      <c r="H347" s="307" t="s">
        <v>68</v>
      </c>
      <c r="I347" s="304" t="s">
        <v>134</v>
      </c>
      <c r="J347" s="386" t="s">
        <v>157</v>
      </c>
      <c r="K347" s="302" t="s">
        <v>402</v>
      </c>
      <c r="L347" s="302" t="s">
        <v>410</v>
      </c>
      <c r="M347" s="304" t="s">
        <v>668</v>
      </c>
      <c r="N347" s="431" t="s">
        <v>453</v>
      </c>
      <c r="O347" s="303"/>
    </row>
    <row r="348" spans="1:16" s="152" customFormat="1" ht="15" customHeight="1" x14ac:dyDescent="0.25">
      <c r="A348" s="300">
        <v>44281</v>
      </c>
      <c r="B348" s="298" t="s">
        <v>352</v>
      </c>
      <c r="C348" s="310" t="s">
        <v>120</v>
      </c>
      <c r="D348" s="310"/>
      <c r="E348" s="438">
        <v>88000</v>
      </c>
      <c r="F348" s="438"/>
      <c r="G348" s="394">
        <f t="shared" si="5"/>
        <v>36002675.99927</v>
      </c>
      <c r="H348" s="301" t="s">
        <v>77</v>
      </c>
      <c r="I348" s="308"/>
      <c r="J348" s="386"/>
      <c r="K348" s="302"/>
      <c r="L348" s="302"/>
      <c r="M348" s="303"/>
      <c r="N348" s="431"/>
      <c r="O348" s="303"/>
      <c r="P348" s="287"/>
    </row>
    <row r="349" spans="1:16" s="152" customFormat="1" ht="15" customHeight="1" x14ac:dyDescent="0.25">
      <c r="A349" s="300">
        <v>44281</v>
      </c>
      <c r="B349" s="302" t="s">
        <v>466</v>
      </c>
      <c r="C349" s="312" t="s">
        <v>120</v>
      </c>
      <c r="D349" s="527"/>
      <c r="E349" s="456">
        <v>100000</v>
      </c>
      <c r="F349" s="448"/>
      <c r="G349" s="394">
        <f t="shared" si="5"/>
        <v>36102675.99927</v>
      </c>
      <c r="H349" s="302" t="s">
        <v>67</v>
      </c>
      <c r="I349" s="302"/>
      <c r="J349" s="386"/>
      <c r="K349" s="302"/>
      <c r="L349" s="302"/>
      <c r="M349" s="303"/>
      <c r="N349" s="431"/>
      <c r="O349" s="303"/>
      <c r="P349" s="287"/>
    </row>
    <row r="350" spans="1:16" s="152" customFormat="1" ht="15" customHeight="1" x14ac:dyDescent="0.25">
      <c r="A350" s="300">
        <v>44281</v>
      </c>
      <c r="B350" s="298" t="s">
        <v>185</v>
      </c>
      <c r="C350" s="310" t="s">
        <v>120</v>
      </c>
      <c r="D350" s="310"/>
      <c r="E350" s="440">
        <v>60000</v>
      </c>
      <c r="F350" s="451"/>
      <c r="G350" s="394">
        <f t="shared" si="5"/>
        <v>36162675.99927</v>
      </c>
      <c r="H350" s="303" t="s">
        <v>70</v>
      </c>
      <c r="I350" s="308"/>
      <c r="J350" s="386"/>
      <c r="K350" s="302"/>
      <c r="L350" s="302"/>
      <c r="M350" s="303"/>
      <c r="N350" s="431"/>
      <c r="O350" s="303"/>
      <c r="P350" s="287"/>
    </row>
    <row r="351" spans="1:16" s="152" customFormat="1" ht="15" customHeight="1" x14ac:dyDescent="0.25">
      <c r="A351" s="300">
        <v>44281</v>
      </c>
      <c r="B351" s="494" t="s">
        <v>382</v>
      </c>
      <c r="C351" s="526" t="s">
        <v>120</v>
      </c>
      <c r="D351" s="526"/>
      <c r="E351" s="533">
        <v>117000</v>
      </c>
      <c r="F351" s="533"/>
      <c r="G351" s="394">
        <f t="shared" si="5"/>
        <v>36279675.99927</v>
      </c>
      <c r="H351" s="556" t="s">
        <v>184</v>
      </c>
      <c r="I351" s="556"/>
      <c r="J351" s="386"/>
      <c r="K351" s="302"/>
      <c r="L351" s="302"/>
      <c r="M351" s="303"/>
      <c r="N351" s="431"/>
      <c r="O351" s="303"/>
      <c r="P351" s="287"/>
    </row>
    <row r="352" spans="1:16" s="152" customFormat="1" ht="15" customHeight="1" x14ac:dyDescent="0.25">
      <c r="A352" s="300">
        <v>44281</v>
      </c>
      <c r="B352" s="494" t="s">
        <v>393</v>
      </c>
      <c r="C352" s="312" t="s">
        <v>72</v>
      </c>
      <c r="D352" s="526" t="s">
        <v>19</v>
      </c>
      <c r="E352" s="533"/>
      <c r="F352" s="533">
        <v>15000</v>
      </c>
      <c r="G352" s="394">
        <f t="shared" si="5"/>
        <v>36264675.99927</v>
      </c>
      <c r="H352" s="556" t="s">
        <v>184</v>
      </c>
      <c r="I352" s="313" t="s">
        <v>75</v>
      </c>
      <c r="J352" s="387" t="s">
        <v>157</v>
      </c>
      <c r="K352" s="302" t="s">
        <v>402</v>
      </c>
      <c r="L352" s="302" t="s">
        <v>410</v>
      </c>
      <c r="M352" s="304" t="s">
        <v>669</v>
      </c>
      <c r="N352" s="431" t="s">
        <v>452</v>
      </c>
      <c r="O352" s="303"/>
      <c r="P352" s="287"/>
    </row>
    <row r="353" spans="1:16" s="152" customFormat="1" ht="15" customHeight="1" x14ac:dyDescent="0.25">
      <c r="A353" s="300">
        <v>44282</v>
      </c>
      <c r="B353" s="298" t="s">
        <v>289</v>
      </c>
      <c r="C353" s="310" t="s">
        <v>73</v>
      </c>
      <c r="D353" s="300" t="s">
        <v>121</v>
      </c>
      <c r="E353" s="440"/>
      <c r="F353" s="440">
        <v>5000</v>
      </c>
      <c r="G353" s="394">
        <f t="shared" si="5"/>
        <v>36259675.99927</v>
      </c>
      <c r="H353" s="298" t="s">
        <v>122</v>
      </c>
      <c r="I353" s="313" t="s">
        <v>75</v>
      </c>
      <c r="J353" s="387" t="s">
        <v>400</v>
      </c>
      <c r="K353" s="302" t="s">
        <v>401</v>
      </c>
      <c r="L353" s="302" t="s">
        <v>410</v>
      </c>
      <c r="M353" s="303"/>
      <c r="N353" s="431"/>
      <c r="O353" s="303"/>
    </row>
    <row r="354" spans="1:16" s="152" customFormat="1" ht="15" customHeight="1" x14ac:dyDescent="0.25">
      <c r="A354" s="300">
        <v>44282</v>
      </c>
      <c r="B354" s="302" t="s">
        <v>524</v>
      </c>
      <c r="C354" s="312" t="s">
        <v>72</v>
      </c>
      <c r="D354" s="305" t="s">
        <v>31</v>
      </c>
      <c r="E354" s="456"/>
      <c r="F354" s="448">
        <v>13000</v>
      </c>
      <c r="G354" s="394">
        <f t="shared" si="5"/>
        <v>36246675.99927</v>
      </c>
      <c r="H354" s="302" t="s">
        <v>67</v>
      </c>
      <c r="I354" s="313" t="s">
        <v>75</v>
      </c>
      <c r="J354" s="386" t="s">
        <v>157</v>
      </c>
      <c r="K354" s="302" t="s">
        <v>402</v>
      </c>
      <c r="L354" s="302" t="s">
        <v>410</v>
      </c>
      <c r="M354" s="304" t="s">
        <v>670</v>
      </c>
      <c r="N354" s="431" t="s">
        <v>452</v>
      </c>
      <c r="O354" s="303"/>
      <c r="P354" s="287"/>
    </row>
    <row r="355" spans="1:16" s="152" customFormat="1" ht="15" customHeight="1" x14ac:dyDescent="0.25">
      <c r="A355" s="300">
        <v>44283</v>
      </c>
      <c r="B355" s="395" t="s">
        <v>309</v>
      </c>
      <c r="C355" s="310" t="s">
        <v>156</v>
      </c>
      <c r="D355" s="395" t="s">
        <v>19</v>
      </c>
      <c r="E355" s="443"/>
      <c r="F355" s="443">
        <v>40000</v>
      </c>
      <c r="G355" s="394">
        <f t="shared" si="5"/>
        <v>36206675.99927</v>
      </c>
      <c r="H355" s="395" t="s">
        <v>91</v>
      </c>
      <c r="I355" s="304" t="s">
        <v>134</v>
      </c>
      <c r="J355" s="386" t="s">
        <v>157</v>
      </c>
      <c r="K355" s="302" t="s">
        <v>402</v>
      </c>
      <c r="L355" s="302" t="s">
        <v>410</v>
      </c>
      <c r="M355" s="304" t="s">
        <v>671</v>
      </c>
      <c r="N355" s="431" t="s">
        <v>453</v>
      </c>
      <c r="O355" s="303"/>
      <c r="P355" s="287"/>
    </row>
    <row r="356" spans="1:16" s="152" customFormat="1" ht="15" customHeight="1" x14ac:dyDescent="0.25">
      <c r="A356" s="300">
        <v>44283</v>
      </c>
      <c r="B356" s="494" t="s">
        <v>395</v>
      </c>
      <c r="C356" s="310" t="s">
        <v>156</v>
      </c>
      <c r="D356" s="498" t="s">
        <v>19</v>
      </c>
      <c r="E356" s="533"/>
      <c r="F356" s="533">
        <v>40000</v>
      </c>
      <c r="G356" s="394">
        <f t="shared" si="5"/>
        <v>36166675.99927</v>
      </c>
      <c r="H356" s="556" t="s">
        <v>184</v>
      </c>
      <c r="I356" s="304" t="s">
        <v>134</v>
      </c>
      <c r="J356" s="387" t="s">
        <v>157</v>
      </c>
      <c r="K356" s="302" t="s">
        <v>402</v>
      </c>
      <c r="L356" s="302" t="s">
        <v>410</v>
      </c>
      <c r="M356" s="304" t="s">
        <v>672</v>
      </c>
      <c r="N356" s="431" t="s">
        <v>453</v>
      </c>
      <c r="O356" s="303"/>
      <c r="P356" s="287"/>
    </row>
    <row r="357" spans="1:16" s="152" customFormat="1" ht="15" customHeight="1" x14ac:dyDescent="0.25">
      <c r="A357" s="300">
        <v>44284</v>
      </c>
      <c r="B357" s="298" t="s">
        <v>225</v>
      </c>
      <c r="C357" s="298" t="s">
        <v>120</v>
      </c>
      <c r="D357" s="298"/>
      <c r="E357" s="491"/>
      <c r="F357" s="440">
        <v>2000000</v>
      </c>
      <c r="G357" s="394">
        <f t="shared" si="5"/>
        <v>34166675.99927</v>
      </c>
      <c r="H357" s="301" t="s">
        <v>58</v>
      </c>
      <c r="I357" s="304">
        <v>3654438</v>
      </c>
      <c r="J357" s="313"/>
      <c r="K357" s="302"/>
      <c r="L357" s="302"/>
      <c r="M357" s="303"/>
      <c r="N357" s="431"/>
      <c r="O357" s="303"/>
      <c r="P357" s="287"/>
    </row>
    <row r="358" spans="1:16" s="152" customFormat="1" ht="15" customHeight="1" x14ac:dyDescent="0.25">
      <c r="A358" s="300">
        <v>44284</v>
      </c>
      <c r="B358" s="406" t="s">
        <v>419</v>
      </c>
      <c r="C358" s="399" t="s">
        <v>15</v>
      </c>
      <c r="D358" s="406" t="s">
        <v>61</v>
      </c>
      <c r="E358" s="438"/>
      <c r="F358" s="438">
        <f>25555+40467+40467</f>
        <v>106489</v>
      </c>
      <c r="G358" s="394">
        <f t="shared" si="5"/>
        <v>34060186.99927</v>
      </c>
      <c r="H358" s="301" t="s">
        <v>59</v>
      </c>
      <c r="I358" s="304">
        <v>3643441</v>
      </c>
      <c r="J358" s="386" t="s">
        <v>157</v>
      </c>
      <c r="K358" s="302" t="s">
        <v>402</v>
      </c>
      <c r="L358" s="302" t="s">
        <v>410</v>
      </c>
      <c r="M358" s="304" t="s">
        <v>673</v>
      </c>
      <c r="N358" s="431" t="s">
        <v>407</v>
      </c>
      <c r="O358" s="303"/>
      <c r="P358" s="287"/>
    </row>
    <row r="359" spans="1:16" s="152" customFormat="1" ht="15" customHeight="1" x14ac:dyDescent="0.25">
      <c r="A359" s="300">
        <v>44284</v>
      </c>
      <c r="B359" s="406" t="s">
        <v>420</v>
      </c>
      <c r="C359" s="399" t="s">
        <v>15</v>
      </c>
      <c r="D359" s="298" t="s">
        <v>31</v>
      </c>
      <c r="E359" s="438"/>
      <c r="F359" s="438">
        <f>31564+31564+31564</f>
        <v>94692</v>
      </c>
      <c r="G359" s="394">
        <f t="shared" si="5"/>
        <v>33965494.99927</v>
      </c>
      <c r="H359" s="301" t="s">
        <v>59</v>
      </c>
      <c r="I359" s="304">
        <v>3643441</v>
      </c>
      <c r="J359" s="386" t="s">
        <v>157</v>
      </c>
      <c r="K359" s="302" t="s">
        <v>402</v>
      </c>
      <c r="L359" s="302" t="s">
        <v>410</v>
      </c>
      <c r="M359" s="304" t="s">
        <v>674</v>
      </c>
      <c r="N359" s="431" t="s">
        <v>408</v>
      </c>
      <c r="O359" s="303"/>
      <c r="P359" s="287"/>
    </row>
    <row r="360" spans="1:16" s="152" customFormat="1" ht="15" customHeight="1" x14ac:dyDescent="0.25">
      <c r="A360" s="300">
        <v>44284</v>
      </c>
      <c r="B360" s="406" t="s">
        <v>421</v>
      </c>
      <c r="C360" s="399" t="s">
        <v>15</v>
      </c>
      <c r="D360" s="306" t="s">
        <v>121</v>
      </c>
      <c r="E360" s="438"/>
      <c r="F360" s="438">
        <f>65700+65700+65700</f>
        <v>197100</v>
      </c>
      <c r="G360" s="394">
        <f t="shared" si="5"/>
        <v>33768394.99927</v>
      </c>
      <c r="H360" s="301" t="s">
        <v>59</v>
      </c>
      <c r="I360" s="304">
        <v>3643441</v>
      </c>
      <c r="J360" s="386" t="s">
        <v>157</v>
      </c>
      <c r="K360" s="302" t="s">
        <v>402</v>
      </c>
      <c r="L360" s="302" t="s">
        <v>410</v>
      </c>
      <c r="M360" s="304" t="s">
        <v>675</v>
      </c>
      <c r="N360" s="431" t="s">
        <v>406</v>
      </c>
      <c r="O360" s="303"/>
      <c r="P360" s="287"/>
    </row>
    <row r="361" spans="1:16" s="152" customFormat="1" ht="15" customHeight="1" x14ac:dyDescent="0.25">
      <c r="A361" s="300">
        <v>44284</v>
      </c>
      <c r="B361" s="406" t="s">
        <v>422</v>
      </c>
      <c r="C361" s="399" t="s">
        <v>15</v>
      </c>
      <c r="D361" s="306" t="s">
        <v>121</v>
      </c>
      <c r="E361" s="438"/>
      <c r="F361" s="438">
        <f>61148+61148+61148</f>
        <v>183444</v>
      </c>
      <c r="G361" s="394">
        <f t="shared" si="5"/>
        <v>33584950.99927</v>
      </c>
      <c r="H361" s="301" t="s">
        <v>59</v>
      </c>
      <c r="I361" s="304">
        <v>3643441</v>
      </c>
      <c r="J361" s="386" t="s">
        <v>157</v>
      </c>
      <c r="K361" s="302" t="s">
        <v>402</v>
      </c>
      <c r="L361" s="302" t="s">
        <v>410</v>
      </c>
      <c r="M361" s="304" t="s">
        <v>676</v>
      </c>
      <c r="N361" s="431" t="s">
        <v>406</v>
      </c>
      <c r="O361" s="303"/>
      <c r="P361" s="287"/>
    </row>
    <row r="362" spans="1:16" s="152" customFormat="1" ht="15" customHeight="1" x14ac:dyDescent="0.25">
      <c r="A362" s="300">
        <v>44284</v>
      </c>
      <c r="B362" s="406" t="s">
        <v>423</v>
      </c>
      <c r="C362" s="399" t="s">
        <v>15</v>
      </c>
      <c r="D362" s="306" t="s">
        <v>121</v>
      </c>
      <c r="E362" s="438"/>
      <c r="F362" s="438">
        <f>73459+73459+73459</f>
        <v>220377</v>
      </c>
      <c r="G362" s="394">
        <f t="shared" si="5"/>
        <v>33364573.99927</v>
      </c>
      <c r="H362" s="301" t="s">
        <v>59</v>
      </c>
      <c r="I362" s="304">
        <v>3643441</v>
      </c>
      <c r="J362" s="386" t="s">
        <v>157</v>
      </c>
      <c r="K362" s="302" t="s">
        <v>402</v>
      </c>
      <c r="L362" s="302" t="s">
        <v>410</v>
      </c>
      <c r="M362" s="304" t="s">
        <v>677</v>
      </c>
      <c r="N362" s="431" t="s">
        <v>406</v>
      </c>
      <c r="O362" s="303"/>
      <c r="P362" s="287"/>
    </row>
    <row r="363" spans="1:16" s="152" customFormat="1" ht="15" customHeight="1" x14ac:dyDescent="0.25">
      <c r="A363" s="300">
        <v>44284</v>
      </c>
      <c r="B363" s="406" t="s">
        <v>424</v>
      </c>
      <c r="C363" s="399" t="s">
        <v>15</v>
      </c>
      <c r="D363" s="298" t="s">
        <v>19</v>
      </c>
      <c r="E363" s="438"/>
      <c r="F363" s="438">
        <f>84474+84474+84474</f>
        <v>253422</v>
      </c>
      <c r="G363" s="394">
        <f t="shared" si="5"/>
        <v>33111151.99927</v>
      </c>
      <c r="H363" s="301" t="s">
        <v>59</v>
      </c>
      <c r="I363" s="304">
        <v>3643441</v>
      </c>
      <c r="J363" s="386" t="s">
        <v>157</v>
      </c>
      <c r="K363" s="302" t="s">
        <v>402</v>
      </c>
      <c r="L363" s="302" t="s">
        <v>410</v>
      </c>
      <c r="M363" s="304" t="s">
        <v>678</v>
      </c>
      <c r="N363" s="431" t="s">
        <v>405</v>
      </c>
      <c r="O363" s="303"/>
      <c r="P363" s="287"/>
    </row>
    <row r="364" spans="1:16" s="152" customFormat="1" ht="15" customHeight="1" x14ac:dyDescent="0.25">
      <c r="A364" s="300">
        <v>44284</v>
      </c>
      <c r="B364" s="406" t="s">
        <v>425</v>
      </c>
      <c r="C364" s="399" t="s">
        <v>15</v>
      </c>
      <c r="D364" s="298" t="s">
        <v>19</v>
      </c>
      <c r="E364" s="438"/>
      <c r="F364" s="438">
        <f>52860+52860+52860</f>
        <v>158580</v>
      </c>
      <c r="G364" s="394">
        <f t="shared" si="5"/>
        <v>32952571.99927</v>
      </c>
      <c r="H364" s="301" t="s">
        <v>59</v>
      </c>
      <c r="I364" s="304">
        <v>3643441</v>
      </c>
      <c r="J364" s="386" t="s">
        <v>157</v>
      </c>
      <c r="K364" s="302" t="s">
        <v>402</v>
      </c>
      <c r="L364" s="302" t="s">
        <v>410</v>
      </c>
      <c r="M364" s="304" t="s">
        <v>679</v>
      </c>
      <c r="N364" s="431" t="s">
        <v>405</v>
      </c>
      <c r="O364" s="303"/>
      <c r="P364" s="287"/>
    </row>
    <row r="365" spans="1:16" s="152" customFormat="1" ht="15" customHeight="1" x14ac:dyDescent="0.25">
      <c r="A365" s="300">
        <v>44284</v>
      </c>
      <c r="B365" s="406" t="s">
        <v>426</v>
      </c>
      <c r="C365" s="399" t="s">
        <v>15</v>
      </c>
      <c r="D365" s="306" t="s">
        <v>121</v>
      </c>
      <c r="E365" s="438"/>
      <c r="F365" s="438">
        <f>38848+38848+38848</f>
        <v>116544</v>
      </c>
      <c r="G365" s="394">
        <f t="shared" si="5"/>
        <v>32836027.99927</v>
      </c>
      <c r="H365" s="301" t="s">
        <v>59</v>
      </c>
      <c r="I365" s="304">
        <v>3643441</v>
      </c>
      <c r="J365" s="386" t="s">
        <v>157</v>
      </c>
      <c r="K365" s="302" t="s">
        <v>402</v>
      </c>
      <c r="L365" s="302" t="s">
        <v>410</v>
      </c>
      <c r="M365" s="304" t="s">
        <v>680</v>
      </c>
      <c r="N365" s="431" t="s">
        <v>406</v>
      </c>
      <c r="O365" s="303"/>
      <c r="P365" s="287"/>
    </row>
    <row r="366" spans="1:16" s="152" customFormat="1" ht="15" customHeight="1" x14ac:dyDescent="0.25">
      <c r="A366" s="300">
        <v>44284</v>
      </c>
      <c r="B366" s="406" t="s">
        <v>427</v>
      </c>
      <c r="C366" s="399" t="s">
        <v>15</v>
      </c>
      <c r="D366" s="306" t="s">
        <v>121</v>
      </c>
      <c r="E366" s="438"/>
      <c r="F366" s="438">
        <f>38848+38848+38848</f>
        <v>116544</v>
      </c>
      <c r="G366" s="394">
        <f t="shared" si="5"/>
        <v>32719483.99927</v>
      </c>
      <c r="H366" s="301" t="s">
        <v>59</v>
      </c>
      <c r="I366" s="304">
        <v>3643441</v>
      </c>
      <c r="J366" s="386" t="s">
        <v>157</v>
      </c>
      <c r="K366" s="302" t="s">
        <v>402</v>
      </c>
      <c r="L366" s="302" t="s">
        <v>410</v>
      </c>
      <c r="M366" s="304" t="s">
        <v>681</v>
      </c>
      <c r="N366" s="431" t="s">
        <v>406</v>
      </c>
      <c r="O366" s="303"/>
      <c r="P366" s="287"/>
    </row>
    <row r="367" spans="1:16" s="152" customFormat="1" ht="15" customHeight="1" x14ac:dyDescent="0.25">
      <c r="A367" s="300">
        <v>44284</v>
      </c>
      <c r="B367" s="310" t="s">
        <v>142</v>
      </c>
      <c r="C367" s="310" t="s">
        <v>120</v>
      </c>
      <c r="D367" s="310"/>
      <c r="E367" s="440"/>
      <c r="F367" s="441">
        <v>15000</v>
      </c>
      <c r="G367" s="394">
        <f t="shared" si="5"/>
        <v>32704483.99927</v>
      </c>
      <c r="H367" s="310" t="s">
        <v>62</v>
      </c>
      <c r="I367" s="381"/>
      <c r="J367" s="387"/>
      <c r="K367" s="302"/>
      <c r="L367" s="302"/>
      <c r="M367" s="303"/>
      <c r="N367" s="431"/>
      <c r="O367" s="303"/>
      <c r="P367" s="287"/>
    </row>
    <row r="368" spans="1:16" s="152" customFormat="1" ht="15" customHeight="1" x14ac:dyDescent="0.25">
      <c r="A368" s="300">
        <v>44284</v>
      </c>
      <c r="B368" s="310" t="s">
        <v>69</v>
      </c>
      <c r="C368" s="310" t="s">
        <v>120</v>
      </c>
      <c r="D368" s="310"/>
      <c r="E368" s="440"/>
      <c r="F368" s="441">
        <v>15000</v>
      </c>
      <c r="G368" s="394">
        <f t="shared" si="5"/>
        <v>32689483.99927</v>
      </c>
      <c r="H368" s="310" t="s">
        <v>62</v>
      </c>
      <c r="I368" s="304"/>
      <c r="J368" s="386"/>
      <c r="K368" s="302"/>
      <c r="L368" s="302"/>
      <c r="M368" s="303"/>
      <c r="N368" s="431"/>
      <c r="O368" s="303"/>
      <c r="P368" s="287"/>
    </row>
    <row r="369" spans="1:16" s="152" customFormat="1" ht="15" customHeight="1" x14ac:dyDescent="0.25">
      <c r="A369" s="300">
        <v>44284</v>
      </c>
      <c r="B369" s="310" t="s">
        <v>154</v>
      </c>
      <c r="C369" s="310" t="s">
        <v>120</v>
      </c>
      <c r="D369" s="310"/>
      <c r="E369" s="440"/>
      <c r="F369" s="441">
        <v>100000</v>
      </c>
      <c r="G369" s="394">
        <f t="shared" si="5"/>
        <v>32589483.99927</v>
      </c>
      <c r="H369" s="310" t="s">
        <v>62</v>
      </c>
      <c r="I369" s="313"/>
      <c r="J369" s="386"/>
      <c r="K369" s="301"/>
      <c r="L369" s="302"/>
      <c r="M369" s="307"/>
      <c r="N369" s="432"/>
      <c r="O369" s="313"/>
      <c r="P369" s="287"/>
    </row>
    <row r="370" spans="1:16" s="152" customFormat="1" ht="15" customHeight="1" x14ac:dyDescent="0.25">
      <c r="A370" s="300">
        <v>44284</v>
      </c>
      <c r="B370" s="310" t="s">
        <v>273</v>
      </c>
      <c r="C370" s="306" t="s">
        <v>63</v>
      </c>
      <c r="D370" s="306" t="s">
        <v>21</v>
      </c>
      <c r="E370" s="440"/>
      <c r="F370" s="441">
        <v>3000</v>
      </c>
      <c r="G370" s="394">
        <f t="shared" si="5"/>
        <v>32586483.99927</v>
      </c>
      <c r="H370" s="310" t="s">
        <v>62</v>
      </c>
      <c r="I370" s="313" t="s">
        <v>75</v>
      </c>
      <c r="J370" s="386" t="s">
        <v>157</v>
      </c>
      <c r="K370" s="420" t="s">
        <v>402</v>
      </c>
      <c r="L370" s="302" t="s">
        <v>410</v>
      </c>
      <c r="M370" s="304" t="s">
        <v>682</v>
      </c>
      <c r="N370" s="431" t="s">
        <v>403</v>
      </c>
      <c r="O370" s="303"/>
    </row>
    <row r="371" spans="1:16" s="152" customFormat="1" ht="15" customHeight="1" x14ac:dyDescent="0.25">
      <c r="A371" s="300">
        <v>44284</v>
      </c>
      <c r="B371" s="310" t="s">
        <v>58</v>
      </c>
      <c r="C371" s="310" t="s">
        <v>120</v>
      </c>
      <c r="D371" s="310"/>
      <c r="E371" s="440">
        <v>2000000</v>
      </c>
      <c r="F371" s="441"/>
      <c r="G371" s="394">
        <f t="shared" si="5"/>
        <v>34586483.99927</v>
      </c>
      <c r="H371" s="310" t="s">
        <v>62</v>
      </c>
      <c r="I371" s="381"/>
      <c r="J371" s="313"/>
      <c r="K371" s="302"/>
      <c r="L371" s="302"/>
      <c r="M371" s="303"/>
      <c r="N371" s="431"/>
      <c r="O371" s="303"/>
      <c r="P371" s="287"/>
    </row>
    <row r="372" spans="1:16" s="152" customFormat="1" ht="15" customHeight="1" x14ac:dyDescent="0.25">
      <c r="A372" s="300">
        <v>44284</v>
      </c>
      <c r="B372" s="310" t="s">
        <v>442</v>
      </c>
      <c r="C372" s="310" t="s">
        <v>26</v>
      </c>
      <c r="D372" s="310" t="s">
        <v>61</v>
      </c>
      <c r="E372" s="440"/>
      <c r="F372" s="441">
        <v>88000</v>
      </c>
      <c r="G372" s="394">
        <f t="shared" si="5"/>
        <v>34498483.99927</v>
      </c>
      <c r="H372" s="310" t="s">
        <v>62</v>
      </c>
      <c r="I372" s="304" t="s">
        <v>134</v>
      </c>
      <c r="J372" s="386" t="s">
        <v>400</v>
      </c>
      <c r="K372" s="302" t="s">
        <v>401</v>
      </c>
      <c r="L372" s="302" t="s">
        <v>410</v>
      </c>
      <c r="M372" s="303"/>
      <c r="N372" s="432"/>
      <c r="O372" s="303"/>
      <c r="P372" s="287"/>
    </row>
    <row r="373" spans="1:16" s="152" customFormat="1" ht="15" customHeight="1" x14ac:dyDescent="0.25">
      <c r="A373" s="300">
        <v>44284</v>
      </c>
      <c r="B373" s="310" t="s">
        <v>91</v>
      </c>
      <c r="C373" s="310" t="s">
        <v>120</v>
      </c>
      <c r="D373" s="310"/>
      <c r="E373" s="440"/>
      <c r="F373" s="441">
        <v>70000</v>
      </c>
      <c r="G373" s="394">
        <f t="shared" si="5"/>
        <v>34428483.99927</v>
      </c>
      <c r="H373" s="310" t="s">
        <v>62</v>
      </c>
      <c r="I373" s="304"/>
      <c r="J373" s="386"/>
      <c r="K373" s="302"/>
      <c r="L373" s="302"/>
      <c r="M373" s="303"/>
      <c r="N373" s="431"/>
      <c r="O373" s="303"/>
      <c r="P373" s="287"/>
    </row>
    <row r="374" spans="1:16" s="152" customFormat="1" ht="15" customHeight="1" x14ac:dyDescent="0.25">
      <c r="A374" s="300">
        <v>44284</v>
      </c>
      <c r="B374" s="298" t="s">
        <v>467</v>
      </c>
      <c r="C374" s="310" t="s">
        <v>120</v>
      </c>
      <c r="D374" s="310"/>
      <c r="E374" s="440"/>
      <c r="F374" s="440">
        <v>40000</v>
      </c>
      <c r="G374" s="394">
        <f t="shared" si="5"/>
        <v>34388483.99927</v>
      </c>
      <c r="H374" s="298" t="s">
        <v>122</v>
      </c>
      <c r="I374" s="309"/>
      <c r="J374" s="313"/>
      <c r="K374" s="302"/>
      <c r="L374" s="302"/>
      <c r="M374" s="303"/>
      <c r="N374" s="431"/>
      <c r="O374" s="303"/>
      <c r="P374" s="287"/>
    </row>
    <row r="375" spans="1:16" s="152" customFormat="1" ht="15" customHeight="1" x14ac:dyDescent="0.25">
      <c r="A375" s="300">
        <v>44284</v>
      </c>
      <c r="B375" s="298" t="s">
        <v>181</v>
      </c>
      <c r="C375" s="298" t="s">
        <v>120</v>
      </c>
      <c r="D375" s="298"/>
      <c r="E375" s="438">
        <v>15000</v>
      </c>
      <c r="F375" s="438"/>
      <c r="G375" s="394">
        <f t="shared" si="5"/>
        <v>34403483.99927</v>
      </c>
      <c r="H375" s="298" t="s">
        <v>69</v>
      </c>
      <c r="I375" s="298"/>
      <c r="J375" s="386"/>
      <c r="K375" s="302"/>
      <c r="L375" s="302"/>
      <c r="M375" s="303"/>
      <c r="N375" s="431"/>
      <c r="O375" s="303"/>
      <c r="P375" s="287"/>
    </row>
    <row r="376" spans="1:16" s="152" customFormat="1" ht="15" customHeight="1" x14ac:dyDescent="0.25">
      <c r="A376" s="300">
        <v>44284</v>
      </c>
      <c r="B376" s="301" t="s">
        <v>183</v>
      </c>
      <c r="C376" s="306" t="s">
        <v>120</v>
      </c>
      <c r="D376" s="409"/>
      <c r="E376" s="447">
        <v>100000</v>
      </c>
      <c r="F376" s="447"/>
      <c r="G376" s="394">
        <f t="shared" si="5"/>
        <v>34503483.99927</v>
      </c>
      <c r="H376" s="307" t="s">
        <v>68</v>
      </c>
      <c r="I376" s="301"/>
      <c r="J376" s="387"/>
      <c r="K376" s="302"/>
      <c r="L376" s="302"/>
      <c r="M376" s="303"/>
      <c r="N376" s="431"/>
      <c r="O376" s="303"/>
      <c r="P376" s="287"/>
    </row>
    <row r="377" spans="1:16" s="152" customFormat="1" ht="15" customHeight="1" x14ac:dyDescent="0.25">
      <c r="A377" s="300">
        <v>44284</v>
      </c>
      <c r="B377" s="298" t="s">
        <v>359</v>
      </c>
      <c r="C377" s="306" t="s">
        <v>73</v>
      </c>
      <c r="D377" s="306" t="s">
        <v>121</v>
      </c>
      <c r="E377" s="438"/>
      <c r="F377" s="438">
        <v>18000</v>
      </c>
      <c r="G377" s="394">
        <f t="shared" si="5"/>
        <v>34485483.99927</v>
      </c>
      <c r="H377" s="301" t="s">
        <v>77</v>
      </c>
      <c r="I377" s="313" t="s">
        <v>75</v>
      </c>
      <c r="J377" s="386" t="s">
        <v>400</v>
      </c>
      <c r="K377" s="302" t="s">
        <v>401</v>
      </c>
      <c r="L377" s="302" t="s">
        <v>410</v>
      </c>
      <c r="M377" s="303"/>
      <c r="N377" s="431"/>
      <c r="O377" s="303"/>
      <c r="P377" s="287"/>
    </row>
    <row r="378" spans="1:16" s="152" customFormat="1" ht="15" customHeight="1" x14ac:dyDescent="0.25">
      <c r="A378" s="300">
        <v>44284</v>
      </c>
      <c r="B378" s="298" t="s">
        <v>360</v>
      </c>
      <c r="C378" s="310" t="s">
        <v>120</v>
      </c>
      <c r="D378" s="310"/>
      <c r="E378" s="438">
        <v>40000</v>
      </c>
      <c r="F378" s="438"/>
      <c r="G378" s="394">
        <f t="shared" si="5"/>
        <v>34525483.99927</v>
      </c>
      <c r="H378" s="301" t="s">
        <v>77</v>
      </c>
      <c r="I378" s="308"/>
      <c r="J378" s="386"/>
      <c r="K378" s="302"/>
      <c r="L378" s="302"/>
      <c r="M378" s="303"/>
      <c r="N378" s="431"/>
      <c r="O378" s="303"/>
      <c r="P378" s="287"/>
    </row>
    <row r="379" spans="1:16" s="152" customFormat="1" ht="15" customHeight="1" x14ac:dyDescent="0.25">
      <c r="A379" s="300">
        <v>44284</v>
      </c>
      <c r="B379" s="298" t="s">
        <v>361</v>
      </c>
      <c r="C379" s="306" t="s">
        <v>73</v>
      </c>
      <c r="D379" s="306" t="s">
        <v>121</v>
      </c>
      <c r="E379" s="438"/>
      <c r="F379" s="438">
        <v>2300</v>
      </c>
      <c r="G379" s="394">
        <f t="shared" si="5"/>
        <v>34523183.99927</v>
      </c>
      <c r="H379" s="301" t="s">
        <v>77</v>
      </c>
      <c r="I379" s="313" t="s">
        <v>75</v>
      </c>
      <c r="J379" s="386" t="s">
        <v>400</v>
      </c>
      <c r="K379" s="302" t="s">
        <v>401</v>
      </c>
      <c r="L379" s="302" t="s">
        <v>410</v>
      </c>
      <c r="M379" s="303"/>
      <c r="N379" s="431"/>
      <c r="O379" s="303"/>
      <c r="P379" s="287"/>
    </row>
    <row r="380" spans="1:16" s="152" customFormat="1" ht="15" customHeight="1" x14ac:dyDescent="0.25">
      <c r="A380" s="300">
        <v>44284</v>
      </c>
      <c r="B380" s="302" t="s">
        <v>377</v>
      </c>
      <c r="C380" s="310" t="s">
        <v>156</v>
      </c>
      <c r="D380" s="298" t="s">
        <v>31</v>
      </c>
      <c r="E380" s="456"/>
      <c r="F380" s="542">
        <v>70000</v>
      </c>
      <c r="G380" s="394">
        <f t="shared" si="5"/>
        <v>34453183.99927</v>
      </c>
      <c r="H380" s="302" t="s">
        <v>67</v>
      </c>
      <c r="I380" s="304" t="s">
        <v>134</v>
      </c>
      <c r="J380" s="386" t="s">
        <v>157</v>
      </c>
      <c r="K380" s="302" t="s">
        <v>402</v>
      </c>
      <c r="L380" s="302" t="s">
        <v>410</v>
      </c>
      <c r="M380" s="304" t="s">
        <v>683</v>
      </c>
      <c r="N380" s="431" t="s">
        <v>453</v>
      </c>
      <c r="O380" s="303"/>
      <c r="P380" s="287"/>
    </row>
    <row r="381" spans="1:16" s="152" customFormat="1" ht="15" customHeight="1" x14ac:dyDescent="0.25">
      <c r="A381" s="300">
        <v>44284</v>
      </c>
      <c r="B381" s="298" t="s">
        <v>465</v>
      </c>
      <c r="C381" s="310" t="s">
        <v>120</v>
      </c>
      <c r="D381" s="310"/>
      <c r="E381" s="440">
        <v>15000</v>
      </c>
      <c r="F381" s="449"/>
      <c r="G381" s="394">
        <f t="shared" si="5"/>
        <v>34468183.99927</v>
      </c>
      <c r="H381" s="303" t="s">
        <v>142</v>
      </c>
      <c r="I381" s="308"/>
      <c r="J381" s="386"/>
      <c r="K381" s="302"/>
      <c r="L381" s="302"/>
      <c r="M381" s="303"/>
      <c r="N381" s="431"/>
      <c r="O381" s="303"/>
      <c r="P381" s="287"/>
    </row>
    <row r="382" spans="1:16" s="152" customFormat="1" ht="15" customHeight="1" x14ac:dyDescent="0.25">
      <c r="A382" s="300">
        <v>44285</v>
      </c>
      <c r="B382" s="310" t="s">
        <v>275</v>
      </c>
      <c r="C382" s="306" t="s">
        <v>63</v>
      </c>
      <c r="D382" s="306" t="s">
        <v>21</v>
      </c>
      <c r="E382" s="440"/>
      <c r="F382" s="444">
        <f>2100+4920</f>
        <v>7020</v>
      </c>
      <c r="G382" s="394">
        <f t="shared" si="5"/>
        <v>34461163.99927</v>
      </c>
      <c r="H382" s="310" t="s">
        <v>62</v>
      </c>
      <c r="I382" s="313" t="s">
        <v>75</v>
      </c>
      <c r="J382" s="386" t="s">
        <v>157</v>
      </c>
      <c r="K382" s="420" t="s">
        <v>402</v>
      </c>
      <c r="L382" s="302" t="s">
        <v>410</v>
      </c>
      <c r="M382" s="304" t="s">
        <v>684</v>
      </c>
      <c r="N382" s="431" t="s">
        <v>403</v>
      </c>
      <c r="O382" s="303"/>
      <c r="P382" s="287"/>
    </row>
    <row r="383" spans="1:16" s="152" customFormat="1" ht="15" customHeight="1" x14ac:dyDescent="0.25">
      <c r="A383" s="300">
        <v>44285</v>
      </c>
      <c r="B383" s="310" t="s">
        <v>67</v>
      </c>
      <c r="C383" s="310" t="s">
        <v>120</v>
      </c>
      <c r="D383" s="310"/>
      <c r="E383" s="440"/>
      <c r="F383" s="444">
        <v>164000</v>
      </c>
      <c r="G383" s="394">
        <f t="shared" si="5"/>
        <v>34297163.99927</v>
      </c>
      <c r="H383" s="310" t="s">
        <v>62</v>
      </c>
      <c r="I383" s="308"/>
      <c r="J383" s="563"/>
      <c r="K383" s="302"/>
      <c r="L383" s="302"/>
      <c r="M383" s="303"/>
      <c r="N383" s="431"/>
      <c r="O383" s="303"/>
      <c r="P383" s="287"/>
    </row>
    <row r="384" spans="1:16" s="152" customFormat="1" ht="15" customHeight="1" x14ac:dyDescent="0.25">
      <c r="A384" s="300">
        <v>44285</v>
      </c>
      <c r="B384" s="310" t="s">
        <v>114</v>
      </c>
      <c r="C384" s="310" t="s">
        <v>120</v>
      </c>
      <c r="D384" s="310"/>
      <c r="E384" s="440"/>
      <c r="F384" s="444">
        <v>30000</v>
      </c>
      <c r="G384" s="394">
        <f t="shared" si="5"/>
        <v>34267163.99927</v>
      </c>
      <c r="H384" s="310" t="s">
        <v>62</v>
      </c>
      <c r="I384" s="381"/>
      <c r="J384" s="386"/>
      <c r="K384" s="302"/>
      <c r="L384" s="302"/>
      <c r="M384" s="303"/>
      <c r="N384" s="431"/>
      <c r="O384" s="303"/>
      <c r="P384" s="287"/>
    </row>
    <row r="385" spans="1:16" s="152" customFormat="1" ht="15" customHeight="1" x14ac:dyDescent="0.25">
      <c r="A385" s="300">
        <v>44285</v>
      </c>
      <c r="B385" s="298" t="s">
        <v>294</v>
      </c>
      <c r="C385" s="310" t="s">
        <v>72</v>
      </c>
      <c r="D385" s="306" t="s">
        <v>121</v>
      </c>
      <c r="E385" s="440"/>
      <c r="F385" s="442">
        <v>77500</v>
      </c>
      <c r="G385" s="394">
        <f t="shared" si="5"/>
        <v>34189663.99927</v>
      </c>
      <c r="H385" s="298" t="s">
        <v>122</v>
      </c>
      <c r="I385" s="304" t="s">
        <v>134</v>
      </c>
      <c r="J385" s="386" t="s">
        <v>157</v>
      </c>
      <c r="K385" s="302" t="s">
        <v>402</v>
      </c>
      <c r="L385" s="302" t="s">
        <v>410</v>
      </c>
      <c r="M385" s="304" t="s">
        <v>685</v>
      </c>
      <c r="N385" s="431" t="s">
        <v>452</v>
      </c>
      <c r="O385" s="303"/>
      <c r="P385" s="287"/>
    </row>
    <row r="386" spans="1:16" s="152" customFormat="1" ht="15" customHeight="1" x14ac:dyDescent="0.25">
      <c r="A386" s="300">
        <v>44285</v>
      </c>
      <c r="B386" s="301" t="s">
        <v>530</v>
      </c>
      <c r="C386" s="309" t="s">
        <v>156</v>
      </c>
      <c r="D386" s="309" t="s">
        <v>175</v>
      </c>
      <c r="E386" s="443"/>
      <c r="F386" s="447">
        <v>1000</v>
      </c>
      <c r="G386" s="394">
        <f t="shared" si="5"/>
        <v>34188663.99927</v>
      </c>
      <c r="H386" s="395" t="s">
        <v>91</v>
      </c>
      <c r="I386" s="304" t="s">
        <v>134</v>
      </c>
      <c r="J386" s="386" t="s">
        <v>400</v>
      </c>
      <c r="K386" s="302" t="s">
        <v>401</v>
      </c>
      <c r="L386" s="302" t="s">
        <v>410</v>
      </c>
      <c r="M386" s="303"/>
      <c r="N386" s="431"/>
      <c r="O386" s="303"/>
      <c r="P386" s="287"/>
    </row>
    <row r="387" spans="1:16" s="152" customFormat="1" ht="15" customHeight="1" x14ac:dyDescent="0.25">
      <c r="A387" s="300">
        <v>44285</v>
      </c>
      <c r="B387" s="305" t="s">
        <v>315</v>
      </c>
      <c r="C387" s="310" t="s">
        <v>72</v>
      </c>
      <c r="D387" s="298" t="s">
        <v>61</v>
      </c>
      <c r="E387" s="540"/>
      <c r="F387" s="540">
        <v>80400</v>
      </c>
      <c r="G387" s="394">
        <f t="shared" si="5"/>
        <v>34108263.99927</v>
      </c>
      <c r="H387" s="298" t="s">
        <v>69</v>
      </c>
      <c r="I387" s="304" t="s">
        <v>134</v>
      </c>
      <c r="J387" s="386" t="s">
        <v>157</v>
      </c>
      <c r="K387" s="302" t="s">
        <v>402</v>
      </c>
      <c r="L387" s="302" t="s">
        <v>410</v>
      </c>
      <c r="M387" s="304" t="s">
        <v>686</v>
      </c>
      <c r="N387" s="431" t="s">
        <v>452</v>
      </c>
      <c r="O387" s="303"/>
    </row>
    <row r="388" spans="1:16" s="152" customFormat="1" ht="15" customHeight="1" x14ac:dyDescent="0.25">
      <c r="A388" s="300">
        <v>44285</v>
      </c>
      <c r="B388" s="310" t="s">
        <v>362</v>
      </c>
      <c r="C388" s="306" t="s">
        <v>73</v>
      </c>
      <c r="D388" s="306" t="s">
        <v>121</v>
      </c>
      <c r="E388" s="438"/>
      <c r="F388" s="540">
        <v>9500</v>
      </c>
      <c r="G388" s="394">
        <f t="shared" si="5"/>
        <v>34098763.99927</v>
      </c>
      <c r="H388" s="301" t="s">
        <v>77</v>
      </c>
      <c r="I388" s="313" t="s">
        <v>75</v>
      </c>
      <c r="J388" s="386" t="s">
        <v>400</v>
      </c>
      <c r="K388" s="302" t="s">
        <v>401</v>
      </c>
      <c r="L388" s="302" t="s">
        <v>410</v>
      </c>
      <c r="M388" s="303"/>
      <c r="N388" s="431"/>
      <c r="O388" s="303"/>
      <c r="P388" s="287"/>
    </row>
    <row r="389" spans="1:16" s="152" customFormat="1" ht="15" customHeight="1" x14ac:dyDescent="0.25">
      <c r="A389" s="300">
        <v>44285</v>
      </c>
      <c r="B389" s="497" t="s">
        <v>466</v>
      </c>
      <c r="C389" s="502" t="s">
        <v>120</v>
      </c>
      <c r="D389" s="502"/>
      <c r="E389" s="535">
        <v>164000</v>
      </c>
      <c r="F389" s="549"/>
      <c r="G389" s="394">
        <f t="shared" si="5"/>
        <v>34262763.99927</v>
      </c>
      <c r="H389" s="497" t="s">
        <v>67</v>
      </c>
      <c r="I389" s="497"/>
      <c r="J389" s="386"/>
      <c r="K389" s="302"/>
      <c r="L389" s="302"/>
      <c r="M389" s="303"/>
      <c r="N389" s="431"/>
      <c r="O389" s="303"/>
      <c r="P389" s="287"/>
    </row>
    <row r="390" spans="1:16" s="152" customFormat="1" ht="15" customHeight="1" x14ac:dyDescent="0.25">
      <c r="A390" s="300">
        <v>44286</v>
      </c>
      <c r="B390" s="513" t="s">
        <v>226</v>
      </c>
      <c r="C390" s="305" t="s">
        <v>28</v>
      </c>
      <c r="D390" s="305" t="s">
        <v>21</v>
      </c>
      <c r="E390" s="547"/>
      <c r="F390" s="535">
        <v>12885</v>
      </c>
      <c r="G390" s="394">
        <f t="shared" si="5"/>
        <v>34249878.99927</v>
      </c>
      <c r="H390" s="493" t="s">
        <v>58</v>
      </c>
      <c r="I390" s="304" t="s">
        <v>29</v>
      </c>
      <c r="J390" s="386" t="s">
        <v>400</v>
      </c>
      <c r="K390" s="302" t="s">
        <v>401</v>
      </c>
      <c r="L390" s="302" t="s">
        <v>410</v>
      </c>
      <c r="M390" s="303"/>
      <c r="N390" s="431"/>
      <c r="O390" s="303"/>
      <c r="P390" s="287"/>
    </row>
    <row r="391" spans="1:16" s="152" customFormat="1" ht="15" customHeight="1" x14ac:dyDescent="0.25">
      <c r="A391" s="300">
        <v>44286</v>
      </c>
      <c r="B391" s="500" t="s">
        <v>241</v>
      </c>
      <c r="C391" s="513" t="s">
        <v>28</v>
      </c>
      <c r="D391" s="513" t="s">
        <v>21</v>
      </c>
      <c r="E391" s="537"/>
      <c r="F391" s="537">
        <v>18476</v>
      </c>
      <c r="G391" s="394">
        <f t="shared" si="5"/>
        <v>34231402.99927</v>
      </c>
      <c r="H391" s="493" t="s">
        <v>59</v>
      </c>
      <c r="I391" s="558" t="s">
        <v>29</v>
      </c>
      <c r="J391" s="386" t="s">
        <v>157</v>
      </c>
      <c r="K391" s="302" t="s">
        <v>402</v>
      </c>
      <c r="L391" s="302" t="s">
        <v>410</v>
      </c>
      <c r="M391" s="304" t="s">
        <v>687</v>
      </c>
      <c r="N391" s="431" t="s">
        <v>403</v>
      </c>
      <c r="O391" s="303"/>
      <c r="P391" s="287"/>
    </row>
    <row r="392" spans="1:16" s="152" customFormat="1" ht="15" customHeight="1" x14ac:dyDescent="0.25">
      <c r="A392" s="300">
        <v>44286</v>
      </c>
      <c r="B392" s="514" t="s">
        <v>444</v>
      </c>
      <c r="C392" s="502" t="s">
        <v>26</v>
      </c>
      <c r="D392" s="502" t="s">
        <v>175</v>
      </c>
      <c r="E392" s="535"/>
      <c r="F392" s="553">
        <v>20000</v>
      </c>
      <c r="G392" s="394">
        <f t="shared" si="5"/>
        <v>34211402.99927</v>
      </c>
      <c r="H392" s="502" t="s">
        <v>62</v>
      </c>
      <c r="I392" s="558" t="s">
        <v>134</v>
      </c>
      <c r="J392" s="386" t="s">
        <v>440</v>
      </c>
      <c r="K392" s="302" t="s">
        <v>401</v>
      </c>
      <c r="L392" s="302" t="s">
        <v>410</v>
      </c>
      <c r="M392" s="303"/>
      <c r="N392" s="431"/>
      <c r="O392" s="303"/>
      <c r="P392" s="287"/>
    </row>
    <row r="393" spans="1:16" s="152" customFormat="1" ht="15" customHeight="1" x14ac:dyDescent="0.25">
      <c r="A393" s="300">
        <v>44286</v>
      </c>
      <c r="B393" s="514" t="s">
        <v>445</v>
      </c>
      <c r="C393" s="310" t="s">
        <v>26</v>
      </c>
      <c r="D393" s="310" t="s">
        <v>175</v>
      </c>
      <c r="E393" s="535"/>
      <c r="F393" s="553">
        <v>20000</v>
      </c>
      <c r="G393" s="394">
        <f t="shared" si="5"/>
        <v>34191402.99927</v>
      </c>
      <c r="H393" s="502" t="s">
        <v>62</v>
      </c>
      <c r="I393" s="304" t="s">
        <v>134</v>
      </c>
      <c r="J393" s="386" t="s">
        <v>440</v>
      </c>
      <c r="K393" s="302" t="s">
        <v>401</v>
      </c>
      <c r="L393" s="302" t="s">
        <v>410</v>
      </c>
      <c r="M393" s="303"/>
      <c r="N393" s="431"/>
      <c r="O393" s="303"/>
      <c r="P393" s="287"/>
    </row>
    <row r="394" spans="1:16" s="152" customFormat="1" ht="15" customHeight="1" x14ac:dyDescent="0.25">
      <c r="A394" s="300">
        <v>44286</v>
      </c>
      <c r="B394" s="511" t="s">
        <v>179</v>
      </c>
      <c r="C394" s="395" t="s">
        <v>120</v>
      </c>
      <c r="D394" s="395"/>
      <c r="E394" s="545">
        <v>70000</v>
      </c>
      <c r="F394" s="541"/>
      <c r="G394" s="394">
        <f t="shared" si="5"/>
        <v>34261402.99927</v>
      </c>
      <c r="H394" s="504" t="s">
        <v>91</v>
      </c>
      <c r="I394" s="395"/>
      <c r="J394" s="313"/>
      <c r="K394" s="302"/>
      <c r="L394" s="302"/>
      <c r="M394" s="303"/>
      <c r="N394" s="431"/>
      <c r="O394" s="303"/>
      <c r="P394" s="287"/>
    </row>
    <row r="395" spans="1:16" s="152" customFormat="1" ht="15" customHeight="1" x14ac:dyDescent="0.25">
      <c r="A395" s="300">
        <v>44286</v>
      </c>
      <c r="B395" s="511" t="s">
        <v>306</v>
      </c>
      <c r="C395" s="310" t="s">
        <v>72</v>
      </c>
      <c r="D395" s="395" t="s">
        <v>19</v>
      </c>
      <c r="E395" s="545"/>
      <c r="F395" s="541">
        <v>15000</v>
      </c>
      <c r="G395" s="394">
        <f t="shared" si="5"/>
        <v>34246402.99927</v>
      </c>
      <c r="H395" s="504" t="s">
        <v>91</v>
      </c>
      <c r="I395" s="313" t="s">
        <v>75</v>
      </c>
      <c r="J395" s="386" t="s">
        <v>157</v>
      </c>
      <c r="K395" s="302" t="s">
        <v>402</v>
      </c>
      <c r="L395" s="302" t="s">
        <v>410</v>
      </c>
      <c r="M395" s="304" t="s">
        <v>688</v>
      </c>
      <c r="N395" s="431" t="s">
        <v>452</v>
      </c>
      <c r="O395" s="303"/>
      <c r="P395" s="287"/>
    </row>
    <row r="396" spans="1:16" s="152" customFormat="1" ht="15" customHeight="1" x14ac:dyDescent="0.25">
      <c r="A396" s="300">
        <v>44286</v>
      </c>
      <c r="B396" s="504" t="s">
        <v>307</v>
      </c>
      <c r="C396" s="502" t="s">
        <v>72</v>
      </c>
      <c r="D396" s="395" t="s">
        <v>19</v>
      </c>
      <c r="E396" s="541"/>
      <c r="F396" s="541">
        <v>77300</v>
      </c>
      <c r="G396" s="394">
        <f t="shared" si="5"/>
        <v>34169102.99927</v>
      </c>
      <c r="H396" s="504" t="s">
        <v>91</v>
      </c>
      <c r="I396" s="304" t="s">
        <v>134</v>
      </c>
      <c r="J396" s="386" t="s">
        <v>157</v>
      </c>
      <c r="K396" s="302" t="s">
        <v>402</v>
      </c>
      <c r="L396" s="302" t="s">
        <v>410</v>
      </c>
      <c r="M396" s="304" t="s">
        <v>689</v>
      </c>
      <c r="N396" s="431" t="s">
        <v>452</v>
      </c>
      <c r="O396" s="303"/>
      <c r="P396" s="287"/>
    </row>
    <row r="397" spans="1:16" s="152" customFormat="1" ht="15" customHeight="1" x14ac:dyDescent="0.25">
      <c r="A397" s="300">
        <v>44286</v>
      </c>
      <c r="B397" s="504" t="s">
        <v>308</v>
      </c>
      <c r="C397" s="502" t="s">
        <v>156</v>
      </c>
      <c r="D397" s="504" t="s">
        <v>19</v>
      </c>
      <c r="E397" s="541"/>
      <c r="F397" s="541">
        <v>60000</v>
      </c>
      <c r="G397" s="394">
        <f t="shared" si="5"/>
        <v>34109102.99927</v>
      </c>
      <c r="H397" s="504" t="s">
        <v>91</v>
      </c>
      <c r="I397" s="560" t="s">
        <v>75</v>
      </c>
      <c r="J397" s="386" t="s">
        <v>157</v>
      </c>
      <c r="K397" s="302" t="s">
        <v>402</v>
      </c>
      <c r="L397" s="302" t="s">
        <v>410</v>
      </c>
      <c r="M397" s="304" t="s">
        <v>690</v>
      </c>
      <c r="N397" s="431" t="s">
        <v>453</v>
      </c>
      <c r="O397" s="303"/>
    </row>
    <row r="398" spans="1:16" s="152" customFormat="1" ht="15" customHeight="1" x14ac:dyDescent="0.25">
      <c r="A398" s="300">
        <v>44286</v>
      </c>
      <c r="B398" s="504" t="s">
        <v>456</v>
      </c>
      <c r="C398" s="504" t="s">
        <v>120</v>
      </c>
      <c r="D398" s="504"/>
      <c r="E398" s="541"/>
      <c r="F398" s="541">
        <v>29000</v>
      </c>
      <c r="G398" s="394">
        <f t="shared" si="5"/>
        <v>34080102.99927</v>
      </c>
      <c r="H398" s="504" t="s">
        <v>91</v>
      </c>
      <c r="I398" s="504"/>
      <c r="J398" s="386"/>
      <c r="K398" s="302"/>
      <c r="L398" s="302"/>
      <c r="M398" s="303"/>
      <c r="N398" s="431"/>
      <c r="O398" s="307"/>
    </row>
    <row r="399" spans="1:16" s="152" customFormat="1" ht="15" customHeight="1" x14ac:dyDescent="0.25">
      <c r="A399" s="300">
        <v>44286</v>
      </c>
      <c r="B399" s="510" t="s">
        <v>167</v>
      </c>
      <c r="C399" s="519" t="s">
        <v>120</v>
      </c>
      <c r="D399" s="529"/>
      <c r="E399" s="541">
        <v>30000</v>
      </c>
      <c r="F399" s="551"/>
      <c r="G399" s="394">
        <f t="shared" ref="G399:G414" si="6">G398+E399-F399</f>
        <v>34110102.99927</v>
      </c>
      <c r="H399" s="529" t="s">
        <v>64</v>
      </c>
      <c r="I399" s="557"/>
      <c r="J399" s="386"/>
      <c r="K399" s="302"/>
      <c r="L399" s="302"/>
      <c r="M399" s="303"/>
      <c r="N399" s="431"/>
      <c r="O399" s="303"/>
    </row>
    <row r="400" spans="1:16" s="152" customFormat="1" ht="15" customHeight="1" x14ac:dyDescent="0.25">
      <c r="A400" s="300">
        <v>44286</v>
      </c>
      <c r="B400" s="572" t="s">
        <v>349</v>
      </c>
      <c r="C400" s="502" t="s">
        <v>701</v>
      </c>
      <c r="D400" s="298" t="s">
        <v>31</v>
      </c>
      <c r="E400" s="532"/>
      <c r="F400" s="532">
        <v>40000</v>
      </c>
      <c r="G400" s="394">
        <f t="shared" si="6"/>
        <v>34070102.99927</v>
      </c>
      <c r="H400" s="555" t="s">
        <v>68</v>
      </c>
      <c r="I400" s="313" t="s">
        <v>75</v>
      </c>
      <c r="J400" s="386" t="s">
        <v>157</v>
      </c>
      <c r="K400" s="302" t="s">
        <v>402</v>
      </c>
      <c r="L400" s="302" t="s">
        <v>410</v>
      </c>
      <c r="M400" s="304" t="s">
        <v>691</v>
      </c>
      <c r="N400" s="431" t="s">
        <v>452</v>
      </c>
      <c r="O400" s="303"/>
    </row>
    <row r="401" spans="1:18" s="152" customFormat="1" ht="15" customHeight="1" x14ac:dyDescent="0.25">
      <c r="A401" s="300">
        <v>44286</v>
      </c>
      <c r="B401" s="572" t="s">
        <v>350</v>
      </c>
      <c r="C401" s="502" t="s">
        <v>156</v>
      </c>
      <c r="D401" s="298" t="s">
        <v>31</v>
      </c>
      <c r="E401" s="532"/>
      <c r="F401" s="532">
        <v>75000</v>
      </c>
      <c r="G401" s="394">
        <f t="shared" si="6"/>
        <v>33995102.99927</v>
      </c>
      <c r="H401" s="555" t="s">
        <v>68</v>
      </c>
      <c r="I401" s="313" t="s">
        <v>75</v>
      </c>
      <c r="J401" s="386" t="s">
        <v>157</v>
      </c>
      <c r="K401" s="302" t="s">
        <v>402</v>
      </c>
      <c r="L401" s="302" t="s">
        <v>410</v>
      </c>
      <c r="M401" s="304" t="s">
        <v>692</v>
      </c>
      <c r="N401" s="431" t="s">
        <v>453</v>
      </c>
      <c r="O401" s="303"/>
    </row>
    <row r="402" spans="1:18" s="152" customFormat="1" ht="15" customHeight="1" x14ac:dyDescent="0.25">
      <c r="A402" s="300">
        <v>44286</v>
      </c>
      <c r="B402" s="572" t="s">
        <v>351</v>
      </c>
      <c r="C402" s="310" t="s">
        <v>72</v>
      </c>
      <c r="D402" s="298" t="s">
        <v>31</v>
      </c>
      <c r="E402" s="532"/>
      <c r="F402" s="532">
        <v>162000</v>
      </c>
      <c r="G402" s="394">
        <f t="shared" si="6"/>
        <v>33833102.99927</v>
      </c>
      <c r="H402" s="555" t="s">
        <v>68</v>
      </c>
      <c r="I402" s="304" t="s">
        <v>134</v>
      </c>
      <c r="J402" s="386" t="s">
        <v>157</v>
      </c>
      <c r="K402" s="302" t="s">
        <v>402</v>
      </c>
      <c r="L402" s="302" t="s">
        <v>410</v>
      </c>
      <c r="M402" s="304" t="s">
        <v>693</v>
      </c>
      <c r="N402" s="431" t="s">
        <v>452</v>
      </c>
      <c r="O402" s="303"/>
    </row>
    <row r="403" spans="1:18" s="152" customFormat="1" ht="15" customHeight="1" x14ac:dyDescent="0.25">
      <c r="A403" s="300">
        <v>44286</v>
      </c>
      <c r="B403" s="493" t="s">
        <v>529</v>
      </c>
      <c r="C403" s="301" t="s">
        <v>76</v>
      </c>
      <c r="D403" s="298" t="s">
        <v>31</v>
      </c>
      <c r="E403" s="532"/>
      <c r="F403" s="532">
        <v>58000</v>
      </c>
      <c r="G403" s="394">
        <f t="shared" si="6"/>
        <v>33775102.99927</v>
      </c>
      <c r="H403" s="555" t="s">
        <v>68</v>
      </c>
      <c r="I403" s="304" t="s">
        <v>134</v>
      </c>
      <c r="J403" s="387" t="s">
        <v>400</v>
      </c>
      <c r="K403" s="302" t="s">
        <v>401</v>
      </c>
      <c r="L403" s="302" t="s">
        <v>410</v>
      </c>
      <c r="M403" s="303"/>
      <c r="N403" s="431"/>
      <c r="O403" s="303"/>
      <c r="P403" s="287"/>
    </row>
    <row r="404" spans="1:18" s="152" customFormat="1" ht="15" customHeight="1" x14ac:dyDescent="0.25">
      <c r="A404" s="300">
        <v>44286</v>
      </c>
      <c r="B404" s="502" t="s">
        <v>363</v>
      </c>
      <c r="C404" s="310" t="s">
        <v>72</v>
      </c>
      <c r="D404" s="306" t="s">
        <v>121</v>
      </c>
      <c r="E404" s="537"/>
      <c r="F404" s="537">
        <v>65000</v>
      </c>
      <c r="G404" s="394">
        <f t="shared" si="6"/>
        <v>33710102.99927</v>
      </c>
      <c r="H404" s="493" t="s">
        <v>77</v>
      </c>
      <c r="I404" s="304" t="s">
        <v>134</v>
      </c>
      <c r="J404" s="386" t="s">
        <v>157</v>
      </c>
      <c r="K404" s="302" t="s">
        <v>402</v>
      </c>
      <c r="L404" s="302" t="s">
        <v>410</v>
      </c>
      <c r="M404" s="304" t="s">
        <v>694</v>
      </c>
      <c r="N404" s="431" t="s">
        <v>452</v>
      </c>
      <c r="O404" s="303"/>
      <c r="P404" s="287"/>
    </row>
    <row r="405" spans="1:18" s="152" customFormat="1" ht="15" customHeight="1" x14ac:dyDescent="0.25">
      <c r="A405" s="300">
        <v>44286</v>
      </c>
      <c r="B405" s="502" t="s">
        <v>364</v>
      </c>
      <c r="C405" s="519" t="s">
        <v>73</v>
      </c>
      <c r="D405" s="519" t="s">
        <v>121</v>
      </c>
      <c r="E405" s="537"/>
      <c r="F405" s="537">
        <v>21500</v>
      </c>
      <c r="G405" s="394">
        <f t="shared" si="6"/>
        <v>33688602.99927</v>
      </c>
      <c r="H405" s="493" t="s">
        <v>77</v>
      </c>
      <c r="I405" s="558" t="s">
        <v>134</v>
      </c>
      <c r="J405" s="386" t="s">
        <v>400</v>
      </c>
      <c r="K405" s="302" t="s">
        <v>401</v>
      </c>
      <c r="L405" s="302" t="s">
        <v>410</v>
      </c>
      <c r="M405" s="303"/>
      <c r="N405" s="431"/>
      <c r="O405" s="303"/>
      <c r="P405" s="287"/>
    </row>
    <row r="406" spans="1:18" s="152" customFormat="1" ht="15" customHeight="1" x14ac:dyDescent="0.25">
      <c r="A406" s="300">
        <v>44286</v>
      </c>
      <c r="B406" s="515" t="s">
        <v>378</v>
      </c>
      <c r="C406" s="502" t="s">
        <v>72</v>
      </c>
      <c r="D406" s="513" t="s">
        <v>31</v>
      </c>
      <c r="E406" s="548"/>
      <c r="F406" s="554">
        <v>76500</v>
      </c>
      <c r="G406" s="394">
        <f t="shared" si="6"/>
        <v>33612102.99927</v>
      </c>
      <c r="H406" s="497" t="s">
        <v>67</v>
      </c>
      <c r="I406" s="558" t="s">
        <v>134</v>
      </c>
      <c r="J406" s="386" t="s">
        <v>157</v>
      </c>
      <c r="K406" s="302" t="s">
        <v>402</v>
      </c>
      <c r="L406" s="302" t="s">
        <v>410</v>
      </c>
      <c r="M406" s="304" t="s">
        <v>695</v>
      </c>
      <c r="N406" s="431" t="s">
        <v>452</v>
      </c>
      <c r="O406" s="303"/>
      <c r="P406" s="287"/>
    </row>
    <row r="407" spans="1:18" s="152" customFormat="1" ht="15" customHeight="1" x14ac:dyDescent="0.25">
      <c r="A407" s="300">
        <v>44286</v>
      </c>
      <c r="B407" s="497" t="s">
        <v>379</v>
      </c>
      <c r="C407" s="302" t="s">
        <v>76</v>
      </c>
      <c r="D407" s="513" t="s">
        <v>31</v>
      </c>
      <c r="E407" s="548"/>
      <c r="F407" s="554">
        <v>14000</v>
      </c>
      <c r="G407" s="394">
        <f t="shared" si="6"/>
        <v>33598102.99927</v>
      </c>
      <c r="H407" s="497" t="s">
        <v>67</v>
      </c>
      <c r="I407" s="304" t="s">
        <v>134</v>
      </c>
      <c r="J407" s="386" t="s">
        <v>400</v>
      </c>
      <c r="K407" s="302" t="s">
        <v>401</v>
      </c>
      <c r="L407" s="302" t="s">
        <v>410</v>
      </c>
      <c r="M407" s="303"/>
      <c r="N407" s="431"/>
      <c r="O407" s="303"/>
      <c r="P407" s="287"/>
    </row>
    <row r="408" spans="1:18" s="152" customFormat="1" ht="15" customHeight="1" x14ac:dyDescent="0.25">
      <c r="A408" s="300">
        <v>44286</v>
      </c>
      <c r="B408" s="500" t="s">
        <v>380</v>
      </c>
      <c r="C408" s="310" t="s">
        <v>72</v>
      </c>
      <c r="D408" s="502" t="s">
        <v>19</v>
      </c>
      <c r="E408" s="535"/>
      <c r="F408" s="535">
        <v>49000</v>
      </c>
      <c r="G408" s="394">
        <f t="shared" si="6"/>
        <v>33549102.99927</v>
      </c>
      <c r="H408" s="557" t="s">
        <v>142</v>
      </c>
      <c r="I408" s="304" t="s">
        <v>134</v>
      </c>
      <c r="J408" s="387" t="s">
        <v>157</v>
      </c>
      <c r="K408" s="302" t="s">
        <v>402</v>
      </c>
      <c r="L408" s="302" t="s">
        <v>410</v>
      </c>
      <c r="M408" s="304" t="s">
        <v>696</v>
      </c>
      <c r="N408" s="431" t="s">
        <v>452</v>
      </c>
      <c r="O408" s="303"/>
    </row>
    <row r="409" spans="1:18" s="152" customFormat="1" ht="15" customHeight="1" x14ac:dyDescent="0.25">
      <c r="A409" s="300">
        <v>44286</v>
      </c>
      <c r="B409" s="411" t="s">
        <v>394</v>
      </c>
      <c r="C409" s="310" t="s">
        <v>156</v>
      </c>
      <c r="D409" s="411" t="s">
        <v>19</v>
      </c>
      <c r="E409" s="450"/>
      <c r="F409" s="450">
        <v>60000</v>
      </c>
      <c r="G409" s="394">
        <f t="shared" si="6"/>
        <v>33489102.99927</v>
      </c>
      <c r="H409" s="412" t="s">
        <v>184</v>
      </c>
      <c r="I409" s="313" t="s">
        <v>75</v>
      </c>
      <c r="J409" s="387" t="s">
        <v>157</v>
      </c>
      <c r="K409" s="302" t="s">
        <v>402</v>
      </c>
      <c r="L409" s="302" t="s">
        <v>410</v>
      </c>
      <c r="M409" s="304" t="s">
        <v>697</v>
      </c>
      <c r="N409" s="431" t="s">
        <v>453</v>
      </c>
      <c r="O409" s="303"/>
      <c r="P409" s="287"/>
    </row>
    <row r="410" spans="1:18" s="152" customFormat="1" ht="15" customHeight="1" x14ac:dyDescent="0.25">
      <c r="A410" s="300">
        <v>44286</v>
      </c>
      <c r="B410" s="413" t="s">
        <v>396</v>
      </c>
      <c r="C410" s="411" t="s">
        <v>120</v>
      </c>
      <c r="D410" s="414"/>
      <c r="E410" s="450">
        <v>29000</v>
      </c>
      <c r="F410" s="450"/>
      <c r="G410" s="394">
        <f t="shared" si="6"/>
        <v>33518102.99927</v>
      </c>
      <c r="H410" s="412" t="s">
        <v>184</v>
      </c>
      <c r="I410" s="412"/>
      <c r="J410" s="386"/>
      <c r="K410" s="302"/>
      <c r="L410" s="302"/>
      <c r="M410" s="303"/>
      <c r="N410" s="431"/>
      <c r="O410" s="303"/>
      <c r="P410" s="287"/>
    </row>
    <row r="411" spans="1:18" s="152" customFormat="1" ht="15" customHeight="1" x14ac:dyDescent="0.25">
      <c r="A411" s="300">
        <v>44286</v>
      </c>
      <c r="B411" s="410" t="s">
        <v>397</v>
      </c>
      <c r="C411" s="310" t="s">
        <v>72</v>
      </c>
      <c r="D411" s="414" t="s">
        <v>19</v>
      </c>
      <c r="E411" s="450"/>
      <c r="F411" s="450">
        <v>31700</v>
      </c>
      <c r="G411" s="394">
        <f t="shared" si="6"/>
        <v>33486402.99927</v>
      </c>
      <c r="H411" s="412" t="s">
        <v>184</v>
      </c>
      <c r="I411" s="304" t="s">
        <v>134</v>
      </c>
      <c r="J411" s="387" t="s">
        <v>157</v>
      </c>
      <c r="K411" s="302" t="s">
        <v>402</v>
      </c>
      <c r="L411" s="302" t="s">
        <v>410</v>
      </c>
      <c r="M411" s="304" t="s">
        <v>698</v>
      </c>
      <c r="N411" s="431" t="s">
        <v>452</v>
      </c>
      <c r="O411" s="303"/>
    </row>
    <row r="412" spans="1:18" ht="15" customHeight="1" x14ac:dyDescent="0.25">
      <c r="A412" s="300">
        <v>44286</v>
      </c>
      <c r="B412" s="410" t="s">
        <v>398</v>
      </c>
      <c r="C412" s="310" t="s">
        <v>72</v>
      </c>
      <c r="D412" s="414" t="s">
        <v>19</v>
      </c>
      <c r="E412" s="450"/>
      <c r="F412" s="450">
        <v>15000</v>
      </c>
      <c r="G412" s="394">
        <f t="shared" si="6"/>
        <v>33471402.99927</v>
      </c>
      <c r="H412" s="412" t="s">
        <v>184</v>
      </c>
      <c r="I412" s="313" t="s">
        <v>75</v>
      </c>
      <c r="J412" s="387" t="s">
        <v>157</v>
      </c>
      <c r="K412" s="302" t="s">
        <v>402</v>
      </c>
      <c r="L412" s="302" t="s">
        <v>410</v>
      </c>
      <c r="M412" s="304" t="s">
        <v>699</v>
      </c>
      <c r="N412" s="431" t="s">
        <v>452</v>
      </c>
      <c r="O412" s="303"/>
      <c r="P412" s="287"/>
      <c r="Q412" s="287"/>
      <c r="R412" s="287"/>
    </row>
    <row r="413" spans="1:18" ht="15" customHeight="1" x14ac:dyDescent="0.25">
      <c r="A413" s="300">
        <v>44286</v>
      </c>
      <c r="B413" s="298" t="s">
        <v>144</v>
      </c>
      <c r="C413" s="305" t="s">
        <v>120</v>
      </c>
      <c r="D413" s="300"/>
      <c r="E413" s="449"/>
      <c r="F413" s="449">
        <v>0</v>
      </c>
      <c r="G413" s="394">
        <f t="shared" si="6"/>
        <v>33471402.99927</v>
      </c>
      <c r="H413" s="302" t="s">
        <v>129</v>
      </c>
      <c r="I413" s="313"/>
      <c r="J413" s="386"/>
      <c r="K413" s="302"/>
      <c r="L413" s="302"/>
      <c r="M413" s="303"/>
      <c r="N413" s="431"/>
      <c r="O413" s="303"/>
      <c r="P413" s="287"/>
      <c r="Q413" s="269"/>
    </row>
    <row r="414" spans="1:18" s="152" customFormat="1" ht="15" customHeight="1" x14ac:dyDescent="0.25">
      <c r="A414" s="300">
        <v>44286</v>
      </c>
      <c r="B414" s="298" t="s">
        <v>145</v>
      </c>
      <c r="C414" s="305" t="s">
        <v>120</v>
      </c>
      <c r="D414" s="300"/>
      <c r="E414" s="451"/>
      <c r="F414" s="451">
        <v>0</v>
      </c>
      <c r="G414" s="394">
        <f t="shared" si="6"/>
        <v>33471402.99927</v>
      </c>
      <c r="H414" s="302" t="s">
        <v>130</v>
      </c>
      <c r="I414" s="308"/>
      <c r="J414" s="387"/>
      <c r="K414" s="302"/>
      <c r="L414" s="302"/>
      <c r="M414" s="303"/>
      <c r="N414" s="431"/>
      <c r="O414" s="307"/>
    </row>
    <row r="415" spans="1:18" s="208" customFormat="1" ht="22.5" customHeight="1" x14ac:dyDescent="0.3">
      <c r="A415" s="210"/>
      <c r="B415" s="210"/>
      <c r="C415" s="210"/>
      <c r="D415" s="210"/>
      <c r="E415" s="215"/>
      <c r="F415" s="380"/>
      <c r="G415" s="211"/>
      <c r="H415" s="211"/>
      <c r="I415" s="219"/>
      <c r="J415" s="212"/>
      <c r="K415" s="210"/>
      <c r="L415" s="210"/>
      <c r="M415" s="210"/>
      <c r="N415" s="210"/>
      <c r="O415" s="210"/>
      <c r="P415" s="210"/>
    </row>
  </sheetData>
  <autoFilter ref="A11:GT415" xr:uid="{00000000-0009-0000-0000-000003000000}"/>
  <sortState xmlns:xlrd2="http://schemas.microsoft.com/office/spreadsheetml/2017/richdata2" ref="A12:O412">
    <sortCondition ref="A12:A412"/>
  </sortState>
  <mergeCells count="1">
    <mergeCell ref="A1:O1"/>
  </mergeCells>
  <dataValidations count="16">
    <dataValidation type="list" allowBlank="1" showInputMessage="1" showErrorMessage="1" sqref="C263 C256:C257 C266 C251" xr:uid="{00000000-0002-0000-0300-000000000000}">
      <formula1>$N$11:$N$18</formula1>
    </dataValidation>
    <dataValidation type="list" allowBlank="1" showInputMessage="1" showErrorMessage="1" sqref="C283" xr:uid="{00000000-0002-0000-0300-000001000000}">
      <formula1>$N$4024:$N$4044</formula1>
    </dataValidation>
    <dataValidation type="list" showInputMessage="1" showErrorMessage="1" sqref="C300 C235" xr:uid="{00000000-0002-0000-0300-000002000000}">
      <formula1>$J$526:$J$546</formula1>
    </dataValidation>
    <dataValidation type="list" showInputMessage="1" showErrorMessage="1" sqref="C299" xr:uid="{00000000-0002-0000-0300-000003000000}">
      <formula1>$J$529:$J$549</formula1>
    </dataValidation>
    <dataValidation type="list" showInputMessage="1" showErrorMessage="1" sqref="C290:C292 C288" xr:uid="{00000000-0002-0000-0300-000004000000}">
      <formula1>$N$620:$N$640</formula1>
    </dataValidation>
    <dataValidation type="list" allowBlank="1" showInputMessage="1" showErrorMessage="1" sqref="C334" xr:uid="{00000000-0002-0000-0300-000005000000}">
      <formula1>$N$3994:$N$4014</formula1>
    </dataValidation>
    <dataValidation type="list" allowBlank="1" showInputMessage="1" showErrorMessage="1" sqref="C379" xr:uid="{00000000-0002-0000-0300-000006000000}">
      <formula1>$N$22:$N$873</formula1>
    </dataValidation>
    <dataValidation type="list" allowBlank="1" showInputMessage="1" showErrorMessage="1" sqref="C181 C321:C325 C296:C298 C275:C281 C258:C260 C250 C231:C232 C183:C193 C407:C409 C402:C404 C393:C395 C386:C387 C376:C378 C373:C374 C368:C371 C365:C366 C359:C363 C355:C357 C353 C331:C333 C328:C329 C270:C271 C310:C311 C305:C308 C302:C303 C294 C286:C287 C264 C246 C238:C241 C234 C228:C229 C221:C222 C201:C204 C411:C412 C236 C252 C313:C318 C212:C216" xr:uid="{00000000-0002-0000-0300-000007000000}">
      <formula1>$N$20:$N$702</formula1>
    </dataValidation>
    <dataValidation type="list" allowBlank="1" showInputMessage="1" showErrorMessage="1" sqref="C269 C320" xr:uid="{00000000-0002-0000-0300-000008000000}">
      <formula1>$N$4038:$N$4058</formula1>
    </dataValidation>
    <dataValidation type="list" allowBlank="1" showInputMessage="1" showErrorMessage="1" sqref="C82 C66" xr:uid="{00000000-0002-0000-0300-000009000000}">
      <formula1>$N$4029:$N$4049</formula1>
    </dataValidation>
    <dataValidation type="list" allowBlank="1" showInputMessage="1" showErrorMessage="1" sqref="C268 C217 C273 C282 C198:C199 C208:C210" xr:uid="{00000000-0002-0000-0300-00000A000000}">
      <formula1>$L$7:$L$10</formula1>
    </dataValidation>
    <dataValidation type="list" allowBlank="1" showInputMessage="1" showErrorMessage="1" sqref="C244:C245 C261:C262 C265 C267 C253:C255 C249" xr:uid="{00000000-0002-0000-0300-00000B000000}">
      <formula1>$N$4043:$N$4063</formula1>
    </dataValidation>
    <dataValidation type="list" allowBlank="1" showInputMessage="1" showErrorMessage="1" sqref="C68 C158" xr:uid="{00000000-0002-0000-0300-00000C000000}">
      <formula1>$N$3914:$N$3934</formula1>
    </dataValidation>
    <dataValidation type="list" allowBlank="1" showInputMessage="1" showErrorMessage="1" sqref="C73 C178 C173 C150 C146 C140 C137 C134 C128 C117" xr:uid="{00000000-0002-0000-0300-00000D000000}">
      <formula1>$N$20:$N$592</formula1>
    </dataValidation>
    <dataValidation type="list" allowBlank="1" showInputMessage="1" showErrorMessage="1" sqref="C44" xr:uid="{00000000-0002-0000-0300-00000E000000}">
      <formula1>$N$27:$N$678</formula1>
    </dataValidation>
    <dataValidation type="list" allowBlank="1" showInputMessage="1" showErrorMessage="1" sqref="C336 C354 C351:C352 C349 C345:C347 C340 C338" xr:uid="{00000000-0002-0000-0300-00000F000000}">
      <formula1>$N$3925:$N$3945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L43"/>
  <sheetViews>
    <sheetView topLeftCell="A8" workbookViewId="0">
      <selection activeCell="K8" sqref="K8"/>
    </sheetView>
  </sheetViews>
  <sheetFormatPr baseColWidth="10" defaultColWidth="11.42578125" defaultRowHeight="15" x14ac:dyDescent="0.25"/>
  <cols>
    <col min="1" max="1" width="7.42578125" customWidth="1"/>
    <col min="2" max="2" width="2.5703125" customWidth="1"/>
    <col min="3" max="3" width="13" customWidth="1"/>
    <col min="4" max="4" width="29.85546875" customWidth="1"/>
    <col min="5" max="5" width="11.7109375" customWidth="1"/>
    <col min="6" max="6" width="7.42578125" customWidth="1"/>
    <col min="7" max="7" width="0.140625" customWidth="1"/>
    <col min="8" max="8" width="13.42578125" customWidth="1"/>
    <col min="9" max="9" width="14.42578125" customWidth="1"/>
    <col min="10" max="10" width="9.85546875" style="1" customWidth="1"/>
    <col min="11" max="11" width="11.85546875" customWidth="1"/>
    <col min="13" max="13" width="13.85546875" bestFit="1" customWidth="1"/>
  </cols>
  <sheetData>
    <row r="1" spans="1:12" x14ac:dyDescent="0.25">
      <c r="A1" s="33"/>
      <c r="B1" s="33"/>
      <c r="C1" s="33"/>
      <c r="D1" s="33"/>
      <c r="E1" s="33"/>
      <c r="F1" s="33"/>
      <c r="G1" s="33"/>
      <c r="H1" s="33"/>
      <c r="I1" s="1"/>
      <c r="J1"/>
    </row>
    <row r="2" spans="1:12" x14ac:dyDescent="0.25">
      <c r="A2" s="33"/>
      <c r="B2" s="33"/>
      <c r="C2" s="33"/>
      <c r="D2" s="33"/>
      <c r="E2" s="33"/>
      <c r="F2" s="33"/>
      <c r="G2" s="33"/>
      <c r="H2" s="33"/>
      <c r="I2" s="1"/>
      <c r="J2"/>
    </row>
    <row r="3" spans="1:12" x14ac:dyDescent="0.25">
      <c r="A3" s="33"/>
      <c r="B3" s="33"/>
      <c r="C3" s="33"/>
      <c r="D3" s="33"/>
      <c r="E3" s="33"/>
      <c r="F3" s="33"/>
      <c r="G3" s="33"/>
      <c r="H3" s="33"/>
      <c r="I3" s="1"/>
      <c r="J3"/>
    </row>
    <row r="4" spans="1:12" x14ac:dyDescent="0.25">
      <c r="A4" s="34"/>
      <c r="B4" s="35"/>
      <c r="C4" s="35"/>
      <c r="D4" s="35"/>
      <c r="E4" s="35"/>
      <c r="F4" s="35"/>
      <c r="G4" s="35"/>
      <c r="H4" s="35"/>
      <c r="I4" s="1"/>
      <c r="J4"/>
    </row>
    <row r="5" spans="1:12" x14ac:dyDescent="0.25">
      <c r="A5" s="36" t="s">
        <v>32</v>
      </c>
      <c r="B5" s="35"/>
      <c r="C5" s="35"/>
      <c r="D5" s="35"/>
      <c r="E5" s="35"/>
      <c r="F5" s="35"/>
      <c r="G5" s="35"/>
      <c r="H5" s="35"/>
      <c r="I5" s="1"/>
      <c r="J5"/>
    </row>
    <row r="6" spans="1:12" x14ac:dyDescent="0.25">
      <c r="A6" s="37" t="s">
        <v>33</v>
      </c>
      <c r="B6" s="38" t="s">
        <v>34</v>
      </c>
      <c r="C6" s="38"/>
      <c r="D6" s="39"/>
      <c r="E6" s="38"/>
      <c r="F6" s="38"/>
      <c r="G6" s="38"/>
      <c r="H6" s="35"/>
      <c r="I6" s="1"/>
      <c r="J6"/>
    </row>
    <row r="7" spans="1:12" x14ac:dyDescent="0.25">
      <c r="A7" s="38"/>
      <c r="B7" s="38"/>
      <c r="C7" s="38"/>
      <c r="D7" s="38"/>
      <c r="E7" s="38"/>
      <c r="F7" s="38"/>
      <c r="G7" s="38"/>
      <c r="H7" s="35"/>
      <c r="I7" s="1"/>
      <c r="J7"/>
    </row>
    <row r="8" spans="1:12" x14ac:dyDescent="0.25">
      <c r="A8" s="2" t="s">
        <v>0</v>
      </c>
      <c r="B8" s="2"/>
      <c r="C8" s="3"/>
      <c r="D8" s="3"/>
      <c r="E8" s="3"/>
      <c r="F8" s="3"/>
      <c r="G8" s="3"/>
      <c r="H8" s="3"/>
      <c r="I8" s="3"/>
      <c r="J8" s="4"/>
      <c r="L8" s="3"/>
    </row>
    <row r="9" spans="1:12" x14ac:dyDescent="0.25">
      <c r="A9" s="5"/>
      <c r="B9" s="5"/>
      <c r="C9" s="6" t="s">
        <v>1</v>
      </c>
      <c r="D9" s="6"/>
      <c r="E9" s="7"/>
      <c r="F9" s="7"/>
      <c r="G9" s="7"/>
      <c r="H9" s="7"/>
      <c r="I9" s="8"/>
      <c r="J9" s="9"/>
      <c r="K9" s="7"/>
      <c r="L9" s="7"/>
    </row>
    <row r="10" spans="1:12" ht="15.75" x14ac:dyDescent="0.25">
      <c r="A10" s="5"/>
      <c r="B10" s="5"/>
      <c r="C10" s="315" t="s">
        <v>24</v>
      </c>
      <c r="D10" s="315"/>
      <c r="E10" s="7"/>
      <c r="F10" s="7"/>
      <c r="G10" s="7"/>
      <c r="H10" s="7"/>
      <c r="I10" s="8"/>
      <c r="J10" s="9"/>
      <c r="K10" s="7"/>
      <c r="L10" s="7"/>
    </row>
    <row r="11" spans="1:12" x14ac:dyDescent="0.25">
      <c r="A11" s="5"/>
      <c r="B11" s="5"/>
      <c r="C11" s="6" t="s">
        <v>3</v>
      </c>
      <c r="D11" s="6"/>
      <c r="E11" s="7"/>
      <c r="F11" s="7"/>
      <c r="G11" s="7"/>
      <c r="H11" s="7"/>
      <c r="I11" s="8"/>
      <c r="J11" s="9"/>
      <c r="K11" s="7"/>
      <c r="L11" s="7"/>
    </row>
    <row r="12" spans="1:12" x14ac:dyDescent="0.25">
      <c r="A12" s="5"/>
      <c r="B12" s="5"/>
      <c r="C12" s="7"/>
      <c r="D12" s="10"/>
      <c r="E12" s="11"/>
      <c r="F12" s="11"/>
      <c r="G12" s="11"/>
      <c r="H12" s="11"/>
      <c r="I12" s="8"/>
      <c r="J12" s="9"/>
      <c r="K12" s="12"/>
      <c r="L12" s="7"/>
    </row>
    <row r="13" spans="1:12" x14ac:dyDescent="0.25">
      <c r="A13" s="5"/>
      <c r="B13" s="5"/>
      <c r="C13" s="7"/>
      <c r="D13" s="10"/>
      <c r="E13" s="13" t="s">
        <v>481</v>
      </c>
      <c r="F13" s="13"/>
      <c r="G13" s="13"/>
      <c r="H13" s="13"/>
      <c r="I13" s="7"/>
      <c r="J13" s="14"/>
      <c r="K13" s="12"/>
      <c r="L13" s="7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4"/>
      <c r="K14" s="3"/>
      <c r="L14" s="3"/>
    </row>
    <row r="15" spans="1:12" ht="25.5" customHeight="1" x14ac:dyDescent="0.25">
      <c r="A15" s="15" t="s">
        <v>4</v>
      </c>
      <c r="B15" s="16" t="s">
        <v>5</v>
      </c>
      <c r="C15" s="17" t="s">
        <v>6</v>
      </c>
      <c r="D15" s="18" t="s">
        <v>7</v>
      </c>
      <c r="E15" s="18" t="s">
        <v>8</v>
      </c>
      <c r="F15" s="18" t="s">
        <v>9</v>
      </c>
      <c r="G15" s="19" t="s">
        <v>10</v>
      </c>
      <c r="H15" s="18" t="s">
        <v>11</v>
      </c>
      <c r="I15" s="20" t="s">
        <v>25</v>
      </c>
      <c r="J15" s="21" t="s">
        <v>13</v>
      </c>
      <c r="K15" s="22" t="s">
        <v>14</v>
      </c>
    </row>
    <row r="16" spans="1:12" x14ac:dyDescent="0.25">
      <c r="A16" s="30">
        <v>44256</v>
      </c>
      <c r="B16" s="28"/>
      <c r="C16" s="31"/>
      <c r="D16" s="28" t="s">
        <v>482</v>
      </c>
      <c r="E16" s="28"/>
      <c r="F16" s="28"/>
      <c r="G16" s="28"/>
      <c r="H16" s="46">
        <f>'[26]Compte principal 34 banque'!$H$30</f>
        <v>10113263</v>
      </c>
      <c r="I16" s="32"/>
      <c r="J16" s="133">
        <f>+H16</f>
        <v>10113263</v>
      </c>
      <c r="K16" s="23"/>
    </row>
    <row r="17" spans="1:12" x14ac:dyDescent="0.25">
      <c r="A17" s="30">
        <v>44257</v>
      </c>
      <c r="B17" s="27"/>
      <c r="C17" s="460">
        <v>3654433</v>
      </c>
      <c r="D17" s="28" t="s">
        <v>220</v>
      </c>
      <c r="E17" s="27" t="s">
        <v>120</v>
      </c>
      <c r="F17" s="27"/>
      <c r="G17" s="238"/>
      <c r="H17" s="286"/>
      <c r="I17" s="132">
        <v>1000000</v>
      </c>
      <c r="J17" s="133">
        <f>+J16+H17-I17</f>
        <v>9113263</v>
      </c>
      <c r="K17" s="23"/>
    </row>
    <row r="18" spans="1:12" x14ac:dyDescent="0.25">
      <c r="A18" s="30">
        <v>44263</v>
      </c>
      <c r="B18" s="27"/>
      <c r="C18" s="460">
        <v>3654435</v>
      </c>
      <c r="D18" s="28" t="s">
        <v>221</v>
      </c>
      <c r="E18" s="27" t="s">
        <v>120</v>
      </c>
      <c r="F18" s="27"/>
      <c r="H18" s="25"/>
      <c r="I18" s="132">
        <v>1000000</v>
      </c>
      <c r="J18" s="133">
        <f t="shared" ref="J18:J26" si="0">+J17+H18-I18</f>
        <v>8113263</v>
      </c>
      <c r="K18" s="23"/>
    </row>
    <row r="19" spans="1:12" x14ac:dyDescent="0.25">
      <c r="A19" s="30">
        <v>44271</v>
      </c>
      <c r="B19" s="27"/>
      <c r="C19" s="460">
        <v>3654434</v>
      </c>
      <c r="D19" s="28" t="s">
        <v>222</v>
      </c>
      <c r="E19" s="27" t="s">
        <v>120</v>
      </c>
      <c r="F19" s="27"/>
      <c r="H19" s="25"/>
      <c r="I19" s="132">
        <v>1000000</v>
      </c>
      <c r="J19" s="133">
        <f t="shared" si="0"/>
        <v>7113263</v>
      </c>
      <c r="K19" s="23"/>
    </row>
    <row r="20" spans="1:12" x14ac:dyDescent="0.25">
      <c r="A20" s="30">
        <v>44271</v>
      </c>
      <c r="B20" s="27"/>
      <c r="C20" s="460" t="s">
        <v>133</v>
      </c>
      <c r="D20" s="28" t="s">
        <v>483</v>
      </c>
      <c r="E20" s="27" t="s">
        <v>17</v>
      </c>
      <c r="F20" s="27" t="s">
        <v>21</v>
      </c>
      <c r="G20" s="490"/>
      <c r="H20" s="46"/>
      <c r="I20" s="132">
        <v>143000</v>
      </c>
      <c r="J20" s="133">
        <f t="shared" si="0"/>
        <v>6970263</v>
      </c>
      <c r="K20" s="23"/>
    </row>
    <row r="21" spans="1:12" x14ac:dyDescent="0.25">
      <c r="A21" s="30">
        <v>44273</v>
      </c>
      <c r="B21" s="27"/>
      <c r="C21" s="460">
        <v>3654436</v>
      </c>
      <c r="D21" s="28" t="s">
        <v>223</v>
      </c>
      <c r="E21" s="27" t="s">
        <v>120</v>
      </c>
      <c r="F21" s="27"/>
      <c r="I21" s="132">
        <v>1000000</v>
      </c>
      <c r="J21" s="133">
        <f t="shared" si="0"/>
        <v>5970263</v>
      </c>
      <c r="K21" s="23"/>
    </row>
    <row r="22" spans="1:12" x14ac:dyDescent="0.25">
      <c r="A22" s="30">
        <v>44279</v>
      </c>
      <c r="B22" s="27"/>
      <c r="C22" s="460">
        <v>3654437</v>
      </c>
      <c r="D22" s="28" t="s">
        <v>224</v>
      </c>
      <c r="E22" s="27" t="s">
        <v>120</v>
      </c>
      <c r="F22" s="27"/>
      <c r="G22" s="27"/>
      <c r="H22" s="203"/>
      <c r="I22" s="132">
        <v>1000000</v>
      </c>
      <c r="J22" s="133">
        <f t="shared" si="0"/>
        <v>4970263</v>
      </c>
      <c r="K22" s="23"/>
    </row>
    <row r="23" spans="1:12" x14ac:dyDescent="0.25">
      <c r="A23" s="30">
        <v>44284</v>
      </c>
      <c r="B23" s="27"/>
      <c r="C23" s="460">
        <v>3654438</v>
      </c>
      <c r="D23" s="28" t="s">
        <v>225</v>
      </c>
      <c r="E23" s="27" t="s">
        <v>120</v>
      </c>
      <c r="F23" s="27"/>
      <c r="G23" s="27"/>
      <c r="H23" s="203"/>
      <c r="I23" s="132">
        <v>2000000</v>
      </c>
      <c r="J23" s="133">
        <f t="shared" si="0"/>
        <v>2970263</v>
      </c>
      <c r="K23" s="23"/>
    </row>
    <row r="24" spans="1:12" x14ac:dyDescent="0.25">
      <c r="A24" s="30">
        <v>44256</v>
      </c>
      <c r="B24" s="27"/>
      <c r="C24" s="460" t="s">
        <v>29</v>
      </c>
      <c r="D24" s="28" t="s">
        <v>484</v>
      </c>
      <c r="E24" s="27" t="s">
        <v>28</v>
      </c>
      <c r="F24" s="27" t="s">
        <v>21</v>
      </c>
      <c r="G24" s="238"/>
      <c r="H24" s="286"/>
      <c r="I24" s="132">
        <v>2811</v>
      </c>
      <c r="J24" s="133">
        <f t="shared" si="0"/>
        <v>2967452</v>
      </c>
      <c r="K24" s="23"/>
    </row>
    <row r="25" spans="1:12" x14ac:dyDescent="0.25">
      <c r="A25" s="30">
        <v>44263</v>
      </c>
      <c r="B25" s="27"/>
      <c r="C25" s="460" t="s">
        <v>29</v>
      </c>
      <c r="D25" s="28" t="s">
        <v>485</v>
      </c>
      <c r="E25" s="27" t="s">
        <v>28</v>
      </c>
      <c r="F25" s="27" t="s">
        <v>21</v>
      </c>
      <c r="G25" s="238"/>
      <c r="H25" s="286"/>
      <c r="I25" s="132">
        <v>8644</v>
      </c>
      <c r="J25" s="133">
        <f t="shared" si="0"/>
        <v>2958808</v>
      </c>
      <c r="K25" s="23"/>
    </row>
    <row r="26" spans="1:12" x14ac:dyDescent="0.25">
      <c r="A26" s="30">
        <v>44272</v>
      </c>
      <c r="B26" s="27"/>
      <c r="C26" s="460" t="s">
        <v>29</v>
      </c>
      <c r="D26" s="28" t="s">
        <v>486</v>
      </c>
      <c r="E26" s="27" t="s">
        <v>28</v>
      </c>
      <c r="F26" s="27" t="s">
        <v>21</v>
      </c>
      <c r="G26" s="238"/>
      <c r="H26" s="286"/>
      <c r="I26" s="132">
        <v>1430</v>
      </c>
      <c r="J26" s="133">
        <f t="shared" si="0"/>
        <v>2957378</v>
      </c>
      <c r="K26" s="23"/>
    </row>
    <row r="27" spans="1:12" x14ac:dyDescent="0.25">
      <c r="A27" s="28"/>
      <c r="B27" s="28"/>
      <c r="C27" s="461" t="s">
        <v>27</v>
      </c>
      <c r="D27" s="461"/>
      <c r="E27" s="461"/>
      <c r="F27" s="461"/>
      <c r="G27" s="461"/>
      <c r="H27" s="462">
        <f>SUM(H16:H24)</f>
        <v>10113263</v>
      </c>
      <c r="I27" s="462">
        <f>SUM(I16:I26)</f>
        <v>7155885</v>
      </c>
      <c r="J27" s="32"/>
      <c r="K27" s="28"/>
    </row>
    <row r="28" spans="1:12" ht="23.25" customHeight="1" x14ac:dyDescent="0.25">
      <c r="A28" s="3"/>
      <c r="B28" s="3"/>
      <c r="C28" s="463" t="s">
        <v>22</v>
      </c>
      <c r="D28" s="463"/>
      <c r="E28" s="463"/>
      <c r="F28" s="463"/>
      <c r="G28" s="463"/>
      <c r="H28" s="463"/>
      <c r="I28" s="462"/>
      <c r="J28" s="3"/>
      <c r="K28" s="3"/>
      <c r="L28" s="29"/>
    </row>
    <row r="29" spans="1:12" x14ac:dyDescent="0.25">
      <c r="A29" s="3"/>
      <c r="B29" s="3"/>
      <c r="C29" s="464" t="s">
        <v>23</v>
      </c>
      <c r="D29" s="464"/>
      <c r="E29" s="464"/>
      <c r="F29" s="464"/>
      <c r="G29" s="464"/>
      <c r="H29" s="465">
        <f>+H27-I27</f>
        <v>2957378</v>
      </c>
      <c r="I29" s="466"/>
      <c r="J29" s="3"/>
      <c r="K29" s="3"/>
      <c r="L29" s="29"/>
    </row>
    <row r="30" spans="1:12" x14ac:dyDescent="0.25">
      <c r="H30" s="45"/>
      <c r="K30" s="24"/>
    </row>
    <row r="31" spans="1:12" x14ac:dyDescent="0.25">
      <c r="K31" s="24"/>
    </row>
    <row r="32" spans="1:12" x14ac:dyDescent="0.25">
      <c r="K32" s="24"/>
    </row>
    <row r="33" spans="11:11" x14ac:dyDescent="0.25">
      <c r="K33" s="24"/>
    </row>
    <row r="34" spans="11:11" x14ac:dyDescent="0.25">
      <c r="K34" s="24"/>
    </row>
    <row r="35" spans="11:11" x14ac:dyDescent="0.25">
      <c r="K35" s="24"/>
    </row>
    <row r="36" spans="11:11" x14ac:dyDescent="0.25">
      <c r="K36" s="24"/>
    </row>
    <row r="37" spans="11:11" x14ac:dyDescent="0.25">
      <c r="K37" s="24"/>
    </row>
    <row r="38" spans="11:11" x14ac:dyDescent="0.25">
      <c r="K38" s="24"/>
    </row>
    <row r="39" spans="11:11" x14ac:dyDescent="0.25">
      <c r="K39" s="24"/>
    </row>
    <row r="40" spans="11:11" x14ac:dyDescent="0.25">
      <c r="K40" s="24"/>
    </row>
    <row r="41" spans="11:11" x14ac:dyDescent="0.25">
      <c r="K41" s="24"/>
    </row>
    <row r="42" spans="11:11" x14ac:dyDescent="0.25">
      <c r="K42" s="24"/>
    </row>
    <row r="43" spans="11:11" x14ac:dyDescent="0.25">
      <c r="K43" s="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O46"/>
  <sheetViews>
    <sheetView topLeftCell="A15" workbookViewId="0">
      <selection activeCell="F18" sqref="F18"/>
    </sheetView>
  </sheetViews>
  <sheetFormatPr baseColWidth="10" defaultColWidth="11.42578125" defaultRowHeight="12.75" x14ac:dyDescent="0.2"/>
  <cols>
    <col min="1" max="1" width="3" style="318" customWidth="1"/>
    <col min="2" max="2" width="11.42578125" style="318"/>
    <col min="3" max="3" width="22.7109375" style="318" customWidth="1"/>
    <col min="4" max="7" width="11.42578125" style="318"/>
    <col min="8" max="8" width="1.5703125" style="318" customWidth="1"/>
    <col min="9" max="9" width="9" style="318" customWidth="1"/>
    <col min="10" max="10" width="40.42578125" style="318" customWidth="1"/>
    <col min="11" max="11" width="11.85546875" style="318" customWidth="1"/>
    <col min="12" max="12" width="12.140625" style="318" customWidth="1"/>
    <col min="13" max="16384" width="11.42578125" style="318"/>
  </cols>
  <sheetData>
    <row r="1" spans="1:14" ht="15" x14ac:dyDescent="0.25">
      <c r="A1" s="317"/>
      <c r="B1" s="33"/>
      <c r="C1" s="33"/>
      <c r="D1" s="33"/>
      <c r="E1" s="33"/>
      <c r="F1" s="33"/>
      <c r="G1" s="33"/>
      <c r="H1" s="33"/>
      <c r="I1" s="33"/>
      <c r="J1" s="1"/>
      <c r="K1"/>
    </row>
    <row r="2" spans="1:14" ht="15" x14ac:dyDescent="0.25">
      <c r="A2" s="317"/>
      <c r="B2" s="33"/>
      <c r="C2" s="33"/>
      <c r="D2" s="33"/>
      <c r="E2" s="33"/>
      <c r="F2" s="33"/>
      <c r="G2" s="33"/>
      <c r="H2" s="33"/>
      <c r="I2" s="33"/>
      <c r="J2" s="1"/>
      <c r="K2"/>
    </row>
    <row r="3" spans="1:14" ht="15" x14ac:dyDescent="0.25">
      <c r="A3" s="317"/>
      <c r="B3" s="33"/>
      <c r="C3" s="33"/>
      <c r="D3" s="33"/>
      <c r="E3" s="33"/>
      <c r="F3" s="33"/>
      <c r="G3" s="33"/>
      <c r="H3" s="33"/>
      <c r="I3" s="33"/>
      <c r="J3" s="1"/>
      <c r="K3"/>
    </row>
    <row r="4" spans="1:14" ht="15" x14ac:dyDescent="0.25">
      <c r="A4" s="317"/>
      <c r="B4" s="34"/>
      <c r="C4" s="35"/>
      <c r="D4" s="35"/>
      <c r="E4" s="35"/>
      <c r="F4" s="35"/>
      <c r="G4" s="35"/>
      <c r="H4" s="35"/>
      <c r="I4" s="35"/>
      <c r="J4" s="1"/>
      <c r="K4"/>
    </row>
    <row r="5" spans="1:14" ht="15" x14ac:dyDescent="0.25">
      <c r="A5" s="317"/>
      <c r="B5" s="36" t="s">
        <v>32</v>
      </c>
      <c r="C5" s="35"/>
      <c r="D5" s="35"/>
      <c r="E5" s="35"/>
      <c r="F5" s="35"/>
      <c r="G5" s="35"/>
      <c r="H5" s="35"/>
      <c r="I5" s="35"/>
      <c r="J5" s="1"/>
      <c r="K5"/>
    </row>
    <row r="6" spans="1:14" ht="15" x14ac:dyDescent="0.25">
      <c r="A6" s="317"/>
      <c r="B6" s="37" t="s">
        <v>33</v>
      </c>
      <c r="C6" s="38" t="s">
        <v>34</v>
      </c>
      <c r="D6" s="38"/>
      <c r="E6" s="39"/>
      <c r="F6" s="38"/>
      <c r="G6" s="38"/>
      <c r="H6" s="38"/>
      <c r="I6" s="35"/>
      <c r="J6" s="1"/>
      <c r="K6"/>
    </row>
    <row r="7" spans="1:14" ht="15" x14ac:dyDescent="0.25">
      <c r="A7" s="317"/>
      <c r="B7" s="38"/>
      <c r="C7" s="38"/>
      <c r="D7" s="38"/>
      <c r="E7" s="38"/>
      <c r="F7" s="38"/>
      <c r="G7" s="38"/>
      <c r="H7" s="38"/>
      <c r="I7" s="35"/>
      <c r="J7" s="1"/>
      <c r="K7"/>
    </row>
    <row r="8" spans="1:14" x14ac:dyDescent="0.2">
      <c r="A8" s="317"/>
      <c r="B8" s="319"/>
      <c r="C8" s="320"/>
      <c r="D8" s="321"/>
      <c r="E8" s="322"/>
      <c r="F8" s="322"/>
      <c r="G8" s="317"/>
      <c r="H8" s="323"/>
      <c r="I8" s="324"/>
      <c r="J8" s="319"/>
    </row>
    <row r="9" spans="1:14" ht="23.25" thickBot="1" x14ac:dyDescent="0.25">
      <c r="A9" s="317"/>
      <c r="B9" s="609" t="s">
        <v>186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</row>
    <row r="10" spans="1:14" ht="13.5" thickTop="1" x14ac:dyDescent="0.2">
      <c r="H10" s="325"/>
    </row>
    <row r="11" spans="1:14" x14ac:dyDescent="0.2">
      <c r="B11" s="319" t="s">
        <v>187</v>
      </c>
      <c r="C11" s="326" t="s">
        <v>487</v>
      </c>
      <c r="D11" s="327"/>
      <c r="E11" s="328"/>
      <c r="F11" s="328"/>
      <c r="H11" s="325"/>
      <c r="I11" s="319" t="s">
        <v>187</v>
      </c>
      <c r="J11" s="326" t="str">
        <f>C11</f>
        <v>DU 01 AU 31 Mars  2021</v>
      </c>
      <c r="K11" s="328"/>
      <c r="L11" s="328"/>
      <c r="M11" s="328"/>
    </row>
    <row r="12" spans="1:14" x14ac:dyDescent="0.2">
      <c r="B12" s="319" t="s">
        <v>188</v>
      </c>
      <c r="C12" s="328" t="s">
        <v>189</v>
      </c>
      <c r="D12" s="328"/>
      <c r="E12" s="329"/>
      <c r="F12" s="329"/>
      <c r="G12" s="317"/>
      <c r="H12" s="325"/>
      <c r="I12" s="319" t="s">
        <v>188</v>
      </c>
      <c r="J12" s="328" t="s">
        <v>190</v>
      </c>
      <c r="K12" s="328"/>
      <c r="L12" s="328"/>
      <c r="M12" s="328"/>
    </row>
    <row r="13" spans="1:14" ht="15.75" x14ac:dyDescent="0.25">
      <c r="B13" s="319" t="s">
        <v>191</v>
      </c>
      <c r="C13" s="330" t="s">
        <v>192</v>
      </c>
      <c r="D13" s="331"/>
      <c r="E13" s="329"/>
      <c r="F13" s="329"/>
      <c r="G13" s="317"/>
      <c r="H13" s="325"/>
      <c r="I13" s="319" t="s">
        <v>191</v>
      </c>
      <c r="J13" s="330" t="str">
        <f>+C13</f>
        <v>01100-37107202652 - 34</v>
      </c>
      <c r="K13" s="330"/>
      <c r="L13" s="328"/>
      <c r="M13" s="328"/>
    </row>
    <row r="14" spans="1:14" x14ac:dyDescent="0.2">
      <c r="H14" s="325"/>
    </row>
    <row r="15" spans="1:14" x14ac:dyDescent="0.2">
      <c r="B15" s="610" t="s">
        <v>4</v>
      </c>
      <c r="C15" s="610" t="s">
        <v>193</v>
      </c>
      <c r="D15" s="610" t="s">
        <v>194</v>
      </c>
      <c r="E15" s="610" t="s">
        <v>195</v>
      </c>
      <c r="F15" s="611" t="s">
        <v>196</v>
      </c>
      <c r="G15" s="611"/>
      <c r="H15" s="325"/>
      <c r="I15" s="610" t="s">
        <v>4</v>
      </c>
      <c r="J15" s="610" t="s">
        <v>193</v>
      </c>
      <c r="K15" s="610" t="s">
        <v>194</v>
      </c>
      <c r="L15" s="610" t="s">
        <v>195</v>
      </c>
      <c r="M15" s="611" t="s">
        <v>196</v>
      </c>
      <c r="N15" s="611"/>
    </row>
    <row r="16" spans="1:14" x14ac:dyDescent="0.2">
      <c r="B16" s="610"/>
      <c r="C16" s="610"/>
      <c r="D16" s="610"/>
      <c r="E16" s="610"/>
      <c r="F16" s="415" t="s">
        <v>197</v>
      </c>
      <c r="G16" s="415" t="s">
        <v>198</v>
      </c>
      <c r="H16" s="325"/>
      <c r="I16" s="610"/>
      <c r="J16" s="610"/>
      <c r="K16" s="610"/>
      <c r="L16" s="610"/>
      <c r="M16" s="415" t="s">
        <v>197</v>
      </c>
      <c r="N16" s="415" t="s">
        <v>198</v>
      </c>
    </row>
    <row r="17" spans="2:15" x14ac:dyDescent="0.2">
      <c r="B17" s="332" t="s">
        <v>199</v>
      </c>
      <c r="F17" s="333"/>
      <c r="G17" s="333"/>
      <c r="H17" s="325"/>
      <c r="I17" s="332" t="s">
        <v>200</v>
      </c>
      <c r="N17" s="333"/>
    </row>
    <row r="18" spans="2:15" ht="13.5" thickBot="1" x14ac:dyDescent="0.25">
      <c r="B18" s="334">
        <v>44286</v>
      </c>
      <c r="C18" s="335" t="s">
        <v>201</v>
      </c>
      <c r="D18" s="335"/>
      <c r="E18" s="335"/>
      <c r="F18" s="336">
        <f>+'[27]Compte principal 34 banque'!H29</f>
        <v>2957378</v>
      </c>
      <c r="G18" s="335"/>
      <c r="H18" s="325"/>
      <c r="I18" s="334">
        <f>+B18</f>
        <v>44286</v>
      </c>
      <c r="J18" s="335" t="s">
        <v>202</v>
      </c>
      <c r="K18" s="335"/>
      <c r="L18" s="335"/>
      <c r="M18" s="337"/>
      <c r="N18" s="336">
        <v>2957378</v>
      </c>
      <c r="O18" s="333"/>
    </row>
    <row r="19" spans="2:15" ht="13.5" thickTop="1" x14ac:dyDescent="0.2">
      <c r="F19" s="333"/>
      <c r="H19" s="325"/>
    </row>
    <row r="20" spans="2:15" x14ac:dyDescent="0.2">
      <c r="B20" s="332" t="s">
        <v>203</v>
      </c>
      <c r="F20" s="333"/>
      <c r="H20" s="325"/>
      <c r="I20" s="338" t="s">
        <v>204</v>
      </c>
      <c r="J20" s="339"/>
      <c r="K20" s="339"/>
      <c r="L20" s="339"/>
      <c r="M20" s="339"/>
      <c r="N20" s="339"/>
    </row>
    <row r="21" spans="2:15" x14ac:dyDescent="0.2">
      <c r="F21" s="333"/>
      <c r="H21" s="325"/>
    </row>
    <row r="22" spans="2:15" x14ac:dyDescent="0.2">
      <c r="B22" s="340"/>
      <c r="C22" s="341"/>
      <c r="D22" s="341"/>
      <c r="E22" s="341"/>
      <c r="F22" s="342"/>
      <c r="G22" s="342"/>
      <c r="H22" s="325"/>
      <c r="I22" s="343"/>
      <c r="J22" s="344"/>
      <c r="K22" s="345"/>
      <c r="L22" s="345"/>
      <c r="M22" s="346"/>
      <c r="N22" s="342"/>
    </row>
    <row r="23" spans="2:15" x14ac:dyDescent="0.2">
      <c r="B23" s="340"/>
      <c r="C23" s="341"/>
      <c r="D23" s="341"/>
      <c r="E23" s="341"/>
      <c r="F23" s="342"/>
      <c r="G23" s="342"/>
      <c r="H23" s="325"/>
      <c r="I23" s="343"/>
      <c r="J23" s="344"/>
      <c r="K23" s="345"/>
      <c r="L23" s="345"/>
      <c r="M23" s="346"/>
      <c r="N23" s="342"/>
    </row>
    <row r="24" spans="2:15" x14ac:dyDescent="0.2">
      <c r="B24" s="340"/>
      <c r="C24" s="341"/>
      <c r="D24" s="341"/>
      <c r="E24" s="341"/>
      <c r="F24" s="342"/>
      <c r="G24" s="342"/>
      <c r="H24" s="325"/>
      <c r="I24" s="343"/>
      <c r="J24" s="345"/>
      <c r="K24" s="345"/>
      <c r="L24" s="345"/>
      <c r="M24" s="346"/>
      <c r="N24" s="342"/>
    </row>
    <row r="25" spans="2:15" x14ac:dyDescent="0.2">
      <c r="B25" s="340"/>
      <c r="C25" s="341"/>
      <c r="D25" s="341"/>
      <c r="E25" s="341"/>
      <c r="F25" s="342"/>
      <c r="G25" s="342"/>
      <c r="H25" s="325"/>
      <c r="I25" s="343"/>
      <c r="J25" s="345"/>
      <c r="K25" s="343"/>
      <c r="L25" s="345"/>
      <c r="M25" s="346"/>
      <c r="N25" s="342"/>
    </row>
    <row r="26" spans="2:15" x14ac:dyDescent="0.2">
      <c r="B26" s="340"/>
      <c r="C26" s="341"/>
      <c r="D26" s="341"/>
      <c r="E26" s="341"/>
      <c r="F26" s="342"/>
      <c r="G26" s="342"/>
      <c r="H26" s="325"/>
      <c r="I26" s="343"/>
      <c r="J26" s="345"/>
      <c r="K26" s="345"/>
      <c r="L26" s="345"/>
      <c r="M26" s="346"/>
      <c r="N26" s="342"/>
    </row>
    <row r="27" spans="2:15" x14ac:dyDescent="0.2">
      <c r="B27" s="340"/>
      <c r="C27" s="341"/>
      <c r="D27" s="341"/>
      <c r="E27" s="341"/>
      <c r="F27" s="342"/>
      <c r="G27" s="342"/>
      <c r="H27" s="325"/>
      <c r="I27" s="343"/>
      <c r="J27" s="345"/>
      <c r="K27" s="345"/>
      <c r="L27" s="345"/>
      <c r="M27" s="346"/>
      <c r="N27" s="342"/>
    </row>
    <row r="28" spans="2:15" x14ac:dyDescent="0.2">
      <c r="B28" s="340"/>
      <c r="C28" s="341"/>
      <c r="D28" s="341"/>
      <c r="E28" s="341"/>
      <c r="F28" s="342"/>
      <c r="G28" s="342"/>
      <c r="H28" s="325"/>
      <c r="I28" s="340"/>
      <c r="J28" s="341"/>
      <c r="K28" s="341"/>
      <c r="L28" s="341"/>
      <c r="M28" s="342"/>
      <c r="N28" s="342"/>
    </row>
    <row r="29" spans="2:15" x14ac:dyDescent="0.2">
      <c r="B29" s="340"/>
      <c r="C29" s="341"/>
      <c r="D29" s="341"/>
      <c r="E29" s="341"/>
      <c r="F29" s="342"/>
      <c r="G29" s="342"/>
      <c r="H29" s="325"/>
      <c r="I29" s="341"/>
      <c r="J29" s="341"/>
      <c r="K29" s="341"/>
      <c r="L29" s="341"/>
      <c r="M29" s="342"/>
      <c r="N29" s="342"/>
    </row>
    <row r="30" spans="2:15" x14ac:dyDescent="0.2">
      <c r="B30" s="340"/>
      <c r="C30" s="341"/>
      <c r="D30" s="341"/>
      <c r="E30" s="341"/>
      <c r="F30" s="342"/>
      <c r="G30" s="342"/>
      <c r="H30" s="325"/>
      <c r="I30" s="341"/>
      <c r="J30" s="341"/>
      <c r="K30" s="341"/>
      <c r="L30" s="341"/>
      <c r="M30" s="342"/>
      <c r="N30" s="342"/>
    </row>
    <row r="31" spans="2:15" ht="13.5" thickBot="1" x14ac:dyDescent="0.25">
      <c r="B31" s="347"/>
      <c r="C31" s="341"/>
      <c r="D31" s="341"/>
      <c r="E31" s="341"/>
      <c r="F31" s="348"/>
      <c r="G31" s="349"/>
      <c r="H31" s="325"/>
      <c r="I31" s="349"/>
      <c r="J31" s="349"/>
      <c r="K31" s="349"/>
      <c r="L31" s="349"/>
      <c r="M31" s="349"/>
      <c r="N31" s="349"/>
    </row>
    <row r="32" spans="2:15" ht="14.25" thickTop="1" thickBot="1" x14ac:dyDescent="0.25">
      <c r="B32" s="613" t="s">
        <v>205</v>
      </c>
      <c r="C32" s="614"/>
      <c r="D32" s="614"/>
      <c r="E32" s="615"/>
      <c r="F32" s="350">
        <f>SUM(F22:F31,F17:F18)</f>
        <v>2957378</v>
      </c>
      <c r="G32" s="350">
        <f>SUM(G22:G31,G17)</f>
        <v>0</v>
      </c>
      <c r="H32" s="325"/>
      <c r="I32" s="613" t="s">
        <v>206</v>
      </c>
      <c r="J32" s="614"/>
      <c r="K32" s="614"/>
      <c r="L32" s="615"/>
      <c r="M32" s="350">
        <f>SUM(M22:M31,M17:M18)</f>
        <v>0</v>
      </c>
      <c r="N32" s="350">
        <f>SUM(N22:N31,N17:N18)</f>
        <v>2957378</v>
      </c>
    </row>
    <row r="33" spans="2:14" ht="13.5" thickTop="1" x14ac:dyDescent="0.2">
      <c r="H33" s="325"/>
      <c r="M33" s="333"/>
      <c r="N33" s="333"/>
    </row>
    <row r="34" spans="2:14" ht="13.5" thickBot="1" x14ac:dyDescent="0.25">
      <c r="B34" s="351" t="s">
        <v>488</v>
      </c>
      <c r="C34" s="351"/>
      <c r="D34" s="616" t="str">
        <f>IF(F32&gt;G32,"Solde Débiteur","Solde Nul")</f>
        <v>Solde Débiteur</v>
      </c>
      <c r="E34" s="616"/>
      <c r="F34" s="352"/>
      <c r="G34" s="337">
        <f>F32-G32</f>
        <v>2957378</v>
      </c>
      <c r="H34" s="325"/>
      <c r="I34" s="351" t="str">
        <f>+B34</f>
        <v xml:space="preserve"> Solde rapporché au 31/03/2021∑(1)-(2)</v>
      </c>
      <c r="J34" s="351"/>
      <c r="K34" s="616" t="str">
        <f>IF(N32&gt;M32,"Solde Créditeur","Solde Nul")</f>
        <v>Solde Créditeur</v>
      </c>
      <c r="L34" s="616"/>
      <c r="M34" s="353">
        <f>N32-M32</f>
        <v>2957378</v>
      </c>
      <c r="N34" s="352"/>
    </row>
    <row r="35" spans="2:14" ht="13.5" thickTop="1" x14ac:dyDescent="0.2">
      <c r="F35" s="333"/>
      <c r="G35" s="333"/>
      <c r="H35" s="325"/>
      <c r="M35" s="333"/>
      <c r="N35" s="333"/>
    </row>
    <row r="36" spans="2:14" ht="15" thickBot="1" x14ac:dyDescent="0.25">
      <c r="B36" s="354" t="s">
        <v>207</v>
      </c>
      <c r="C36" s="354"/>
      <c r="D36" s="354"/>
      <c r="E36" s="354"/>
      <c r="F36" s="355">
        <f>SUM(F32)</f>
        <v>2957378</v>
      </c>
      <c r="G36" s="355">
        <f>G34+G32</f>
        <v>2957378</v>
      </c>
      <c r="H36" s="356"/>
      <c r="I36" s="354" t="s">
        <v>207</v>
      </c>
      <c r="J36" s="354"/>
      <c r="K36" s="354"/>
      <c r="L36" s="354"/>
      <c r="M36" s="355">
        <f>+M32+M34</f>
        <v>2957378</v>
      </c>
      <c r="N36" s="355">
        <f>N34+N32</f>
        <v>2957378</v>
      </c>
    </row>
    <row r="37" spans="2:14" ht="13.5" thickTop="1" x14ac:dyDescent="0.2"/>
    <row r="38" spans="2:14" ht="15" thickBot="1" x14ac:dyDescent="0.25">
      <c r="B38" s="354" t="s">
        <v>208</v>
      </c>
      <c r="C38" s="354"/>
      <c r="D38" s="354"/>
      <c r="E38" s="354"/>
      <c r="F38" s="354"/>
      <c r="G38" s="357">
        <f>G34-M34</f>
        <v>0</v>
      </c>
      <c r="I38" s="358"/>
      <c r="J38" s="358"/>
    </row>
    <row r="39" spans="2:14" ht="13.5" thickTop="1" x14ac:dyDescent="0.2">
      <c r="G39" s="617"/>
      <c r="H39" s="617"/>
      <c r="I39" s="617"/>
      <c r="J39" s="359"/>
      <c r="K39" s="359" t="s">
        <v>489</v>
      </c>
      <c r="L39" s="359"/>
    </row>
    <row r="40" spans="2:14" x14ac:dyDescent="0.2">
      <c r="G40" s="416"/>
      <c r="H40" s="416"/>
      <c r="I40" s="416"/>
      <c r="J40" s="359"/>
      <c r="K40" s="359"/>
      <c r="L40" s="359"/>
    </row>
    <row r="41" spans="2:14" ht="15" x14ac:dyDescent="0.2">
      <c r="B41" s="38" t="s">
        <v>35</v>
      </c>
      <c r="C41" s="40"/>
      <c r="J41" s="38" t="s">
        <v>38</v>
      </c>
      <c r="K41" s="359"/>
    </row>
    <row r="42" spans="2:14" ht="14.25" x14ac:dyDescent="0.2">
      <c r="B42" s="35"/>
      <c r="C42" s="35"/>
      <c r="F42" s="328"/>
      <c r="G42" s="328"/>
      <c r="H42" s="328"/>
      <c r="I42" s="360"/>
      <c r="L42" s="360"/>
      <c r="M42" s="360"/>
      <c r="N42" s="360"/>
    </row>
    <row r="43" spans="2:14" ht="14.25" x14ac:dyDescent="0.2">
      <c r="B43" s="43" t="s">
        <v>209</v>
      </c>
      <c r="C43" s="42"/>
      <c r="D43" s="328"/>
      <c r="E43" s="328"/>
      <c r="F43" s="328"/>
      <c r="G43" s="328"/>
      <c r="H43" s="328"/>
      <c r="I43" s="328"/>
      <c r="J43" s="43" t="s">
        <v>39</v>
      </c>
      <c r="K43" s="360"/>
      <c r="L43" s="328"/>
      <c r="M43" s="328"/>
      <c r="N43" s="328"/>
    </row>
    <row r="44" spans="2:14" ht="15" x14ac:dyDescent="0.25">
      <c r="B44" s="44" t="s">
        <v>37</v>
      </c>
      <c r="C44" s="44"/>
      <c r="D44" s="328"/>
      <c r="E44" s="328"/>
      <c r="F44" s="328"/>
      <c r="G44" s="328"/>
      <c r="H44" s="328"/>
      <c r="I44" s="328"/>
      <c r="J44" s="44" t="s">
        <v>37</v>
      </c>
      <c r="K44" s="328"/>
      <c r="L44" s="328"/>
      <c r="M44" s="328"/>
      <c r="N44" s="328"/>
    </row>
    <row r="45" spans="2:14" x14ac:dyDescent="0.2"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</row>
    <row r="46" spans="2:14" x14ac:dyDescent="0.2">
      <c r="B46" s="612"/>
      <c r="C46" s="612"/>
      <c r="D46" s="328"/>
      <c r="E46" s="328"/>
      <c r="F46" s="328"/>
      <c r="G46" s="328"/>
      <c r="H46" s="328"/>
      <c r="I46" s="612"/>
      <c r="J46" s="612"/>
      <c r="K46" s="612"/>
      <c r="L46" s="612"/>
      <c r="M46" s="612"/>
      <c r="N46" s="612"/>
    </row>
  </sheetData>
  <mergeCells count="18">
    <mergeCell ref="B46:C46"/>
    <mergeCell ref="I46:N46"/>
    <mergeCell ref="B32:E32"/>
    <mergeCell ref="I32:L32"/>
    <mergeCell ref="D34:E34"/>
    <mergeCell ref="K34:L34"/>
    <mergeCell ref="G39:I39"/>
    <mergeCell ref="B9:N9"/>
    <mergeCell ref="B15:B16"/>
    <mergeCell ref="C15:C16"/>
    <mergeCell ref="D15:D16"/>
    <mergeCell ref="E15:E16"/>
    <mergeCell ref="F15:G15"/>
    <mergeCell ref="I15:I16"/>
    <mergeCell ref="J15:J16"/>
    <mergeCell ref="K15:K16"/>
    <mergeCell ref="L15:L16"/>
    <mergeCell ref="M15:N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K51"/>
  <sheetViews>
    <sheetView topLeftCell="A25" workbookViewId="0">
      <selection activeCell="E26" sqref="E26"/>
    </sheetView>
  </sheetViews>
  <sheetFormatPr baseColWidth="10" defaultColWidth="11.42578125" defaultRowHeight="15" x14ac:dyDescent="0.25"/>
  <cols>
    <col min="1" max="1" width="7.28515625" customWidth="1"/>
    <col min="2" max="2" width="3.140625" customWidth="1"/>
    <col min="3" max="3" width="10.140625" customWidth="1"/>
    <col min="4" max="4" width="50.85546875" customWidth="1"/>
    <col min="5" max="5" width="11.7109375" customWidth="1"/>
    <col min="6" max="6" width="11.28515625" customWidth="1"/>
    <col min="7" max="7" width="1.28515625" customWidth="1"/>
    <col min="8" max="8" width="12.5703125" customWidth="1"/>
    <col min="9" max="9" width="14" style="1" customWidth="1"/>
    <col min="10" max="10" width="13.140625" customWidth="1"/>
    <col min="12" max="12" width="13.85546875" style="361" bestFit="1" customWidth="1"/>
    <col min="13" max="13" width="12.7109375" style="361" bestFit="1" customWidth="1"/>
    <col min="14" max="37" width="11.42578125" style="36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</row>
    <row r="2" spans="1:13" x14ac:dyDescent="0.25">
      <c r="A2" s="33"/>
      <c r="B2" s="33"/>
      <c r="C2" s="33"/>
      <c r="D2" s="33"/>
      <c r="E2" s="33"/>
      <c r="F2" s="33"/>
      <c r="G2" s="33"/>
      <c r="H2" s="33"/>
    </row>
    <row r="3" spans="1:13" x14ac:dyDescent="0.25">
      <c r="A3" s="33"/>
      <c r="B3" s="33"/>
      <c r="C3" s="33"/>
      <c r="D3" s="33"/>
      <c r="E3" s="33"/>
      <c r="F3" s="33"/>
      <c r="G3" s="33"/>
      <c r="H3" s="33"/>
    </row>
    <row r="4" spans="1:13" x14ac:dyDescent="0.25">
      <c r="A4" s="34"/>
      <c r="B4" s="35"/>
      <c r="C4" s="35"/>
      <c r="D4" s="35"/>
      <c r="E4" s="35"/>
      <c r="F4" s="35"/>
      <c r="G4" s="35"/>
      <c r="H4" s="35"/>
    </row>
    <row r="5" spans="1:13" x14ac:dyDescent="0.25">
      <c r="A5" s="36" t="s">
        <v>32</v>
      </c>
      <c r="B5" s="35"/>
      <c r="C5" s="35"/>
      <c r="D5" s="35"/>
      <c r="E5" s="35"/>
      <c r="F5" s="35"/>
      <c r="G5" s="35"/>
      <c r="H5" s="35"/>
    </row>
    <row r="6" spans="1:13" x14ac:dyDescent="0.25">
      <c r="A6" s="37" t="s">
        <v>33</v>
      </c>
      <c r="B6" s="38" t="s">
        <v>34</v>
      </c>
      <c r="C6" s="38"/>
      <c r="D6" s="39"/>
      <c r="E6" s="38"/>
      <c r="F6" s="38"/>
      <c r="G6" s="38"/>
      <c r="H6" s="35"/>
    </row>
    <row r="7" spans="1:13" x14ac:dyDescent="0.25">
      <c r="A7" s="38"/>
      <c r="B7" s="38"/>
      <c r="C7" s="38"/>
      <c r="D7" s="38"/>
      <c r="E7" s="38"/>
      <c r="F7" s="38"/>
      <c r="G7" s="38"/>
      <c r="H7" s="35"/>
    </row>
    <row r="8" spans="1:13" x14ac:dyDescent="0.25">
      <c r="A8" s="2" t="s">
        <v>0</v>
      </c>
      <c r="B8" s="3"/>
      <c r="C8" s="3"/>
      <c r="D8" s="3"/>
      <c r="E8" s="3"/>
      <c r="F8" s="3"/>
      <c r="G8" s="3"/>
      <c r="H8" s="3"/>
      <c r="I8" s="4"/>
      <c r="J8" s="3"/>
      <c r="K8" s="3"/>
    </row>
    <row r="9" spans="1:13" x14ac:dyDescent="0.25">
      <c r="A9" s="5"/>
      <c r="B9" s="6" t="s">
        <v>1</v>
      </c>
      <c r="C9" s="6"/>
      <c r="D9" s="7"/>
      <c r="E9" s="7"/>
      <c r="F9" s="7"/>
      <c r="G9" s="7"/>
      <c r="H9" s="8"/>
      <c r="I9" s="9"/>
      <c r="J9" s="7"/>
      <c r="K9" s="7"/>
    </row>
    <row r="10" spans="1:13" ht="15.75" x14ac:dyDescent="0.25">
      <c r="A10" s="5"/>
      <c r="B10" s="315" t="s">
        <v>2</v>
      </c>
      <c r="C10" s="315"/>
      <c r="D10" s="362"/>
      <c r="E10" s="7"/>
      <c r="F10" s="7"/>
      <c r="G10" s="7"/>
      <c r="H10" s="8"/>
      <c r="I10" s="9"/>
      <c r="J10" s="7"/>
      <c r="K10" s="7"/>
    </row>
    <row r="11" spans="1:13" x14ac:dyDescent="0.25">
      <c r="A11" s="5"/>
      <c r="B11" s="6" t="s">
        <v>3</v>
      </c>
      <c r="C11" s="6"/>
      <c r="D11" s="7"/>
      <c r="E11" s="7"/>
      <c r="F11" s="7"/>
      <c r="G11" s="7"/>
      <c r="H11" s="8"/>
      <c r="I11" s="9"/>
      <c r="J11" s="7"/>
      <c r="K11" s="7"/>
    </row>
    <row r="12" spans="1:13" x14ac:dyDescent="0.25">
      <c r="A12" s="5"/>
      <c r="B12" s="7"/>
      <c r="C12" s="10"/>
      <c r="D12" s="13" t="s">
        <v>481</v>
      </c>
      <c r="E12" s="13"/>
      <c r="F12" s="13"/>
      <c r="G12" s="13"/>
      <c r="H12" s="7"/>
      <c r="I12" s="14"/>
      <c r="J12" s="12"/>
      <c r="K12" s="7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</row>
    <row r="14" spans="1:13" ht="29.25" customHeight="1" x14ac:dyDescent="0.25">
      <c r="A14" s="15" t="s">
        <v>4</v>
      </c>
      <c r="B14" s="16" t="s">
        <v>5</v>
      </c>
      <c r="C14" s="17" t="s">
        <v>6</v>
      </c>
      <c r="D14" s="18" t="s">
        <v>7</v>
      </c>
      <c r="E14" s="18" t="s">
        <v>8</v>
      </c>
      <c r="F14" s="18" t="s">
        <v>9</v>
      </c>
      <c r="G14" s="19" t="s">
        <v>10</v>
      </c>
      <c r="H14" s="18" t="s">
        <v>11</v>
      </c>
      <c r="I14" s="20" t="s">
        <v>12</v>
      </c>
      <c r="J14" s="21" t="s">
        <v>13</v>
      </c>
      <c r="K14" s="22" t="s">
        <v>14</v>
      </c>
    </row>
    <row r="15" spans="1:13" ht="17.25" customHeight="1" x14ac:dyDescent="0.25">
      <c r="A15" s="239">
        <v>44256</v>
      </c>
      <c r="B15" s="240"/>
      <c r="C15" s="241"/>
      <c r="D15" s="240" t="s">
        <v>490</v>
      </c>
      <c r="E15" s="240"/>
      <c r="F15" s="240"/>
      <c r="G15" s="240"/>
      <c r="H15" s="234">
        <f>'[26]sous compte bancaire compte 56'!$H$36</f>
        <v>6219904</v>
      </c>
      <c r="I15" s="237"/>
      <c r="J15" s="363">
        <f>+H15</f>
        <v>6219904</v>
      </c>
      <c r="K15" s="23"/>
      <c r="L15" s="24"/>
      <c r="M15" s="364"/>
    </row>
    <row r="16" spans="1:13" ht="17.25" customHeight="1" x14ac:dyDescent="0.25">
      <c r="A16" s="239">
        <v>44259</v>
      </c>
      <c r="B16" s="242"/>
      <c r="C16" s="467">
        <v>3643424</v>
      </c>
      <c r="D16" s="243" t="s">
        <v>227</v>
      </c>
      <c r="E16" s="245" t="s">
        <v>491</v>
      </c>
      <c r="F16" s="196" t="s">
        <v>121</v>
      </c>
      <c r="G16" s="242"/>
      <c r="H16" s="244"/>
      <c r="I16" s="234">
        <v>200000</v>
      </c>
      <c r="J16" s="363">
        <f>+J15+H16-I16</f>
        <v>6019904</v>
      </c>
      <c r="L16" s="24"/>
      <c r="M16" s="24"/>
    </row>
    <row r="17" spans="1:13" ht="17.25" customHeight="1" x14ac:dyDescent="0.25">
      <c r="A17" s="239">
        <v>44260</v>
      </c>
      <c r="B17" s="242"/>
      <c r="C17" s="467">
        <v>3643425</v>
      </c>
      <c r="D17" s="243" t="s">
        <v>228</v>
      </c>
      <c r="E17" s="245" t="s">
        <v>491</v>
      </c>
      <c r="F17" s="196" t="s">
        <v>121</v>
      </c>
      <c r="G17" s="240"/>
      <c r="H17" s="237"/>
      <c r="I17" s="234">
        <v>200000</v>
      </c>
      <c r="J17" s="363">
        <f>+J16+H17-I17</f>
        <v>5819904</v>
      </c>
      <c r="K17" s="23"/>
      <c r="L17" s="24"/>
      <c r="M17" s="24"/>
    </row>
    <row r="18" spans="1:13" ht="17.25" customHeight="1" x14ac:dyDescent="0.25">
      <c r="A18" s="239">
        <v>44271</v>
      </c>
      <c r="B18" s="242"/>
      <c r="C18" s="467">
        <v>3643426</v>
      </c>
      <c r="D18" s="243" t="s">
        <v>229</v>
      </c>
      <c r="E18" s="245" t="s">
        <v>491</v>
      </c>
      <c r="F18" s="196" t="s">
        <v>121</v>
      </c>
      <c r="G18" s="240"/>
      <c r="H18" s="237"/>
      <c r="I18" s="234">
        <v>300000</v>
      </c>
      <c r="J18" s="363">
        <f t="shared" ref="J18:J37" si="0">+J17+H18-I18</f>
        <v>5519904</v>
      </c>
      <c r="K18" s="23"/>
      <c r="L18" s="24"/>
      <c r="M18" s="24"/>
    </row>
    <row r="19" spans="1:13" ht="17.25" customHeight="1" x14ac:dyDescent="0.25">
      <c r="A19" s="239">
        <v>44273</v>
      </c>
      <c r="B19" s="242"/>
      <c r="C19" s="467" t="s">
        <v>133</v>
      </c>
      <c r="D19" s="243" t="s">
        <v>230</v>
      </c>
      <c r="E19" s="245" t="s">
        <v>17</v>
      </c>
      <c r="F19" s="195" t="s">
        <v>21</v>
      </c>
      <c r="G19" s="240"/>
      <c r="H19" s="237"/>
      <c r="I19" s="234">
        <v>500000</v>
      </c>
      <c r="J19" s="363">
        <f t="shared" si="0"/>
        <v>5019904</v>
      </c>
      <c r="K19" s="23"/>
      <c r="L19" s="24"/>
      <c r="M19" s="24"/>
    </row>
    <row r="20" spans="1:13" ht="17.25" customHeight="1" x14ac:dyDescent="0.25">
      <c r="A20" s="239">
        <v>44279</v>
      </c>
      <c r="B20" s="242"/>
      <c r="C20" s="467" t="s">
        <v>133</v>
      </c>
      <c r="D20" s="243" t="s">
        <v>231</v>
      </c>
      <c r="E20" s="295" t="s">
        <v>15</v>
      </c>
      <c r="F20" s="196" t="s">
        <v>121</v>
      </c>
      <c r="G20" s="242"/>
      <c r="H20" s="244"/>
      <c r="I20" s="234">
        <v>326000</v>
      </c>
      <c r="J20" s="363">
        <f t="shared" si="0"/>
        <v>4693904</v>
      </c>
      <c r="K20" s="23"/>
      <c r="L20" s="24"/>
      <c r="M20" s="24"/>
    </row>
    <row r="21" spans="1:13" ht="17.25" customHeight="1" x14ac:dyDescent="0.25">
      <c r="A21" s="239">
        <v>44279</v>
      </c>
      <c r="B21" s="242"/>
      <c r="C21" s="467" t="s">
        <v>133</v>
      </c>
      <c r="D21" s="243" t="s">
        <v>232</v>
      </c>
      <c r="E21" s="295" t="s">
        <v>15</v>
      </c>
      <c r="F21" s="296" t="s">
        <v>163</v>
      </c>
      <c r="G21" s="242"/>
      <c r="H21" s="244"/>
      <c r="I21" s="234">
        <v>230000</v>
      </c>
      <c r="J21" s="363">
        <f t="shared" si="0"/>
        <v>4463904</v>
      </c>
      <c r="K21" s="23"/>
      <c r="L21" s="24"/>
      <c r="M21" s="24"/>
    </row>
    <row r="22" spans="1:13" ht="17.25" customHeight="1" x14ac:dyDescent="0.25">
      <c r="A22" s="239">
        <v>44279</v>
      </c>
      <c r="B22" s="242"/>
      <c r="C22" s="467">
        <v>3643427</v>
      </c>
      <c r="D22" s="243" t="s">
        <v>233</v>
      </c>
      <c r="E22" s="238" t="s">
        <v>176</v>
      </c>
      <c r="F22" s="195" t="s">
        <v>31</v>
      </c>
      <c r="G22" s="242"/>
      <c r="H22" s="244"/>
      <c r="I22" s="234">
        <v>400000</v>
      </c>
      <c r="J22" s="363">
        <f t="shared" si="0"/>
        <v>4063904</v>
      </c>
      <c r="K22" s="23"/>
      <c r="L22" s="24"/>
      <c r="M22" s="24"/>
    </row>
    <row r="23" spans="1:13" ht="17.25" customHeight="1" x14ac:dyDescent="0.25">
      <c r="A23" s="239">
        <v>44279</v>
      </c>
      <c r="B23" s="242"/>
      <c r="C23" s="467">
        <v>3643428</v>
      </c>
      <c r="D23" s="243" t="s">
        <v>703</v>
      </c>
      <c r="E23" s="238" t="s">
        <v>15</v>
      </c>
      <c r="F23" s="195" t="s">
        <v>31</v>
      </c>
      <c r="G23" s="242"/>
      <c r="H23" s="244"/>
      <c r="I23" s="234">
        <v>191000</v>
      </c>
      <c r="J23" s="363">
        <f t="shared" si="0"/>
        <v>3872904</v>
      </c>
      <c r="K23" s="23"/>
      <c r="L23" s="24"/>
      <c r="M23" s="24"/>
    </row>
    <row r="24" spans="1:13" ht="17.25" customHeight="1" x14ac:dyDescent="0.25">
      <c r="A24" s="239">
        <v>44279</v>
      </c>
      <c r="B24" s="242"/>
      <c r="C24" s="467">
        <v>3643429</v>
      </c>
      <c r="D24" s="271" t="s">
        <v>234</v>
      </c>
      <c r="E24" s="295" t="s">
        <v>15</v>
      </c>
      <c r="F24" s="196" t="s">
        <v>121</v>
      </c>
      <c r="G24" s="242"/>
      <c r="H24" s="244"/>
      <c r="I24" s="234">
        <v>193600</v>
      </c>
      <c r="J24" s="363">
        <f t="shared" si="0"/>
        <v>3679304</v>
      </c>
      <c r="K24" s="23"/>
      <c r="L24" s="24"/>
      <c r="M24" s="24"/>
    </row>
    <row r="25" spans="1:13" ht="17.25" customHeight="1" x14ac:dyDescent="0.25">
      <c r="A25" s="239">
        <v>44279</v>
      </c>
      <c r="B25" s="242"/>
      <c r="C25" s="467">
        <v>3643430</v>
      </c>
      <c r="D25" s="243" t="s">
        <v>235</v>
      </c>
      <c r="E25" s="295" t="s">
        <v>15</v>
      </c>
      <c r="F25" s="196" t="s">
        <v>121</v>
      </c>
      <c r="G25" s="242"/>
      <c r="H25" s="244"/>
      <c r="I25" s="246">
        <v>308000</v>
      </c>
      <c r="J25" s="363">
        <f t="shared" si="0"/>
        <v>3371304</v>
      </c>
      <c r="K25" s="23"/>
      <c r="L25" s="24"/>
      <c r="M25" s="24"/>
    </row>
    <row r="26" spans="1:13" ht="17.25" customHeight="1" x14ac:dyDescent="0.25">
      <c r="A26" s="239">
        <v>44279</v>
      </c>
      <c r="B26" s="242"/>
      <c r="C26" s="467">
        <v>3643431</v>
      </c>
      <c r="D26" s="271" t="s">
        <v>236</v>
      </c>
      <c r="E26" s="295" t="s">
        <v>15</v>
      </c>
      <c r="F26" s="196" t="s">
        <v>121</v>
      </c>
      <c r="G26" s="242"/>
      <c r="H26" s="244"/>
      <c r="I26" s="234">
        <v>193600</v>
      </c>
      <c r="J26" s="363">
        <f t="shared" si="0"/>
        <v>3177704</v>
      </c>
      <c r="K26" s="23"/>
      <c r="L26" s="24"/>
      <c r="M26" s="24"/>
    </row>
    <row r="27" spans="1:13" ht="17.25" customHeight="1" x14ac:dyDescent="0.25">
      <c r="A27" s="239">
        <v>44279</v>
      </c>
      <c r="B27" s="242"/>
      <c r="C27" s="467">
        <v>3643432</v>
      </c>
      <c r="D27" s="243" t="s">
        <v>237</v>
      </c>
      <c r="E27" s="295" t="s">
        <v>15</v>
      </c>
      <c r="F27" s="196" t="s">
        <v>121</v>
      </c>
      <c r="G27" s="242"/>
      <c r="H27" s="244"/>
      <c r="I27" s="234">
        <v>356500</v>
      </c>
      <c r="J27" s="363">
        <f t="shared" si="0"/>
        <v>2821204</v>
      </c>
      <c r="K27" s="23"/>
      <c r="L27" s="24"/>
      <c r="M27" s="24"/>
    </row>
    <row r="28" spans="1:13" ht="17.25" customHeight="1" x14ac:dyDescent="0.25">
      <c r="A28" s="239">
        <v>44279</v>
      </c>
      <c r="B28" s="242"/>
      <c r="C28" s="467">
        <v>3643434</v>
      </c>
      <c r="D28" s="243" t="s">
        <v>238</v>
      </c>
      <c r="E28" s="295" t="s">
        <v>15</v>
      </c>
      <c r="F28" s="195" t="s">
        <v>19</v>
      </c>
      <c r="G28" s="242"/>
      <c r="H28" s="244"/>
      <c r="I28" s="234">
        <v>400000</v>
      </c>
      <c r="J28" s="363">
        <f t="shared" si="0"/>
        <v>2421204</v>
      </c>
      <c r="K28" s="23"/>
      <c r="L28" s="24"/>
      <c r="M28" s="24"/>
    </row>
    <row r="29" spans="1:13" ht="17.25" customHeight="1" x14ac:dyDescent="0.25">
      <c r="A29" s="239">
        <v>44279</v>
      </c>
      <c r="B29" s="242"/>
      <c r="C29" s="467">
        <v>3643433</v>
      </c>
      <c r="D29" s="243" t="s">
        <v>239</v>
      </c>
      <c r="E29" s="295" t="s">
        <v>15</v>
      </c>
      <c r="F29" s="196" t="s">
        <v>19</v>
      </c>
      <c r="G29" s="242"/>
      <c r="H29" s="244"/>
      <c r="I29" s="234">
        <v>275000</v>
      </c>
      <c r="J29" s="363">
        <f t="shared" si="0"/>
        <v>2146204</v>
      </c>
      <c r="K29" s="23"/>
      <c r="L29" s="24"/>
      <c r="M29" s="24"/>
    </row>
    <row r="30" spans="1:13" ht="17.25" customHeight="1" x14ac:dyDescent="0.25">
      <c r="A30" s="239">
        <v>44279</v>
      </c>
      <c r="B30" s="242"/>
      <c r="C30" s="467">
        <v>3643440</v>
      </c>
      <c r="D30" s="243" t="s">
        <v>240</v>
      </c>
      <c r="E30" s="295" t="s">
        <v>15</v>
      </c>
      <c r="F30" s="195" t="s">
        <v>19</v>
      </c>
      <c r="G30" s="242"/>
      <c r="H30" s="244"/>
      <c r="I30" s="234">
        <v>827611</v>
      </c>
      <c r="J30" s="363">
        <f t="shared" si="0"/>
        <v>1318593</v>
      </c>
      <c r="K30" s="23"/>
      <c r="L30" s="24"/>
      <c r="M30" s="24"/>
    </row>
    <row r="31" spans="1:13" ht="17.25" customHeight="1" x14ac:dyDescent="0.25">
      <c r="A31" s="239">
        <v>44279</v>
      </c>
      <c r="B31" s="242"/>
      <c r="C31" s="467">
        <v>3643437</v>
      </c>
      <c r="D31" s="271" t="s">
        <v>492</v>
      </c>
      <c r="E31" s="238" t="s">
        <v>20</v>
      </c>
      <c r="F31" s="196" t="s">
        <v>21</v>
      </c>
      <c r="G31" s="242"/>
      <c r="H31" s="244"/>
      <c r="I31" s="234">
        <v>172000</v>
      </c>
      <c r="J31" s="363">
        <f t="shared" si="0"/>
        <v>1146593</v>
      </c>
      <c r="K31" s="23"/>
      <c r="L31" s="24"/>
      <c r="M31" s="24"/>
    </row>
    <row r="32" spans="1:13" ht="17.25" customHeight="1" x14ac:dyDescent="0.25">
      <c r="A32" s="239">
        <v>44279</v>
      </c>
      <c r="B32" s="242"/>
      <c r="C32" s="467">
        <v>3643436</v>
      </c>
      <c r="D32" s="271" t="s">
        <v>493</v>
      </c>
      <c r="E32" s="238" t="s">
        <v>20</v>
      </c>
      <c r="F32" s="196" t="s">
        <v>21</v>
      </c>
      <c r="G32" s="242"/>
      <c r="H32" s="244"/>
      <c r="I32" s="234">
        <v>169000</v>
      </c>
      <c r="J32" s="363">
        <f t="shared" si="0"/>
        <v>977593</v>
      </c>
      <c r="K32" s="23"/>
      <c r="L32" s="24"/>
      <c r="M32" s="24"/>
    </row>
    <row r="33" spans="1:13" ht="17.25" customHeight="1" x14ac:dyDescent="0.25">
      <c r="A33" s="239">
        <v>44274</v>
      </c>
      <c r="B33" s="242"/>
      <c r="C33" s="467" t="s">
        <v>29</v>
      </c>
      <c r="D33" s="243" t="s">
        <v>242</v>
      </c>
      <c r="E33" s="238" t="s">
        <v>14</v>
      </c>
      <c r="F33" s="195"/>
      <c r="G33" s="242"/>
      <c r="H33" s="244">
        <v>28506579</v>
      </c>
      <c r="I33" s="234"/>
      <c r="J33" s="363">
        <f t="shared" si="0"/>
        <v>29484172</v>
      </c>
      <c r="K33" s="23"/>
      <c r="L33" s="24"/>
      <c r="M33" s="24"/>
    </row>
    <row r="34" spans="1:13" ht="17.25" customHeight="1" x14ac:dyDescent="0.25">
      <c r="A34" s="239">
        <v>44274</v>
      </c>
      <c r="B34" s="242"/>
      <c r="C34" s="467" t="s">
        <v>29</v>
      </c>
      <c r="D34" s="243" t="s">
        <v>494</v>
      </c>
      <c r="E34" s="27" t="s">
        <v>28</v>
      </c>
      <c r="F34" s="27" t="s">
        <v>21</v>
      </c>
      <c r="G34" s="242"/>
      <c r="H34" s="244"/>
      <c r="I34" s="234">
        <v>5000</v>
      </c>
      <c r="J34" s="363">
        <f t="shared" si="0"/>
        <v>29479172</v>
      </c>
      <c r="K34" s="23"/>
      <c r="L34" s="24"/>
      <c r="M34" s="24"/>
    </row>
    <row r="35" spans="1:13" ht="17.25" customHeight="1" x14ac:dyDescent="0.25">
      <c r="A35" s="239">
        <v>44284</v>
      </c>
      <c r="B35" s="242"/>
      <c r="C35" s="467">
        <v>3643441</v>
      </c>
      <c r="D35" s="243" t="s">
        <v>495</v>
      </c>
      <c r="E35" s="238" t="s">
        <v>15</v>
      </c>
      <c r="F35" s="27" t="s">
        <v>21</v>
      </c>
      <c r="G35" s="240"/>
      <c r="H35" s="234"/>
      <c r="I35" s="234">
        <v>1447189</v>
      </c>
      <c r="J35" s="363">
        <f t="shared" si="0"/>
        <v>28031983</v>
      </c>
      <c r="K35" s="23"/>
      <c r="L35" s="24"/>
      <c r="M35" s="24"/>
    </row>
    <row r="36" spans="1:13" ht="17.25" customHeight="1" x14ac:dyDescent="0.25">
      <c r="A36" s="239">
        <v>44256</v>
      </c>
      <c r="B36" s="242"/>
      <c r="C36" s="467" t="s">
        <v>29</v>
      </c>
      <c r="D36" s="271" t="s">
        <v>484</v>
      </c>
      <c r="E36" s="27" t="s">
        <v>28</v>
      </c>
      <c r="F36" s="27" t="s">
        <v>21</v>
      </c>
      <c r="G36" s="242"/>
      <c r="H36" s="246"/>
      <c r="I36" s="246">
        <v>2811</v>
      </c>
      <c r="J36" s="363">
        <f t="shared" si="0"/>
        <v>28029172</v>
      </c>
      <c r="K36" s="23"/>
      <c r="L36" s="24"/>
      <c r="M36" s="24"/>
    </row>
    <row r="37" spans="1:13" ht="17.25" customHeight="1" x14ac:dyDescent="0.25">
      <c r="A37" s="239">
        <v>44281</v>
      </c>
      <c r="B37" s="242"/>
      <c r="C37" s="467" t="s">
        <v>29</v>
      </c>
      <c r="D37" s="271" t="s">
        <v>496</v>
      </c>
      <c r="E37" s="27" t="s">
        <v>28</v>
      </c>
      <c r="F37" s="27" t="s">
        <v>21</v>
      </c>
      <c r="G37" s="242"/>
      <c r="H37" s="246"/>
      <c r="I37" s="246">
        <v>10665</v>
      </c>
      <c r="J37" s="363">
        <f t="shared" si="0"/>
        <v>28018507</v>
      </c>
      <c r="K37" s="23"/>
      <c r="L37" s="24"/>
      <c r="M37" s="24"/>
    </row>
    <row r="38" spans="1:13" x14ac:dyDescent="0.25">
      <c r="A38" s="27"/>
      <c r="B38" s="27"/>
      <c r="C38" s="365" t="s">
        <v>173</v>
      </c>
      <c r="D38" s="366"/>
      <c r="E38" s="365"/>
      <c r="F38" s="365"/>
      <c r="G38" s="365"/>
      <c r="H38" s="367">
        <f>SUM(H15:H37)</f>
        <v>34726483</v>
      </c>
      <c r="I38" s="368"/>
      <c r="J38" s="316"/>
      <c r="K38" s="28"/>
    </row>
    <row r="39" spans="1:13" x14ac:dyDescent="0.25">
      <c r="A39" s="3"/>
      <c r="B39" s="3"/>
      <c r="C39" s="365" t="s">
        <v>22</v>
      </c>
      <c r="D39" s="369"/>
      <c r="E39" s="370"/>
      <c r="F39" s="370"/>
      <c r="G39" s="370"/>
      <c r="H39" s="370"/>
      <c r="I39" s="32">
        <f>SUM(I16:I38)</f>
        <v>6707976</v>
      </c>
      <c r="J39" s="3"/>
      <c r="K39" s="3"/>
    </row>
    <row r="40" spans="1:13" ht="23.25" customHeight="1" x14ac:dyDescent="0.25">
      <c r="A40" s="3"/>
      <c r="B40" s="3"/>
      <c r="C40" s="371" t="s">
        <v>23</v>
      </c>
      <c r="D40" s="372"/>
      <c r="E40" s="371"/>
      <c r="F40" s="371"/>
      <c r="G40" s="371"/>
      <c r="H40" s="373">
        <f>+H38-I39</f>
        <v>28018507</v>
      </c>
      <c r="I40" s="4"/>
      <c r="J40" s="3"/>
      <c r="K40" s="3"/>
      <c r="L40" s="24"/>
    </row>
    <row r="41" spans="1:13" ht="16.5" x14ac:dyDescent="0.3">
      <c r="D41" s="374"/>
      <c r="E41" s="374"/>
      <c r="F41" s="374"/>
      <c r="J41" s="24"/>
    </row>
    <row r="42" spans="1:13" ht="16.5" x14ac:dyDescent="0.3">
      <c r="D42" s="374"/>
      <c r="E42" s="374"/>
      <c r="F42" s="374"/>
      <c r="J42" s="24"/>
    </row>
    <row r="43" spans="1:13" x14ac:dyDescent="0.25">
      <c r="J43" s="24"/>
    </row>
    <row r="44" spans="1:13" x14ac:dyDescent="0.25">
      <c r="J44" s="24"/>
    </row>
    <row r="45" spans="1:13" x14ac:dyDescent="0.25">
      <c r="J45" s="24"/>
    </row>
    <row r="46" spans="1:13" x14ac:dyDescent="0.25">
      <c r="J46" s="24"/>
    </row>
    <row r="47" spans="1:13" x14ac:dyDescent="0.25">
      <c r="J47" s="24"/>
    </row>
    <row r="48" spans="1:13" x14ac:dyDescent="0.25">
      <c r="J48" s="24"/>
    </row>
    <row r="49" spans="10:10" x14ac:dyDescent="0.25">
      <c r="J49" s="24"/>
    </row>
    <row r="50" spans="10:10" x14ac:dyDescent="0.25">
      <c r="J50" s="24"/>
    </row>
    <row r="51" spans="10:10" x14ac:dyDescent="0.25">
      <c r="J51" s="2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O46"/>
  <sheetViews>
    <sheetView topLeftCell="A18" workbookViewId="0">
      <selection activeCell="I46" sqref="I46:N46"/>
    </sheetView>
  </sheetViews>
  <sheetFormatPr baseColWidth="10" defaultColWidth="11.42578125" defaultRowHeight="12.75" x14ac:dyDescent="0.2"/>
  <cols>
    <col min="1" max="1" width="3" style="318" customWidth="1"/>
    <col min="2" max="2" width="11.42578125" style="318"/>
    <col min="3" max="3" width="22.7109375" style="318" customWidth="1"/>
    <col min="4" max="7" width="11.42578125" style="318"/>
    <col min="8" max="8" width="1.5703125" style="318" customWidth="1"/>
    <col min="9" max="9" width="9" style="318" customWidth="1"/>
    <col min="10" max="10" width="44.140625" style="318" customWidth="1"/>
    <col min="11" max="11" width="13" style="318" customWidth="1"/>
    <col min="12" max="12" width="12.140625" style="318" customWidth="1"/>
    <col min="13" max="16384" width="11.42578125" style="318"/>
  </cols>
  <sheetData>
    <row r="1" spans="1:14" ht="15" x14ac:dyDescent="0.25">
      <c r="A1" s="317"/>
      <c r="B1" s="33"/>
      <c r="C1" s="33"/>
      <c r="D1" s="33"/>
      <c r="E1" s="33"/>
      <c r="F1" s="33"/>
      <c r="G1" s="33"/>
      <c r="H1" s="33"/>
      <c r="I1" s="33"/>
      <c r="J1" s="1"/>
      <c r="K1"/>
    </row>
    <row r="2" spans="1:14" ht="15" x14ac:dyDescent="0.25">
      <c r="A2" s="317"/>
      <c r="B2" s="33"/>
      <c r="C2" s="33"/>
      <c r="D2" s="33"/>
      <c r="E2" s="33"/>
      <c r="F2" s="33"/>
      <c r="G2" s="33"/>
      <c r="H2" s="33"/>
      <c r="I2" s="33"/>
      <c r="J2" s="1"/>
      <c r="K2"/>
    </row>
    <row r="3" spans="1:14" ht="15" x14ac:dyDescent="0.25">
      <c r="A3" s="317"/>
      <c r="B3" s="33"/>
      <c r="C3" s="33"/>
      <c r="D3" s="33"/>
      <c r="E3" s="33"/>
      <c r="F3" s="33"/>
      <c r="G3" s="33"/>
      <c r="H3" s="33"/>
      <c r="I3" s="33"/>
      <c r="J3" s="1"/>
      <c r="K3"/>
    </row>
    <row r="4" spans="1:14" ht="15" x14ac:dyDescent="0.25">
      <c r="A4" s="317"/>
      <c r="B4" s="34"/>
      <c r="C4" s="35"/>
      <c r="D4" s="35"/>
      <c r="E4" s="35"/>
      <c r="F4" s="35"/>
      <c r="G4" s="35"/>
      <c r="H4" s="35"/>
      <c r="I4" s="35"/>
      <c r="J4" s="1"/>
      <c r="K4"/>
    </row>
    <row r="5" spans="1:14" ht="15" x14ac:dyDescent="0.25">
      <c r="A5" s="317"/>
      <c r="B5" s="36" t="s">
        <v>32</v>
      </c>
      <c r="C5" s="35"/>
      <c r="D5" s="35"/>
      <c r="E5" s="35"/>
      <c r="F5" s="35"/>
      <c r="G5" s="35"/>
      <c r="H5" s="35"/>
      <c r="I5" s="35"/>
      <c r="J5" s="1"/>
      <c r="K5"/>
    </row>
    <row r="6" spans="1:14" ht="15" x14ac:dyDescent="0.25">
      <c r="A6" s="317"/>
      <c r="B6" s="37" t="s">
        <v>33</v>
      </c>
      <c r="C6" s="38" t="s">
        <v>34</v>
      </c>
      <c r="D6" s="38"/>
      <c r="E6" s="39"/>
      <c r="F6" s="38"/>
      <c r="G6" s="38"/>
      <c r="H6" s="38"/>
      <c r="I6" s="35"/>
      <c r="J6" s="1"/>
      <c r="K6"/>
    </row>
    <row r="7" spans="1:14" ht="15" x14ac:dyDescent="0.25">
      <c r="A7" s="317"/>
      <c r="B7" s="38"/>
      <c r="C7" s="38"/>
      <c r="D7" s="38"/>
      <c r="E7" s="38"/>
      <c r="F7" s="38"/>
      <c r="G7" s="38"/>
      <c r="H7" s="38"/>
      <c r="I7" s="35"/>
      <c r="J7" s="1"/>
      <c r="K7"/>
    </row>
    <row r="8" spans="1:14" x14ac:dyDescent="0.2">
      <c r="A8" s="317"/>
      <c r="B8" s="319"/>
      <c r="C8" s="320"/>
      <c r="D8" s="321"/>
      <c r="E8" s="322"/>
      <c r="F8" s="322"/>
      <c r="G8" s="317"/>
      <c r="H8" s="323"/>
      <c r="I8" s="324"/>
      <c r="J8" s="319"/>
    </row>
    <row r="9" spans="1:14" ht="23.25" thickBot="1" x14ac:dyDescent="0.25">
      <c r="A9" s="317"/>
      <c r="B9" s="609" t="s">
        <v>186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</row>
    <row r="10" spans="1:14" ht="13.5" thickTop="1" x14ac:dyDescent="0.2">
      <c r="H10" s="325"/>
    </row>
    <row r="11" spans="1:14" x14ac:dyDescent="0.2">
      <c r="B11" s="319" t="s">
        <v>187</v>
      </c>
      <c r="C11" s="326" t="s">
        <v>497</v>
      </c>
      <c r="D11" s="327"/>
      <c r="E11" s="328"/>
      <c r="F11" s="328"/>
      <c r="H11" s="325"/>
      <c r="I11" s="319" t="s">
        <v>187</v>
      </c>
      <c r="J11" s="326" t="str">
        <f>C11</f>
        <v>DU 01 AU 31 Mars 2021</v>
      </c>
      <c r="K11" s="328"/>
      <c r="L11" s="328"/>
      <c r="M11" s="328"/>
    </row>
    <row r="12" spans="1:14" x14ac:dyDescent="0.2">
      <c r="B12" s="319" t="s">
        <v>188</v>
      </c>
      <c r="C12" s="328" t="s">
        <v>189</v>
      </c>
      <c r="D12" s="328"/>
      <c r="E12" s="329"/>
      <c r="F12" s="329"/>
      <c r="G12" s="317"/>
      <c r="H12" s="325"/>
      <c r="I12" s="319" t="s">
        <v>188</v>
      </c>
      <c r="J12" s="328" t="s">
        <v>190</v>
      </c>
      <c r="K12" s="328"/>
      <c r="L12" s="328"/>
      <c r="M12" s="328"/>
    </row>
    <row r="13" spans="1:14" ht="15.75" x14ac:dyDescent="0.25">
      <c r="B13" s="319" t="s">
        <v>191</v>
      </c>
      <c r="C13" s="330" t="s">
        <v>210</v>
      </c>
      <c r="D13" s="331"/>
      <c r="E13" s="329"/>
      <c r="F13" s="329"/>
      <c r="G13" s="317"/>
      <c r="H13" s="325"/>
      <c r="I13" s="319" t="s">
        <v>191</v>
      </c>
      <c r="J13" s="330" t="str">
        <f>+C13</f>
        <v>01100-37107255251-56</v>
      </c>
      <c r="K13" s="330"/>
      <c r="L13" s="328"/>
      <c r="M13" s="328"/>
    </row>
    <row r="14" spans="1:14" x14ac:dyDescent="0.2">
      <c r="H14" s="325"/>
    </row>
    <row r="15" spans="1:14" x14ac:dyDescent="0.2">
      <c r="B15" s="610" t="s">
        <v>4</v>
      </c>
      <c r="C15" s="610" t="s">
        <v>193</v>
      </c>
      <c r="D15" s="610" t="s">
        <v>194</v>
      </c>
      <c r="E15" s="610" t="s">
        <v>195</v>
      </c>
      <c r="F15" s="611" t="s">
        <v>196</v>
      </c>
      <c r="G15" s="611"/>
      <c r="H15" s="325"/>
      <c r="I15" s="610" t="s">
        <v>4</v>
      </c>
      <c r="J15" s="610" t="s">
        <v>193</v>
      </c>
      <c r="K15" s="610" t="s">
        <v>194</v>
      </c>
      <c r="L15" s="610" t="s">
        <v>195</v>
      </c>
      <c r="M15" s="611" t="s">
        <v>196</v>
      </c>
      <c r="N15" s="611"/>
    </row>
    <row r="16" spans="1:14" x14ac:dyDescent="0.2">
      <c r="B16" s="610"/>
      <c r="C16" s="610"/>
      <c r="D16" s="610"/>
      <c r="E16" s="610"/>
      <c r="F16" s="415" t="s">
        <v>197</v>
      </c>
      <c r="G16" s="415" t="s">
        <v>198</v>
      </c>
      <c r="H16" s="325"/>
      <c r="I16" s="610"/>
      <c r="J16" s="610"/>
      <c r="K16" s="610"/>
      <c r="L16" s="610"/>
      <c r="M16" s="415" t="s">
        <v>197</v>
      </c>
      <c r="N16" s="415" t="s">
        <v>198</v>
      </c>
    </row>
    <row r="17" spans="2:15" x14ac:dyDescent="0.2">
      <c r="B17" s="332" t="s">
        <v>199</v>
      </c>
      <c r="F17" s="333"/>
      <c r="G17" s="333"/>
      <c r="H17" s="325"/>
      <c r="I17" s="332" t="s">
        <v>200</v>
      </c>
      <c r="N17" s="333"/>
    </row>
    <row r="18" spans="2:15" ht="13.5" thickBot="1" x14ac:dyDescent="0.25">
      <c r="B18" s="334">
        <v>44286</v>
      </c>
      <c r="C18" s="335" t="s">
        <v>201</v>
      </c>
      <c r="D18" s="335"/>
      <c r="E18" s="335"/>
      <c r="F18" s="336">
        <f>+'[27]sous compte bancaire compte 56'!H40</f>
        <v>28018507</v>
      </c>
      <c r="G18" s="335"/>
      <c r="H18" s="325"/>
      <c r="I18" s="334">
        <f>+B18</f>
        <v>44286</v>
      </c>
      <c r="J18" s="335" t="s">
        <v>202</v>
      </c>
      <c r="K18" s="335"/>
      <c r="L18" s="335"/>
      <c r="M18" s="337"/>
      <c r="N18" s="336">
        <v>28418507</v>
      </c>
      <c r="O18" s="333"/>
    </row>
    <row r="19" spans="2:15" ht="13.5" thickTop="1" x14ac:dyDescent="0.2">
      <c r="F19" s="333"/>
      <c r="H19" s="325"/>
    </row>
    <row r="20" spans="2:15" x14ac:dyDescent="0.2">
      <c r="B20" s="332" t="s">
        <v>203</v>
      </c>
      <c r="F20" s="333"/>
      <c r="H20" s="325"/>
      <c r="I20" s="338" t="s">
        <v>204</v>
      </c>
      <c r="J20" s="339"/>
      <c r="K20" s="339"/>
      <c r="L20" s="339"/>
      <c r="M20" s="339"/>
      <c r="N20" s="339"/>
    </row>
    <row r="21" spans="2:15" x14ac:dyDescent="0.2">
      <c r="F21" s="333"/>
      <c r="H21" s="325"/>
    </row>
    <row r="22" spans="2:15" x14ac:dyDescent="0.2">
      <c r="B22" s="340"/>
      <c r="C22" s="341"/>
      <c r="D22" s="341"/>
      <c r="E22" s="341"/>
      <c r="F22" s="342"/>
      <c r="G22" s="342"/>
      <c r="H22" s="325"/>
      <c r="I22" s="343">
        <v>44279</v>
      </c>
      <c r="J22" s="243" t="s">
        <v>498</v>
      </c>
      <c r="K22" s="345"/>
      <c r="L22" s="345" t="s">
        <v>499</v>
      </c>
      <c r="M22" s="346">
        <v>400000</v>
      </c>
      <c r="N22" s="342"/>
    </row>
    <row r="23" spans="2:15" x14ac:dyDescent="0.2">
      <c r="B23" s="340"/>
      <c r="C23" s="341"/>
      <c r="D23" s="341"/>
      <c r="E23" s="341"/>
      <c r="F23" s="342"/>
      <c r="G23" s="342"/>
      <c r="H23" s="325"/>
      <c r="I23" s="343"/>
      <c r="J23" s="243"/>
      <c r="K23" s="345"/>
      <c r="L23" s="345"/>
      <c r="M23" s="346"/>
      <c r="N23" s="342"/>
    </row>
    <row r="24" spans="2:15" x14ac:dyDescent="0.2">
      <c r="B24" s="340"/>
      <c r="C24" s="341"/>
      <c r="D24" s="341"/>
      <c r="E24" s="341"/>
      <c r="F24" s="342"/>
      <c r="G24" s="342"/>
      <c r="H24" s="325"/>
      <c r="I24" s="343"/>
      <c r="J24" s="345"/>
      <c r="K24" s="345"/>
      <c r="L24" s="345"/>
      <c r="M24" s="346"/>
      <c r="N24" s="342"/>
    </row>
    <row r="25" spans="2:15" x14ac:dyDescent="0.2">
      <c r="B25" s="340"/>
      <c r="C25" s="341"/>
      <c r="D25" s="341"/>
      <c r="E25" s="341"/>
      <c r="F25" s="342"/>
      <c r="G25" s="342"/>
      <c r="H25" s="325"/>
      <c r="I25" s="343"/>
      <c r="J25" s="345"/>
      <c r="K25" s="343"/>
      <c r="L25" s="345"/>
      <c r="M25" s="346"/>
      <c r="N25" s="342"/>
    </row>
    <row r="26" spans="2:15" x14ac:dyDescent="0.2">
      <c r="B26" s="340"/>
      <c r="C26" s="341"/>
      <c r="D26" s="341"/>
      <c r="E26" s="341"/>
      <c r="F26" s="342"/>
      <c r="G26" s="342"/>
      <c r="H26" s="325"/>
      <c r="I26" s="343"/>
      <c r="J26" s="345"/>
      <c r="K26" s="345"/>
      <c r="L26" s="345"/>
      <c r="M26" s="346"/>
      <c r="N26" s="342"/>
    </row>
    <row r="27" spans="2:15" x14ac:dyDescent="0.2">
      <c r="B27" s="340"/>
      <c r="C27" s="341"/>
      <c r="D27" s="341"/>
      <c r="E27" s="341"/>
      <c r="F27" s="342"/>
      <c r="G27" s="342"/>
      <c r="H27" s="325"/>
      <c r="I27" s="343"/>
      <c r="J27" s="345"/>
      <c r="K27" s="345"/>
      <c r="L27" s="345"/>
      <c r="M27" s="346"/>
      <c r="N27" s="342"/>
    </row>
    <row r="28" spans="2:15" x14ac:dyDescent="0.2">
      <c r="B28" s="340"/>
      <c r="C28" s="341"/>
      <c r="D28" s="341"/>
      <c r="E28" s="341"/>
      <c r="F28" s="342"/>
      <c r="G28" s="342"/>
      <c r="H28" s="325"/>
      <c r="I28" s="340"/>
      <c r="J28" s="341"/>
      <c r="K28" s="341"/>
      <c r="L28" s="341"/>
      <c r="M28" s="342"/>
      <c r="N28" s="342"/>
    </row>
    <row r="29" spans="2:15" x14ac:dyDescent="0.2">
      <c r="B29" s="340"/>
      <c r="C29" s="341"/>
      <c r="D29" s="341"/>
      <c r="E29" s="341"/>
      <c r="F29" s="342"/>
      <c r="G29" s="342"/>
      <c r="H29" s="325"/>
      <c r="I29" s="341"/>
      <c r="J29" s="341"/>
      <c r="K29" s="341"/>
      <c r="L29" s="341"/>
      <c r="M29" s="342"/>
      <c r="N29" s="342"/>
    </row>
    <row r="30" spans="2:15" x14ac:dyDescent="0.2">
      <c r="B30" s="340"/>
      <c r="C30" s="341"/>
      <c r="D30" s="341"/>
      <c r="E30" s="341"/>
      <c r="F30" s="342"/>
      <c r="G30" s="342"/>
      <c r="H30" s="325"/>
      <c r="I30" s="341"/>
      <c r="J30" s="341"/>
      <c r="K30" s="341"/>
      <c r="L30" s="341"/>
      <c r="M30" s="342"/>
      <c r="N30" s="342"/>
    </row>
    <row r="31" spans="2:15" ht="13.5" thickBot="1" x14ac:dyDescent="0.25">
      <c r="B31" s="347"/>
      <c r="C31" s="341"/>
      <c r="D31" s="341"/>
      <c r="E31" s="341"/>
      <c r="F31" s="348"/>
      <c r="G31" s="349"/>
      <c r="H31" s="325"/>
      <c r="I31" s="349"/>
      <c r="J31" s="349"/>
      <c r="K31" s="349"/>
      <c r="L31" s="349"/>
      <c r="M31" s="349"/>
      <c r="N31" s="349"/>
    </row>
    <row r="32" spans="2:15" ht="14.25" thickTop="1" thickBot="1" x14ac:dyDescent="0.25">
      <c r="B32" s="613" t="s">
        <v>205</v>
      </c>
      <c r="C32" s="614"/>
      <c r="D32" s="614"/>
      <c r="E32" s="615"/>
      <c r="F32" s="350">
        <f>SUM(F22:F31,F17:F18)</f>
        <v>28018507</v>
      </c>
      <c r="G32" s="350">
        <f>SUM(G22:G31,G17)</f>
        <v>0</v>
      </c>
      <c r="H32" s="325"/>
      <c r="I32" s="613" t="s">
        <v>206</v>
      </c>
      <c r="J32" s="614"/>
      <c r="K32" s="614"/>
      <c r="L32" s="615"/>
      <c r="M32" s="350">
        <f>SUM(M22:M31,M17:M18)</f>
        <v>400000</v>
      </c>
      <c r="N32" s="350">
        <f>SUM(N22:N31,N17:N18)</f>
        <v>28418507</v>
      </c>
    </row>
    <row r="33" spans="2:14" ht="13.5" thickTop="1" x14ac:dyDescent="0.2">
      <c r="H33" s="325"/>
      <c r="M33" s="333"/>
      <c r="N33" s="333"/>
    </row>
    <row r="34" spans="2:14" ht="13.5" thickBot="1" x14ac:dyDescent="0.25">
      <c r="B34" s="351" t="s">
        <v>488</v>
      </c>
      <c r="C34" s="351"/>
      <c r="D34" s="616" t="str">
        <f>IF(F32&gt;G32,"Solde Débiteur","Solde Nul")</f>
        <v>Solde Débiteur</v>
      </c>
      <c r="E34" s="616"/>
      <c r="F34" s="352"/>
      <c r="G34" s="337">
        <f>F32-G32</f>
        <v>28018507</v>
      </c>
      <c r="H34" s="325"/>
      <c r="I34" s="351" t="str">
        <f>+B34</f>
        <v xml:space="preserve"> Solde rapporché au 31/03/2021∑(1)-(2)</v>
      </c>
      <c r="J34" s="351"/>
      <c r="K34" s="616" t="str">
        <f>IF(N32&gt;M32,"Solde Créditeur","Solde Nul")</f>
        <v>Solde Créditeur</v>
      </c>
      <c r="L34" s="616"/>
      <c r="M34" s="353">
        <f>N32-M32</f>
        <v>28018507</v>
      </c>
      <c r="N34" s="352"/>
    </row>
    <row r="35" spans="2:14" ht="13.5" thickTop="1" x14ac:dyDescent="0.2">
      <c r="F35" s="333"/>
      <c r="G35" s="333"/>
      <c r="H35" s="325"/>
      <c r="M35" s="333"/>
      <c r="N35" s="333"/>
    </row>
    <row r="36" spans="2:14" ht="15" thickBot="1" x14ac:dyDescent="0.25">
      <c r="B36" s="354" t="s">
        <v>207</v>
      </c>
      <c r="C36" s="354"/>
      <c r="D36" s="354"/>
      <c r="E36" s="354"/>
      <c r="F36" s="355">
        <f>SUM(F32)</f>
        <v>28018507</v>
      </c>
      <c r="G36" s="355">
        <f>G34+G32</f>
        <v>28018507</v>
      </c>
      <c r="H36" s="356"/>
      <c r="I36" s="354" t="s">
        <v>207</v>
      </c>
      <c r="J36" s="354"/>
      <c r="K36" s="354"/>
      <c r="L36" s="354"/>
      <c r="M36" s="355">
        <f>+M32+M34</f>
        <v>28418507</v>
      </c>
      <c r="N36" s="355">
        <f>N34+N32</f>
        <v>28418507</v>
      </c>
    </row>
    <row r="37" spans="2:14" ht="13.5" thickTop="1" x14ac:dyDescent="0.2"/>
    <row r="38" spans="2:14" ht="15" thickBot="1" x14ac:dyDescent="0.25">
      <c r="B38" s="354" t="s">
        <v>208</v>
      </c>
      <c r="C38" s="354"/>
      <c r="D38" s="354"/>
      <c r="E38" s="354"/>
      <c r="F38" s="354"/>
      <c r="G38" s="357">
        <f>G34-M34</f>
        <v>0</v>
      </c>
      <c r="I38" s="358"/>
      <c r="J38" s="358"/>
    </row>
    <row r="39" spans="2:14" ht="13.5" thickTop="1" x14ac:dyDescent="0.2">
      <c r="G39" s="617"/>
      <c r="H39" s="617"/>
      <c r="I39" s="617"/>
      <c r="J39" s="359"/>
      <c r="K39" s="359" t="s">
        <v>489</v>
      </c>
      <c r="L39" s="359"/>
    </row>
    <row r="41" spans="2:14" ht="15" x14ac:dyDescent="0.2">
      <c r="B41" s="38" t="s">
        <v>35</v>
      </c>
      <c r="C41" s="40"/>
      <c r="G41" s="416"/>
      <c r="H41" s="416"/>
      <c r="I41" s="416"/>
      <c r="J41" s="38" t="s">
        <v>38</v>
      </c>
      <c r="K41" s="359"/>
      <c r="L41" s="359"/>
    </row>
    <row r="42" spans="2:14" ht="14.25" x14ac:dyDescent="0.2">
      <c r="B42" s="35"/>
      <c r="C42" s="35"/>
      <c r="M42" s="360"/>
      <c r="N42" s="360"/>
    </row>
    <row r="43" spans="2:14" ht="14.25" x14ac:dyDescent="0.2">
      <c r="B43" s="43" t="s">
        <v>209</v>
      </c>
      <c r="C43" s="42"/>
      <c r="D43" s="328"/>
      <c r="E43" s="328"/>
      <c r="F43" s="328"/>
      <c r="G43" s="328"/>
      <c r="H43" s="328"/>
      <c r="I43" s="360"/>
      <c r="J43" s="43" t="s">
        <v>211</v>
      </c>
      <c r="K43" s="360"/>
      <c r="L43" s="360"/>
      <c r="M43" s="328"/>
      <c r="N43" s="328"/>
    </row>
    <row r="44" spans="2:14" ht="15" x14ac:dyDescent="0.25">
      <c r="B44" s="44" t="s">
        <v>37</v>
      </c>
      <c r="C44" s="44"/>
      <c r="D44" s="328"/>
      <c r="E44" s="328"/>
      <c r="F44" s="328"/>
      <c r="G44" s="328"/>
      <c r="H44" s="328"/>
      <c r="I44" s="328"/>
      <c r="J44" s="44" t="s">
        <v>37</v>
      </c>
      <c r="K44" s="328"/>
      <c r="L44" s="328"/>
      <c r="M44" s="328"/>
      <c r="N44" s="328"/>
    </row>
    <row r="45" spans="2:14" x14ac:dyDescent="0.2"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</row>
    <row r="46" spans="2:14" x14ac:dyDescent="0.2">
      <c r="B46" s="612"/>
      <c r="C46" s="612"/>
      <c r="D46" s="328"/>
      <c r="E46" s="328"/>
      <c r="F46" s="328"/>
      <c r="G46" s="328"/>
      <c r="H46" s="328"/>
      <c r="I46" s="612"/>
      <c r="J46" s="612"/>
      <c r="K46" s="612"/>
      <c r="L46" s="612"/>
      <c r="M46" s="612"/>
      <c r="N46" s="612"/>
    </row>
  </sheetData>
  <mergeCells count="18">
    <mergeCell ref="B46:C46"/>
    <mergeCell ref="I46:N46"/>
    <mergeCell ref="B32:E32"/>
    <mergeCell ref="I32:L32"/>
    <mergeCell ref="D34:E34"/>
    <mergeCell ref="K34:L34"/>
    <mergeCell ref="G39:I39"/>
    <mergeCell ref="B9:N9"/>
    <mergeCell ref="B15:B16"/>
    <mergeCell ref="C15:C16"/>
    <mergeCell ref="D15:D16"/>
    <mergeCell ref="E15:E16"/>
    <mergeCell ref="F15:G15"/>
    <mergeCell ref="I15:I16"/>
    <mergeCell ref="J15:J16"/>
    <mergeCell ref="K15:K16"/>
    <mergeCell ref="L15:L16"/>
    <mergeCell ref="M15:N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AE150"/>
  <sheetViews>
    <sheetView workbookViewId="0">
      <selection activeCell="N98" sqref="N98"/>
    </sheetView>
  </sheetViews>
  <sheetFormatPr baseColWidth="10" defaultColWidth="11.42578125" defaultRowHeight="15" x14ac:dyDescent="0.25"/>
  <cols>
    <col min="1" max="1" width="11.7109375" customWidth="1"/>
    <col min="2" max="2" width="46.85546875" customWidth="1"/>
    <col min="3" max="3" width="15" customWidth="1"/>
    <col min="4" max="4" width="12.7109375" customWidth="1"/>
    <col min="5" max="5" width="12.28515625" style="41" customWidth="1"/>
    <col min="6" max="6" width="14.5703125" style="41" customWidth="1"/>
    <col min="7" max="7" width="12.5703125" style="41" customWidth="1"/>
    <col min="8" max="8" width="11" customWidth="1"/>
    <col min="9" max="9" width="15.7109375" hidden="1" customWidth="1"/>
    <col min="10" max="10" width="2" hidden="1" customWidth="1"/>
    <col min="11" max="11" width="11.42578125" hidden="1" customWidth="1"/>
    <col min="12" max="12" width="12.85546875" hidden="1" customWidth="1"/>
    <col min="15" max="15" width="11.42578125" style="1"/>
    <col min="16" max="16" width="24.42578125" style="1" customWidth="1"/>
    <col min="17" max="18" width="11.42578125" style="197"/>
    <col min="19" max="19" width="13" style="197" bestFit="1" customWidth="1"/>
    <col min="20" max="20" width="16.28515625" style="1" customWidth="1"/>
    <col min="21" max="27" width="11.42578125" style="1"/>
  </cols>
  <sheetData>
    <row r="1" spans="1:27" ht="18.75" x14ac:dyDescent="0.3">
      <c r="A1" s="618" t="s">
        <v>109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3" spans="1:27" x14ac:dyDescent="0.25">
      <c r="B3" s="25" t="s">
        <v>40</v>
      </c>
      <c r="C3" s="25" t="s">
        <v>162</v>
      </c>
    </row>
    <row r="4" spans="1:27" ht="18.75" x14ac:dyDescent="0.3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</row>
    <row r="5" spans="1:27" x14ac:dyDescent="0.25">
      <c r="B5" s="25" t="s">
        <v>42</v>
      </c>
      <c r="C5" s="105">
        <f>+E141</f>
        <v>8148337</v>
      </c>
      <c r="M5" s="1"/>
      <c r="N5" s="1"/>
    </row>
    <row r="6" spans="1:27" x14ac:dyDescent="0.25">
      <c r="B6" s="25" t="s">
        <v>43</v>
      </c>
      <c r="C6" s="105">
        <f>+F141</f>
        <v>6475378</v>
      </c>
      <c r="M6" s="1"/>
      <c r="N6" s="1"/>
    </row>
    <row r="7" spans="1:27" x14ac:dyDescent="0.25">
      <c r="B7" s="25" t="s">
        <v>44</v>
      </c>
      <c r="C7" s="105">
        <f>C5-C6</f>
        <v>1672959</v>
      </c>
      <c r="M7" s="1"/>
      <c r="N7" s="1"/>
    </row>
    <row r="11" spans="1:27" s="135" customFormat="1" ht="14.25" customHeight="1" x14ac:dyDescent="0.25">
      <c r="A11" s="98" t="s">
        <v>4</v>
      </c>
      <c r="B11" s="98" t="s">
        <v>45</v>
      </c>
      <c r="C11" s="98" t="s">
        <v>46</v>
      </c>
      <c r="D11" s="98" t="s">
        <v>47</v>
      </c>
      <c r="E11" s="99" t="s">
        <v>48</v>
      </c>
      <c r="F11" s="99" t="s">
        <v>49</v>
      </c>
      <c r="G11" s="99" t="s">
        <v>50</v>
      </c>
      <c r="H11" s="98" t="s">
        <v>51</v>
      </c>
      <c r="I11" s="98" t="s">
        <v>52</v>
      </c>
      <c r="J11" s="98" t="s">
        <v>53</v>
      </c>
      <c r="K11" s="98" t="s">
        <v>55</v>
      </c>
      <c r="L11" s="98" t="s">
        <v>56</v>
      </c>
      <c r="M11" s="98"/>
      <c r="N11" s="98"/>
      <c r="O11" s="134"/>
      <c r="P11" s="134"/>
      <c r="Q11" s="198"/>
      <c r="R11" s="198"/>
      <c r="S11" s="198"/>
      <c r="T11" s="134"/>
      <c r="U11" s="134"/>
      <c r="V11" s="134"/>
      <c r="W11" s="134"/>
      <c r="X11" s="134"/>
      <c r="Y11" s="134"/>
      <c r="Z11" s="134"/>
      <c r="AA11" s="134"/>
    </row>
    <row r="12" spans="1:27" s="1" customFormat="1" x14ac:dyDescent="0.25">
      <c r="A12" s="297">
        <v>44256</v>
      </c>
      <c r="B12" s="137" t="s">
        <v>500</v>
      </c>
      <c r="C12" s="101"/>
      <c r="D12" s="101"/>
      <c r="E12" s="138">
        <f>+'[28]caisse Février 2021  '!C7</f>
        <v>1148337</v>
      </c>
      <c r="F12" s="139"/>
      <c r="G12" s="138">
        <f>+E12</f>
        <v>1148337</v>
      </c>
      <c r="H12" s="140" t="s">
        <v>62</v>
      </c>
      <c r="I12" s="140"/>
      <c r="J12" s="140"/>
      <c r="K12" s="140"/>
      <c r="L12" s="140"/>
      <c r="M12" s="140"/>
      <c r="N12" s="140"/>
      <c r="Q12" s="197"/>
      <c r="R12" s="197"/>
      <c r="S12" s="197"/>
    </row>
    <row r="13" spans="1:27" s="1" customFormat="1" ht="15.75" x14ac:dyDescent="0.25">
      <c r="A13" s="300">
        <v>44256</v>
      </c>
      <c r="B13" s="310" t="s">
        <v>77</v>
      </c>
      <c r="C13" s="310" t="s">
        <v>120</v>
      </c>
      <c r="D13" s="310"/>
      <c r="E13" s="440"/>
      <c r="F13" s="440">
        <v>34000</v>
      </c>
      <c r="G13" s="143">
        <f>+G12+E13-F13</f>
        <v>1114337</v>
      </c>
      <c r="H13" s="142" t="s">
        <v>62</v>
      </c>
      <c r="I13" s="142"/>
      <c r="J13" s="142"/>
      <c r="K13" s="142"/>
      <c r="L13" s="142"/>
      <c r="M13" s="311"/>
      <c r="N13" s="142"/>
      <c r="Q13" s="197"/>
      <c r="R13" s="197"/>
      <c r="S13" s="197"/>
    </row>
    <row r="14" spans="1:27" s="199" customFormat="1" ht="15.75" x14ac:dyDescent="0.25">
      <c r="A14" s="300">
        <v>44256</v>
      </c>
      <c r="B14" s="310" t="s">
        <v>142</v>
      </c>
      <c r="C14" s="310" t="s">
        <v>120</v>
      </c>
      <c r="D14" s="310"/>
      <c r="E14" s="440"/>
      <c r="F14" s="441">
        <v>16000</v>
      </c>
      <c r="G14" s="143">
        <f t="shared" ref="G14:G77" si="0">+G13+E14-F14</f>
        <v>1098337</v>
      </c>
      <c r="H14" s="145" t="s">
        <v>62</v>
      </c>
      <c r="I14" s="142"/>
      <c r="J14" s="142"/>
      <c r="K14" s="142"/>
      <c r="L14" s="142"/>
      <c r="M14" s="311"/>
      <c r="N14" s="469"/>
      <c r="Q14" s="200"/>
      <c r="R14" s="200"/>
      <c r="S14" s="200"/>
    </row>
    <row r="15" spans="1:27" s="100" customFormat="1" ht="15.75" x14ac:dyDescent="0.25">
      <c r="A15" s="300">
        <v>44256</v>
      </c>
      <c r="B15" s="310" t="s">
        <v>244</v>
      </c>
      <c r="C15" s="306" t="s">
        <v>153</v>
      </c>
      <c r="D15" s="306" t="s">
        <v>21</v>
      </c>
      <c r="E15" s="440"/>
      <c r="F15" s="441">
        <v>89175</v>
      </c>
      <c r="G15" s="143">
        <f t="shared" si="0"/>
        <v>1009162</v>
      </c>
      <c r="H15" s="470" t="s">
        <v>62</v>
      </c>
      <c r="I15" s="470"/>
      <c r="J15" s="470"/>
      <c r="K15" s="470"/>
      <c r="L15" s="470"/>
      <c r="M15" s="313" t="s">
        <v>75</v>
      </c>
      <c r="N15" s="470"/>
      <c r="Q15" s="202"/>
      <c r="R15" s="202"/>
      <c r="S15" s="202"/>
    </row>
    <row r="16" spans="1:27" s="1" customFormat="1" ht="15.75" x14ac:dyDescent="0.25">
      <c r="A16" s="300">
        <v>44256</v>
      </c>
      <c r="B16" s="408" t="s">
        <v>505</v>
      </c>
      <c r="C16" s="417" t="s">
        <v>20</v>
      </c>
      <c r="D16" s="298" t="s">
        <v>31</v>
      </c>
      <c r="E16" s="453"/>
      <c r="F16" s="441">
        <v>42000</v>
      </c>
      <c r="G16" s="143">
        <f t="shared" si="0"/>
        <v>967162</v>
      </c>
      <c r="H16" s="142" t="s">
        <v>62</v>
      </c>
      <c r="I16" s="142"/>
      <c r="J16" s="142"/>
      <c r="K16" s="142"/>
      <c r="L16" s="142"/>
      <c r="M16" s="313" t="s">
        <v>75</v>
      </c>
      <c r="N16" s="142"/>
      <c r="Q16" s="201"/>
      <c r="R16" s="197"/>
      <c r="S16" s="197"/>
    </row>
    <row r="17" spans="1:19" s="1" customFormat="1" ht="15.75" x14ac:dyDescent="0.25">
      <c r="A17" s="300">
        <v>44256</v>
      </c>
      <c r="B17" s="408" t="s">
        <v>446</v>
      </c>
      <c r="C17" s="417" t="s">
        <v>20</v>
      </c>
      <c r="D17" s="300" t="s">
        <v>121</v>
      </c>
      <c r="E17" s="453"/>
      <c r="F17" s="441">
        <v>83000</v>
      </c>
      <c r="G17" s="143">
        <f t="shared" si="0"/>
        <v>884162</v>
      </c>
      <c r="H17" s="142" t="s">
        <v>62</v>
      </c>
      <c r="I17" s="142"/>
      <c r="J17" s="142"/>
      <c r="K17" s="142"/>
      <c r="L17" s="142"/>
      <c r="M17" s="313" t="s">
        <v>75</v>
      </c>
      <c r="N17" s="142"/>
      <c r="Q17" s="197"/>
      <c r="R17" s="197"/>
      <c r="S17" s="197"/>
    </row>
    <row r="18" spans="1:19" s="1" customFormat="1" ht="15.75" x14ac:dyDescent="0.25">
      <c r="A18" s="300">
        <v>44256</v>
      </c>
      <c r="B18" s="408" t="s">
        <v>447</v>
      </c>
      <c r="C18" s="417" t="s">
        <v>20</v>
      </c>
      <c r="D18" s="298" t="s">
        <v>61</v>
      </c>
      <c r="E18" s="453"/>
      <c r="F18" s="441">
        <v>11000</v>
      </c>
      <c r="G18" s="143">
        <f t="shared" si="0"/>
        <v>873162</v>
      </c>
      <c r="H18" s="142" t="s">
        <v>62</v>
      </c>
      <c r="I18" s="142"/>
      <c r="J18" s="142"/>
      <c r="K18" s="142"/>
      <c r="L18" s="142"/>
      <c r="M18" s="313" t="s">
        <v>75</v>
      </c>
      <c r="N18" s="142"/>
      <c r="Q18" s="197"/>
      <c r="R18" s="197"/>
      <c r="S18" s="197"/>
    </row>
    <row r="19" spans="1:19" s="1" customFormat="1" ht="15.75" x14ac:dyDescent="0.25">
      <c r="A19" s="300">
        <v>44256</v>
      </c>
      <c r="B19" s="408" t="s">
        <v>448</v>
      </c>
      <c r="C19" s="417" t="s">
        <v>20</v>
      </c>
      <c r="D19" s="298" t="s">
        <v>19</v>
      </c>
      <c r="E19" s="453"/>
      <c r="F19" s="441">
        <v>53000</v>
      </c>
      <c r="G19" s="143">
        <f t="shared" si="0"/>
        <v>820162</v>
      </c>
      <c r="H19" s="142" t="s">
        <v>62</v>
      </c>
      <c r="I19" s="142"/>
      <c r="J19" s="142"/>
      <c r="K19" s="142"/>
      <c r="L19" s="142"/>
      <c r="M19" s="313" t="s">
        <v>75</v>
      </c>
      <c r="N19" s="142"/>
      <c r="Q19" s="197"/>
      <c r="R19" s="197"/>
      <c r="S19" s="197"/>
    </row>
    <row r="20" spans="1:19" s="1" customFormat="1" ht="15.75" x14ac:dyDescent="0.25">
      <c r="A20" s="300">
        <v>44256</v>
      </c>
      <c r="B20" s="408" t="s">
        <v>506</v>
      </c>
      <c r="C20" s="417" t="s">
        <v>20</v>
      </c>
      <c r="D20" s="298" t="s">
        <v>31</v>
      </c>
      <c r="E20" s="440"/>
      <c r="F20" s="441">
        <v>40000</v>
      </c>
      <c r="G20" s="143">
        <f t="shared" si="0"/>
        <v>780162</v>
      </c>
      <c r="H20" s="142" t="s">
        <v>62</v>
      </c>
      <c r="I20" s="142"/>
      <c r="J20" s="142"/>
      <c r="K20" s="142"/>
      <c r="L20" s="142"/>
      <c r="M20" s="313" t="s">
        <v>75</v>
      </c>
      <c r="N20" s="142"/>
      <c r="Q20" s="197"/>
      <c r="R20" s="197"/>
      <c r="S20" s="197"/>
    </row>
    <row r="21" spans="1:19" s="1" customFormat="1" ht="15.75" x14ac:dyDescent="0.25">
      <c r="A21" s="300">
        <v>44256</v>
      </c>
      <c r="B21" s="408" t="s">
        <v>449</v>
      </c>
      <c r="C21" s="417" t="s">
        <v>20</v>
      </c>
      <c r="D21" s="300" t="s">
        <v>121</v>
      </c>
      <c r="E21" s="440"/>
      <c r="F21" s="441">
        <v>72000</v>
      </c>
      <c r="G21" s="143">
        <f t="shared" si="0"/>
        <v>708162</v>
      </c>
      <c r="H21" s="142" t="s">
        <v>62</v>
      </c>
      <c r="I21" s="142"/>
      <c r="J21" s="142"/>
      <c r="K21" s="142"/>
      <c r="L21" s="142"/>
      <c r="M21" s="313" t="s">
        <v>75</v>
      </c>
      <c r="N21" s="142"/>
      <c r="Q21" s="197"/>
      <c r="R21" s="197"/>
      <c r="S21" s="197"/>
    </row>
    <row r="22" spans="1:19" s="1" customFormat="1" ht="15.75" x14ac:dyDescent="0.25">
      <c r="A22" s="300">
        <v>44256</v>
      </c>
      <c r="B22" s="408" t="s">
        <v>450</v>
      </c>
      <c r="C22" s="417" t="s">
        <v>20</v>
      </c>
      <c r="D22" s="298" t="s">
        <v>61</v>
      </c>
      <c r="E22" s="440"/>
      <c r="F22" s="441">
        <v>10000</v>
      </c>
      <c r="G22" s="143">
        <f t="shared" si="0"/>
        <v>698162</v>
      </c>
      <c r="H22" s="142" t="s">
        <v>62</v>
      </c>
      <c r="I22" s="142"/>
      <c r="J22" s="142"/>
      <c r="K22" s="142"/>
      <c r="L22" s="142"/>
      <c r="M22" s="313" t="s">
        <v>75</v>
      </c>
      <c r="N22" s="142"/>
      <c r="Q22" s="197"/>
      <c r="R22" s="197"/>
      <c r="S22" s="197"/>
    </row>
    <row r="23" spans="1:19" s="1" customFormat="1" ht="15.75" x14ac:dyDescent="0.25">
      <c r="A23" s="300">
        <v>44256</v>
      </c>
      <c r="B23" s="408" t="s">
        <v>451</v>
      </c>
      <c r="C23" s="417" t="s">
        <v>20</v>
      </c>
      <c r="D23" s="298" t="s">
        <v>19</v>
      </c>
      <c r="E23" s="440"/>
      <c r="F23" s="441">
        <v>61000</v>
      </c>
      <c r="G23" s="143">
        <f t="shared" si="0"/>
        <v>637162</v>
      </c>
      <c r="H23" s="142" t="s">
        <v>62</v>
      </c>
      <c r="I23" s="142"/>
      <c r="J23" s="142"/>
      <c r="K23" s="142"/>
      <c r="L23" s="142"/>
      <c r="M23" s="313" t="s">
        <v>75</v>
      </c>
      <c r="N23" s="142"/>
      <c r="Q23" s="197"/>
      <c r="R23" s="197"/>
      <c r="S23" s="197"/>
    </row>
    <row r="24" spans="1:19" s="1" customFormat="1" ht="15.75" x14ac:dyDescent="0.25">
      <c r="A24" s="300">
        <v>44256</v>
      </c>
      <c r="B24" s="310" t="s">
        <v>429</v>
      </c>
      <c r="C24" s="310" t="s">
        <v>26</v>
      </c>
      <c r="D24" s="310" t="s">
        <v>61</v>
      </c>
      <c r="E24" s="440"/>
      <c r="F24" s="441">
        <v>50000</v>
      </c>
      <c r="G24" s="143">
        <f t="shared" si="0"/>
        <v>587162</v>
      </c>
      <c r="H24" s="142" t="s">
        <v>62</v>
      </c>
      <c r="I24" s="142"/>
      <c r="J24" s="142"/>
      <c r="K24" s="142"/>
      <c r="L24" s="142"/>
      <c r="M24" s="308" t="s">
        <v>134</v>
      </c>
      <c r="N24" s="142"/>
      <c r="Q24" s="197"/>
      <c r="R24" s="197"/>
      <c r="S24" s="197"/>
    </row>
    <row r="25" spans="1:19" s="1" customFormat="1" ht="15.75" x14ac:dyDescent="0.25">
      <c r="A25" s="300">
        <v>44256</v>
      </c>
      <c r="B25" s="310" t="s">
        <v>77</v>
      </c>
      <c r="C25" s="310" t="s">
        <v>243</v>
      </c>
      <c r="D25" s="310"/>
      <c r="E25" s="440"/>
      <c r="F25" s="441">
        <v>10000</v>
      </c>
      <c r="G25" s="143">
        <f t="shared" si="0"/>
        <v>577162</v>
      </c>
      <c r="H25" s="142" t="s">
        <v>62</v>
      </c>
      <c r="I25" s="142"/>
      <c r="J25" s="142"/>
      <c r="K25" s="142"/>
      <c r="L25" s="142"/>
      <c r="M25" s="311"/>
      <c r="N25" s="142"/>
      <c r="Q25" s="197"/>
      <c r="R25" s="197"/>
      <c r="S25" s="197"/>
    </row>
    <row r="26" spans="1:19" s="1" customFormat="1" ht="15.75" x14ac:dyDescent="0.25">
      <c r="A26" s="300">
        <v>44256</v>
      </c>
      <c r="B26" s="310" t="s">
        <v>245</v>
      </c>
      <c r="C26" s="312" t="s">
        <v>73</v>
      </c>
      <c r="D26" s="300" t="s">
        <v>121</v>
      </c>
      <c r="E26" s="440"/>
      <c r="F26" s="441">
        <v>14000</v>
      </c>
      <c r="G26" s="143">
        <f t="shared" si="0"/>
        <v>563162</v>
      </c>
      <c r="H26" s="142" t="s">
        <v>62</v>
      </c>
      <c r="I26" s="142"/>
      <c r="J26" s="142"/>
      <c r="K26" s="142"/>
      <c r="L26" s="142"/>
      <c r="M26" s="304" t="s">
        <v>134</v>
      </c>
      <c r="N26" s="142"/>
      <c r="Q26" s="197"/>
      <c r="R26" s="197"/>
      <c r="S26" s="197"/>
    </row>
    <row r="27" spans="1:19" s="1" customFormat="1" ht="15.75" x14ac:dyDescent="0.25">
      <c r="A27" s="300">
        <v>44257</v>
      </c>
      <c r="B27" s="310" t="s">
        <v>246</v>
      </c>
      <c r="C27" s="310" t="s">
        <v>120</v>
      </c>
      <c r="D27" s="310"/>
      <c r="E27" s="440"/>
      <c r="F27" s="441">
        <v>14000</v>
      </c>
      <c r="G27" s="143">
        <f t="shared" si="0"/>
        <v>549162</v>
      </c>
      <c r="H27" s="142" t="s">
        <v>62</v>
      </c>
      <c r="I27" s="142"/>
      <c r="J27" s="142"/>
      <c r="K27" s="142"/>
      <c r="L27" s="142"/>
      <c r="M27" s="311"/>
      <c r="N27" s="142"/>
      <c r="Q27" s="197"/>
      <c r="R27" s="197"/>
      <c r="S27" s="197"/>
    </row>
    <row r="28" spans="1:19" s="1" customFormat="1" ht="15.75" x14ac:dyDescent="0.25">
      <c r="A28" s="300">
        <v>44257</v>
      </c>
      <c r="B28" s="310" t="s">
        <v>142</v>
      </c>
      <c r="C28" s="310" t="s">
        <v>120</v>
      </c>
      <c r="D28" s="310"/>
      <c r="E28" s="440"/>
      <c r="F28" s="441">
        <v>10000</v>
      </c>
      <c r="G28" s="143">
        <f t="shared" si="0"/>
        <v>539162</v>
      </c>
      <c r="H28" s="142" t="s">
        <v>62</v>
      </c>
      <c r="I28" s="142"/>
      <c r="J28" s="142"/>
      <c r="K28" s="142"/>
      <c r="L28" s="142"/>
      <c r="M28" s="385"/>
      <c r="N28" s="142"/>
      <c r="Q28" s="197"/>
      <c r="R28" s="197"/>
      <c r="S28" s="197"/>
    </row>
    <row r="29" spans="1:19" s="1" customFormat="1" ht="15.75" x14ac:dyDescent="0.25">
      <c r="A29" s="300">
        <v>44257</v>
      </c>
      <c r="B29" s="310" t="s">
        <v>154</v>
      </c>
      <c r="C29" s="310" t="s">
        <v>120</v>
      </c>
      <c r="D29" s="310"/>
      <c r="E29" s="440"/>
      <c r="F29" s="441">
        <v>119000</v>
      </c>
      <c r="G29" s="143">
        <f t="shared" si="0"/>
        <v>420162</v>
      </c>
      <c r="H29" s="142" t="s">
        <v>62</v>
      </c>
      <c r="I29" s="142"/>
      <c r="J29" s="142"/>
      <c r="K29" s="142"/>
      <c r="L29" s="142"/>
      <c r="M29" s="396"/>
      <c r="N29" s="142"/>
      <c r="Q29" s="197"/>
      <c r="R29" s="197"/>
      <c r="S29" s="197"/>
    </row>
    <row r="30" spans="1:19" s="1" customFormat="1" ht="15.75" x14ac:dyDescent="0.25">
      <c r="A30" s="300">
        <v>44257</v>
      </c>
      <c r="B30" s="310" t="s">
        <v>67</v>
      </c>
      <c r="C30" s="310" t="s">
        <v>120</v>
      </c>
      <c r="D30" s="310"/>
      <c r="E30" s="440"/>
      <c r="F30" s="441">
        <v>118000</v>
      </c>
      <c r="G30" s="143">
        <f t="shared" si="0"/>
        <v>302162</v>
      </c>
      <c r="H30" s="142" t="s">
        <v>62</v>
      </c>
      <c r="I30" s="142"/>
      <c r="J30" s="142"/>
      <c r="K30" s="142"/>
      <c r="L30" s="142"/>
      <c r="M30" s="423"/>
      <c r="N30" s="142"/>
      <c r="Q30" s="197"/>
      <c r="R30" s="197"/>
      <c r="S30" s="197"/>
    </row>
    <row r="31" spans="1:19" s="1" customFormat="1" ht="15.75" x14ac:dyDescent="0.25">
      <c r="A31" s="300">
        <v>44257</v>
      </c>
      <c r="B31" s="310" t="s">
        <v>177</v>
      </c>
      <c r="C31" s="306" t="s">
        <v>63</v>
      </c>
      <c r="D31" s="306" t="s">
        <v>21</v>
      </c>
      <c r="E31" s="440"/>
      <c r="F31" s="441">
        <v>7110</v>
      </c>
      <c r="G31" s="143">
        <f t="shared" si="0"/>
        <v>295052</v>
      </c>
      <c r="H31" s="142" t="s">
        <v>62</v>
      </c>
      <c r="I31" s="142"/>
      <c r="J31" s="142"/>
      <c r="K31" s="142"/>
      <c r="L31" s="142"/>
      <c r="M31" s="313" t="s">
        <v>75</v>
      </c>
      <c r="N31" s="142"/>
      <c r="Q31" s="197"/>
      <c r="R31" s="197"/>
      <c r="S31" s="197"/>
    </row>
    <row r="32" spans="1:19" s="1" customFormat="1" ht="15.75" x14ac:dyDescent="0.25">
      <c r="A32" s="300">
        <v>44257</v>
      </c>
      <c r="B32" s="310" t="s">
        <v>508</v>
      </c>
      <c r="C32" s="300" t="s">
        <v>74</v>
      </c>
      <c r="D32" s="300" t="s">
        <v>21</v>
      </c>
      <c r="E32" s="440"/>
      <c r="F32" s="441">
        <v>1500</v>
      </c>
      <c r="G32" s="143">
        <f t="shared" si="0"/>
        <v>293552</v>
      </c>
      <c r="H32" s="142" t="s">
        <v>62</v>
      </c>
      <c r="I32" s="142"/>
      <c r="J32" s="142"/>
      <c r="K32" s="142"/>
      <c r="L32" s="142"/>
      <c r="M32" s="313" t="s">
        <v>75</v>
      </c>
      <c r="N32" s="142"/>
      <c r="Q32" s="197"/>
      <c r="R32" s="197"/>
      <c r="S32" s="197"/>
    </row>
    <row r="33" spans="1:19" s="1" customFormat="1" ht="15.75" x14ac:dyDescent="0.25">
      <c r="A33" s="300">
        <v>44257</v>
      </c>
      <c r="B33" s="310" t="s">
        <v>247</v>
      </c>
      <c r="C33" s="300" t="s">
        <v>74</v>
      </c>
      <c r="D33" s="300" t="s">
        <v>21</v>
      </c>
      <c r="E33" s="440"/>
      <c r="F33" s="441">
        <v>7000</v>
      </c>
      <c r="G33" s="143">
        <f t="shared" si="0"/>
        <v>286552</v>
      </c>
      <c r="H33" s="142" t="s">
        <v>62</v>
      </c>
      <c r="I33" s="142"/>
      <c r="J33" s="142"/>
      <c r="K33" s="142"/>
      <c r="L33" s="142"/>
      <c r="M33" s="313" t="s">
        <v>75</v>
      </c>
      <c r="N33" s="142"/>
      <c r="O33" s="144"/>
      <c r="Q33" s="197"/>
      <c r="R33" s="197"/>
      <c r="S33" s="197"/>
    </row>
    <row r="34" spans="1:19" s="1" customFormat="1" ht="15.75" x14ac:dyDescent="0.25">
      <c r="A34" s="300">
        <v>44257</v>
      </c>
      <c r="B34" s="310" t="s">
        <v>248</v>
      </c>
      <c r="C34" s="300" t="s">
        <v>74</v>
      </c>
      <c r="D34" s="300" t="s">
        <v>21</v>
      </c>
      <c r="E34" s="440"/>
      <c r="F34" s="441">
        <v>55000</v>
      </c>
      <c r="G34" s="143">
        <f t="shared" si="0"/>
        <v>231552</v>
      </c>
      <c r="H34" s="142" t="s">
        <v>62</v>
      </c>
      <c r="I34" s="142"/>
      <c r="J34" s="142"/>
      <c r="K34" s="142"/>
      <c r="L34" s="142"/>
      <c r="M34" s="313" t="s">
        <v>75</v>
      </c>
      <c r="N34" s="142"/>
      <c r="O34" s="144"/>
      <c r="Q34" s="197"/>
      <c r="R34" s="197"/>
      <c r="S34" s="197"/>
    </row>
    <row r="35" spans="1:19" s="1" customFormat="1" ht="15.75" x14ac:dyDescent="0.25">
      <c r="A35" s="300">
        <v>44257</v>
      </c>
      <c r="B35" s="310" t="s">
        <v>249</v>
      </c>
      <c r="C35" s="417" t="s">
        <v>20</v>
      </c>
      <c r="D35" s="298" t="s">
        <v>31</v>
      </c>
      <c r="E35" s="441"/>
      <c r="F35" s="441">
        <v>85000</v>
      </c>
      <c r="G35" s="143">
        <f t="shared" si="0"/>
        <v>146552</v>
      </c>
      <c r="H35" s="142" t="s">
        <v>62</v>
      </c>
      <c r="I35" s="142"/>
      <c r="J35" s="142"/>
      <c r="K35" s="142"/>
      <c r="L35" s="142"/>
      <c r="M35" s="313" t="s">
        <v>75</v>
      </c>
      <c r="N35" s="142"/>
      <c r="O35" s="144"/>
      <c r="Q35" s="197"/>
      <c r="R35" s="197"/>
      <c r="S35" s="197"/>
    </row>
    <row r="36" spans="1:19" s="1" customFormat="1" ht="15.75" x14ac:dyDescent="0.25">
      <c r="A36" s="300">
        <v>44257</v>
      </c>
      <c r="B36" s="310" t="s">
        <v>250</v>
      </c>
      <c r="C36" s="300" t="s">
        <v>74</v>
      </c>
      <c r="D36" s="300" t="s">
        <v>21</v>
      </c>
      <c r="E36" s="440"/>
      <c r="F36" s="441">
        <v>18000</v>
      </c>
      <c r="G36" s="143">
        <f t="shared" si="0"/>
        <v>128552</v>
      </c>
      <c r="H36" s="142" t="s">
        <v>62</v>
      </c>
      <c r="I36" s="142"/>
      <c r="J36" s="142"/>
      <c r="K36" s="142"/>
      <c r="L36" s="142"/>
      <c r="M36" s="313" t="s">
        <v>75</v>
      </c>
      <c r="N36" s="142"/>
      <c r="Q36" s="197"/>
      <c r="R36" s="197"/>
      <c r="S36" s="197"/>
    </row>
    <row r="37" spans="1:19" s="199" customFormat="1" ht="15.75" x14ac:dyDescent="0.25">
      <c r="A37" s="300">
        <v>44257</v>
      </c>
      <c r="B37" s="310" t="s">
        <v>77</v>
      </c>
      <c r="C37" s="310" t="s">
        <v>120</v>
      </c>
      <c r="D37" s="310"/>
      <c r="E37" s="440"/>
      <c r="F37" s="441">
        <v>40000</v>
      </c>
      <c r="G37" s="143">
        <f t="shared" si="0"/>
        <v>88552</v>
      </c>
      <c r="H37" s="142" t="s">
        <v>62</v>
      </c>
      <c r="I37" s="142"/>
      <c r="J37" s="142"/>
      <c r="K37" s="142"/>
      <c r="L37" s="142"/>
      <c r="M37" s="308"/>
      <c r="N37" s="469"/>
      <c r="Q37" s="200"/>
      <c r="R37" s="200"/>
      <c r="S37" s="200"/>
    </row>
    <row r="38" spans="1:19" s="1" customFormat="1" ht="15.75" x14ac:dyDescent="0.25">
      <c r="A38" s="300">
        <v>44257</v>
      </c>
      <c r="B38" s="310" t="s">
        <v>91</v>
      </c>
      <c r="C38" s="310" t="s">
        <v>120</v>
      </c>
      <c r="D38" s="310"/>
      <c r="E38" s="440"/>
      <c r="F38" s="441">
        <v>10000</v>
      </c>
      <c r="G38" s="143">
        <f t="shared" si="0"/>
        <v>78552</v>
      </c>
      <c r="H38" s="142" t="s">
        <v>62</v>
      </c>
      <c r="I38" s="142"/>
      <c r="J38" s="142"/>
      <c r="K38" s="142"/>
      <c r="L38" s="142"/>
      <c r="M38" s="304"/>
      <c r="N38" s="142"/>
      <c r="Q38" s="197"/>
      <c r="R38" s="197"/>
      <c r="S38" s="197"/>
    </row>
    <row r="39" spans="1:19" s="1" customFormat="1" ht="15.75" x14ac:dyDescent="0.25">
      <c r="A39" s="300">
        <v>44257</v>
      </c>
      <c r="B39" s="310" t="s">
        <v>58</v>
      </c>
      <c r="C39" s="310" t="s">
        <v>120</v>
      </c>
      <c r="D39" s="310"/>
      <c r="E39" s="440">
        <v>1000000</v>
      </c>
      <c r="F39" s="441"/>
      <c r="G39" s="143">
        <f t="shared" si="0"/>
        <v>1078552</v>
      </c>
      <c r="H39" s="142" t="s">
        <v>62</v>
      </c>
      <c r="I39" s="142"/>
      <c r="J39" s="142"/>
      <c r="K39" s="142"/>
      <c r="L39" s="142"/>
      <c r="M39" s="308"/>
      <c r="N39" s="142"/>
      <c r="Q39" s="197"/>
      <c r="R39" s="197"/>
      <c r="S39" s="197"/>
    </row>
    <row r="40" spans="1:19" s="1" customFormat="1" ht="15.75" x14ac:dyDescent="0.25">
      <c r="A40" s="300">
        <v>44258</v>
      </c>
      <c r="B40" s="310" t="s">
        <v>251</v>
      </c>
      <c r="C40" s="310" t="s">
        <v>26</v>
      </c>
      <c r="D40" s="300" t="s">
        <v>121</v>
      </c>
      <c r="E40" s="440"/>
      <c r="F40" s="441">
        <v>50000</v>
      </c>
      <c r="G40" s="143">
        <f t="shared" si="0"/>
        <v>1028552</v>
      </c>
      <c r="H40" s="142" t="s">
        <v>62</v>
      </c>
      <c r="I40" s="142"/>
      <c r="J40" s="142"/>
      <c r="K40" s="142"/>
      <c r="L40" s="142"/>
      <c r="M40" s="304" t="s">
        <v>134</v>
      </c>
      <c r="N40" s="142"/>
      <c r="Q40" s="197"/>
      <c r="R40" s="197"/>
      <c r="S40" s="197"/>
    </row>
    <row r="41" spans="1:19" s="1" customFormat="1" ht="15.75" x14ac:dyDescent="0.25">
      <c r="A41" s="300">
        <v>44258</v>
      </c>
      <c r="B41" s="310" t="s">
        <v>252</v>
      </c>
      <c r="C41" s="310" t="s">
        <v>26</v>
      </c>
      <c r="D41" s="300" t="s">
        <v>121</v>
      </c>
      <c r="E41" s="440"/>
      <c r="F41" s="441">
        <v>10000</v>
      </c>
      <c r="G41" s="143">
        <f t="shared" si="0"/>
        <v>1018552</v>
      </c>
      <c r="H41" s="142" t="s">
        <v>62</v>
      </c>
      <c r="I41" s="142"/>
      <c r="J41" s="142"/>
      <c r="K41" s="142"/>
      <c r="L41" s="142"/>
      <c r="M41" s="304" t="s">
        <v>134</v>
      </c>
      <c r="N41" s="142"/>
      <c r="O41" s="41"/>
      <c r="Q41" s="197"/>
      <c r="R41" s="197"/>
      <c r="S41" s="197"/>
    </row>
    <row r="42" spans="1:19" s="134" customFormat="1" ht="15.75" x14ac:dyDescent="0.25">
      <c r="A42" s="300">
        <v>44258</v>
      </c>
      <c r="B42" s="310" t="s">
        <v>253</v>
      </c>
      <c r="C42" s="310" t="s">
        <v>26</v>
      </c>
      <c r="D42" s="300" t="s">
        <v>121</v>
      </c>
      <c r="E42" s="440"/>
      <c r="F42" s="441">
        <v>20000</v>
      </c>
      <c r="G42" s="143">
        <f t="shared" si="0"/>
        <v>998552</v>
      </c>
      <c r="H42" s="142" t="s">
        <v>62</v>
      </c>
      <c r="I42" s="142"/>
      <c r="J42" s="142"/>
      <c r="K42" s="142"/>
      <c r="L42" s="142"/>
      <c r="M42" s="304" t="s">
        <v>134</v>
      </c>
      <c r="N42" s="142"/>
      <c r="O42" s="41"/>
      <c r="Q42" s="198"/>
      <c r="R42" s="198"/>
      <c r="S42" s="197"/>
    </row>
    <row r="43" spans="1:19" s="134" customFormat="1" ht="15.75" x14ac:dyDescent="0.25">
      <c r="A43" s="300">
        <v>44258</v>
      </c>
      <c r="B43" s="310" t="s">
        <v>254</v>
      </c>
      <c r="C43" s="300" t="s">
        <v>74</v>
      </c>
      <c r="D43" s="300" t="s">
        <v>21</v>
      </c>
      <c r="E43" s="440"/>
      <c r="F43" s="441">
        <v>7500</v>
      </c>
      <c r="G43" s="143">
        <f t="shared" si="0"/>
        <v>991052</v>
      </c>
      <c r="H43" s="142" t="s">
        <v>62</v>
      </c>
      <c r="I43" s="142"/>
      <c r="J43" s="142"/>
      <c r="K43" s="142"/>
      <c r="L43" s="142"/>
      <c r="M43" s="313" t="s">
        <v>75</v>
      </c>
      <c r="N43" s="142"/>
      <c r="O43" s="41"/>
      <c r="Q43" s="198"/>
      <c r="R43" s="198"/>
      <c r="S43" s="197"/>
    </row>
    <row r="44" spans="1:19" s="134" customFormat="1" ht="15.75" x14ac:dyDescent="0.25">
      <c r="A44" s="300">
        <v>44258</v>
      </c>
      <c r="B44" s="310" t="s">
        <v>122</v>
      </c>
      <c r="C44" s="310" t="s">
        <v>120</v>
      </c>
      <c r="D44" s="310"/>
      <c r="E44" s="440"/>
      <c r="F44" s="441">
        <v>76000</v>
      </c>
      <c r="G44" s="143">
        <f t="shared" si="0"/>
        <v>915052</v>
      </c>
      <c r="H44" s="142" t="s">
        <v>62</v>
      </c>
      <c r="I44" s="142"/>
      <c r="J44" s="142"/>
      <c r="K44" s="142"/>
      <c r="L44" s="142"/>
      <c r="M44" s="308"/>
      <c r="N44" s="142"/>
      <c r="O44" s="41"/>
      <c r="Q44" s="198"/>
      <c r="R44" s="198"/>
      <c r="S44" s="197"/>
    </row>
    <row r="45" spans="1:19" s="134" customFormat="1" ht="15.75" x14ac:dyDescent="0.25">
      <c r="A45" s="300">
        <v>44258</v>
      </c>
      <c r="B45" s="310" t="s">
        <v>255</v>
      </c>
      <c r="C45" s="310" t="s">
        <v>26</v>
      </c>
      <c r="D45" s="300" t="s">
        <v>121</v>
      </c>
      <c r="E45" s="440"/>
      <c r="F45" s="441">
        <v>50000</v>
      </c>
      <c r="G45" s="143">
        <f t="shared" si="0"/>
        <v>865052</v>
      </c>
      <c r="H45" s="142" t="s">
        <v>62</v>
      </c>
      <c r="I45" s="142"/>
      <c r="J45" s="142"/>
      <c r="K45" s="142"/>
      <c r="L45" s="142"/>
      <c r="M45" s="304" t="s">
        <v>134</v>
      </c>
      <c r="N45" s="142"/>
      <c r="O45" s="41"/>
      <c r="P45" s="619"/>
      <c r="Q45" s="619"/>
      <c r="R45" s="619"/>
      <c r="S45" s="198"/>
    </row>
    <row r="46" spans="1:19" s="134" customFormat="1" ht="15.75" x14ac:dyDescent="0.25">
      <c r="A46" s="300">
        <v>44258</v>
      </c>
      <c r="B46" s="310" t="s">
        <v>77</v>
      </c>
      <c r="C46" s="310" t="s">
        <v>120</v>
      </c>
      <c r="D46" s="310"/>
      <c r="E46" s="440"/>
      <c r="F46" s="441">
        <v>12000</v>
      </c>
      <c r="G46" s="143">
        <f t="shared" si="0"/>
        <v>853052</v>
      </c>
      <c r="H46" s="142" t="s">
        <v>62</v>
      </c>
      <c r="I46" s="142"/>
      <c r="J46" s="142"/>
      <c r="K46" s="142"/>
      <c r="L46" s="142"/>
      <c r="M46" s="385"/>
      <c r="N46" s="142"/>
      <c r="O46" s="41"/>
      <c r="Q46" s="198"/>
      <c r="R46" s="198"/>
      <c r="S46" s="198"/>
    </row>
    <row r="47" spans="1:19" s="134" customFormat="1" ht="15.75" x14ac:dyDescent="0.25">
      <c r="A47" s="300">
        <v>44258</v>
      </c>
      <c r="B47" s="310" t="s">
        <v>69</v>
      </c>
      <c r="C47" s="310" t="s">
        <v>120</v>
      </c>
      <c r="D47" s="310"/>
      <c r="E47" s="440"/>
      <c r="F47" s="441">
        <v>10000</v>
      </c>
      <c r="G47" s="143">
        <f t="shared" si="0"/>
        <v>843052</v>
      </c>
      <c r="H47" s="142" t="s">
        <v>62</v>
      </c>
      <c r="I47" s="142"/>
      <c r="J47" s="142"/>
      <c r="K47" s="142"/>
      <c r="L47" s="142"/>
      <c r="M47" s="308"/>
      <c r="N47" s="142"/>
      <c r="O47" s="41"/>
      <c r="Q47" s="198"/>
      <c r="R47" s="198"/>
      <c r="S47" s="198"/>
    </row>
    <row r="48" spans="1:19" s="134" customFormat="1" ht="15.75" x14ac:dyDescent="0.25">
      <c r="A48" s="300">
        <v>44258</v>
      </c>
      <c r="B48" s="309" t="s">
        <v>435</v>
      </c>
      <c r="C48" s="309" t="s">
        <v>30</v>
      </c>
      <c r="D48" s="309" t="s">
        <v>21</v>
      </c>
      <c r="E48" s="441"/>
      <c r="F48" s="441">
        <v>2000</v>
      </c>
      <c r="G48" s="143">
        <f t="shared" si="0"/>
        <v>841052</v>
      </c>
      <c r="H48" s="142" t="s">
        <v>62</v>
      </c>
      <c r="I48" s="142"/>
      <c r="J48" s="142"/>
      <c r="K48" s="142"/>
      <c r="L48" s="142"/>
      <c r="M48" s="313" t="s">
        <v>75</v>
      </c>
      <c r="N48" s="142"/>
      <c r="O48" s="41"/>
      <c r="Q48" s="198"/>
      <c r="R48" s="198"/>
      <c r="S48" s="198"/>
    </row>
    <row r="49" spans="1:31" s="134" customFormat="1" ht="15.75" x14ac:dyDescent="0.25">
      <c r="A49" s="300">
        <v>44259</v>
      </c>
      <c r="B49" s="309" t="s">
        <v>91</v>
      </c>
      <c r="C49" s="310" t="s">
        <v>120</v>
      </c>
      <c r="D49" s="309"/>
      <c r="E49" s="441"/>
      <c r="F49" s="441">
        <v>10000</v>
      </c>
      <c r="G49" s="143">
        <f t="shared" si="0"/>
        <v>831052</v>
      </c>
      <c r="H49" s="142" t="s">
        <v>62</v>
      </c>
      <c r="I49" s="142"/>
      <c r="J49" s="142"/>
      <c r="K49" s="142"/>
      <c r="L49" s="142"/>
      <c r="M49" s="382"/>
      <c r="N49" s="142"/>
      <c r="O49" s="41"/>
      <c r="Q49" s="198"/>
      <c r="R49" s="198"/>
      <c r="S49" s="198"/>
    </row>
    <row r="50" spans="1:31" s="134" customFormat="1" ht="15.75" x14ac:dyDescent="0.25">
      <c r="A50" s="300">
        <v>44259</v>
      </c>
      <c r="B50" s="310" t="s">
        <v>434</v>
      </c>
      <c r="C50" s="422" t="s">
        <v>30</v>
      </c>
      <c r="D50" s="422" t="s">
        <v>21</v>
      </c>
      <c r="E50" s="441"/>
      <c r="F50" s="441">
        <v>18000</v>
      </c>
      <c r="G50" s="143">
        <f t="shared" si="0"/>
        <v>813052</v>
      </c>
      <c r="H50" s="142" t="s">
        <v>62</v>
      </c>
      <c r="I50" s="142"/>
      <c r="J50" s="142"/>
      <c r="K50" s="142"/>
      <c r="L50" s="142"/>
      <c r="M50" s="313" t="s">
        <v>75</v>
      </c>
      <c r="N50" s="142"/>
      <c r="O50" s="471"/>
      <c r="Q50" s="198"/>
      <c r="R50" s="198"/>
      <c r="S50" s="198"/>
    </row>
    <row r="51" spans="1:31" s="134" customFormat="1" ht="15.75" x14ac:dyDescent="0.25">
      <c r="A51" s="300">
        <v>44260</v>
      </c>
      <c r="B51" s="309" t="s">
        <v>439</v>
      </c>
      <c r="C51" s="309" t="s">
        <v>26</v>
      </c>
      <c r="D51" s="310" t="s">
        <v>175</v>
      </c>
      <c r="E51" s="441"/>
      <c r="F51" s="441">
        <v>10000</v>
      </c>
      <c r="G51" s="143">
        <f t="shared" si="0"/>
        <v>803052</v>
      </c>
      <c r="H51" s="142" t="s">
        <v>62</v>
      </c>
      <c r="I51" s="468"/>
      <c r="J51" s="142"/>
      <c r="K51" s="142"/>
      <c r="L51" s="142"/>
      <c r="M51" s="304" t="s">
        <v>134</v>
      </c>
      <c r="N51" s="142"/>
      <c r="O51" s="41"/>
      <c r="Q51" s="198"/>
      <c r="R51" s="198"/>
      <c r="S51" s="198"/>
      <c r="Z51" s="136">
        <v>44188</v>
      </c>
      <c r="AA51" s="141" t="s">
        <v>164</v>
      </c>
      <c r="AB51" s="142" t="s">
        <v>15</v>
      </c>
      <c r="AC51" s="142" t="s">
        <v>16</v>
      </c>
      <c r="AD51" s="147"/>
      <c r="AE51" s="201">
        <v>882</v>
      </c>
    </row>
    <row r="52" spans="1:31" s="134" customFormat="1" ht="15.75" x14ac:dyDescent="0.25">
      <c r="A52" s="300">
        <v>44260</v>
      </c>
      <c r="B52" s="309" t="s">
        <v>441</v>
      </c>
      <c r="C52" s="309" t="s">
        <v>26</v>
      </c>
      <c r="D52" s="310" t="s">
        <v>175</v>
      </c>
      <c r="E52" s="441"/>
      <c r="F52" s="441">
        <v>50000</v>
      </c>
      <c r="G52" s="143">
        <f t="shared" si="0"/>
        <v>753052</v>
      </c>
      <c r="H52" s="142" t="s">
        <v>62</v>
      </c>
      <c r="I52" s="468"/>
      <c r="J52" s="142"/>
      <c r="K52" s="142"/>
      <c r="L52" s="142"/>
      <c r="M52" s="304" t="s">
        <v>134</v>
      </c>
      <c r="N52" s="142"/>
      <c r="O52" s="41"/>
      <c r="Q52" s="198"/>
      <c r="R52" s="198"/>
      <c r="S52" s="198"/>
    </row>
    <row r="53" spans="1:31" s="134" customFormat="1" ht="15.75" x14ac:dyDescent="0.25">
      <c r="A53" s="300">
        <v>44260</v>
      </c>
      <c r="B53" s="309" t="s">
        <v>256</v>
      </c>
      <c r="C53" s="478" t="s">
        <v>15</v>
      </c>
      <c r="D53" s="309" t="s">
        <v>502</v>
      </c>
      <c r="E53" s="441"/>
      <c r="F53" s="441">
        <f>40000+112000+15000+10000+5000</f>
        <v>182000</v>
      </c>
      <c r="G53" s="143">
        <f t="shared" si="0"/>
        <v>571052</v>
      </c>
      <c r="H53" s="142" t="s">
        <v>62</v>
      </c>
      <c r="I53" s="132"/>
      <c r="J53" s="142"/>
      <c r="K53" s="142"/>
      <c r="L53" s="142"/>
      <c r="M53" s="313" t="s">
        <v>75</v>
      </c>
      <c r="N53" s="142"/>
      <c r="O53" s="41"/>
      <c r="Q53" s="198"/>
      <c r="R53" s="198"/>
      <c r="S53" s="198"/>
    </row>
    <row r="54" spans="1:31" s="134" customFormat="1" ht="15.75" x14ac:dyDescent="0.25">
      <c r="A54" s="300">
        <v>44260</v>
      </c>
      <c r="B54" s="310" t="s">
        <v>442</v>
      </c>
      <c r="C54" s="309" t="s">
        <v>26</v>
      </c>
      <c r="D54" s="310" t="s">
        <v>61</v>
      </c>
      <c r="E54" s="440"/>
      <c r="F54" s="441">
        <v>47000</v>
      </c>
      <c r="G54" s="143">
        <f t="shared" si="0"/>
        <v>524052</v>
      </c>
      <c r="H54" s="142" t="s">
        <v>62</v>
      </c>
      <c r="I54" s="132"/>
      <c r="J54" s="142"/>
      <c r="K54" s="142"/>
      <c r="L54" s="142"/>
      <c r="M54" s="304" t="s">
        <v>134</v>
      </c>
      <c r="N54" s="142"/>
      <c r="O54" s="41"/>
      <c r="Q54" s="198"/>
      <c r="R54" s="198"/>
      <c r="S54" s="198"/>
    </row>
    <row r="55" spans="1:31" s="134" customFormat="1" ht="15.75" x14ac:dyDescent="0.25">
      <c r="A55" s="300">
        <v>44260</v>
      </c>
      <c r="B55" s="309" t="s">
        <v>443</v>
      </c>
      <c r="C55" s="309" t="s">
        <v>26</v>
      </c>
      <c r="D55" s="310" t="s">
        <v>175</v>
      </c>
      <c r="E55" s="441"/>
      <c r="F55" s="441">
        <v>50000</v>
      </c>
      <c r="G55" s="143">
        <f t="shared" si="0"/>
        <v>474052</v>
      </c>
      <c r="H55" s="141" t="s">
        <v>62</v>
      </c>
      <c r="I55" s="132"/>
      <c r="J55" s="142"/>
      <c r="K55" s="142"/>
      <c r="L55" s="142"/>
      <c r="M55" s="304" t="s">
        <v>134</v>
      </c>
      <c r="N55" s="142"/>
      <c r="O55" s="146"/>
      <c r="Q55" s="198"/>
      <c r="R55" s="198"/>
      <c r="S55" s="198"/>
    </row>
    <row r="56" spans="1:31" s="134" customFormat="1" ht="15.75" x14ac:dyDescent="0.25">
      <c r="A56" s="300">
        <v>44263</v>
      </c>
      <c r="B56" s="310" t="s">
        <v>257</v>
      </c>
      <c r="C56" s="405" t="s">
        <v>17</v>
      </c>
      <c r="D56" s="310" t="s">
        <v>18</v>
      </c>
      <c r="E56" s="440"/>
      <c r="F56" s="441">
        <v>52733</v>
      </c>
      <c r="G56" s="143">
        <f t="shared" si="0"/>
        <v>421319</v>
      </c>
      <c r="H56" s="142" t="s">
        <v>62</v>
      </c>
      <c r="I56" s="132"/>
      <c r="J56" s="142"/>
      <c r="K56" s="142"/>
      <c r="L56" s="142"/>
      <c r="M56" s="313" t="s">
        <v>75</v>
      </c>
      <c r="N56" s="142"/>
      <c r="O56" s="146"/>
      <c r="Q56" s="198"/>
      <c r="R56" s="198"/>
      <c r="S56" s="198"/>
    </row>
    <row r="57" spans="1:31" s="134" customFormat="1" ht="15.75" x14ac:dyDescent="0.25">
      <c r="A57" s="300">
        <v>44263</v>
      </c>
      <c r="B57" s="310" t="s">
        <v>258</v>
      </c>
      <c r="C57" s="310" t="s">
        <v>26</v>
      </c>
      <c r="D57" s="298" t="s">
        <v>31</v>
      </c>
      <c r="E57" s="440"/>
      <c r="F57" s="441">
        <v>50000</v>
      </c>
      <c r="G57" s="143">
        <f t="shared" si="0"/>
        <v>371319</v>
      </c>
      <c r="H57" s="142" t="s">
        <v>62</v>
      </c>
      <c r="I57" s="132"/>
      <c r="J57" s="142"/>
      <c r="K57" s="142"/>
      <c r="L57" s="142"/>
      <c r="M57" s="304" t="s">
        <v>134</v>
      </c>
      <c r="N57" s="142"/>
      <c r="Q57" s="198"/>
      <c r="R57" s="198"/>
      <c r="S57" s="198"/>
    </row>
    <row r="58" spans="1:31" s="134" customFormat="1" ht="15.75" x14ac:dyDescent="0.25">
      <c r="A58" s="300">
        <v>44263</v>
      </c>
      <c r="B58" s="310" t="s">
        <v>259</v>
      </c>
      <c r="C58" s="310" t="s">
        <v>26</v>
      </c>
      <c r="D58" s="298" t="s">
        <v>31</v>
      </c>
      <c r="E58" s="440"/>
      <c r="F58" s="441">
        <v>20000</v>
      </c>
      <c r="G58" s="143">
        <f t="shared" si="0"/>
        <v>351319</v>
      </c>
      <c r="H58" s="142" t="s">
        <v>62</v>
      </c>
      <c r="I58" s="132"/>
      <c r="J58" s="142"/>
      <c r="K58" s="142"/>
      <c r="L58" s="142"/>
      <c r="M58" s="304" t="s">
        <v>134</v>
      </c>
      <c r="N58" s="142"/>
      <c r="Q58" s="198"/>
      <c r="R58" s="198"/>
      <c r="S58" s="198"/>
    </row>
    <row r="59" spans="1:31" s="134" customFormat="1" ht="15.75" x14ac:dyDescent="0.25">
      <c r="A59" s="300">
        <v>44263</v>
      </c>
      <c r="B59" s="310" t="s">
        <v>58</v>
      </c>
      <c r="C59" s="310" t="s">
        <v>120</v>
      </c>
      <c r="D59" s="310"/>
      <c r="E59" s="440">
        <v>1000000</v>
      </c>
      <c r="F59" s="441"/>
      <c r="G59" s="143">
        <f t="shared" si="0"/>
        <v>1351319</v>
      </c>
      <c r="H59" s="142" t="s">
        <v>62</v>
      </c>
      <c r="I59" s="132"/>
      <c r="J59" s="142"/>
      <c r="K59" s="142"/>
      <c r="L59" s="142"/>
      <c r="M59" s="304"/>
      <c r="N59" s="142"/>
      <c r="Q59" s="198"/>
      <c r="R59" s="198"/>
      <c r="S59" s="198"/>
    </row>
    <row r="60" spans="1:31" s="134" customFormat="1" ht="15.75" x14ac:dyDescent="0.25">
      <c r="A60" s="300">
        <v>44263</v>
      </c>
      <c r="B60" s="310" t="s">
        <v>433</v>
      </c>
      <c r="C60" s="405" t="s">
        <v>17</v>
      </c>
      <c r="D60" s="310" t="s">
        <v>18</v>
      </c>
      <c r="E60" s="440"/>
      <c r="F60" s="441">
        <v>13500</v>
      </c>
      <c r="G60" s="143">
        <f t="shared" si="0"/>
        <v>1337819</v>
      </c>
      <c r="H60" s="142" t="s">
        <v>62</v>
      </c>
      <c r="I60" s="132"/>
      <c r="J60" s="142"/>
      <c r="K60" s="142"/>
      <c r="L60" s="142"/>
      <c r="M60" s="313" t="s">
        <v>75</v>
      </c>
      <c r="N60" s="142"/>
      <c r="O60" s="146"/>
      <c r="Q60" s="198"/>
      <c r="R60" s="198"/>
      <c r="S60" s="198"/>
    </row>
    <row r="61" spans="1:31" s="134" customFormat="1" ht="15.75" x14ac:dyDescent="0.25">
      <c r="A61" s="300">
        <v>44263</v>
      </c>
      <c r="B61" s="310" t="s">
        <v>122</v>
      </c>
      <c r="C61" s="310" t="s">
        <v>120</v>
      </c>
      <c r="D61" s="310"/>
      <c r="E61" s="437"/>
      <c r="F61" s="441">
        <v>96000</v>
      </c>
      <c r="G61" s="143">
        <f t="shared" si="0"/>
        <v>1241819</v>
      </c>
      <c r="H61" s="142" t="s">
        <v>62</v>
      </c>
      <c r="I61" s="132"/>
      <c r="J61" s="142"/>
      <c r="K61" s="142"/>
      <c r="L61" s="142"/>
      <c r="M61" s="304"/>
      <c r="N61" s="142"/>
      <c r="O61" s="146"/>
      <c r="Q61" s="198"/>
      <c r="R61" s="198"/>
      <c r="S61" s="198"/>
    </row>
    <row r="62" spans="1:31" s="148" customFormat="1" ht="15.75" x14ac:dyDescent="0.25">
      <c r="A62" s="300">
        <v>44263</v>
      </c>
      <c r="B62" s="310" t="s">
        <v>436</v>
      </c>
      <c r="C62" s="310" t="s">
        <v>260</v>
      </c>
      <c r="D62" s="310" t="s">
        <v>19</v>
      </c>
      <c r="E62" s="437"/>
      <c r="F62" s="441">
        <v>20000</v>
      </c>
      <c r="G62" s="143">
        <f t="shared" si="0"/>
        <v>1221819</v>
      </c>
      <c r="H62" s="142" t="s">
        <v>62</v>
      </c>
      <c r="I62" s="132"/>
      <c r="J62" s="142"/>
      <c r="K62" s="142"/>
      <c r="L62" s="142"/>
      <c r="M62" s="313" t="s">
        <v>75</v>
      </c>
      <c r="N62" s="142"/>
      <c r="O62" s="134"/>
      <c r="P62" s="134"/>
      <c r="Q62" s="198"/>
      <c r="R62" s="198"/>
      <c r="S62" s="198"/>
      <c r="T62" s="134"/>
      <c r="U62" s="134"/>
      <c r="V62" s="134"/>
      <c r="W62" s="134"/>
      <c r="X62" s="134"/>
      <c r="Y62" s="134"/>
      <c r="Z62" s="134"/>
      <c r="AA62" s="134"/>
    </row>
    <row r="63" spans="1:31" s="148" customFormat="1" ht="15.75" x14ac:dyDescent="0.25">
      <c r="A63" s="300">
        <v>44263</v>
      </c>
      <c r="B63" s="310" t="s">
        <v>142</v>
      </c>
      <c r="C63" s="310" t="s">
        <v>120</v>
      </c>
      <c r="D63" s="310"/>
      <c r="E63" s="437"/>
      <c r="F63" s="441">
        <v>10000</v>
      </c>
      <c r="G63" s="143">
        <f t="shared" si="0"/>
        <v>1211819</v>
      </c>
      <c r="H63" s="142" t="s">
        <v>62</v>
      </c>
      <c r="I63" s="132"/>
      <c r="J63" s="142"/>
      <c r="K63" s="142"/>
      <c r="L63" s="142"/>
      <c r="M63" s="308"/>
      <c r="N63" s="142"/>
      <c r="O63" s="134"/>
      <c r="P63" s="134"/>
      <c r="Q63" s="198"/>
      <c r="R63" s="198"/>
      <c r="S63" s="198"/>
      <c r="T63" s="134"/>
      <c r="U63" s="134"/>
      <c r="V63" s="134"/>
      <c r="W63" s="134"/>
      <c r="X63" s="134"/>
      <c r="Y63" s="134"/>
      <c r="Z63" s="134"/>
      <c r="AA63" s="134"/>
    </row>
    <row r="64" spans="1:31" s="148" customFormat="1" ht="15.75" x14ac:dyDescent="0.25">
      <c r="A64" s="300">
        <v>44263</v>
      </c>
      <c r="B64" s="310" t="s">
        <v>69</v>
      </c>
      <c r="C64" s="310" t="s">
        <v>120</v>
      </c>
      <c r="D64" s="310"/>
      <c r="E64" s="437"/>
      <c r="F64" s="441">
        <v>10000</v>
      </c>
      <c r="G64" s="143">
        <f t="shared" si="0"/>
        <v>1201819</v>
      </c>
      <c r="H64" s="142" t="s">
        <v>62</v>
      </c>
      <c r="I64" s="132"/>
      <c r="J64" s="142"/>
      <c r="K64" s="142"/>
      <c r="L64" s="142"/>
      <c r="M64" s="308"/>
      <c r="N64" s="142"/>
      <c r="O64" s="134"/>
      <c r="P64" s="134"/>
      <c r="Q64" s="198"/>
      <c r="R64" s="198"/>
      <c r="S64" s="198"/>
      <c r="T64" s="134"/>
      <c r="U64" s="134"/>
      <c r="V64" s="134"/>
      <c r="W64" s="134"/>
      <c r="X64" s="134"/>
      <c r="Y64" s="134"/>
      <c r="Z64" s="134"/>
      <c r="AA64" s="134"/>
    </row>
    <row r="65" spans="1:27" s="148" customFormat="1" ht="15.75" x14ac:dyDescent="0.25">
      <c r="A65" s="300">
        <v>44263</v>
      </c>
      <c r="B65" s="310" t="s">
        <v>114</v>
      </c>
      <c r="C65" s="310" t="s">
        <v>120</v>
      </c>
      <c r="D65" s="310"/>
      <c r="E65" s="437"/>
      <c r="F65" s="441">
        <v>10000</v>
      </c>
      <c r="G65" s="143">
        <f t="shared" si="0"/>
        <v>1191819</v>
      </c>
      <c r="H65" s="142" t="s">
        <v>62</v>
      </c>
      <c r="I65" s="132"/>
      <c r="J65" s="142"/>
      <c r="K65" s="142"/>
      <c r="L65" s="142"/>
      <c r="M65" s="382"/>
      <c r="N65" s="142"/>
      <c r="O65" s="134"/>
      <c r="P65" s="134"/>
      <c r="Q65" s="198"/>
      <c r="R65" s="198"/>
      <c r="S65" s="198"/>
      <c r="T65" s="134"/>
      <c r="U65" s="134"/>
      <c r="V65" s="134"/>
      <c r="W65" s="134"/>
      <c r="X65" s="134"/>
      <c r="Y65" s="134"/>
      <c r="Z65" s="134"/>
      <c r="AA65" s="134"/>
    </row>
    <row r="66" spans="1:27" s="148" customFormat="1" ht="15.75" x14ac:dyDescent="0.25">
      <c r="A66" s="300">
        <v>44264</v>
      </c>
      <c r="B66" s="310" t="s">
        <v>154</v>
      </c>
      <c r="C66" s="310" t="s">
        <v>120</v>
      </c>
      <c r="D66" s="310"/>
      <c r="E66" s="437"/>
      <c r="F66" s="441">
        <v>100000</v>
      </c>
      <c r="G66" s="143">
        <f t="shared" si="0"/>
        <v>1091819</v>
      </c>
      <c r="H66" s="142" t="s">
        <v>62</v>
      </c>
      <c r="I66" s="132"/>
      <c r="J66" s="142"/>
      <c r="K66" s="142"/>
      <c r="L66" s="142"/>
      <c r="M66" s="381"/>
      <c r="N66" s="142"/>
      <c r="O66" s="134"/>
      <c r="P66" s="134"/>
      <c r="Q66" s="198"/>
      <c r="R66" s="198"/>
      <c r="S66" s="198"/>
      <c r="T66" s="134"/>
      <c r="U66" s="134"/>
      <c r="V66" s="134"/>
      <c r="W66" s="134"/>
      <c r="X66" s="134"/>
      <c r="Y66" s="134"/>
      <c r="Z66" s="134"/>
      <c r="AA66" s="134"/>
    </row>
    <row r="67" spans="1:27" s="148" customFormat="1" ht="15.75" x14ac:dyDescent="0.25">
      <c r="A67" s="300">
        <v>44264</v>
      </c>
      <c r="B67" s="310" t="s">
        <v>67</v>
      </c>
      <c r="C67" s="310" t="s">
        <v>120</v>
      </c>
      <c r="D67" s="310"/>
      <c r="E67" s="437"/>
      <c r="F67" s="441">
        <v>100000</v>
      </c>
      <c r="G67" s="143">
        <f t="shared" si="0"/>
        <v>991819</v>
      </c>
      <c r="H67" s="142" t="s">
        <v>62</v>
      </c>
      <c r="I67" s="132"/>
      <c r="J67" s="142"/>
      <c r="K67" s="142"/>
      <c r="L67" s="142"/>
      <c r="M67" s="308"/>
      <c r="N67" s="142"/>
      <c r="O67" s="134"/>
      <c r="P67" s="134"/>
      <c r="Q67" s="198"/>
      <c r="R67" s="198"/>
      <c r="S67" s="198"/>
      <c r="T67" s="134"/>
      <c r="U67" s="134"/>
      <c r="V67" s="134"/>
      <c r="W67" s="134"/>
      <c r="X67" s="134"/>
      <c r="Y67" s="134"/>
      <c r="Z67" s="134"/>
      <c r="AA67" s="134"/>
    </row>
    <row r="68" spans="1:27" s="148" customFormat="1" ht="15.75" x14ac:dyDescent="0.25">
      <c r="A68" s="300">
        <v>44265</v>
      </c>
      <c r="B68" s="310" t="s">
        <v>261</v>
      </c>
      <c r="C68" s="300" t="s">
        <v>74</v>
      </c>
      <c r="D68" s="300" t="s">
        <v>21</v>
      </c>
      <c r="E68" s="437"/>
      <c r="F68" s="441">
        <v>10250</v>
      </c>
      <c r="G68" s="143">
        <f t="shared" si="0"/>
        <v>981569</v>
      </c>
      <c r="H68" s="142" t="s">
        <v>62</v>
      </c>
      <c r="I68" s="132"/>
      <c r="J68" s="142"/>
      <c r="K68" s="142"/>
      <c r="L68" s="142"/>
      <c r="M68" s="313" t="s">
        <v>75</v>
      </c>
      <c r="N68" s="142"/>
      <c r="O68" s="134"/>
      <c r="P68" s="134"/>
      <c r="Q68" s="198"/>
      <c r="R68" s="198"/>
      <c r="S68" s="198"/>
      <c r="T68" s="134"/>
      <c r="U68" s="134"/>
      <c r="V68" s="134"/>
      <c r="W68" s="134"/>
      <c r="X68" s="134"/>
      <c r="Y68" s="134"/>
      <c r="Z68" s="134"/>
      <c r="AA68" s="134"/>
    </row>
    <row r="69" spans="1:27" s="148" customFormat="1" ht="15.75" x14ac:dyDescent="0.25">
      <c r="A69" s="300">
        <v>44266</v>
      </c>
      <c r="B69" s="310" t="s">
        <v>262</v>
      </c>
      <c r="C69" s="405" t="s">
        <v>17</v>
      </c>
      <c r="D69" s="310" t="s">
        <v>18</v>
      </c>
      <c r="E69" s="440"/>
      <c r="F69" s="440">
        <v>12700</v>
      </c>
      <c r="G69" s="143">
        <f t="shared" si="0"/>
        <v>968869</v>
      </c>
      <c r="H69" s="142" t="s">
        <v>62</v>
      </c>
      <c r="I69" s="132"/>
      <c r="J69" s="142"/>
      <c r="K69" s="142"/>
      <c r="L69" s="142"/>
      <c r="M69" s="313" t="s">
        <v>75</v>
      </c>
      <c r="N69" s="142"/>
      <c r="O69" s="134"/>
      <c r="P69" s="134"/>
      <c r="Q69" s="198"/>
      <c r="R69" s="198"/>
      <c r="S69" s="198"/>
      <c r="T69" s="134"/>
      <c r="U69" s="134"/>
      <c r="V69" s="134"/>
      <c r="W69" s="134"/>
      <c r="X69" s="134"/>
      <c r="Y69" s="134"/>
      <c r="Z69" s="134"/>
      <c r="AA69" s="134"/>
    </row>
    <row r="70" spans="1:27" s="148" customFormat="1" ht="15.75" x14ac:dyDescent="0.25">
      <c r="A70" s="300">
        <v>44266</v>
      </c>
      <c r="B70" s="310" t="s">
        <v>263</v>
      </c>
      <c r="C70" s="405" t="s">
        <v>17</v>
      </c>
      <c r="D70" s="310" t="s">
        <v>18</v>
      </c>
      <c r="E70" s="437"/>
      <c r="F70" s="441">
        <v>24000</v>
      </c>
      <c r="G70" s="143">
        <f t="shared" si="0"/>
        <v>944869</v>
      </c>
      <c r="H70" s="142" t="s">
        <v>62</v>
      </c>
      <c r="I70" s="132"/>
      <c r="J70" s="142"/>
      <c r="K70" s="142"/>
      <c r="L70" s="142"/>
      <c r="M70" s="313" t="s">
        <v>75</v>
      </c>
      <c r="N70" s="142"/>
      <c r="O70" s="134"/>
      <c r="P70" s="134"/>
      <c r="Q70" s="198"/>
      <c r="R70" s="198"/>
      <c r="S70" s="198"/>
      <c r="T70" s="134"/>
      <c r="U70" s="134"/>
      <c r="V70" s="134"/>
      <c r="W70" s="134"/>
      <c r="X70" s="134"/>
      <c r="Y70" s="134"/>
      <c r="Z70" s="134"/>
      <c r="AA70" s="134"/>
    </row>
    <row r="71" spans="1:27" s="148" customFormat="1" ht="15.75" x14ac:dyDescent="0.25">
      <c r="A71" s="300">
        <v>44266</v>
      </c>
      <c r="B71" s="310" t="s">
        <v>77</v>
      </c>
      <c r="C71" s="310" t="s">
        <v>120</v>
      </c>
      <c r="D71" s="310"/>
      <c r="E71" s="437"/>
      <c r="F71" s="441">
        <v>10000</v>
      </c>
      <c r="G71" s="143">
        <f t="shared" si="0"/>
        <v>934869</v>
      </c>
      <c r="H71" s="142" t="s">
        <v>62</v>
      </c>
      <c r="I71" s="132"/>
      <c r="J71" s="142"/>
      <c r="K71" s="142"/>
      <c r="L71" s="142"/>
      <c r="M71" s="304"/>
      <c r="N71" s="142"/>
      <c r="O71" s="134"/>
      <c r="P71" s="134"/>
      <c r="Q71" s="198"/>
      <c r="R71" s="198"/>
      <c r="S71" s="198"/>
      <c r="T71" s="134"/>
      <c r="U71" s="134"/>
      <c r="V71" s="134"/>
      <c r="W71" s="134"/>
      <c r="X71" s="134"/>
      <c r="Y71" s="134"/>
      <c r="Z71" s="134"/>
      <c r="AA71" s="134"/>
    </row>
    <row r="72" spans="1:27" s="148" customFormat="1" ht="15.75" x14ac:dyDescent="0.25">
      <c r="A72" s="300">
        <v>44267</v>
      </c>
      <c r="B72" s="310" t="s">
        <v>154</v>
      </c>
      <c r="C72" s="310" t="s">
        <v>120</v>
      </c>
      <c r="D72" s="310"/>
      <c r="E72" s="437"/>
      <c r="F72" s="441">
        <v>230000</v>
      </c>
      <c r="G72" s="143">
        <f t="shared" si="0"/>
        <v>704869</v>
      </c>
      <c r="H72" s="142" t="s">
        <v>62</v>
      </c>
      <c r="I72" s="132"/>
      <c r="J72" s="142"/>
      <c r="K72" s="142"/>
      <c r="L72" s="142"/>
      <c r="M72" s="308"/>
      <c r="N72" s="142"/>
      <c r="O72" s="134"/>
      <c r="P72" s="134"/>
      <c r="Q72" s="198"/>
      <c r="R72" s="198"/>
      <c r="S72" s="198"/>
      <c r="T72" s="134"/>
      <c r="U72" s="134"/>
      <c r="V72" s="134"/>
      <c r="W72" s="134"/>
      <c r="X72" s="134"/>
      <c r="Y72" s="134"/>
      <c r="Z72" s="134"/>
      <c r="AA72" s="134"/>
    </row>
    <row r="73" spans="1:27" s="148" customFormat="1" ht="15.75" x14ac:dyDescent="0.25">
      <c r="A73" s="300">
        <v>44267</v>
      </c>
      <c r="B73" s="310" t="s">
        <v>184</v>
      </c>
      <c r="C73" s="310" t="s">
        <v>120</v>
      </c>
      <c r="D73" s="310"/>
      <c r="E73" s="437"/>
      <c r="F73" s="441">
        <v>25000</v>
      </c>
      <c r="G73" s="143">
        <f t="shared" si="0"/>
        <v>679869</v>
      </c>
      <c r="H73" s="142" t="s">
        <v>62</v>
      </c>
      <c r="I73" s="132"/>
      <c r="J73" s="142"/>
      <c r="K73" s="142"/>
      <c r="L73" s="142"/>
      <c r="M73" s="304"/>
      <c r="N73" s="142"/>
      <c r="O73" s="134"/>
      <c r="P73" s="134"/>
      <c r="Q73" s="198"/>
      <c r="R73" s="198"/>
      <c r="S73" s="198"/>
      <c r="T73" s="134"/>
      <c r="U73" s="134"/>
      <c r="V73" s="134"/>
      <c r="W73" s="134"/>
      <c r="X73" s="134"/>
      <c r="Y73" s="134"/>
      <c r="Z73" s="134"/>
      <c r="AA73" s="134"/>
    </row>
    <row r="74" spans="1:27" s="148" customFormat="1" ht="15.75" x14ac:dyDescent="0.25">
      <c r="A74" s="300">
        <v>44267</v>
      </c>
      <c r="B74" s="310" t="s">
        <v>67</v>
      </c>
      <c r="C74" s="310" t="s">
        <v>120</v>
      </c>
      <c r="D74" s="310"/>
      <c r="E74" s="437"/>
      <c r="F74" s="441">
        <v>211000</v>
      </c>
      <c r="G74" s="143">
        <f t="shared" si="0"/>
        <v>468869</v>
      </c>
      <c r="H74" s="142" t="s">
        <v>62</v>
      </c>
      <c r="I74" s="132"/>
      <c r="J74" s="142"/>
      <c r="K74" s="142"/>
      <c r="L74" s="142"/>
      <c r="M74" s="425"/>
      <c r="N74" s="142"/>
      <c r="O74" s="134"/>
      <c r="P74" s="134"/>
      <c r="Q74" s="198"/>
      <c r="R74" s="198"/>
      <c r="S74" s="198"/>
      <c r="T74" s="134"/>
      <c r="U74" s="134"/>
      <c r="V74" s="134"/>
      <c r="W74" s="134"/>
      <c r="X74" s="134"/>
      <c r="Y74" s="134"/>
      <c r="Z74" s="134"/>
      <c r="AA74" s="134"/>
    </row>
    <row r="75" spans="1:27" s="148" customFormat="1" ht="15.75" x14ac:dyDescent="0.25">
      <c r="A75" s="300">
        <v>44267</v>
      </c>
      <c r="B75" s="310" t="s">
        <v>264</v>
      </c>
      <c r="C75" s="306" t="s">
        <v>63</v>
      </c>
      <c r="D75" s="306" t="s">
        <v>21</v>
      </c>
      <c r="E75" s="437"/>
      <c r="F75" s="441">
        <f>6900+6330</f>
        <v>13230</v>
      </c>
      <c r="G75" s="143">
        <f t="shared" si="0"/>
        <v>455639</v>
      </c>
      <c r="H75" s="142" t="s">
        <v>62</v>
      </c>
      <c r="I75" s="132"/>
      <c r="J75" s="142"/>
      <c r="K75" s="142"/>
      <c r="L75" s="142"/>
      <c r="M75" s="313" t="s">
        <v>75</v>
      </c>
      <c r="N75" s="142"/>
      <c r="O75" s="134"/>
      <c r="P75" s="134"/>
      <c r="Q75" s="198"/>
      <c r="R75" s="198"/>
      <c r="S75" s="198"/>
      <c r="T75" s="134"/>
      <c r="U75" s="134"/>
      <c r="V75" s="134"/>
      <c r="W75" s="134"/>
      <c r="X75" s="134"/>
      <c r="Y75" s="134"/>
      <c r="Z75" s="134"/>
      <c r="AA75" s="134"/>
    </row>
    <row r="76" spans="1:27" s="148" customFormat="1" ht="15.75" x14ac:dyDescent="0.25">
      <c r="A76" s="300">
        <v>44270</v>
      </c>
      <c r="B76" s="310" t="s">
        <v>122</v>
      </c>
      <c r="C76" s="310" t="s">
        <v>120</v>
      </c>
      <c r="D76" s="310"/>
      <c r="E76" s="437"/>
      <c r="F76" s="441">
        <v>15000</v>
      </c>
      <c r="G76" s="143">
        <f t="shared" si="0"/>
        <v>440639</v>
      </c>
      <c r="H76" s="142" t="s">
        <v>62</v>
      </c>
      <c r="I76" s="132"/>
      <c r="J76" s="142"/>
      <c r="K76" s="142"/>
      <c r="L76" s="142"/>
      <c r="M76" s="311"/>
      <c r="N76" s="142"/>
      <c r="O76" s="134"/>
      <c r="P76" s="134"/>
      <c r="Q76" s="198"/>
      <c r="R76" s="198"/>
      <c r="S76" s="198"/>
      <c r="T76" s="134"/>
      <c r="U76" s="134"/>
      <c r="V76" s="134"/>
      <c r="W76" s="134"/>
      <c r="X76" s="134"/>
      <c r="Y76" s="134"/>
      <c r="Z76" s="134"/>
      <c r="AA76" s="134"/>
    </row>
    <row r="77" spans="1:27" s="148" customFormat="1" ht="15.75" x14ac:dyDescent="0.25">
      <c r="A77" s="300">
        <v>44271</v>
      </c>
      <c r="B77" s="310" t="s">
        <v>123</v>
      </c>
      <c r="C77" s="310" t="s">
        <v>120</v>
      </c>
      <c r="D77" s="310"/>
      <c r="E77" s="437"/>
      <c r="F77" s="441">
        <v>12000</v>
      </c>
      <c r="G77" s="143">
        <f t="shared" si="0"/>
        <v>428639</v>
      </c>
      <c r="H77" s="142" t="s">
        <v>62</v>
      </c>
      <c r="I77" s="132"/>
      <c r="J77" s="142"/>
      <c r="K77" s="142"/>
      <c r="L77" s="142"/>
      <c r="M77" s="313"/>
      <c r="N77" s="142"/>
      <c r="O77" s="134"/>
      <c r="P77" s="134"/>
      <c r="Q77" s="198"/>
      <c r="R77" s="198"/>
      <c r="S77" s="198"/>
      <c r="T77" s="134"/>
      <c r="U77" s="134"/>
      <c r="V77" s="134"/>
      <c r="W77" s="134"/>
      <c r="X77" s="134"/>
      <c r="Y77" s="134"/>
      <c r="Z77" s="134"/>
      <c r="AA77" s="134"/>
    </row>
    <row r="78" spans="1:27" s="148" customFormat="1" ht="15.75" x14ac:dyDescent="0.25">
      <c r="A78" s="300">
        <v>44271</v>
      </c>
      <c r="B78" s="310" t="s">
        <v>58</v>
      </c>
      <c r="C78" s="310" t="s">
        <v>120</v>
      </c>
      <c r="D78" s="310"/>
      <c r="E78" s="440">
        <v>1000000</v>
      </c>
      <c r="F78" s="441"/>
      <c r="G78" s="143">
        <f t="shared" ref="G78:G140" si="1">+G77+E78-F78</f>
        <v>1428639</v>
      </c>
      <c r="H78" s="142" t="s">
        <v>62</v>
      </c>
      <c r="I78" s="132"/>
      <c r="J78" s="142"/>
      <c r="K78" s="142"/>
      <c r="L78" s="142"/>
      <c r="M78" s="381"/>
      <c r="N78" s="142"/>
      <c r="O78" s="134"/>
      <c r="P78" s="134"/>
      <c r="Q78" s="198"/>
      <c r="R78" s="198"/>
      <c r="S78" s="198"/>
      <c r="T78" s="134"/>
      <c r="U78" s="134"/>
      <c r="V78" s="134"/>
      <c r="W78" s="134"/>
      <c r="X78" s="134"/>
      <c r="Y78" s="134"/>
      <c r="Z78" s="134"/>
      <c r="AA78" s="134"/>
    </row>
    <row r="79" spans="1:27" s="148" customFormat="1" ht="15.75" x14ac:dyDescent="0.25">
      <c r="A79" s="300">
        <v>44271</v>
      </c>
      <c r="B79" s="310" t="s">
        <v>123</v>
      </c>
      <c r="C79" s="310" t="s">
        <v>120</v>
      </c>
      <c r="D79" s="310"/>
      <c r="E79" s="437"/>
      <c r="F79" s="441">
        <v>35100</v>
      </c>
      <c r="G79" s="143">
        <f t="shared" si="1"/>
        <v>1393539</v>
      </c>
      <c r="H79" s="142" t="s">
        <v>62</v>
      </c>
      <c r="I79" s="132"/>
      <c r="J79" s="142"/>
      <c r="K79" s="142"/>
      <c r="L79" s="142"/>
      <c r="M79" s="381"/>
      <c r="N79" s="142"/>
      <c r="O79" s="134"/>
      <c r="P79" s="134"/>
      <c r="Q79" s="198"/>
      <c r="R79" s="198"/>
      <c r="S79" s="198"/>
      <c r="T79" s="134"/>
      <c r="U79" s="134"/>
      <c r="V79" s="134"/>
      <c r="W79" s="134"/>
      <c r="X79" s="134"/>
      <c r="Y79" s="134"/>
      <c r="Z79" s="134"/>
      <c r="AA79" s="134"/>
    </row>
    <row r="80" spans="1:27" s="148" customFormat="1" ht="15.75" x14ac:dyDescent="0.25">
      <c r="A80" s="300">
        <v>44271</v>
      </c>
      <c r="B80" s="310" t="s">
        <v>114</v>
      </c>
      <c r="C80" s="310" t="s">
        <v>120</v>
      </c>
      <c r="D80" s="310"/>
      <c r="E80" s="437"/>
      <c r="F80" s="441">
        <v>130000</v>
      </c>
      <c r="G80" s="143">
        <f t="shared" si="1"/>
        <v>1263539</v>
      </c>
      <c r="H80" s="142" t="s">
        <v>62</v>
      </c>
      <c r="I80" s="132"/>
      <c r="J80" s="142"/>
      <c r="K80" s="142"/>
      <c r="L80" s="142"/>
      <c r="M80" s="308"/>
      <c r="N80" s="142"/>
      <c r="O80" s="134"/>
      <c r="P80" s="134"/>
      <c r="Q80" s="198"/>
      <c r="R80" s="198"/>
      <c r="S80" s="198"/>
      <c r="T80" s="134"/>
      <c r="U80" s="134"/>
      <c r="V80" s="134"/>
      <c r="W80" s="134"/>
      <c r="X80" s="134"/>
      <c r="Y80" s="134"/>
      <c r="Z80" s="134"/>
      <c r="AA80" s="134"/>
    </row>
    <row r="81" spans="1:27" s="148" customFormat="1" ht="15.75" x14ac:dyDescent="0.25">
      <c r="A81" s="300">
        <v>44272</v>
      </c>
      <c r="B81" s="310" t="s">
        <v>91</v>
      </c>
      <c r="C81" s="310" t="s">
        <v>120</v>
      </c>
      <c r="D81" s="310"/>
      <c r="E81" s="437"/>
      <c r="F81" s="441">
        <v>76000</v>
      </c>
      <c r="G81" s="143">
        <f t="shared" si="1"/>
        <v>1187539</v>
      </c>
      <c r="H81" s="142" t="s">
        <v>62</v>
      </c>
      <c r="I81" s="132"/>
      <c r="J81" s="142"/>
      <c r="K81" s="142"/>
      <c r="L81" s="142"/>
      <c r="M81" s="308"/>
      <c r="N81" s="142"/>
      <c r="O81" s="134"/>
      <c r="P81" s="134"/>
      <c r="Q81" s="198"/>
      <c r="R81" s="198"/>
      <c r="S81" s="198"/>
      <c r="T81" s="134"/>
      <c r="U81" s="134"/>
      <c r="V81" s="134"/>
      <c r="W81" s="134"/>
      <c r="X81" s="134"/>
      <c r="Y81" s="134"/>
      <c r="Z81" s="134"/>
      <c r="AA81" s="134"/>
    </row>
    <row r="82" spans="1:27" s="148" customFormat="1" ht="15.75" x14ac:dyDescent="0.25">
      <c r="A82" s="300">
        <v>44272</v>
      </c>
      <c r="B82" s="310" t="s">
        <v>184</v>
      </c>
      <c r="C82" s="310" t="s">
        <v>120</v>
      </c>
      <c r="D82" s="310"/>
      <c r="E82" s="437"/>
      <c r="F82" s="441">
        <v>76000</v>
      </c>
      <c r="G82" s="143">
        <f t="shared" si="1"/>
        <v>1111539</v>
      </c>
      <c r="H82" s="142" t="s">
        <v>62</v>
      </c>
      <c r="I82" s="132"/>
      <c r="J82" s="142"/>
      <c r="K82" s="142"/>
      <c r="L82" s="142"/>
      <c r="M82" s="308"/>
      <c r="N82" s="142"/>
      <c r="O82" s="134"/>
      <c r="P82" s="134"/>
      <c r="Q82" s="198"/>
      <c r="R82" s="198"/>
      <c r="S82" s="198"/>
      <c r="T82" s="134"/>
      <c r="U82" s="134"/>
      <c r="V82" s="134"/>
      <c r="W82" s="134"/>
      <c r="X82" s="134"/>
      <c r="Y82" s="134"/>
      <c r="Z82" s="134"/>
      <c r="AA82" s="134"/>
    </row>
    <row r="83" spans="1:27" s="148" customFormat="1" ht="15.75" x14ac:dyDescent="0.25">
      <c r="A83" s="300">
        <v>44274</v>
      </c>
      <c r="B83" s="310" t="s">
        <v>184</v>
      </c>
      <c r="C83" s="310" t="s">
        <v>120</v>
      </c>
      <c r="D83" s="310"/>
      <c r="E83" s="437"/>
      <c r="F83" s="441">
        <f>-300000+480000-20000</f>
        <v>160000</v>
      </c>
      <c r="G83" s="143">
        <f t="shared" si="1"/>
        <v>951539</v>
      </c>
      <c r="H83" s="142" t="s">
        <v>62</v>
      </c>
      <c r="I83" s="132"/>
      <c r="J83" s="142"/>
      <c r="K83" s="142"/>
      <c r="L83" s="142"/>
      <c r="M83" s="308"/>
      <c r="N83" s="142"/>
      <c r="O83" s="134"/>
      <c r="P83" s="134"/>
      <c r="Q83" s="198"/>
      <c r="R83" s="198"/>
      <c r="S83" s="198"/>
      <c r="T83" s="134"/>
      <c r="U83" s="134"/>
      <c r="V83" s="134"/>
      <c r="W83" s="134"/>
      <c r="X83" s="134"/>
      <c r="Y83" s="134"/>
      <c r="Z83" s="134"/>
      <c r="AA83" s="134"/>
    </row>
    <row r="84" spans="1:27" s="148" customFormat="1" ht="15.75" x14ac:dyDescent="0.25">
      <c r="A84" s="300">
        <v>44272</v>
      </c>
      <c r="B84" s="310" t="s">
        <v>69</v>
      </c>
      <c r="C84" s="310" t="s">
        <v>120</v>
      </c>
      <c r="D84" s="310"/>
      <c r="E84" s="437"/>
      <c r="F84" s="441">
        <v>176000</v>
      </c>
      <c r="G84" s="143">
        <f t="shared" si="1"/>
        <v>775539</v>
      </c>
      <c r="H84" s="142" t="s">
        <v>62</v>
      </c>
      <c r="I84" s="132"/>
      <c r="J84" s="142"/>
      <c r="K84" s="142"/>
      <c r="L84" s="142"/>
      <c r="M84" s="308"/>
      <c r="N84" s="142"/>
      <c r="O84" s="134"/>
      <c r="P84" s="134"/>
      <c r="Q84" s="198"/>
      <c r="R84" s="198"/>
      <c r="S84" s="198"/>
      <c r="T84" s="134"/>
      <c r="U84" s="134"/>
      <c r="V84" s="134"/>
      <c r="W84" s="134"/>
      <c r="X84" s="134"/>
      <c r="Y84" s="134"/>
      <c r="Z84" s="134"/>
      <c r="AA84" s="134"/>
    </row>
    <row r="85" spans="1:27" s="148" customFormat="1" ht="15.75" x14ac:dyDescent="0.25">
      <c r="A85" s="300">
        <v>44272</v>
      </c>
      <c r="B85" s="310" t="s">
        <v>69</v>
      </c>
      <c r="C85" s="310" t="s">
        <v>120</v>
      </c>
      <c r="D85" s="310"/>
      <c r="E85" s="437"/>
      <c r="F85" s="441">
        <v>30000</v>
      </c>
      <c r="G85" s="143">
        <f t="shared" si="1"/>
        <v>745539</v>
      </c>
      <c r="H85" s="142" t="s">
        <v>62</v>
      </c>
      <c r="I85" s="132"/>
      <c r="J85" s="142"/>
      <c r="K85" s="142"/>
      <c r="L85" s="142"/>
      <c r="M85" s="426"/>
      <c r="N85" s="142"/>
      <c r="O85" s="134"/>
      <c r="P85" s="134"/>
      <c r="Q85" s="198"/>
      <c r="R85" s="198"/>
      <c r="S85" s="198"/>
      <c r="T85" s="134"/>
      <c r="U85" s="134"/>
      <c r="V85" s="134"/>
      <c r="W85" s="134"/>
      <c r="X85" s="134"/>
      <c r="Y85" s="134"/>
      <c r="Z85" s="134"/>
      <c r="AA85" s="134"/>
    </row>
    <row r="86" spans="1:27" s="148" customFormat="1" ht="15" customHeight="1" x14ac:dyDescent="0.25">
      <c r="A86" s="300">
        <v>44272</v>
      </c>
      <c r="B86" s="310" t="s">
        <v>265</v>
      </c>
      <c r="C86" s="306" t="s">
        <v>63</v>
      </c>
      <c r="D86" s="306" t="s">
        <v>21</v>
      </c>
      <c r="E86" s="437"/>
      <c r="F86" s="441">
        <v>5280</v>
      </c>
      <c r="G86" s="143">
        <f t="shared" si="1"/>
        <v>740259</v>
      </c>
      <c r="H86" s="142" t="s">
        <v>62</v>
      </c>
      <c r="I86" s="132"/>
      <c r="J86" s="142"/>
      <c r="K86" s="142"/>
      <c r="L86" s="142"/>
      <c r="M86" s="313" t="s">
        <v>75</v>
      </c>
      <c r="N86" s="142"/>
      <c r="O86" s="134"/>
      <c r="P86" s="134"/>
      <c r="Q86" s="198"/>
      <c r="R86" s="198"/>
      <c r="S86" s="198"/>
      <c r="T86" s="134"/>
      <c r="U86" s="134"/>
      <c r="V86" s="134"/>
      <c r="W86" s="134"/>
      <c r="X86" s="134"/>
      <c r="Y86" s="134"/>
      <c r="Z86" s="134"/>
      <c r="AA86" s="134"/>
    </row>
    <row r="87" spans="1:27" s="148" customFormat="1" ht="15" customHeight="1" x14ac:dyDescent="0.25">
      <c r="A87" s="300">
        <v>44272</v>
      </c>
      <c r="B87" s="310" t="s">
        <v>122</v>
      </c>
      <c r="C87" s="310" t="s">
        <v>120</v>
      </c>
      <c r="D87" s="310"/>
      <c r="E87" s="437"/>
      <c r="F87" s="441">
        <v>30000</v>
      </c>
      <c r="G87" s="143">
        <f t="shared" si="1"/>
        <v>710259</v>
      </c>
      <c r="H87" s="142" t="s">
        <v>62</v>
      </c>
      <c r="I87" s="132"/>
      <c r="J87" s="142"/>
      <c r="K87" s="142"/>
      <c r="L87" s="142"/>
      <c r="M87" s="311"/>
      <c r="N87" s="142"/>
      <c r="O87" s="134"/>
      <c r="P87" s="134"/>
      <c r="Q87" s="198"/>
      <c r="R87" s="198"/>
      <c r="S87" s="198"/>
      <c r="T87" s="134"/>
      <c r="U87" s="134"/>
      <c r="V87" s="134"/>
      <c r="W87" s="134"/>
      <c r="X87" s="134"/>
      <c r="Y87" s="134"/>
      <c r="Z87" s="134"/>
      <c r="AA87" s="134"/>
    </row>
    <row r="88" spans="1:27" s="148" customFormat="1" ht="15" customHeight="1" x14ac:dyDescent="0.25">
      <c r="A88" s="300">
        <v>44272</v>
      </c>
      <c r="B88" s="310" t="s">
        <v>266</v>
      </c>
      <c r="C88" s="300" t="s">
        <v>74</v>
      </c>
      <c r="D88" s="300" t="s">
        <v>21</v>
      </c>
      <c r="E88" s="437"/>
      <c r="F88" s="441">
        <v>25000</v>
      </c>
      <c r="G88" s="143">
        <f t="shared" si="1"/>
        <v>685259</v>
      </c>
      <c r="H88" s="142" t="s">
        <v>62</v>
      </c>
      <c r="I88" s="132"/>
      <c r="J88" s="142"/>
      <c r="K88" s="142"/>
      <c r="L88" s="142"/>
      <c r="M88" s="313" t="s">
        <v>75</v>
      </c>
      <c r="N88" s="142"/>
      <c r="O88" s="134"/>
      <c r="P88" s="134"/>
      <c r="Q88" s="198"/>
      <c r="R88" s="198"/>
      <c r="S88" s="198"/>
      <c r="T88" s="134"/>
      <c r="U88" s="134"/>
      <c r="V88" s="134"/>
      <c r="W88" s="134"/>
      <c r="X88" s="134"/>
      <c r="Y88" s="134"/>
      <c r="Z88" s="134"/>
      <c r="AA88" s="134"/>
    </row>
    <row r="89" spans="1:27" s="148" customFormat="1" ht="15" customHeight="1" x14ac:dyDescent="0.25">
      <c r="A89" s="300">
        <v>44272</v>
      </c>
      <c r="B89" s="310" t="s">
        <v>122</v>
      </c>
      <c r="C89" s="310" t="s">
        <v>120</v>
      </c>
      <c r="D89" s="310"/>
      <c r="E89" s="437"/>
      <c r="F89" s="437">
        <v>12000</v>
      </c>
      <c r="G89" s="143">
        <f t="shared" si="1"/>
        <v>673259</v>
      </c>
      <c r="H89" s="142" t="s">
        <v>62</v>
      </c>
      <c r="I89" s="132"/>
      <c r="J89" s="142"/>
      <c r="K89" s="142"/>
      <c r="L89" s="142"/>
      <c r="M89" s="304"/>
      <c r="N89" s="142"/>
      <c r="O89" s="134"/>
      <c r="P89" s="134"/>
      <c r="Q89" s="198"/>
      <c r="R89" s="198"/>
      <c r="S89" s="198"/>
      <c r="T89" s="134"/>
      <c r="U89" s="134"/>
      <c r="V89" s="134"/>
      <c r="W89" s="134"/>
      <c r="X89" s="134"/>
      <c r="Y89" s="134"/>
      <c r="Z89" s="134"/>
      <c r="AA89" s="134"/>
    </row>
    <row r="90" spans="1:27" s="148" customFormat="1" ht="15" customHeight="1" x14ac:dyDescent="0.25">
      <c r="A90" s="300">
        <v>44273</v>
      </c>
      <c r="B90" s="310" t="s">
        <v>122</v>
      </c>
      <c r="C90" s="310" t="s">
        <v>120</v>
      </c>
      <c r="D90" s="310"/>
      <c r="E90" s="440"/>
      <c r="F90" s="441">
        <v>30000</v>
      </c>
      <c r="G90" s="143">
        <f t="shared" si="1"/>
        <v>643259</v>
      </c>
      <c r="H90" s="142" t="s">
        <v>62</v>
      </c>
      <c r="I90" s="132"/>
      <c r="J90" s="142"/>
      <c r="K90" s="142"/>
      <c r="L90" s="142"/>
      <c r="M90" s="304"/>
      <c r="N90" s="142"/>
      <c r="O90" s="134"/>
      <c r="P90" s="134"/>
      <c r="Q90" s="198"/>
      <c r="R90" s="198"/>
      <c r="S90" s="198"/>
      <c r="T90" s="134"/>
      <c r="U90" s="134"/>
      <c r="V90" s="134"/>
      <c r="W90" s="134"/>
      <c r="X90" s="134"/>
      <c r="Y90" s="134"/>
      <c r="Z90" s="134"/>
      <c r="AA90" s="134"/>
    </row>
    <row r="91" spans="1:27" s="148" customFormat="1" ht="15" customHeight="1" x14ac:dyDescent="0.25">
      <c r="A91" s="300">
        <v>44273</v>
      </c>
      <c r="B91" s="310" t="s">
        <v>67</v>
      </c>
      <c r="C91" s="310" t="s">
        <v>120</v>
      </c>
      <c r="D91" s="310"/>
      <c r="E91" s="440"/>
      <c r="F91" s="441">
        <v>29000</v>
      </c>
      <c r="G91" s="143">
        <f t="shared" si="1"/>
        <v>614259</v>
      </c>
      <c r="H91" s="142" t="s">
        <v>62</v>
      </c>
      <c r="I91" s="132"/>
      <c r="J91" s="142"/>
      <c r="K91" s="142"/>
      <c r="L91" s="142"/>
      <c r="M91" s="423"/>
      <c r="N91" s="142"/>
      <c r="O91" s="134"/>
      <c r="P91" s="134"/>
      <c r="Q91" s="198"/>
      <c r="R91" s="198"/>
      <c r="S91" s="198"/>
      <c r="T91" s="134"/>
      <c r="U91" s="134"/>
      <c r="V91" s="134"/>
      <c r="W91" s="134"/>
      <c r="X91" s="134"/>
      <c r="Y91" s="134"/>
      <c r="Z91" s="134"/>
      <c r="AA91" s="134"/>
    </row>
    <row r="92" spans="1:27" s="148" customFormat="1" ht="15" customHeight="1" x14ac:dyDescent="0.25">
      <c r="A92" s="300">
        <v>44273</v>
      </c>
      <c r="B92" s="310" t="s">
        <v>267</v>
      </c>
      <c r="C92" s="306" t="s">
        <v>63</v>
      </c>
      <c r="D92" s="306" t="s">
        <v>21</v>
      </c>
      <c r="E92" s="440"/>
      <c r="F92" s="441">
        <v>870</v>
      </c>
      <c r="G92" s="143">
        <f t="shared" si="1"/>
        <v>613389</v>
      </c>
      <c r="H92" s="142" t="s">
        <v>62</v>
      </c>
      <c r="I92" s="132"/>
      <c r="J92" s="142"/>
      <c r="K92" s="142"/>
      <c r="L92" s="142"/>
      <c r="M92" s="313" t="s">
        <v>75</v>
      </c>
      <c r="N92" s="142"/>
      <c r="O92" s="134"/>
      <c r="P92" s="134"/>
      <c r="Q92" s="198"/>
      <c r="R92" s="198"/>
      <c r="S92" s="198"/>
      <c r="T92" s="134"/>
      <c r="U92" s="134"/>
      <c r="V92" s="134"/>
      <c r="W92" s="134"/>
      <c r="X92" s="134"/>
      <c r="Y92" s="134"/>
      <c r="Z92" s="134"/>
      <c r="AA92" s="134"/>
    </row>
    <row r="93" spans="1:27" s="148" customFormat="1" ht="15" customHeight="1" x14ac:dyDescent="0.25">
      <c r="A93" s="300">
        <v>44273</v>
      </c>
      <c r="B93" s="310" t="s">
        <v>142</v>
      </c>
      <c r="C93" s="310" t="s">
        <v>120</v>
      </c>
      <c r="D93" s="310"/>
      <c r="E93" s="440"/>
      <c r="F93" s="441">
        <v>10000</v>
      </c>
      <c r="G93" s="143">
        <f t="shared" si="1"/>
        <v>603389</v>
      </c>
      <c r="H93" s="142" t="s">
        <v>62</v>
      </c>
      <c r="I93" s="132"/>
      <c r="J93" s="142"/>
      <c r="K93" s="142"/>
      <c r="L93" s="142"/>
      <c r="M93" s="385"/>
      <c r="N93" s="142"/>
      <c r="O93" s="134"/>
      <c r="P93" s="134"/>
      <c r="Q93" s="198"/>
      <c r="R93" s="198"/>
      <c r="S93" s="198"/>
      <c r="T93" s="134"/>
      <c r="U93" s="134"/>
      <c r="V93" s="134"/>
      <c r="W93" s="134"/>
      <c r="X93" s="134"/>
      <c r="Y93" s="134"/>
      <c r="Z93" s="134"/>
      <c r="AA93" s="134"/>
    </row>
    <row r="94" spans="1:27" s="148" customFormat="1" ht="15" customHeight="1" x14ac:dyDescent="0.25">
      <c r="A94" s="300">
        <v>44274</v>
      </c>
      <c r="B94" s="310" t="s">
        <v>154</v>
      </c>
      <c r="C94" s="310" t="s">
        <v>120</v>
      </c>
      <c r="D94" s="310"/>
      <c r="E94" s="440"/>
      <c r="F94" s="441">
        <v>156000</v>
      </c>
      <c r="G94" s="143">
        <f t="shared" si="1"/>
        <v>447389</v>
      </c>
      <c r="H94" s="142" t="s">
        <v>62</v>
      </c>
      <c r="I94" s="132"/>
      <c r="J94" s="142"/>
      <c r="K94" s="142"/>
      <c r="L94" s="142"/>
      <c r="M94" s="423"/>
      <c r="N94" s="142"/>
      <c r="O94" s="134"/>
      <c r="P94" s="134"/>
      <c r="Q94" s="198"/>
      <c r="R94" s="198"/>
      <c r="S94" s="198"/>
      <c r="T94" s="134"/>
      <c r="U94" s="134"/>
      <c r="V94" s="134"/>
      <c r="W94" s="134"/>
      <c r="X94" s="134"/>
      <c r="Y94" s="134"/>
      <c r="Z94" s="134"/>
      <c r="AA94" s="134"/>
    </row>
    <row r="95" spans="1:27" s="148" customFormat="1" ht="15" customHeight="1" x14ac:dyDescent="0.25">
      <c r="A95" s="300">
        <v>44274</v>
      </c>
      <c r="B95" s="310" t="s">
        <v>177</v>
      </c>
      <c r="C95" s="306" t="s">
        <v>63</v>
      </c>
      <c r="D95" s="306" t="s">
        <v>21</v>
      </c>
      <c r="E95" s="440"/>
      <c r="F95" s="441">
        <v>4680</v>
      </c>
      <c r="G95" s="143">
        <f t="shared" si="1"/>
        <v>442709</v>
      </c>
      <c r="H95" s="142" t="s">
        <v>62</v>
      </c>
      <c r="I95" s="132"/>
      <c r="J95" s="142"/>
      <c r="K95" s="142"/>
      <c r="L95" s="142"/>
      <c r="M95" s="313" t="s">
        <v>75</v>
      </c>
      <c r="N95" s="142"/>
      <c r="O95" s="134"/>
      <c r="P95" s="134"/>
      <c r="Q95" s="198"/>
      <c r="R95" s="198"/>
      <c r="S95" s="198"/>
      <c r="T95" s="134"/>
      <c r="U95" s="134"/>
      <c r="V95" s="134"/>
      <c r="W95" s="134"/>
      <c r="X95" s="134"/>
      <c r="Y95" s="134"/>
      <c r="Z95" s="134"/>
      <c r="AA95" s="134"/>
    </row>
    <row r="96" spans="1:27" s="148" customFormat="1" ht="15" customHeight="1" x14ac:dyDescent="0.25">
      <c r="A96" s="300">
        <v>44273</v>
      </c>
      <c r="B96" s="310" t="s">
        <v>58</v>
      </c>
      <c r="C96" s="310" t="s">
        <v>120</v>
      </c>
      <c r="D96" s="310"/>
      <c r="E96" s="440">
        <v>1000000</v>
      </c>
      <c r="F96" s="441"/>
      <c r="G96" s="143">
        <f t="shared" si="1"/>
        <v>1442709</v>
      </c>
      <c r="H96" s="142" t="s">
        <v>62</v>
      </c>
      <c r="I96" s="132"/>
      <c r="J96" s="142"/>
      <c r="K96" s="142"/>
      <c r="L96" s="142"/>
      <c r="M96" s="384"/>
      <c r="N96" s="142"/>
      <c r="O96" s="134"/>
      <c r="P96" s="134"/>
      <c r="Q96" s="198"/>
      <c r="R96" s="198"/>
      <c r="S96" s="198"/>
      <c r="T96" s="134"/>
      <c r="U96" s="134"/>
      <c r="V96" s="134"/>
      <c r="W96" s="134"/>
      <c r="X96" s="134"/>
      <c r="Y96" s="134"/>
      <c r="Z96" s="134"/>
      <c r="AA96" s="134"/>
    </row>
    <row r="97" spans="1:27" s="148" customFormat="1" ht="15" customHeight="1" x14ac:dyDescent="0.25">
      <c r="A97" s="300">
        <v>44275</v>
      </c>
      <c r="B97" s="310" t="s">
        <v>69</v>
      </c>
      <c r="C97" s="310" t="s">
        <v>120</v>
      </c>
      <c r="D97" s="310"/>
      <c r="E97" s="440"/>
      <c r="F97" s="441">
        <v>482000</v>
      </c>
      <c r="G97" s="143">
        <f t="shared" si="1"/>
        <v>960709</v>
      </c>
      <c r="H97" s="142" t="s">
        <v>62</v>
      </c>
      <c r="I97" s="132"/>
      <c r="J97" s="142"/>
      <c r="K97" s="142"/>
      <c r="L97" s="142"/>
      <c r="M97" s="423"/>
      <c r="N97" s="142"/>
      <c r="O97" s="134"/>
      <c r="P97" s="134"/>
      <c r="Q97" s="198"/>
      <c r="R97" s="198"/>
      <c r="S97" s="198"/>
      <c r="T97" s="134"/>
      <c r="U97" s="134"/>
      <c r="V97" s="134"/>
      <c r="W97" s="134"/>
      <c r="X97" s="134"/>
      <c r="Y97" s="134"/>
      <c r="Z97" s="134"/>
      <c r="AA97" s="134"/>
    </row>
    <row r="98" spans="1:27" s="148" customFormat="1" ht="15" customHeight="1" x14ac:dyDescent="0.25">
      <c r="A98" s="300">
        <v>44275</v>
      </c>
      <c r="B98" s="310" t="s">
        <v>268</v>
      </c>
      <c r="C98" s="306" t="s">
        <v>63</v>
      </c>
      <c r="D98" s="306" t="s">
        <v>21</v>
      </c>
      <c r="E98" s="440"/>
      <c r="F98" s="441">
        <v>14460</v>
      </c>
      <c r="G98" s="143">
        <f t="shared" si="1"/>
        <v>946249</v>
      </c>
      <c r="H98" s="142" t="s">
        <v>62</v>
      </c>
      <c r="I98" s="132"/>
      <c r="J98" s="142"/>
      <c r="K98" s="142"/>
      <c r="L98" s="142"/>
      <c r="M98" s="313" t="s">
        <v>75</v>
      </c>
      <c r="N98"/>
      <c r="O98" s="134"/>
      <c r="P98" s="134"/>
      <c r="Q98" s="198"/>
      <c r="R98" s="198"/>
      <c r="S98" s="198"/>
      <c r="T98" s="134"/>
      <c r="U98" s="134"/>
      <c r="V98" s="134"/>
      <c r="W98" s="134"/>
      <c r="X98" s="134"/>
      <c r="Y98" s="134"/>
      <c r="Z98" s="134"/>
      <c r="AA98" s="134"/>
    </row>
    <row r="99" spans="1:27" s="475" customFormat="1" ht="15" customHeight="1" x14ac:dyDescent="0.25">
      <c r="A99" s="300">
        <v>44275</v>
      </c>
      <c r="B99" s="310" t="s">
        <v>122</v>
      </c>
      <c r="C99" s="310" t="s">
        <v>120</v>
      </c>
      <c r="D99" s="310"/>
      <c r="E99" s="440"/>
      <c r="F99" s="441">
        <v>20000</v>
      </c>
      <c r="G99" s="143">
        <f t="shared" si="1"/>
        <v>926249</v>
      </c>
      <c r="H99" s="472" t="s">
        <v>62</v>
      </c>
      <c r="I99" s="132"/>
      <c r="J99" s="142"/>
      <c r="K99" s="142"/>
      <c r="L99" s="142"/>
      <c r="M99" s="311"/>
      <c r="N99" s="472"/>
      <c r="O99" s="473"/>
      <c r="P99" s="473"/>
      <c r="Q99" s="474"/>
      <c r="R99" s="474"/>
      <c r="S99" s="474"/>
      <c r="T99" s="473"/>
      <c r="U99" s="473"/>
      <c r="V99" s="473"/>
      <c r="W99" s="473"/>
      <c r="X99" s="473"/>
      <c r="Y99" s="473"/>
      <c r="Z99" s="473"/>
      <c r="AA99" s="473"/>
    </row>
    <row r="100" spans="1:27" s="148" customFormat="1" ht="15" customHeight="1" x14ac:dyDescent="0.25">
      <c r="A100" s="300">
        <v>44277</v>
      </c>
      <c r="B100" s="310" t="s">
        <v>77</v>
      </c>
      <c r="C100" s="310" t="s">
        <v>120</v>
      </c>
      <c r="D100" s="310"/>
      <c r="E100" s="440"/>
      <c r="F100" s="441">
        <v>10000</v>
      </c>
      <c r="G100" s="143">
        <f t="shared" si="1"/>
        <v>916249</v>
      </c>
      <c r="H100" s="142" t="s">
        <v>62</v>
      </c>
      <c r="I100" s="132"/>
      <c r="J100" s="142"/>
      <c r="K100" s="142"/>
      <c r="L100" s="142"/>
      <c r="M100" s="304"/>
      <c r="N100" s="142"/>
      <c r="O100" s="134"/>
      <c r="P100" s="134"/>
      <c r="Q100" s="198"/>
      <c r="R100" s="198"/>
      <c r="S100" s="198"/>
      <c r="T100" s="134"/>
      <c r="U100" s="134"/>
      <c r="V100" s="134"/>
      <c r="W100" s="134"/>
      <c r="X100" s="134"/>
      <c r="Y100" s="134"/>
      <c r="Z100" s="134"/>
      <c r="AA100" s="134"/>
    </row>
    <row r="101" spans="1:27" s="148" customFormat="1" ht="15" customHeight="1" x14ac:dyDescent="0.25">
      <c r="A101" s="300">
        <v>44277</v>
      </c>
      <c r="B101" s="310" t="s">
        <v>122</v>
      </c>
      <c r="C101" s="310" t="s">
        <v>120</v>
      </c>
      <c r="D101" s="310"/>
      <c r="E101" s="440"/>
      <c r="F101" s="441">
        <v>99000</v>
      </c>
      <c r="G101" s="143">
        <f t="shared" si="1"/>
        <v>817249</v>
      </c>
      <c r="H101" s="142" t="s">
        <v>62</v>
      </c>
      <c r="I101" s="132"/>
      <c r="J101" s="142"/>
      <c r="K101" s="142"/>
      <c r="L101" s="142"/>
      <c r="M101" s="381"/>
      <c r="N101" s="142"/>
      <c r="O101" s="134"/>
      <c r="P101" s="134"/>
      <c r="Q101" s="198"/>
      <c r="R101" s="198"/>
      <c r="S101" s="198"/>
      <c r="T101" s="134"/>
      <c r="U101" s="134"/>
      <c r="V101" s="134"/>
      <c r="W101" s="134"/>
      <c r="X101" s="134"/>
      <c r="Y101" s="134"/>
      <c r="Z101" s="134"/>
      <c r="AA101" s="134"/>
    </row>
    <row r="102" spans="1:27" s="148" customFormat="1" ht="15" customHeight="1" x14ac:dyDescent="0.25">
      <c r="A102" s="300">
        <v>44277</v>
      </c>
      <c r="B102" s="310" t="s">
        <v>269</v>
      </c>
      <c r="C102" s="417" t="s">
        <v>20</v>
      </c>
      <c r="D102" s="407" t="s">
        <v>21</v>
      </c>
      <c r="E102" s="440"/>
      <c r="F102" s="441">
        <v>15000</v>
      </c>
      <c r="G102" s="143">
        <f t="shared" si="1"/>
        <v>802249</v>
      </c>
      <c r="H102" s="142" t="s">
        <v>62</v>
      </c>
      <c r="I102" s="132"/>
      <c r="J102" s="142"/>
      <c r="K102" s="142"/>
      <c r="L102" s="142"/>
      <c r="M102" s="313" t="s">
        <v>75</v>
      </c>
      <c r="N102" s="142"/>
      <c r="O102" s="134"/>
      <c r="P102" s="134"/>
      <c r="Q102" s="198"/>
      <c r="R102" s="198"/>
      <c r="S102" s="198"/>
      <c r="T102" s="134"/>
      <c r="U102" s="134"/>
      <c r="V102" s="134"/>
      <c r="W102" s="134"/>
      <c r="X102" s="134"/>
      <c r="Y102" s="134"/>
      <c r="Z102" s="134"/>
      <c r="AA102" s="134"/>
    </row>
    <row r="103" spans="1:27" s="148" customFormat="1" ht="15" customHeight="1" x14ac:dyDescent="0.25">
      <c r="A103" s="300">
        <v>44277</v>
      </c>
      <c r="B103" s="310" t="s">
        <v>114</v>
      </c>
      <c r="C103" s="310" t="s">
        <v>120</v>
      </c>
      <c r="D103" s="310"/>
      <c r="E103" s="440"/>
      <c r="F103" s="441">
        <v>149000</v>
      </c>
      <c r="G103" s="143">
        <f t="shared" si="1"/>
        <v>653249</v>
      </c>
      <c r="H103" s="142" t="s">
        <v>62</v>
      </c>
      <c r="I103" s="132"/>
      <c r="J103" s="142"/>
      <c r="K103" s="142"/>
      <c r="L103" s="142"/>
      <c r="M103" s="427"/>
      <c r="N103" s="142"/>
      <c r="O103" s="134"/>
      <c r="P103" s="134"/>
      <c r="Q103" s="198"/>
      <c r="R103" s="198"/>
      <c r="S103" s="198"/>
      <c r="T103" s="134"/>
      <c r="U103" s="134"/>
      <c r="V103" s="134"/>
      <c r="W103" s="134"/>
      <c r="X103" s="134"/>
      <c r="Y103" s="134"/>
      <c r="Z103" s="134"/>
      <c r="AA103" s="134"/>
    </row>
    <row r="104" spans="1:27" s="148" customFormat="1" ht="15" customHeight="1" x14ac:dyDescent="0.25">
      <c r="A104" s="300">
        <v>44277</v>
      </c>
      <c r="B104" s="310" t="s">
        <v>270</v>
      </c>
      <c r="C104" s="306" t="s">
        <v>63</v>
      </c>
      <c r="D104" s="306" t="s">
        <v>21</v>
      </c>
      <c r="E104" s="440"/>
      <c r="F104" s="441">
        <v>4470</v>
      </c>
      <c r="G104" s="143">
        <f t="shared" si="1"/>
        <v>648779</v>
      </c>
      <c r="H104" s="142" t="s">
        <v>62</v>
      </c>
      <c r="I104" s="132"/>
      <c r="J104" s="142"/>
      <c r="K104" s="142"/>
      <c r="L104" s="142"/>
      <c r="M104" s="313" t="s">
        <v>75</v>
      </c>
      <c r="N104" s="142"/>
      <c r="O104" s="134"/>
      <c r="P104" s="134"/>
      <c r="Q104" s="198"/>
      <c r="R104" s="198"/>
      <c r="S104" s="198"/>
      <c r="T104" s="134"/>
      <c r="U104" s="134"/>
      <c r="V104" s="134"/>
      <c r="W104" s="134"/>
      <c r="X104" s="134"/>
      <c r="Y104" s="134"/>
      <c r="Z104" s="134"/>
      <c r="AA104" s="134"/>
    </row>
    <row r="105" spans="1:27" s="475" customFormat="1" ht="15" customHeight="1" x14ac:dyDescent="0.25">
      <c r="A105" s="300">
        <v>44279</v>
      </c>
      <c r="B105" s="310" t="s">
        <v>69</v>
      </c>
      <c r="C105" s="310" t="s">
        <v>120</v>
      </c>
      <c r="D105" s="310"/>
      <c r="E105" s="440"/>
      <c r="F105" s="441">
        <v>10000</v>
      </c>
      <c r="G105" s="143">
        <f t="shared" si="1"/>
        <v>638779</v>
      </c>
      <c r="H105" s="472" t="s">
        <v>62</v>
      </c>
      <c r="I105" s="132"/>
      <c r="J105" s="142"/>
      <c r="K105" s="142"/>
      <c r="L105" s="142"/>
      <c r="M105" s="384"/>
      <c r="N105" s="472"/>
      <c r="O105" s="473"/>
      <c r="P105" s="473"/>
      <c r="Q105" s="474"/>
      <c r="R105" s="474"/>
      <c r="S105" s="474"/>
      <c r="T105" s="473"/>
      <c r="U105" s="473"/>
      <c r="V105" s="473"/>
      <c r="W105" s="473"/>
      <c r="X105" s="473"/>
      <c r="Y105" s="473"/>
      <c r="Z105" s="473"/>
      <c r="AA105" s="473"/>
    </row>
    <row r="106" spans="1:27" s="148" customFormat="1" ht="15" customHeight="1" x14ac:dyDescent="0.25">
      <c r="A106" s="300">
        <v>44279</v>
      </c>
      <c r="B106" s="310" t="s">
        <v>429</v>
      </c>
      <c r="C106" s="310" t="s">
        <v>26</v>
      </c>
      <c r="D106" s="310" t="s">
        <v>61</v>
      </c>
      <c r="E106" s="440"/>
      <c r="F106" s="441">
        <v>104000</v>
      </c>
      <c r="G106" s="143">
        <f t="shared" si="1"/>
        <v>534779</v>
      </c>
      <c r="H106" s="142" t="s">
        <v>62</v>
      </c>
      <c r="I106" s="132"/>
      <c r="J106" s="142"/>
      <c r="K106" s="142"/>
      <c r="L106" s="142"/>
      <c r="M106" s="304" t="s">
        <v>134</v>
      </c>
      <c r="N106" s="142"/>
      <c r="O106" s="134"/>
      <c r="P106" s="134"/>
      <c r="Q106" s="198"/>
      <c r="R106" s="198"/>
      <c r="S106" s="198"/>
      <c r="T106" s="134"/>
      <c r="U106" s="134"/>
      <c r="V106" s="134"/>
      <c r="W106" s="134"/>
      <c r="X106" s="134"/>
      <c r="Y106" s="134"/>
      <c r="Z106" s="134"/>
      <c r="AA106" s="134"/>
    </row>
    <row r="107" spans="1:27" s="148" customFormat="1" ht="15" customHeight="1" x14ac:dyDescent="0.25">
      <c r="A107" s="300">
        <v>44279</v>
      </c>
      <c r="B107" s="310" t="s">
        <v>91</v>
      </c>
      <c r="C107" s="310" t="s">
        <v>120</v>
      </c>
      <c r="D107" s="310"/>
      <c r="E107" s="440"/>
      <c r="F107" s="441">
        <v>20000</v>
      </c>
      <c r="G107" s="143">
        <f t="shared" si="1"/>
        <v>514779</v>
      </c>
      <c r="H107" s="142" t="s">
        <v>62</v>
      </c>
      <c r="I107" s="132"/>
      <c r="J107" s="142"/>
      <c r="K107" s="142"/>
      <c r="L107" s="142"/>
      <c r="M107" s="426"/>
      <c r="N107" s="142"/>
      <c r="O107" s="134"/>
      <c r="P107" s="134"/>
      <c r="Q107" s="198"/>
      <c r="R107" s="198"/>
      <c r="S107" s="198"/>
      <c r="T107" s="134"/>
      <c r="U107" s="134"/>
      <c r="V107" s="134"/>
      <c r="W107" s="134"/>
      <c r="X107" s="134"/>
      <c r="Y107" s="134"/>
      <c r="Z107" s="134"/>
      <c r="AA107" s="134"/>
    </row>
    <row r="108" spans="1:27" s="148" customFormat="1" ht="15" customHeight="1" x14ac:dyDescent="0.25">
      <c r="A108" s="300">
        <v>44279</v>
      </c>
      <c r="B108" s="310" t="s">
        <v>270</v>
      </c>
      <c r="C108" s="306" t="s">
        <v>63</v>
      </c>
      <c r="D108" s="306" t="s">
        <v>21</v>
      </c>
      <c r="E108" s="440"/>
      <c r="F108" s="441">
        <v>600</v>
      </c>
      <c r="G108" s="143">
        <f t="shared" si="1"/>
        <v>514179</v>
      </c>
      <c r="H108" s="142" t="s">
        <v>62</v>
      </c>
      <c r="I108" s="132"/>
      <c r="J108" s="142"/>
      <c r="K108" s="142"/>
      <c r="L108" s="142"/>
      <c r="M108" s="313" t="s">
        <v>75</v>
      </c>
      <c r="N108" s="142"/>
      <c r="O108" s="134"/>
      <c r="P108" s="134"/>
      <c r="Q108" s="198"/>
      <c r="R108" s="198"/>
      <c r="S108" s="198"/>
      <c r="T108" s="134"/>
      <c r="U108" s="134"/>
      <c r="V108" s="134"/>
      <c r="W108" s="134"/>
      <c r="X108" s="134"/>
      <c r="Y108" s="134"/>
      <c r="Z108" s="134"/>
      <c r="AA108" s="134"/>
    </row>
    <row r="109" spans="1:27" s="148" customFormat="1" ht="15" customHeight="1" x14ac:dyDescent="0.25">
      <c r="A109" s="300">
        <v>44279</v>
      </c>
      <c r="B109" s="310" t="s">
        <v>154</v>
      </c>
      <c r="C109" s="310" t="s">
        <v>120</v>
      </c>
      <c r="D109" s="310"/>
      <c r="E109" s="440"/>
      <c r="F109" s="441">
        <v>76200</v>
      </c>
      <c r="G109" s="143">
        <f t="shared" si="1"/>
        <v>437979</v>
      </c>
      <c r="H109" s="142" t="s">
        <v>62</v>
      </c>
      <c r="I109" s="132"/>
      <c r="J109" s="142"/>
      <c r="K109" s="142"/>
      <c r="L109" s="142"/>
      <c r="M109" s="311"/>
      <c r="N109" s="142"/>
      <c r="O109" s="134"/>
      <c r="P109" s="134"/>
      <c r="Q109" s="198"/>
      <c r="R109" s="198"/>
      <c r="S109" s="198"/>
      <c r="T109" s="134"/>
      <c r="U109" s="134"/>
      <c r="V109" s="134"/>
      <c r="W109" s="134"/>
      <c r="X109" s="134"/>
      <c r="Y109" s="134"/>
      <c r="Z109" s="134"/>
      <c r="AA109" s="134"/>
    </row>
    <row r="110" spans="1:27" s="148" customFormat="1" ht="15" customHeight="1" x14ac:dyDescent="0.25">
      <c r="A110" s="300">
        <v>44279</v>
      </c>
      <c r="B110" s="310" t="s">
        <v>271</v>
      </c>
      <c r="C110" s="310" t="s">
        <v>30</v>
      </c>
      <c r="D110" s="310" t="s">
        <v>21</v>
      </c>
      <c r="E110" s="440"/>
      <c r="F110" s="441">
        <v>110000</v>
      </c>
      <c r="G110" s="143">
        <f t="shared" si="1"/>
        <v>327979</v>
      </c>
      <c r="H110" s="142" t="s">
        <v>62</v>
      </c>
      <c r="I110" s="132"/>
      <c r="J110" s="142"/>
      <c r="K110" s="142"/>
      <c r="L110" s="142"/>
      <c r="M110" s="313" t="s">
        <v>75</v>
      </c>
      <c r="N110" s="142"/>
      <c r="O110" s="134"/>
      <c r="P110" s="134"/>
      <c r="Q110" s="198"/>
      <c r="R110" s="198"/>
      <c r="S110" s="198"/>
      <c r="T110" s="134"/>
      <c r="U110" s="134"/>
      <c r="V110" s="134"/>
      <c r="W110" s="134"/>
      <c r="X110" s="134"/>
      <c r="Y110" s="134"/>
      <c r="Z110" s="134"/>
      <c r="AA110" s="134"/>
    </row>
    <row r="111" spans="1:27" s="148" customFormat="1" ht="15" customHeight="1" x14ac:dyDescent="0.25">
      <c r="A111" s="300">
        <v>44280</v>
      </c>
      <c r="B111" s="310" t="s">
        <v>69</v>
      </c>
      <c r="C111" s="310" t="s">
        <v>120</v>
      </c>
      <c r="D111" s="310"/>
      <c r="E111" s="440"/>
      <c r="F111" s="441">
        <v>10000</v>
      </c>
      <c r="G111" s="143">
        <f t="shared" si="1"/>
        <v>317979</v>
      </c>
      <c r="H111" s="142" t="s">
        <v>62</v>
      </c>
      <c r="I111" s="132"/>
      <c r="J111" s="142"/>
      <c r="K111" s="142"/>
      <c r="L111" s="142"/>
      <c r="M111" s="308"/>
      <c r="N111" s="142"/>
      <c r="O111" s="134"/>
      <c r="P111" s="134"/>
      <c r="Q111" s="198"/>
      <c r="R111" s="198"/>
      <c r="S111" s="198"/>
      <c r="T111" s="134"/>
      <c r="U111" s="134"/>
      <c r="V111" s="134"/>
      <c r="W111" s="134"/>
      <c r="X111" s="134"/>
      <c r="Y111" s="134"/>
      <c r="Z111" s="134"/>
      <c r="AA111" s="134"/>
    </row>
    <row r="112" spans="1:27" s="148" customFormat="1" ht="15" customHeight="1" x14ac:dyDescent="0.25">
      <c r="A112" s="300">
        <v>44280</v>
      </c>
      <c r="B112" s="310" t="s">
        <v>77</v>
      </c>
      <c r="C112" s="310" t="s">
        <v>120</v>
      </c>
      <c r="D112" s="310"/>
      <c r="E112" s="440"/>
      <c r="F112" s="441">
        <v>30000</v>
      </c>
      <c r="G112" s="143">
        <f t="shared" si="1"/>
        <v>287979</v>
      </c>
      <c r="H112" s="142" t="s">
        <v>62</v>
      </c>
      <c r="I112" s="132"/>
      <c r="J112" s="142"/>
      <c r="K112" s="142"/>
      <c r="L112" s="142"/>
      <c r="M112" s="311"/>
      <c r="N112" s="142"/>
      <c r="O112" s="134"/>
      <c r="P112" s="134"/>
      <c r="Q112" s="198"/>
      <c r="R112" s="198"/>
      <c r="S112" s="198"/>
      <c r="T112" s="134"/>
      <c r="U112" s="134"/>
      <c r="V112" s="134"/>
      <c r="W112" s="134"/>
      <c r="X112" s="134"/>
      <c r="Y112" s="134"/>
      <c r="Z112" s="134"/>
      <c r="AA112" s="134"/>
    </row>
    <row r="113" spans="1:27" s="148" customFormat="1" ht="15" customHeight="1" x14ac:dyDescent="0.25">
      <c r="A113" s="300">
        <v>44280</v>
      </c>
      <c r="B113" s="310" t="s">
        <v>437</v>
      </c>
      <c r="C113" s="398" t="s">
        <v>76</v>
      </c>
      <c r="D113" s="298" t="s">
        <v>31</v>
      </c>
      <c r="E113" s="440"/>
      <c r="F113" s="441">
        <v>10500</v>
      </c>
      <c r="G113" s="143">
        <f t="shared" si="1"/>
        <v>277479</v>
      </c>
      <c r="H113" s="142" t="s">
        <v>62</v>
      </c>
      <c r="I113" s="132"/>
      <c r="J113" s="142"/>
      <c r="K113" s="142"/>
      <c r="L113" s="142"/>
      <c r="M113" s="304" t="s">
        <v>134</v>
      </c>
      <c r="N113" s="142"/>
      <c r="O113" s="134"/>
      <c r="P113" s="134"/>
      <c r="Q113" s="198"/>
      <c r="R113" s="198"/>
      <c r="S113" s="198"/>
      <c r="T113" s="134"/>
      <c r="U113" s="134"/>
      <c r="V113" s="134"/>
      <c r="W113" s="134"/>
      <c r="X113" s="134"/>
      <c r="Y113" s="134"/>
      <c r="Z113" s="134"/>
      <c r="AA113" s="134"/>
    </row>
    <row r="114" spans="1:27" s="148" customFormat="1" ht="15" customHeight="1" x14ac:dyDescent="0.25">
      <c r="A114" s="300">
        <v>44280</v>
      </c>
      <c r="B114" s="310" t="s">
        <v>438</v>
      </c>
      <c r="C114" s="310" t="s">
        <v>76</v>
      </c>
      <c r="D114" s="298" t="s">
        <v>31</v>
      </c>
      <c r="E114" s="440"/>
      <c r="F114" s="441">
        <v>10500</v>
      </c>
      <c r="G114" s="143">
        <f t="shared" si="1"/>
        <v>266979</v>
      </c>
      <c r="H114" s="142" t="s">
        <v>62</v>
      </c>
      <c r="I114" s="132"/>
      <c r="J114" s="142"/>
      <c r="K114" s="142"/>
      <c r="L114" s="142"/>
      <c r="M114" s="304" t="s">
        <v>134</v>
      </c>
      <c r="N114" s="142"/>
      <c r="O114" s="134"/>
      <c r="P114" s="134"/>
      <c r="Q114" s="198"/>
      <c r="R114" s="198"/>
      <c r="S114" s="198"/>
      <c r="T114" s="134"/>
      <c r="U114" s="134"/>
      <c r="V114" s="134"/>
      <c r="W114" s="134"/>
      <c r="X114" s="134"/>
      <c r="Y114" s="134"/>
      <c r="Z114" s="134"/>
      <c r="AA114" s="134"/>
    </row>
    <row r="115" spans="1:27" s="148" customFormat="1" ht="15" customHeight="1" x14ac:dyDescent="0.25">
      <c r="A115" s="300">
        <v>44280</v>
      </c>
      <c r="B115" s="310" t="s">
        <v>154</v>
      </c>
      <c r="C115" s="310" t="s">
        <v>120</v>
      </c>
      <c r="D115" s="310"/>
      <c r="E115" s="440"/>
      <c r="F115" s="441">
        <v>150000</v>
      </c>
      <c r="G115" s="143">
        <f t="shared" si="1"/>
        <v>116979</v>
      </c>
      <c r="H115" s="142" t="s">
        <v>62</v>
      </c>
      <c r="I115" s="132"/>
      <c r="J115" s="142"/>
      <c r="K115" s="142"/>
      <c r="L115" s="142"/>
      <c r="M115" s="304"/>
      <c r="N115" s="142"/>
      <c r="O115" s="134"/>
      <c r="P115" s="134"/>
      <c r="Q115" s="198"/>
      <c r="R115" s="198"/>
      <c r="S115" s="198"/>
      <c r="T115" s="134"/>
      <c r="U115" s="134"/>
      <c r="V115" s="134"/>
      <c r="W115" s="134"/>
      <c r="X115" s="134"/>
      <c r="Y115" s="134"/>
      <c r="Z115" s="134"/>
      <c r="AA115" s="134"/>
    </row>
    <row r="116" spans="1:27" s="148" customFormat="1" ht="15" customHeight="1" x14ac:dyDescent="0.25">
      <c r="A116" s="300">
        <v>44280</v>
      </c>
      <c r="B116" s="310" t="s">
        <v>178</v>
      </c>
      <c r="C116" s="312" t="s">
        <v>73</v>
      </c>
      <c r="D116" s="300" t="s">
        <v>121</v>
      </c>
      <c r="E116" s="440"/>
      <c r="F116" s="441">
        <v>30000</v>
      </c>
      <c r="G116" s="143">
        <f t="shared" si="1"/>
        <v>86979</v>
      </c>
      <c r="H116" s="142" t="s">
        <v>62</v>
      </c>
      <c r="I116" s="132"/>
      <c r="J116" s="142"/>
      <c r="K116" s="142"/>
      <c r="L116" s="142"/>
      <c r="M116" s="313" t="s">
        <v>75</v>
      </c>
      <c r="N116" s="142"/>
      <c r="O116" s="134"/>
      <c r="P116" s="134"/>
      <c r="Q116" s="198"/>
      <c r="R116" s="198"/>
      <c r="S116" s="198"/>
      <c r="T116" s="134"/>
      <c r="U116" s="134"/>
      <c r="V116" s="134"/>
      <c r="W116" s="134"/>
      <c r="X116" s="134"/>
      <c r="Y116" s="134"/>
      <c r="Z116" s="134"/>
      <c r="AA116" s="134"/>
    </row>
    <row r="117" spans="1:27" s="148" customFormat="1" ht="15" customHeight="1" x14ac:dyDescent="0.25">
      <c r="A117" s="300">
        <v>44279</v>
      </c>
      <c r="B117" s="310" t="s">
        <v>58</v>
      </c>
      <c r="C117" s="310" t="s">
        <v>120</v>
      </c>
      <c r="D117" s="310"/>
      <c r="E117" s="440">
        <v>1000000</v>
      </c>
      <c r="F117" s="441"/>
      <c r="G117" s="143">
        <f t="shared" si="1"/>
        <v>1086979</v>
      </c>
      <c r="H117" s="142" t="s">
        <v>62</v>
      </c>
      <c r="I117" s="132"/>
      <c r="J117" s="142"/>
      <c r="K117" s="142"/>
      <c r="L117" s="142"/>
      <c r="M117" s="385"/>
      <c r="N117" s="142"/>
      <c r="O117" s="134"/>
      <c r="P117" s="134"/>
      <c r="Q117" s="198"/>
      <c r="R117" s="198"/>
      <c r="S117" s="198"/>
      <c r="T117" s="134"/>
      <c r="U117" s="134"/>
      <c r="V117" s="134"/>
      <c r="W117" s="134"/>
      <c r="X117" s="134"/>
      <c r="Y117" s="134"/>
      <c r="Z117" s="134"/>
      <c r="AA117" s="134"/>
    </row>
    <row r="118" spans="1:27" s="148" customFormat="1" ht="15" customHeight="1" x14ac:dyDescent="0.25">
      <c r="A118" s="300">
        <v>44281</v>
      </c>
      <c r="B118" s="310" t="s">
        <v>430</v>
      </c>
      <c r="C118" s="310" t="s">
        <v>26</v>
      </c>
      <c r="D118" s="310" t="s">
        <v>61</v>
      </c>
      <c r="E118" s="440"/>
      <c r="F118" s="441">
        <v>150000</v>
      </c>
      <c r="G118" s="143">
        <f t="shared" si="1"/>
        <v>936979</v>
      </c>
      <c r="H118" s="142" t="s">
        <v>62</v>
      </c>
      <c r="I118" s="132"/>
      <c r="J118" s="142"/>
      <c r="K118" s="142"/>
      <c r="L118" s="142"/>
      <c r="M118" s="304" t="s">
        <v>134</v>
      </c>
      <c r="N118" s="142"/>
      <c r="O118" s="134"/>
      <c r="P118" s="134"/>
      <c r="Q118" s="198"/>
      <c r="R118" s="198"/>
      <c r="S118" s="198"/>
      <c r="T118" s="134"/>
      <c r="U118" s="134"/>
      <c r="V118" s="134"/>
      <c r="W118" s="134"/>
      <c r="X118" s="134"/>
      <c r="Y118" s="134"/>
      <c r="Z118" s="134"/>
      <c r="AA118" s="134"/>
    </row>
    <row r="119" spans="1:27" s="148" customFormat="1" ht="15" customHeight="1" x14ac:dyDescent="0.25">
      <c r="A119" s="300">
        <v>44281</v>
      </c>
      <c r="B119" s="310" t="s">
        <v>67</v>
      </c>
      <c r="C119" s="310" t="s">
        <v>120</v>
      </c>
      <c r="D119" s="310"/>
      <c r="E119" s="440"/>
      <c r="F119" s="441">
        <v>100000</v>
      </c>
      <c r="G119" s="143">
        <f t="shared" si="1"/>
        <v>836979</v>
      </c>
      <c r="H119" s="142" t="s">
        <v>62</v>
      </c>
      <c r="I119" s="132"/>
      <c r="J119" s="142"/>
      <c r="K119" s="142"/>
      <c r="L119" s="142"/>
      <c r="M119" s="383"/>
      <c r="N119" s="142"/>
      <c r="O119" s="134"/>
      <c r="P119" s="134"/>
      <c r="Q119" s="198"/>
      <c r="R119" s="198"/>
      <c r="S119" s="198"/>
      <c r="T119" s="134"/>
      <c r="U119" s="134"/>
      <c r="V119" s="134"/>
      <c r="W119" s="134"/>
      <c r="X119" s="134"/>
      <c r="Y119" s="134"/>
      <c r="Z119" s="134"/>
      <c r="AA119" s="134"/>
    </row>
    <row r="120" spans="1:27" s="148" customFormat="1" ht="15" customHeight="1" x14ac:dyDescent="0.25">
      <c r="A120" s="300">
        <v>44281</v>
      </c>
      <c r="B120" s="310" t="s">
        <v>272</v>
      </c>
      <c r="C120" s="417" t="s">
        <v>20</v>
      </c>
      <c r="D120" s="407" t="s">
        <v>21</v>
      </c>
      <c r="E120" s="440"/>
      <c r="F120" s="441">
        <v>10000</v>
      </c>
      <c r="G120" s="143">
        <f t="shared" si="1"/>
        <v>826979</v>
      </c>
      <c r="H120" s="142" t="s">
        <v>62</v>
      </c>
      <c r="I120" s="132"/>
      <c r="J120" s="142"/>
      <c r="K120" s="142"/>
      <c r="L120" s="142"/>
      <c r="M120" s="313" t="s">
        <v>75</v>
      </c>
      <c r="N120" s="142"/>
      <c r="O120" s="134"/>
      <c r="P120" s="134"/>
      <c r="Q120" s="198"/>
      <c r="R120" s="198"/>
      <c r="S120" s="198"/>
      <c r="T120" s="134"/>
      <c r="U120" s="134"/>
      <c r="V120" s="134"/>
      <c r="W120" s="134"/>
      <c r="X120" s="134"/>
      <c r="Y120" s="134"/>
      <c r="Z120" s="134"/>
      <c r="AA120" s="134"/>
    </row>
    <row r="121" spans="1:27" s="148" customFormat="1" ht="15" customHeight="1" x14ac:dyDescent="0.25">
      <c r="A121" s="300">
        <v>44281</v>
      </c>
      <c r="B121" s="310" t="s">
        <v>70</v>
      </c>
      <c r="C121" s="310" t="s">
        <v>120</v>
      </c>
      <c r="D121" s="310"/>
      <c r="E121" s="440"/>
      <c r="F121" s="441">
        <v>60000</v>
      </c>
      <c r="G121" s="143">
        <f t="shared" si="1"/>
        <v>766979</v>
      </c>
      <c r="H121" s="142" t="s">
        <v>62</v>
      </c>
      <c r="I121" s="132"/>
      <c r="J121" s="142"/>
      <c r="K121" s="142"/>
      <c r="L121" s="142"/>
      <c r="M121" s="308"/>
      <c r="N121" s="142"/>
      <c r="O121" s="134"/>
      <c r="P121" s="134"/>
      <c r="Q121" s="198"/>
      <c r="R121" s="198"/>
      <c r="S121" s="198"/>
      <c r="T121" s="134"/>
      <c r="U121" s="134"/>
      <c r="V121" s="134"/>
      <c r="W121" s="134"/>
      <c r="X121" s="134"/>
      <c r="Y121" s="134"/>
      <c r="Z121" s="134"/>
      <c r="AA121" s="134"/>
    </row>
    <row r="122" spans="1:27" s="148" customFormat="1" ht="15" customHeight="1" x14ac:dyDescent="0.25">
      <c r="A122" s="300">
        <v>44281</v>
      </c>
      <c r="B122" s="310" t="s">
        <v>123</v>
      </c>
      <c r="C122" s="310" t="s">
        <v>120</v>
      </c>
      <c r="D122" s="310"/>
      <c r="E122" s="440"/>
      <c r="F122" s="441">
        <v>60000</v>
      </c>
      <c r="G122" s="143">
        <f t="shared" si="1"/>
        <v>706979</v>
      </c>
      <c r="H122" s="142" t="s">
        <v>62</v>
      </c>
      <c r="I122" s="132"/>
      <c r="J122" s="142"/>
      <c r="K122" s="142"/>
      <c r="L122" s="142"/>
      <c r="M122" s="382"/>
      <c r="N122" s="142"/>
      <c r="O122" s="134"/>
      <c r="P122" s="134"/>
      <c r="Q122" s="198"/>
      <c r="R122" s="198"/>
      <c r="S122" s="198"/>
      <c r="T122" s="134"/>
      <c r="U122" s="134"/>
      <c r="V122" s="134"/>
      <c r="W122" s="134"/>
      <c r="X122" s="134"/>
      <c r="Y122" s="134"/>
      <c r="Z122" s="134"/>
      <c r="AA122" s="134"/>
    </row>
    <row r="123" spans="1:27" s="475" customFormat="1" ht="15" customHeight="1" x14ac:dyDescent="0.25">
      <c r="A123" s="300">
        <v>44281</v>
      </c>
      <c r="B123" s="310" t="s">
        <v>184</v>
      </c>
      <c r="C123" s="310" t="s">
        <v>120</v>
      </c>
      <c r="D123" s="310"/>
      <c r="E123" s="440"/>
      <c r="F123" s="441">
        <v>117000</v>
      </c>
      <c r="G123" s="143">
        <f t="shared" si="1"/>
        <v>589979</v>
      </c>
      <c r="H123" s="472" t="s">
        <v>62</v>
      </c>
      <c r="I123" s="132"/>
      <c r="J123" s="142"/>
      <c r="K123" s="142"/>
      <c r="L123" s="142"/>
      <c r="M123" s="308"/>
      <c r="N123" s="472"/>
      <c r="O123" s="473"/>
      <c r="P123" s="473"/>
      <c r="Q123" s="474"/>
      <c r="R123" s="474"/>
      <c r="S123" s="474"/>
      <c r="T123" s="473"/>
      <c r="U123" s="473"/>
      <c r="V123" s="473"/>
      <c r="W123" s="473"/>
      <c r="X123" s="473"/>
      <c r="Y123" s="473"/>
      <c r="Z123" s="473"/>
      <c r="AA123" s="473"/>
    </row>
    <row r="124" spans="1:27" s="148" customFormat="1" ht="15" customHeight="1" x14ac:dyDescent="0.25">
      <c r="A124" s="300">
        <v>44281</v>
      </c>
      <c r="B124" s="310" t="s">
        <v>91</v>
      </c>
      <c r="C124" s="310" t="s">
        <v>120</v>
      </c>
      <c r="D124" s="310"/>
      <c r="E124" s="440"/>
      <c r="F124" s="441">
        <v>117000</v>
      </c>
      <c r="G124" s="143">
        <f t="shared" si="1"/>
        <v>472979</v>
      </c>
      <c r="H124" s="142" t="s">
        <v>62</v>
      </c>
      <c r="I124" s="132"/>
      <c r="J124" s="142"/>
      <c r="K124" s="142"/>
      <c r="L124" s="142"/>
      <c r="M124" s="304"/>
      <c r="N124" s="142"/>
      <c r="O124" s="134"/>
      <c r="P124" s="134"/>
      <c r="Q124" s="198"/>
      <c r="R124" s="198"/>
      <c r="S124" s="198"/>
      <c r="T124" s="134"/>
      <c r="U124" s="134"/>
      <c r="V124" s="134"/>
      <c r="W124" s="134"/>
      <c r="X124" s="134"/>
      <c r="Y124" s="134"/>
      <c r="Z124" s="134"/>
      <c r="AA124" s="134"/>
    </row>
    <row r="125" spans="1:27" s="148" customFormat="1" ht="15" customHeight="1" x14ac:dyDescent="0.25">
      <c r="A125" s="300">
        <v>44281</v>
      </c>
      <c r="B125" s="310" t="s">
        <v>77</v>
      </c>
      <c r="C125" s="310" t="s">
        <v>120</v>
      </c>
      <c r="D125" s="310"/>
      <c r="E125" s="440"/>
      <c r="F125" s="441">
        <v>88000</v>
      </c>
      <c r="G125" s="143">
        <f t="shared" si="1"/>
        <v>384979</v>
      </c>
      <c r="H125" s="142" t="s">
        <v>62</v>
      </c>
      <c r="I125" s="132"/>
      <c r="J125" s="142"/>
      <c r="K125" s="142"/>
      <c r="L125" s="142"/>
      <c r="M125" s="308"/>
      <c r="N125" s="142"/>
      <c r="O125" s="134"/>
      <c r="P125" s="134"/>
      <c r="Q125" s="198"/>
      <c r="R125" s="198"/>
      <c r="S125" s="198"/>
      <c r="T125" s="134"/>
      <c r="U125" s="134"/>
      <c r="V125" s="134"/>
      <c r="W125" s="134"/>
      <c r="X125" s="134"/>
      <c r="Y125" s="134"/>
      <c r="Z125" s="134"/>
      <c r="AA125" s="134"/>
    </row>
    <row r="126" spans="1:27" s="148" customFormat="1" ht="15" customHeight="1" x14ac:dyDescent="0.25">
      <c r="A126" s="300">
        <v>44281</v>
      </c>
      <c r="B126" s="310" t="s">
        <v>122</v>
      </c>
      <c r="C126" s="310" t="s">
        <v>120</v>
      </c>
      <c r="D126" s="310"/>
      <c r="E126" s="440"/>
      <c r="F126" s="441">
        <v>50000</v>
      </c>
      <c r="G126" s="143">
        <f t="shared" si="1"/>
        <v>334979</v>
      </c>
      <c r="H126" s="142" t="s">
        <v>62</v>
      </c>
      <c r="I126" s="132"/>
      <c r="J126" s="142"/>
      <c r="K126" s="142"/>
      <c r="L126" s="142"/>
      <c r="M126" s="304"/>
      <c r="N126" s="142"/>
      <c r="O126" s="134"/>
      <c r="P126" s="134"/>
      <c r="Q126" s="198"/>
      <c r="R126" s="198"/>
      <c r="S126" s="198"/>
      <c r="T126" s="134"/>
      <c r="U126" s="134"/>
      <c r="V126" s="134"/>
      <c r="W126" s="134"/>
      <c r="X126" s="134"/>
      <c r="Y126" s="134"/>
      <c r="Z126" s="134"/>
      <c r="AA126" s="134"/>
    </row>
    <row r="127" spans="1:27" s="148" customFormat="1" ht="15" customHeight="1" x14ac:dyDescent="0.25">
      <c r="A127" s="300">
        <v>44281</v>
      </c>
      <c r="B127" s="310" t="s">
        <v>122</v>
      </c>
      <c r="C127" s="310" t="s">
        <v>120</v>
      </c>
      <c r="D127" s="310"/>
      <c r="E127" s="440"/>
      <c r="F127" s="441">
        <v>10000</v>
      </c>
      <c r="G127" s="143">
        <f t="shared" si="1"/>
        <v>324979</v>
      </c>
      <c r="H127" s="142" t="s">
        <v>62</v>
      </c>
      <c r="I127" s="132"/>
      <c r="J127" s="142"/>
      <c r="K127" s="142"/>
      <c r="L127" s="142"/>
      <c r="M127" s="308"/>
      <c r="N127" s="142"/>
      <c r="O127" s="134"/>
      <c r="P127" s="134"/>
      <c r="Q127" s="198"/>
      <c r="R127" s="198"/>
      <c r="S127" s="198"/>
      <c r="T127" s="134"/>
      <c r="U127" s="134"/>
      <c r="V127" s="134"/>
      <c r="W127" s="134"/>
      <c r="X127" s="134"/>
      <c r="Y127" s="134"/>
      <c r="Z127" s="134"/>
      <c r="AA127" s="134"/>
    </row>
    <row r="128" spans="1:27" s="148" customFormat="1" ht="15" customHeight="1" x14ac:dyDescent="0.25">
      <c r="A128" s="300">
        <v>44284</v>
      </c>
      <c r="B128" s="310" t="s">
        <v>142</v>
      </c>
      <c r="C128" s="310" t="s">
        <v>120</v>
      </c>
      <c r="D128" s="310"/>
      <c r="E128" s="440"/>
      <c r="F128" s="441">
        <v>15000</v>
      </c>
      <c r="G128" s="143">
        <f t="shared" si="1"/>
        <v>309979</v>
      </c>
      <c r="H128" s="142" t="s">
        <v>62</v>
      </c>
      <c r="I128" s="132"/>
      <c r="J128" s="142"/>
      <c r="K128" s="142"/>
      <c r="L128" s="142"/>
      <c r="M128" s="381"/>
      <c r="N128" s="142"/>
      <c r="O128" s="134"/>
      <c r="P128" s="134"/>
      <c r="Q128" s="198"/>
      <c r="R128" s="198"/>
      <c r="S128" s="198"/>
      <c r="T128" s="134"/>
      <c r="U128" s="134"/>
      <c r="V128" s="134"/>
      <c r="W128" s="134"/>
      <c r="X128" s="134"/>
      <c r="Y128" s="134"/>
      <c r="Z128" s="134"/>
      <c r="AA128" s="134"/>
    </row>
    <row r="129" spans="1:27" s="148" customFormat="1" ht="15" customHeight="1" x14ac:dyDescent="0.25">
      <c r="A129" s="300">
        <v>44284</v>
      </c>
      <c r="B129" s="310" t="s">
        <v>69</v>
      </c>
      <c r="C129" s="310" t="s">
        <v>120</v>
      </c>
      <c r="D129" s="310"/>
      <c r="E129" s="440"/>
      <c r="F129" s="441">
        <v>15000</v>
      </c>
      <c r="G129" s="143">
        <f t="shared" si="1"/>
        <v>294979</v>
      </c>
      <c r="H129" s="142" t="s">
        <v>62</v>
      </c>
      <c r="I129" s="132"/>
      <c r="J129" s="142"/>
      <c r="K129" s="142"/>
      <c r="L129" s="142"/>
      <c r="M129" s="304"/>
      <c r="N129" s="142"/>
      <c r="O129" s="134"/>
      <c r="P129" s="134"/>
      <c r="Q129" s="198"/>
      <c r="R129" s="198"/>
      <c r="S129" s="198"/>
      <c r="T129" s="134"/>
      <c r="U129" s="134"/>
      <c r="V129" s="134"/>
      <c r="W129" s="134"/>
      <c r="X129" s="134"/>
      <c r="Y129" s="134"/>
      <c r="Z129" s="134"/>
      <c r="AA129" s="134"/>
    </row>
    <row r="130" spans="1:27" s="148" customFormat="1" ht="15" customHeight="1" x14ac:dyDescent="0.25">
      <c r="A130" s="300">
        <v>44284</v>
      </c>
      <c r="B130" s="310" t="s">
        <v>154</v>
      </c>
      <c r="C130" s="310" t="s">
        <v>120</v>
      </c>
      <c r="D130" s="310"/>
      <c r="E130" s="440"/>
      <c r="F130" s="441">
        <v>100000</v>
      </c>
      <c r="G130" s="143">
        <f t="shared" si="1"/>
        <v>194979</v>
      </c>
      <c r="H130" s="142" t="s">
        <v>62</v>
      </c>
      <c r="I130" s="132"/>
      <c r="J130" s="142"/>
      <c r="K130" s="142"/>
      <c r="L130" s="142"/>
      <c r="M130" s="391"/>
      <c r="N130" s="142"/>
      <c r="O130" s="134"/>
      <c r="P130" s="134"/>
      <c r="Q130" s="198"/>
      <c r="R130" s="198"/>
      <c r="S130" s="198"/>
      <c r="T130" s="134"/>
      <c r="U130" s="134"/>
      <c r="V130" s="134"/>
      <c r="W130" s="134"/>
      <c r="X130" s="134"/>
      <c r="Y130" s="134"/>
      <c r="Z130" s="134"/>
      <c r="AA130" s="134"/>
    </row>
    <row r="131" spans="1:27" s="148" customFormat="1" ht="15" customHeight="1" x14ac:dyDescent="0.25">
      <c r="A131" s="300">
        <v>44284</v>
      </c>
      <c r="B131" s="310" t="s">
        <v>273</v>
      </c>
      <c r="C131" s="306" t="s">
        <v>63</v>
      </c>
      <c r="D131" s="306" t="s">
        <v>21</v>
      </c>
      <c r="E131" s="440"/>
      <c r="F131" s="441">
        <v>3000</v>
      </c>
      <c r="G131" s="143">
        <f t="shared" si="1"/>
        <v>191979</v>
      </c>
      <c r="H131" s="142" t="s">
        <v>62</v>
      </c>
      <c r="I131" s="132"/>
      <c r="J131" s="142"/>
      <c r="K131" s="142"/>
      <c r="L131" s="142"/>
      <c r="M131" s="313" t="s">
        <v>75</v>
      </c>
      <c r="N131" s="142"/>
      <c r="O131" s="134"/>
      <c r="P131" s="134"/>
      <c r="Q131" s="198"/>
      <c r="R131" s="198"/>
      <c r="S131" s="198"/>
      <c r="T131" s="134"/>
      <c r="U131" s="134"/>
      <c r="V131" s="134"/>
      <c r="W131" s="134"/>
      <c r="X131" s="134"/>
      <c r="Y131" s="134"/>
      <c r="Z131" s="134"/>
      <c r="AA131" s="134"/>
    </row>
    <row r="132" spans="1:27" s="148" customFormat="1" ht="15" customHeight="1" x14ac:dyDescent="0.25">
      <c r="A132" s="300">
        <v>44284</v>
      </c>
      <c r="B132" s="310" t="s">
        <v>58</v>
      </c>
      <c r="C132" s="310" t="s">
        <v>120</v>
      </c>
      <c r="D132" s="310"/>
      <c r="E132" s="440">
        <v>2000000</v>
      </c>
      <c r="F132" s="441"/>
      <c r="G132" s="143">
        <f t="shared" si="1"/>
        <v>2191979</v>
      </c>
      <c r="H132" s="142" t="s">
        <v>62</v>
      </c>
      <c r="I132" s="132"/>
      <c r="J132" s="142"/>
      <c r="K132" s="142"/>
      <c r="L132" s="142"/>
      <c r="M132" s="385"/>
      <c r="N132" s="142"/>
      <c r="O132" s="134"/>
      <c r="P132" s="134"/>
      <c r="Q132" s="198"/>
      <c r="R132" s="198"/>
      <c r="S132" s="198"/>
      <c r="T132" s="134"/>
      <c r="U132" s="134"/>
      <c r="V132" s="134"/>
      <c r="W132" s="134"/>
      <c r="X132" s="134"/>
      <c r="Y132" s="134"/>
      <c r="Z132" s="134"/>
      <c r="AA132" s="134"/>
    </row>
    <row r="133" spans="1:27" s="148" customFormat="1" ht="15" customHeight="1" x14ac:dyDescent="0.25">
      <c r="A133" s="300">
        <v>44281</v>
      </c>
      <c r="B133" s="310" t="s">
        <v>274</v>
      </c>
      <c r="C133" s="312" t="s">
        <v>74</v>
      </c>
      <c r="D133" s="305" t="s">
        <v>21</v>
      </c>
      <c r="E133" s="440"/>
      <c r="F133" s="441">
        <v>120000</v>
      </c>
      <c r="G133" s="143">
        <f t="shared" si="1"/>
        <v>2071979</v>
      </c>
      <c r="H133" s="142" t="s">
        <v>62</v>
      </c>
      <c r="I133" s="132"/>
      <c r="J133" s="142"/>
      <c r="K133" s="142"/>
      <c r="L133" s="142"/>
      <c r="M133" s="313" t="s">
        <v>75</v>
      </c>
      <c r="N133" s="142"/>
      <c r="O133" s="134"/>
      <c r="P133" s="134"/>
      <c r="Q133" s="198"/>
      <c r="R133" s="198"/>
      <c r="S133" s="198"/>
      <c r="T133" s="134"/>
      <c r="U133" s="134"/>
      <c r="V133" s="134"/>
      <c r="W133" s="134"/>
      <c r="X133" s="134"/>
      <c r="Y133" s="134"/>
      <c r="Z133" s="134"/>
      <c r="AA133" s="134"/>
    </row>
    <row r="134" spans="1:27" s="148" customFormat="1" ht="15" customHeight="1" x14ac:dyDescent="0.25">
      <c r="A134" s="300">
        <v>44284</v>
      </c>
      <c r="B134" s="310" t="s">
        <v>442</v>
      </c>
      <c r="C134" s="310" t="s">
        <v>26</v>
      </c>
      <c r="D134" s="310" t="s">
        <v>61</v>
      </c>
      <c r="E134" s="440"/>
      <c r="F134" s="441">
        <v>88000</v>
      </c>
      <c r="G134" s="143">
        <f t="shared" si="1"/>
        <v>1983979</v>
      </c>
      <c r="H134" s="142" t="s">
        <v>62</v>
      </c>
      <c r="I134" s="132"/>
      <c r="J134" s="142"/>
      <c r="K134" s="142"/>
      <c r="L134" s="142"/>
      <c r="M134" s="304" t="s">
        <v>134</v>
      </c>
      <c r="N134" s="142"/>
      <c r="O134" s="134"/>
      <c r="P134" s="134"/>
      <c r="Q134" s="198"/>
      <c r="R134" s="198"/>
      <c r="S134" s="198"/>
      <c r="T134" s="134"/>
      <c r="U134" s="134"/>
      <c r="V134" s="134"/>
      <c r="W134" s="134"/>
      <c r="X134" s="134"/>
      <c r="Y134" s="134"/>
      <c r="Z134" s="134"/>
      <c r="AA134" s="134"/>
    </row>
    <row r="135" spans="1:27" s="148" customFormat="1" ht="15" customHeight="1" x14ac:dyDescent="0.25">
      <c r="A135" s="300">
        <v>44284</v>
      </c>
      <c r="B135" s="310" t="s">
        <v>91</v>
      </c>
      <c r="C135" s="310" t="s">
        <v>120</v>
      </c>
      <c r="D135" s="310"/>
      <c r="E135" s="440"/>
      <c r="F135" s="441">
        <v>70000</v>
      </c>
      <c r="G135" s="143">
        <f t="shared" si="1"/>
        <v>1913979</v>
      </c>
      <c r="H135" s="142" t="s">
        <v>62</v>
      </c>
      <c r="I135" s="132"/>
      <c r="J135" s="142"/>
      <c r="K135" s="142"/>
      <c r="L135" s="142"/>
      <c r="M135" s="429"/>
      <c r="N135" s="142"/>
      <c r="O135" s="134"/>
      <c r="P135" s="134"/>
      <c r="Q135" s="198"/>
      <c r="R135" s="198"/>
      <c r="S135" s="198"/>
      <c r="T135" s="134"/>
      <c r="U135" s="134"/>
      <c r="V135" s="134"/>
      <c r="W135" s="134"/>
      <c r="X135" s="134"/>
      <c r="Y135" s="134"/>
      <c r="Z135" s="134"/>
      <c r="AA135" s="134"/>
    </row>
    <row r="136" spans="1:27" s="148" customFormat="1" ht="15" customHeight="1" x14ac:dyDescent="0.25">
      <c r="A136" s="300">
        <v>44285</v>
      </c>
      <c r="B136" s="310" t="s">
        <v>275</v>
      </c>
      <c r="C136" s="306" t="s">
        <v>63</v>
      </c>
      <c r="D136" s="306" t="s">
        <v>21</v>
      </c>
      <c r="E136" s="440"/>
      <c r="F136" s="441">
        <f>2100+4920</f>
        <v>7020</v>
      </c>
      <c r="G136" s="143">
        <f t="shared" si="1"/>
        <v>1906959</v>
      </c>
      <c r="H136" s="142" t="s">
        <v>62</v>
      </c>
      <c r="I136" s="132"/>
      <c r="J136" s="142"/>
      <c r="K136" s="142"/>
      <c r="L136" s="142"/>
      <c r="M136" s="313" t="s">
        <v>75</v>
      </c>
      <c r="N136" s="142"/>
      <c r="O136" s="134"/>
      <c r="P136" s="134"/>
      <c r="Q136" s="198"/>
      <c r="R136" s="198"/>
      <c r="S136" s="198"/>
      <c r="T136" s="134"/>
      <c r="U136" s="134"/>
      <c r="V136" s="134"/>
      <c r="W136" s="134"/>
      <c r="X136" s="134"/>
      <c r="Y136" s="134"/>
      <c r="Z136" s="134"/>
      <c r="AA136" s="134"/>
    </row>
    <row r="137" spans="1:27" s="148" customFormat="1" ht="15" customHeight="1" x14ac:dyDescent="0.25">
      <c r="A137" s="300">
        <v>44285</v>
      </c>
      <c r="B137" s="310" t="s">
        <v>67</v>
      </c>
      <c r="C137" s="310" t="s">
        <v>120</v>
      </c>
      <c r="D137" s="310"/>
      <c r="E137" s="440"/>
      <c r="F137" s="441">
        <v>164000</v>
      </c>
      <c r="G137" s="143">
        <f t="shared" si="1"/>
        <v>1742959</v>
      </c>
      <c r="H137" s="142" t="s">
        <v>62</v>
      </c>
      <c r="I137" s="132"/>
      <c r="J137" s="142"/>
      <c r="K137" s="142"/>
      <c r="L137" s="142"/>
      <c r="M137" s="384"/>
      <c r="N137" s="142"/>
      <c r="O137" s="134"/>
      <c r="P137" s="134"/>
      <c r="Q137" s="198"/>
      <c r="R137" s="198"/>
      <c r="S137" s="198"/>
      <c r="T137" s="134"/>
      <c r="U137" s="134"/>
      <c r="V137" s="134"/>
      <c r="W137" s="134"/>
      <c r="X137" s="134"/>
      <c r="Y137" s="134"/>
      <c r="Z137" s="134"/>
      <c r="AA137" s="134"/>
    </row>
    <row r="138" spans="1:27" s="148" customFormat="1" ht="15" customHeight="1" x14ac:dyDescent="0.25">
      <c r="A138" s="300">
        <v>44285</v>
      </c>
      <c r="B138" s="310" t="s">
        <v>114</v>
      </c>
      <c r="C138" s="310" t="s">
        <v>120</v>
      </c>
      <c r="D138" s="310"/>
      <c r="E138" s="440"/>
      <c r="F138" s="441">
        <v>30000</v>
      </c>
      <c r="G138" s="143">
        <f t="shared" si="1"/>
        <v>1712959</v>
      </c>
      <c r="H138" s="142" t="s">
        <v>62</v>
      </c>
      <c r="I138" s="132"/>
      <c r="J138" s="142"/>
      <c r="K138" s="142"/>
      <c r="L138" s="142"/>
      <c r="M138" s="385"/>
      <c r="N138" s="142"/>
      <c r="O138" s="134"/>
      <c r="P138" s="134"/>
      <c r="Q138" s="198"/>
      <c r="R138" s="198"/>
      <c r="S138" s="198"/>
      <c r="T138" s="134"/>
      <c r="U138" s="134"/>
      <c r="V138" s="134"/>
      <c r="W138" s="134"/>
      <c r="X138" s="134"/>
      <c r="Y138" s="134"/>
      <c r="Z138" s="134"/>
      <c r="AA138" s="134"/>
    </row>
    <row r="139" spans="1:27" s="148" customFormat="1" ht="15" customHeight="1" x14ac:dyDescent="0.25">
      <c r="A139" s="300">
        <v>44286</v>
      </c>
      <c r="B139" s="310" t="s">
        <v>444</v>
      </c>
      <c r="C139" s="310" t="s">
        <v>26</v>
      </c>
      <c r="D139" s="310" t="s">
        <v>175</v>
      </c>
      <c r="E139" s="440"/>
      <c r="F139" s="441">
        <v>20000</v>
      </c>
      <c r="G139" s="143">
        <f t="shared" si="1"/>
        <v>1692959</v>
      </c>
      <c r="H139" s="142" t="s">
        <v>62</v>
      </c>
      <c r="I139" s="132"/>
      <c r="J139" s="142"/>
      <c r="K139" s="142"/>
      <c r="L139" s="142"/>
      <c r="M139" s="304" t="s">
        <v>134</v>
      </c>
      <c r="N139" s="142"/>
      <c r="O139" s="134"/>
      <c r="P139" s="134"/>
      <c r="Q139" s="198"/>
      <c r="R139" s="198"/>
      <c r="S139" s="198"/>
      <c r="T139" s="134"/>
      <c r="U139" s="134"/>
      <c r="V139" s="134"/>
      <c r="W139" s="134"/>
      <c r="X139" s="134"/>
      <c r="Y139" s="134"/>
      <c r="Z139" s="134"/>
      <c r="AA139" s="134"/>
    </row>
    <row r="140" spans="1:27" s="148" customFormat="1" ht="15" customHeight="1" x14ac:dyDescent="0.25">
      <c r="A140" s="300">
        <v>44286</v>
      </c>
      <c r="B140" s="310" t="s">
        <v>445</v>
      </c>
      <c r="C140" s="310" t="s">
        <v>26</v>
      </c>
      <c r="D140" s="310" t="s">
        <v>175</v>
      </c>
      <c r="E140" s="440"/>
      <c r="F140" s="441">
        <v>20000</v>
      </c>
      <c r="G140" s="143">
        <f t="shared" si="1"/>
        <v>1672959</v>
      </c>
      <c r="H140" s="142" t="s">
        <v>62</v>
      </c>
      <c r="I140" s="132"/>
      <c r="J140" s="142"/>
      <c r="K140" s="142"/>
      <c r="L140" s="142"/>
      <c r="M140" s="304" t="s">
        <v>134</v>
      </c>
      <c r="N140" s="142"/>
      <c r="O140" s="134"/>
      <c r="P140" s="134"/>
      <c r="Q140" s="198"/>
      <c r="R140" s="198"/>
      <c r="S140" s="198"/>
      <c r="T140" s="134"/>
      <c r="U140" s="134"/>
      <c r="V140" s="134"/>
      <c r="W140" s="134"/>
      <c r="X140" s="134"/>
      <c r="Y140" s="134"/>
      <c r="Z140" s="134"/>
      <c r="AA140" s="134"/>
    </row>
    <row r="141" spans="1:27" x14ac:dyDescent="0.25">
      <c r="A141" s="149"/>
      <c r="B141" s="98"/>
      <c r="C141" s="98"/>
      <c r="D141" s="150"/>
      <c r="E141" s="99">
        <f>SUM(E12:E140)</f>
        <v>8148337</v>
      </c>
      <c r="F141" s="99">
        <f>SUM(F12:F140)</f>
        <v>6475378</v>
      </c>
      <c r="G141" s="564">
        <f>E141-F141</f>
        <v>1672959</v>
      </c>
      <c r="H141" s="150" t="s">
        <v>62</v>
      </c>
      <c r="I141" s="98"/>
      <c r="J141" s="98"/>
      <c r="K141" s="98"/>
      <c r="L141" s="98"/>
      <c r="M141" s="98"/>
      <c r="N141" s="98"/>
    </row>
    <row r="142" spans="1:27" x14ac:dyDescent="0.25">
      <c r="B142" s="101"/>
      <c r="C142" t="s">
        <v>143</v>
      </c>
      <c r="D142" s="26"/>
      <c r="J142" s="102"/>
    </row>
    <row r="143" spans="1:27" x14ac:dyDescent="0.25">
      <c r="D143" s="26"/>
      <c r="J143" s="103"/>
    </row>
    <row r="144" spans="1:27" x14ac:dyDescent="0.25">
      <c r="E144" s="26"/>
      <c r="J144" s="103"/>
    </row>
    <row r="145" spans="4:16" x14ac:dyDescent="0.25">
      <c r="D145" s="26"/>
      <c r="I145" s="29"/>
      <c r="J145" s="103"/>
      <c r="P145" s="144"/>
    </row>
    <row r="146" spans="4:16" x14ac:dyDescent="0.25">
      <c r="D146" s="26"/>
      <c r="J146" s="103"/>
    </row>
    <row r="147" spans="4:16" x14ac:dyDescent="0.25">
      <c r="D147" s="26"/>
      <c r="J147" s="102"/>
    </row>
    <row r="148" spans="4:16" x14ac:dyDescent="0.25">
      <c r="E148"/>
      <c r="H148" s="45"/>
    </row>
    <row r="150" spans="4:16" x14ac:dyDescent="0.25">
      <c r="H150" s="104"/>
    </row>
  </sheetData>
  <mergeCells count="3">
    <mergeCell ref="A1:N1"/>
    <mergeCell ref="A4:N4"/>
    <mergeCell ref="P45:R45"/>
  </mergeCells>
  <dataValidations count="4">
    <dataValidation type="list" allowBlank="1" showInputMessage="1" showErrorMessage="1" sqref="C31 C75 C86 C92 C95 C98 C104 C108 C131 C136" xr:uid="{00000000-0002-0000-0800-000000000000}">
      <formula1>$N$20:$N$574</formula1>
    </dataValidation>
    <dataValidation type="list" allowBlank="1" showInputMessage="1" showErrorMessage="1" sqref="C26 C116" xr:uid="{00000000-0002-0000-0800-000001000000}">
      <formula1>$N$3896:$N$3916</formula1>
    </dataValidation>
    <dataValidation type="list" allowBlank="1" showInputMessage="1" showErrorMessage="1" sqref="C40 C24" xr:uid="{00000000-0002-0000-0800-000002000000}">
      <formula1>$N$4011:$N$4031</formula1>
    </dataValidation>
    <dataValidation type="list" allowBlank="1" showInputMessage="1" showErrorMessage="1" sqref="C139" xr:uid="{00000000-0002-0000-0800-000003000000}">
      <formula1>$N$20:$N$684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'D:\RALFF\Rapprochement bancaire\Mois de Mars 2021\[Caisse-PALF 2020-2021.xlsx]Feuil1'!#REF!</xm:f>
          </x14:formula1>
          <xm:sqref>C15 C50 C63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Récapitulatif</vt:lpstr>
      <vt:lpstr>Donateurs</vt:lpstr>
      <vt:lpstr>Sheet4</vt:lpstr>
      <vt:lpstr>DATA  MARS</vt:lpstr>
      <vt:lpstr>Compte Principal 34 BCI</vt:lpstr>
      <vt:lpstr>Rapprochement Bancaire Cpte 34</vt:lpstr>
      <vt:lpstr>Sous-Compte 56 BCI</vt:lpstr>
      <vt:lpstr>Rapprochement Bancaire Cpte 56</vt:lpstr>
      <vt:lpstr>CAISSE Mars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</cp:lastModifiedBy>
  <cp:lastPrinted>2021-03-06T00:57:57Z</cp:lastPrinted>
  <dcterms:created xsi:type="dcterms:W3CDTF">2020-09-02T13:35:58Z</dcterms:created>
  <dcterms:modified xsi:type="dcterms:W3CDTF">2021-04-23T13:59:43Z</dcterms:modified>
</cp:coreProperties>
</file>