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activeTab="3"/>
  </bookViews>
  <sheets>
    <sheet name="Récapitulatif" sheetId="16" r:id="rId1"/>
    <sheet name="Donateurs" sheetId="96" r:id="rId2"/>
    <sheet name="Feuil2" sheetId="97" r:id="rId3"/>
    <sheet name="DATA  MAI" sheetId="95" r:id="rId4"/>
    <sheet name="Compte Principal 34 BCI" sheetId="79" r:id="rId5"/>
    <sheet name="Rapprochement Bancaire Cpte 34" sheetId="80" r:id="rId6"/>
    <sheet name="Sous-Compte 56 BCI" sheetId="81" r:id="rId7"/>
    <sheet name="Rapprochement Bancaire Cpte 56" sheetId="82" r:id="rId8"/>
    <sheet name="CAISSE Mai 21" sheetId="8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8" hidden="1">'CAISSE Mai 21'!$A$11:$L$104</definedName>
    <definedName name="_xlnm._FilterDatabase" localSheetId="3" hidden="1">'DATA  MAI'!$A$11:$GR$285</definedName>
    <definedName name="_GoBack" localSheetId="6">'Sous-Compte 56 BCI'!#REF!</definedName>
    <definedName name="Départements">[1]Feuil6!$G$6:$G$14</definedName>
    <definedName name="Dépenses">[1]Feuil6!$A$6:$A$25</definedName>
  </definedNames>
  <calcPr calcId="124519"/>
  <pivotCaches>
    <pivotCache cacheId="1" r:id="rId32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" i="97"/>
  <c r="AT8"/>
  <c r="AT9"/>
  <c r="AT10"/>
  <c r="AT11"/>
  <c r="AT12"/>
  <c r="AT13"/>
  <c r="AT14"/>
  <c r="AT15"/>
  <c r="AT16"/>
  <c r="AT17"/>
  <c r="AT18"/>
  <c r="AT19"/>
  <c r="AT20"/>
  <c r="AT21"/>
  <c r="AT22"/>
  <c r="AT6"/>
  <c r="AS7"/>
  <c r="AS8"/>
  <c r="AS9"/>
  <c r="AS10"/>
  <c r="AS11"/>
  <c r="AS12"/>
  <c r="AS13"/>
  <c r="AS14"/>
  <c r="AS15"/>
  <c r="AS16"/>
  <c r="AS17"/>
  <c r="AS18"/>
  <c r="AS19"/>
  <c r="AS20"/>
  <c r="AS21"/>
  <c r="AS22"/>
  <c r="AS6"/>
  <c r="AR21"/>
  <c r="AR22"/>
  <c r="AR7"/>
  <c r="AR8"/>
  <c r="AR9"/>
  <c r="AR10"/>
  <c r="AR11"/>
  <c r="AR12"/>
  <c r="AR13"/>
  <c r="AR14"/>
  <c r="AR15"/>
  <c r="AR16"/>
  <c r="AR17"/>
  <c r="AR18"/>
  <c r="AR19"/>
  <c r="AR20"/>
  <c r="AR6"/>
  <c r="H17" i="16" l="1"/>
  <c r="H14"/>
  <c r="F147" i="95"/>
  <c r="H6" i="16"/>
  <c r="I48"/>
  <c r="H18" l="1"/>
  <c r="H16" l="1"/>
  <c r="H11" l="1"/>
  <c r="H9" l="1"/>
  <c r="H8" l="1"/>
  <c r="H7" l="1"/>
  <c r="F63" i="83" l="1"/>
  <c r="E12"/>
  <c r="H15" i="81" l="1"/>
  <c r="H16" i="79"/>
  <c r="C18" i="16" l="1"/>
  <c r="C42" s="1"/>
  <c r="C17"/>
  <c r="C41" s="1"/>
  <c r="C16"/>
  <c r="C40" s="1"/>
  <c r="C15"/>
  <c r="C39" s="1"/>
  <c r="C14"/>
  <c r="C38" s="1"/>
  <c r="C13"/>
  <c r="C37" s="1"/>
  <c r="C12"/>
  <c r="C36" s="1"/>
  <c r="C11"/>
  <c r="C35" s="1"/>
  <c r="C10"/>
  <c r="C34" s="1"/>
  <c r="C9"/>
  <c r="C33" s="1"/>
  <c r="C8"/>
  <c r="C32" s="1"/>
  <c r="C7"/>
  <c r="C31" s="1"/>
  <c r="C6"/>
  <c r="C30" s="1"/>
  <c r="C5"/>
  <c r="C44" s="1"/>
  <c r="C4"/>
  <c r="C47" s="1"/>
  <c r="C3"/>
  <c r="C46" s="1"/>
  <c r="J47" l="1"/>
  <c r="J46"/>
  <c r="J44"/>
  <c r="J42"/>
  <c r="J41"/>
  <c r="J40"/>
  <c r="J39"/>
  <c r="J38"/>
  <c r="J37"/>
  <c r="J36"/>
  <c r="J35"/>
  <c r="J34"/>
  <c r="J33"/>
  <c r="J32"/>
  <c r="J31"/>
  <c r="J30"/>
  <c r="J48" l="1"/>
  <c r="C48"/>
  <c r="F257" i="95" l="1"/>
  <c r="F175"/>
  <c r="F168"/>
  <c r="F144" l="1"/>
  <c r="C2" l="1"/>
  <c r="C5" l="1"/>
  <c r="G12"/>
  <c r="C6" l="1"/>
  <c r="C7" s="1"/>
  <c r="G12" i="83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H5" i="16" s="1"/>
  <c r="J16" i="79" l="1"/>
  <c r="J17" s="1"/>
  <c r="J18" s="1"/>
  <c r="J19" s="1"/>
  <c r="J20" s="1"/>
  <c r="J21" s="1"/>
  <c r="J22" s="1"/>
  <c r="J23" s="1"/>
  <c r="J24" s="1"/>
  <c r="J25" s="1"/>
  <c r="J67" i="16" l="1"/>
  <c r="J66"/>
  <c r="J65"/>
  <c r="J64"/>
  <c r="J63"/>
  <c r="J62"/>
  <c r="J61"/>
  <c r="J59"/>
  <c r="J56"/>
  <c r="J70"/>
  <c r="J73"/>
  <c r="J72"/>
  <c r="I74"/>
  <c r="J60"/>
  <c r="C74" l="1"/>
  <c r="J58"/>
  <c r="J57"/>
  <c r="J68"/>
  <c r="J74" l="1"/>
  <c r="F103" i="83" l="1"/>
  <c r="F94" i="16"/>
  <c r="H94"/>
  <c r="F85"/>
  <c r="H84"/>
  <c r="F83"/>
  <c r="I100"/>
  <c r="C6" i="83" l="1"/>
  <c r="E103"/>
  <c r="G103" s="1"/>
  <c r="C5" l="1"/>
  <c r="C7" s="1"/>
  <c r="I34" i="82" l="1"/>
  <c r="N32"/>
  <c r="M32"/>
  <c r="G32"/>
  <c r="I18"/>
  <c r="J13"/>
  <c r="J11"/>
  <c r="I36" i="81"/>
  <c r="J15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I34" i="80"/>
  <c r="N32"/>
  <c r="N36" s="1"/>
  <c r="M32"/>
  <c r="G32"/>
  <c r="I18"/>
  <c r="J13"/>
  <c r="J11"/>
  <c r="I26" i="79"/>
  <c r="K34" i="82" l="1"/>
  <c r="M34"/>
  <c r="M36" s="1"/>
  <c r="N36"/>
  <c r="H35" i="81"/>
  <c r="H37" s="1"/>
  <c r="F18" i="82" s="1"/>
  <c r="K34" i="80"/>
  <c r="M34"/>
  <c r="M36" s="1"/>
  <c r="H26" i="79"/>
  <c r="H28" s="1"/>
  <c r="F18" i="80" s="1"/>
  <c r="H4" i="16" l="1"/>
  <c r="F32" i="82"/>
  <c r="F32" i="80"/>
  <c r="F36" s="1"/>
  <c r="H3" i="16"/>
  <c r="F36" i="82" l="1"/>
  <c r="G34"/>
  <c r="D34"/>
  <c r="G34" i="80"/>
  <c r="D34"/>
  <c r="J94" i="16"/>
  <c r="J93"/>
  <c r="J92"/>
  <c r="J91"/>
  <c r="J90"/>
  <c r="J89"/>
  <c r="J88"/>
  <c r="J87"/>
  <c r="J86"/>
  <c r="J85"/>
  <c r="J84"/>
  <c r="J83"/>
  <c r="J96"/>
  <c r="J99"/>
  <c r="J98"/>
  <c r="G36" i="80" l="1"/>
  <c r="G38"/>
  <c r="G38" i="82"/>
  <c r="G36"/>
  <c r="J82" i="16"/>
  <c r="J100" s="1"/>
  <c r="C100"/>
  <c r="I129" l="1"/>
  <c r="J123"/>
  <c r="J109" l="1"/>
  <c r="J122" l="1"/>
  <c r="J121"/>
  <c r="J120"/>
  <c r="J119"/>
  <c r="J118"/>
  <c r="J117"/>
  <c r="J116"/>
  <c r="J115"/>
  <c r="J114"/>
  <c r="J113"/>
  <c r="J112"/>
  <c r="J111"/>
  <c r="C125"/>
  <c r="J125" s="1"/>
  <c r="C128"/>
  <c r="J128" s="1"/>
  <c r="C127"/>
  <c r="J127" s="1"/>
  <c r="C156"/>
  <c r="J110" l="1"/>
  <c r="J129" s="1"/>
  <c r="C129"/>
  <c r="J169" l="1"/>
  <c r="J150" l="1"/>
  <c r="J149"/>
  <c r="J148"/>
  <c r="J147"/>
  <c r="J146"/>
  <c r="J145"/>
  <c r="J144"/>
  <c r="J143"/>
  <c r="J142"/>
  <c r="J141"/>
  <c r="J140"/>
  <c r="J139"/>
  <c r="J138"/>
  <c r="J152"/>
  <c r="J155"/>
  <c r="J154"/>
  <c r="I156"/>
  <c r="J137" l="1"/>
  <c r="J156" s="1"/>
  <c r="I184" l="1"/>
  <c r="J177" l="1"/>
  <c r="J174" l="1"/>
  <c r="J170"/>
  <c r="J166"/>
  <c r="J180"/>
  <c r="J182"/>
  <c r="J183"/>
  <c r="J176"/>
  <c r="J175"/>
  <c r="J173"/>
  <c r="J172"/>
  <c r="J171"/>
  <c r="J168"/>
  <c r="J167"/>
  <c r="J165"/>
  <c r="G16"/>
  <c r="G17"/>
  <c r="G18"/>
  <c r="A18"/>
  <c r="A11"/>
  <c r="J178" l="1"/>
  <c r="J184" s="1"/>
  <c r="K184" s="1"/>
  <c r="C19"/>
  <c r="C101" l="1"/>
  <c r="C75"/>
  <c r="J201"/>
  <c r="J202" l="1"/>
  <c r="A17"/>
  <c r="J200"/>
  <c r="J199"/>
  <c r="J198"/>
  <c r="J197"/>
  <c r="J196"/>
  <c r="J195"/>
  <c r="J194"/>
  <c r="J193"/>
  <c r="J192"/>
  <c r="J206"/>
  <c r="J209"/>
  <c r="J208"/>
  <c r="J204" l="1"/>
  <c r="J203"/>
  <c r="A16"/>
  <c r="J210" l="1"/>
  <c r="J228" l="1"/>
  <c r="F218" l="1"/>
  <c r="J252"/>
  <c r="J255"/>
  <c r="J236"/>
  <c r="J235"/>
  <c r="J234"/>
  <c r="C227" l="1"/>
  <c r="J227" s="1"/>
  <c r="C226"/>
  <c r="J226" s="1"/>
  <c r="C225"/>
  <c r="J225" s="1"/>
  <c r="C224"/>
  <c r="J224" s="1"/>
  <c r="C223"/>
  <c r="J223" s="1"/>
  <c r="C222"/>
  <c r="J222" s="1"/>
  <c r="C221"/>
  <c r="J221" s="1"/>
  <c r="C220"/>
  <c r="J220" s="1"/>
  <c r="C219"/>
  <c r="J219" s="1"/>
  <c r="C218"/>
  <c r="J218" s="1"/>
  <c r="C230"/>
  <c r="J230" s="1"/>
  <c r="C233"/>
  <c r="J233" s="1"/>
  <c r="C232" l="1"/>
  <c r="J232" s="1"/>
  <c r="J237" s="1"/>
  <c r="A22" l="1"/>
  <c r="H19" l="1"/>
  <c r="J263" l="1"/>
  <c r="J262"/>
  <c r="J261"/>
  <c r="J314"/>
  <c r="J287"/>
  <c r="J286"/>
  <c r="J284"/>
  <c r="E282"/>
  <c r="J282" s="1"/>
  <c r="E281"/>
  <c r="J281" s="1"/>
  <c r="E279"/>
  <c r="J279" s="1"/>
  <c r="H278"/>
  <c r="E278"/>
  <c r="F277"/>
  <c r="E277"/>
  <c r="E276"/>
  <c r="J276" s="1"/>
  <c r="I275"/>
  <c r="H275"/>
  <c r="E275"/>
  <c r="I274"/>
  <c r="E274"/>
  <c r="H273"/>
  <c r="E273"/>
  <c r="I272"/>
  <c r="J264"/>
  <c r="J248"/>
  <c r="G15"/>
  <c r="A15"/>
  <c r="G14"/>
  <c r="A14"/>
  <c r="G13"/>
  <c r="A13"/>
  <c r="G12"/>
  <c r="A12"/>
  <c r="G11"/>
  <c r="G10"/>
  <c r="A10"/>
  <c r="G9"/>
  <c r="A9"/>
  <c r="G8"/>
  <c r="A8"/>
  <c r="G7"/>
  <c r="A7"/>
  <c r="G6"/>
  <c r="A6"/>
  <c r="G5"/>
  <c r="A5"/>
  <c r="G4"/>
  <c r="J260"/>
  <c r="A4"/>
  <c r="G3"/>
  <c r="A3"/>
  <c r="G19" l="1"/>
  <c r="B248"/>
  <c r="B252"/>
  <c r="B253"/>
  <c r="B246"/>
  <c r="B249"/>
  <c r="B250"/>
  <c r="B247"/>
  <c r="B251"/>
  <c r="J247"/>
  <c r="I289"/>
  <c r="J274"/>
  <c r="J257"/>
  <c r="J273"/>
  <c r="J245"/>
  <c r="J251"/>
  <c r="J246"/>
  <c r="J259"/>
  <c r="J254"/>
  <c r="J277"/>
  <c r="J275"/>
  <c r="J278"/>
  <c r="J272"/>
  <c r="B22" l="1"/>
  <c r="J250"/>
  <c r="J249"/>
  <c r="J253"/>
  <c r="C280"/>
  <c r="J265" l="1"/>
  <c r="C289"/>
  <c r="J280"/>
  <c r="J289" s="1"/>
  <c r="F18" l="1"/>
  <c r="F16"/>
  <c r="F8"/>
  <c r="F13"/>
  <c r="F4"/>
  <c r="F11"/>
  <c r="F15"/>
  <c r="F14"/>
  <c r="F17"/>
  <c r="F7"/>
  <c r="F10"/>
  <c r="F5"/>
  <c r="F9"/>
  <c r="D13"/>
  <c r="D11"/>
  <c r="D18"/>
  <c r="D4"/>
  <c r="D8"/>
  <c r="D14"/>
  <c r="D16"/>
  <c r="F12"/>
  <c r="F6"/>
  <c r="D3"/>
  <c r="F3"/>
  <c r="D17"/>
  <c r="D10"/>
  <c r="D6"/>
  <c r="D9"/>
  <c r="D15"/>
  <c r="D12"/>
  <c r="D5"/>
  <c r="D7"/>
  <c r="F19" l="1"/>
  <c r="D19"/>
  <c r="G21" l="1"/>
  <c r="E5" l="1"/>
  <c r="I5" s="1"/>
  <c r="E15"/>
  <c r="I15" s="1"/>
  <c r="K39" s="1"/>
  <c r="E6"/>
  <c r="I6"/>
  <c r="E11"/>
  <c r="I11" s="1"/>
  <c r="K87" s="1"/>
  <c r="E4"/>
  <c r="I4" s="1"/>
  <c r="E12"/>
  <c r="I12" s="1"/>
  <c r="K36" s="1"/>
  <c r="E7"/>
  <c r="I7" s="1"/>
  <c r="J7" s="1"/>
  <c r="E13"/>
  <c r="I13" s="1"/>
  <c r="E10"/>
  <c r="I10" s="1"/>
  <c r="E16"/>
  <c r="I16" s="1"/>
  <c r="J16" s="1"/>
  <c r="E18"/>
  <c r="I18" s="1"/>
  <c r="E14"/>
  <c r="I14"/>
  <c r="K38" s="1"/>
  <c r="E9"/>
  <c r="I9" s="1"/>
  <c r="J9" s="1"/>
  <c r="E3"/>
  <c r="I8"/>
  <c r="J8" s="1"/>
  <c r="E8"/>
  <c r="E17"/>
  <c r="I17" s="1"/>
  <c r="E19" l="1"/>
  <c r="C22" s="1"/>
  <c r="D22" s="1"/>
  <c r="K35"/>
  <c r="K88"/>
  <c r="K84"/>
  <c r="J15"/>
  <c r="J4"/>
  <c r="K99"/>
  <c r="K47"/>
  <c r="K34"/>
  <c r="K86"/>
  <c r="J10"/>
  <c r="J17"/>
  <c r="K41"/>
  <c r="K93"/>
  <c r="K42"/>
  <c r="J18"/>
  <c r="K94"/>
  <c r="K89"/>
  <c r="K37"/>
  <c r="J13"/>
  <c r="K96"/>
  <c r="J5"/>
  <c r="K44"/>
  <c r="I3"/>
  <c r="K83"/>
  <c r="J11"/>
  <c r="K91"/>
  <c r="K40"/>
  <c r="J12"/>
  <c r="K82"/>
  <c r="K90"/>
  <c r="K33"/>
  <c r="J6"/>
  <c r="K31"/>
  <c r="K32"/>
  <c r="K92"/>
  <c r="K85"/>
  <c r="K30"/>
  <c r="J14"/>
  <c r="J3" l="1"/>
  <c r="K98"/>
  <c r="K46"/>
  <c r="I19"/>
  <c r="D7" i="95" l="1"/>
  <c r="I20" i="16"/>
  <c r="E22"/>
  <c r="E6" i="95"/>
  <c r="K100" i="16"/>
  <c r="K237"/>
  <c r="J19"/>
  <c r="K48"/>
  <c r="G13" i="95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</calcChain>
</file>

<file path=xl/sharedStrings.xml><?xml version="1.0" encoding="utf-8"?>
<sst xmlns="http://schemas.openxmlformats.org/spreadsheetml/2006/main" count="3057" uniqueCount="552">
  <si>
    <t>Visa Compta</t>
  </si>
  <si>
    <t>Banque: BANQUE COMMERCIALE INTERNATIONALE</t>
  </si>
  <si>
    <t>Compte: 01100-37107255251-56</t>
  </si>
  <si>
    <t>Intitulé du compte: Projet PALF</t>
  </si>
  <si>
    <t>Date</t>
  </si>
  <si>
    <t>N°     pièce</t>
  </si>
  <si>
    <t>References</t>
  </si>
  <si>
    <t>Libellé</t>
  </si>
  <si>
    <t>Type depenses</t>
  </si>
  <si>
    <t>Département</t>
  </si>
  <si>
    <t>Code  budgétaire</t>
  </si>
  <si>
    <t>Débit</t>
  </si>
  <si>
    <t>Crédit</t>
  </si>
  <si>
    <t>Solde progressif</t>
  </si>
  <si>
    <t>Donateur</t>
  </si>
  <si>
    <t>Personnel</t>
  </si>
  <si>
    <t>Légal</t>
  </si>
  <si>
    <t>Rent &amp; Utilities</t>
  </si>
  <si>
    <t>office</t>
  </si>
  <si>
    <t>Management</t>
  </si>
  <si>
    <t>Telephone</t>
  </si>
  <si>
    <t>Office</t>
  </si>
  <si>
    <t>Total sorties</t>
  </si>
  <si>
    <t xml:space="preserve">Solde </t>
  </si>
  <si>
    <t>Compte: 01100-37107202652-34</t>
  </si>
  <si>
    <t xml:space="preserve"> Crédit </t>
  </si>
  <si>
    <t>Bonus</t>
  </si>
  <si>
    <t>Total Entrées</t>
  </si>
  <si>
    <t>Services</t>
  </si>
  <si>
    <t>Investigation</t>
  </si>
  <si>
    <t>EAGLE NETWORK</t>
  </si>
  <si>
    <t xml:space="preserve">PROJET: </t>
  </si>
  <si>
    <t>Projet d'Appui à l'Application de la Loi sur la Faune sauvage-PALF</t>
  </si>
  <si>
    <t xml:space="preserve">La Coordinatrice </t>
  </si>
  <si>
    <t>Perrine ODIER</t>
  </si>
  <si>
    <t>Date__________  Signature _____________________</t>
  </si>
  <si>
    <t>Chef Comptable</t>
  </si>
  <si>
    <t>Ted Gessay KOUEMITOUKA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</si>
  <si>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</si>
  <si>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</si>
  <si>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</si>
  <si>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</si>
  <si>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</si>
  <si>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</si>
  <si>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</si>
  <si>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</si>
  <si>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</si>
  <si>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</si>
  <si>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</si>
  <si>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</si>
  <si>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</si>
  <si>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</si>
  <si>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</si>
  <si>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</si>
  <si>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</si>
  <si>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</si>
  <si>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</si>
  <si>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BCI Sous-Compte</t>
  </si>
  <si>
    <t>Lawyer fees</t>
  </si>
  <si>
    <t>Media</t>
  </si>
  <si>
    <t>Caisse</t>
  </si>
  <si>
    <t>Transfer fees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</si>
  <si>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</si>
  <si>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</si>
  <si>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</si>
  <si>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</si>
  <si>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</si>
  <si>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</si>
  <si>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</si>
  <si>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</si>
  <si>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</si>
  <si>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Jail visits</t>
  </si>
  <si>
    <t>Office Materials</t>
  </si>
  <si>
    <t>Oui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</si>
  <si>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</si>
  <si>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</si>
  <si>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</si>
  <si>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</si>
  <si>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</si>
  <si>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</si>
  <si>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</si>
  <si>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</si>
  <si>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</si>
  <si>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</si>
  <si>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</si>
  <si>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</si>
  <si>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 xml:space="preserve">BCI </t>
  </si>
  <si>
    <t>BCI  sous-compte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</si>
  <si>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</si>
  <si>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</si>
  <si>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</si>
  <si>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</si>
  <si>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</si>
  <si>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</si>
  <si>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</si>
  <si>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</si>
  <si>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</si>
  <si>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</si>
  <si>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</si>
  <si>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</si>
  <si>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</si>
  <si>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</si>
  <si>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</si>
  <si>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</si>
  <si>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</si>
  <si>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</si>
  <si>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Fichier comptable-Caisse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</si>
  <si>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</si>
  <si>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</si>
  <si>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</si>
  <si>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</si>
  <si>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</si>
  <si>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</si>
  <si>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</si>
  <si>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</si>
  <si>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</si>
  <si>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</si>
  <si>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</si>
  <si>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Legal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</si>
  <si>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</si>
  <si>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</si>
  <si>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</si>
  <si>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</si>
  <si>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</si>
  <si>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</si>
  <si>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</si>
  <si>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</si>
  <si>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</si>
  <si>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</si>
  <si>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</si>
  <si>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Virement</t>
  </si>
  <si>
    <t>Décharge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</si>
  <si>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</si>
  <si>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</si>
  <si>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</si>
  <si>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</si>
  <si>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</si>
  <si>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</si>
  <si>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</si>
  <si>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</si>
  <si>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Reçu caisse/I73X</t>
  </si>
  <si>
    <t>Reçu caisse/I55S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</si>
  <si>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</si>
  <si>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</si>
  <si>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</si>
  <si>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</si>
  <si>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</si>
  <si>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</si>
  <si>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</si>
  <si>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</si>
  <si>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Travel subsistence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</si>
  <si>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</si>
  <si>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</si>
  <si>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</si>
  <si>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</si>
  <si>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</si>
  <si>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Montant en FCFA Centrale</t>
  </si>
  <si>
    <t>Supplément paiement Prime de fin d'année</t>
  </si>
  <si>
    <t>Hérick/Geisner</t>
  </si>
  <si>
    <t>Recu caisse/Christian</t>
  </si>
  <si>
    <t>JANVIER</t>
  </si>
  <si>
    <t>BALANCE CAISSES ET BANQUE AU 31 JANVIER 2021</t>
  </si>
  <si>
    <t>Balance au          01 Janvier 2021</t>
  </si>
  <si>
    <t>Balance au 31 Janvier 2021</t>
  </si>
  <si>
    <t>Total entrée</t>
  </si>
  <si>
    <t>Hérick/Crépin</t>
  </si>
  <si>
    <t>Reçu caisse/Crépin</t>
  </si>
  <si>
    <t>Tiffany</t>
  </si>
  <si>
    <t>Reçu caisse/Ted</t>
  </si>
  <si>
    <t>ETAT DE RAPPROCHEMENT BANCAIRE</t>
  </si>
  <si>
    <t>Période :</t>
  </si>
  <si>
    <t>Référence :</t>
  </si>
  <si>
    <t>LIVRE DE BANQUE</t>
  </si>
  <si>
    <t>RELEVE DE COMPTE</t>
  </si>
  <si>
    <t>Compte :</t>
  </si>
  <si>
    <t>01100-37107202652 - 34</t>
  </si>
  <si>
    <t>Libelle</t>
  </si>
  <si>
    <t>Ecr N°</t>
  </si>
  <si>
    <t>Réf Titre</t>
  </si>
  <si>
    <t>Mouvement en XAF</t>
  </si>
  <si>
    <t>Débit (1)</t>
  </si>
  <si>
    <t>Crédit (2)</t>
  </si>
  <si>
    <t>a. Solde en fin du mois</t>
  </si>
  <si>
    <t>c. Solde en fin du mois</t>
  </si>
  <si>
    <t>Solde en fin</t>
  </si>
  <si>
    <t>solde en fin</t>
  </si>
  <si>
    <t xml:space="preserve">b. Ecritures non encore passées dans nos livres </t>
  </si>
  <si>
    <t>d.  Ecritures non encore passées à la
 Banque</t>
  </si>
  <si>
    <t>TOTAL A= (a+b)</t>
  </si>
  <si>
    <t>TOTAL B=(c+d)</t>
  </si>
  <si>
    <t>Totaux rapprochés</t>
  </si>
  <si>
    <t>Ecart à rechercher</t>
  </si>
  <si>
    <t>Tiffany GOBERT</t>
  </si>
  <si>
    <t>01100-37107255251-56</t>
  </si>
  <si>
    <t>Ted Gessay Kouemitouka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</si>
  <si>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</si>
  <si>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</si>
  <si>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</si>
  <si>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</si>
  <si>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</si>
  <si>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AVAAZ 2020</t>
  </si>
  <si>
    <t>PALF</t>
  </si>
  <si>
    <t>RALFF</t>
  </si>
  <si>
    <t>5.6</t>
  </si>
  <si>
    <t>1.1.1.7</t>
  </si>
  <si>
    <t>1.1.1.4</t>
  </si>
  <si>
    <t>1.1.1.9</t>
  </si>
  <si>
    <t>4.2</t>
  </si>
  <si>
    <t>CONGO</t>
  </si>
  <si>
    <t>5.2.2</t>
  </si>
  <si>
    <t>4.6</t>
  </si>
  <si>
    <t>4.3</t>
  </si>
  <si>
    <t>2.2</t>
  </si>
  <si>
    <t>1.3.2</t>
  </si>
  <si>
    <t>Reçu caisse/Merveille</t>
  </si>
  <si>
    <t>Recu caisse/P29</t>
  </si>
  <si>
    <t>BALANCE CAISSES ET BANQUE AU 31 Mars  2021</t>
  </si>
  <si>
    <t>MARS</t>
  </si>
  <si>
    <t>Balance au          01 Mars  2021</t>
  </si>
  <si>
    <t>Balance au 31 Mars 2021</t>
  </si>
  <si>
    <t>Activiste</t>
  </si>
  <si>
    <t>JB</t>
  </si>
  <si>
    <t>Reglement prestation Technicienne de Surface mois d'Avril 2021/MFIELO</t>
  </si>
  <si>
    <t>Achat Billet Brazzaville-Loudima/Christian</t>
  </si>
  <si>
    <t>Travel Subsistence</t>
  </si>
  <si>
    <t>Reçu caisse/JB</t>
  </si>
  <si>
    <t>BALANCE CAISSES ET BANQUE AU 30 AVRIL  2021</t>
  </si>
  <si>
    <t>Balance au          01 Avril  2021</t>
  </si>
  <si>
    <t>Balance au 30 Avril 2021</t>
  </si>
  <si>
    <t>AVRIL</t>
  </si>
  <si>
    <t>virement</t>
  </si>
  <si>
    <t>Étiquettes de lignes</t>
  </si>
  <si>
    <t>Total général</t>
  </si>
  <si>
    <t>Étiquettes de colonnes</t>
  </si>
  <si>
    <t>Flight</t>
  </si>
  <si>
    <t>RAPPORT FINANCIER MAI 2021</t>
  </si>
  <si>
    <t>Solde au 01/05/2021</t>
  </si>
  <si>
    <t>Retrait especes/appro caisse/bord n°3654444</t>
  </si>
  <si>
    <t>Honoraire cabinet d'avocat/première acompte</t>
  </si>
  <si>
    <t>Solde de tout compte Hérick TCHICAYA</t>
  </si>
  <si>
    <t>Retrait especes/appro caisse/bord n°3654446</t>
  </si>
  <si>
    <t>Reglement gardiennage mois d'Avril 2021/Première Global</t>
  </si>
  <si>
    <t>Retrait especes/appro caisse/bord n°3643457</t>
  </si>
  <si>
    <t>Retrait especes/appro caisse/bord n°3643458</t>
  </si>
  <si>
    <t>Paiement salaire du mois Mai 2021/MATOKO Geisner/chq n°3643459</t>
  </si>
  <si>
    <t>Paiement salaire du mois de Mai  2021/MININGOU Christian/chq n°3643460</t>
  </si>
  <si>
    <t>Paiement salaire du mois de Mai 2021/MAHANGA Merveille/chq n°3643461</t>
  </si>
  <si>
    <t>Paiement salaire du mois de Mai 2021/P29 /chq n°3643462</t>
  </si>
  <si>
    <t>Paiement salaire du mois de Mai 2021/IBOUILI CREPIN/chq n°3643463</t>
  </si>
  <si>
    <t>Reglement facture honoraire du mois de Mai 2021/I23C/chq n°3643464</t>
  </si>
  <si>
    <t>Paiement salaire du mois de Mai 2021/ Jack-Bénisson MALONGA/chq n°3643466</t>
  </si>
  <si>
    <t>Paiement salaire du mois de Mai 2021/ Evariste Leloussi/chq n°3643467</t>
  </si>
  <si>
    <t>Retrait especes/appro caisse/bord n°3643470</t>
  </si>
  <si>
    <t>Retrait especes/appro caisse/bord n°3643472</t>
  </si>
  <si>
    <t>Retrait especes/appro caisse/bord n°3643468</t>
  </si>
  <si>
    <t>Reglement facture Agence pluriel solutions/ loyer PALF MAI 2021</t>
  </si>
  <si>
    <t>Reglement salaire du mois de Mai 2021/ KOUEMITOUKA TED/chq n°3643465</t>
  </si>
  <si>
    <t>Remboursement frais assurances Tiffany</t>
  </si>
  <si>
    <t xml:space="preserve">Versement </t>
  </si>
  <si>
    <t>Achat 02 paquets de pile</t>
  </si>
  <si>
    <t>Frais d'impression et reliure des documents</t>
  </si>
  <si>
    <t>Reglement facture E²C/Mars-Avril 2021/bureau PALF</t>
  </si>
  <si>
    <t>Frais de transfert charden farell/i23c et P29</t>
  </si>
  <si>
    <t>MTN/Achat carte de recharge  Mai /Staff PALF/Management/2eme partie</t>
  </si>
  <si>
    <t>MTN/Achat carte de recharge Mai /Staff PALF/Legal/2eme partie</t>
  </si>
  <si>
    <t>MTN/Achat carte de recharge Mai/Staff PALF/Média/2eme partie</t>
  </si>
  <si>
    <t>MTN/Achat carte de recharge Mai/Staff PALF/Investigation/2eme partie</t>
  </si>
  <si>
    <t>AIRTEL/Achat carte de recharge Mai/staff PALF/Légal/2ere partie</t>
  </si>
  <si>
    <t>AIRTEL/Achat carte de recharge Mai/staff PALF/Management/2ere partie</t>
  </si>
  <si>
    <t>AIRTEL/Achat carte de recharge Mai/staff PALF/Investigation/2ere partie</t>
  </si>
  <si>
    <t>Bonus media/Journée mondial des espèces menacées/Evariste</t>
  </si>
  <si>
    <t>Reglement factures Zanne LABUSCHAGNE/Production newsletter</t>
  </si>
  <si>
    <t>Frais de transfert charden farell/  P29</t>
  </si>
  <si>
    <t>Frais de transfert western Union/zanne</t>
  </si>
  <si>
    <t>Frais de transfert charden Farell/jb</t>
  </si>
  <si>
    <t>frais de mission maitre Severin/cas KOUMBA/PNR du 24 au 26 mai 2021</t>
  </si>
  <si>
    <t>Frais de transfert charden Farell/Crepin</t>
  </si>
  <si>
    <t>frais de mission maitre Severin/cas KOUMBA/PNR du 26 au 27 mai 2021</t>
  </si>
  <si>
    <t>BCI/achat credit</t>
  </si>
  <si>
    <t xml:space="preserve">Ted </t>
  </si>
  <si>
    <t>MTN/Achat Carte de recharge/staff PALF/Juin/Management/1ere partie</t>
  </si>
  <si>
    <t>MTN/Achat Carte de recharge/staff PALF/Juin/Légal/1ere partie</t>
  </si>
  <si>
    <t>MTN/Achat Carte de recharge/staff PALF/Juin/Investigation/1ere partie</t>
  </si>
  <si>
    <t>MTN/Achat Carte de recharge/staff PALF/Juin/Média/1ere partie</t>
  </si>
  <si>
    <t>Aritel/Achat Carte de recharge/staff PALF/Juin/Management/1ere partie</t>
  </si>
  <si>
    <t>Aritel/Achat Carte de recharge/staff PALF/Juin/Légal/1ere partie</t>
  </si>
  <si>
    <t>Aritel/Achat Carte de recharge/staff PALF/Juin/Investigation/1ere partie</t>
  </si>
  <si>
    <t>Aritel/Achat Carte de recharge/staff PALF/Juin/Média/1ere partie</t>
  </si>
  <si>
    <t>Frais de transfert charden farell/geisner</t>
  </si>
  <si>
    <t>Bonus mois d'avril 2021/Christian</t>
  </si>
  <si>
    <t>Operations</t>
  </si>
  <si>
    <t>Achat Eau/04Bobone/Bureau PALF</t>
  </si>
  <si>
    <t>Frais transport Sibiti-Nkayi/Christian</t>
  </si>
  <si>
    <t>Achat Billet Loutété-Brazzaville/Christian</t>
  </si>
  <si>
    <t>Cumul frais de transport local mois de Mai 2021/christian</t>
  </si>
  <si>
    <t>Versement Caisse PALF /Christian</t>
  </si>
  <si>
    <t>Achat Billet: Brazzaville-Pointe-Noire/Crépin</t>
  </si>
  <si>
    <t>Bonus Opération 2 agents des EF</t>
  </si>
  <si>
    <t>Frais d'impression de la procédure</t>
  </si>
  <si>
    <t>Bonus Opération 15 agents de la gendarmerie</t>
  </si>
  <si>
    <t>Achat Carburant pour la BJ gendarmerie OP à PN/Crépin</t>
  </si>
  <si>
    <t>Achat Cartouche d'encre, rame de papier et marqueur pour la gendarmerie</t>
  </si>
  <si>
    <t>Versement Crépin/JB</t>
  </si>
  <si>
    <t>Versement Crépin/I23C</t>
  </si>
  <si>
    <t>Bonus Opération 12 agents de la gendarmerie</t>
  </si>
  <si>
    <t>Cumul frais transport local mois de mai/Crépin</t>
  </si>
  <si>
    <t>Cumul frais achat jus pour raffraichissement: gendarmeries/Crépin</t>
  </si>
  <si>
    <t>Trust Building</t>
  </si>
  <si>
    <t>Reçu caisse/Evariste</t>
  </si>
  <si>
    <t>Achat Billet Brazzaville-Pointe Noire/Evariste</t>
  </si>
  <si>
    <t>Achat Billet Pointe Noire-Brazzaville/Evariste</t>
  </si>
  <si>
    <t xml:space="preserve">Bonus </t>
  </si>
  <si>
    <t>Cumul frais de transport local mois de mai 2021/Evariste</t>
  </si>
  <si>
    <t>Reçu caisse/Geis</t>
  </si>
  <si>
    <t>Achat billet Brazzaville-Pointe-Noire/Geis</t>
  </si>
  <si>
    <t>Achat billet  Pointe Noire - Brazzaville/Geis</t>
  </si>
  <si>
    <t>Reçu caisse Crépin/Geis</t>
  </si>
  <si>
    <t>Achat paire de gant/Geis</t>
  </si>
  <si>
    <t>Cumul frais ration aux détenus à Pointe-Noire/Geis</t>
  </si>
  <si>
    <t>Cumul frais de transport local mois de Mai 2021/Geis</t>
  </si>
  <si>
    <t>Investigations</t>
  </si>
  <si>
    <t>Frais de transport  Nkayi-Brazzaville/I23C</t>
  </si>
  <si>
    <t>Récu caisse/I23C</t>
  </si>
  <si>
    <t>Achat billet Brazzaville-Loudima/I23C</t>
  </si>
  <si>
    <t>Frais de transport Loudima - Sibiti/I23C</t>
  </si>
  <si>
    <t>Frais de transport Sibiti-Nkayi/I23C</t>
  </si>
  <si>
    <t>MTN Achat crédit de recharge/I23C</t>
  </si>
  <si>
    <t>Frais de transport Nkayi-Brazzaville/I23C</t>
  </si>
  <si>
    <t>Achat billet Brazzaville-Pointe-Noire/I23C</t>
  </si>
  <si>
    <t>Consultation dentiste/I23C</t>
  </si>
  <si>
    <t>Achat produits pharmaceutiques/I23C</t>
  </si>
  <si>
    <t>Récu caisse Crépin/I23C</t>
  </si>
  <si>
    <t>Cumul frais achat boissons et repas avec les informateurs/I23C</t>
  </si>
  <si>
    <t>Achat billet Dol-Brazzaville/I23C</t>
  </si>
  <si>
    <t>Cumul frais de transport local mois de Mai 2021/I23C</t>
  </si>
  <si>
    <t>Radio Panoramique/I23C</t>
  </si>
  <si>
    <t>Frais médicaux (prescription examen à l'Hôpital Régionale des Armées) pour le prévenu NGOMA SOTA Landry</t>
  </si>
  <si>
    <t>Achat produit pharmaceutique-Ordonnance  prévenu /JB</t>
  </si>
  <si>
    <t>Reçu caisse Crépin/JB</t>
  </si>
  <si>
    <t>Frais d'hospitalisation 1 prévenu/JB</t>
  </si>
  <si>
    <t>Achat produit pharmaceutique-Ordonnance/JB</t>
  </si>
  <si>
    <t>Cumul frais achat jus avec les agents/JB</t>
  </si>
  <si>
    <t>Cumul frais transport local mois de mai/JB</t>
  </si>
  <si>
    <t>Cumul frais transport local mois de mai 21/Merveille</t>
  </si>
  <si>
    <t>Frais de transport  Dolisie-Madingou/P29</t>
  </si>
  <si>
    <t>Frais de transport  Madingou-Brazzaville/P29</t>
  </si>
  <si>
    <t>Achat billet Brazza-PN/P29</t>
  </si>
  <si>
    <t>Achat Carte de credit MTN/P29</t>
  </si>
  <si>
    <t>Réparation téléphone(carte mère)/P29</t>
  </si>
  <si>
    <t>Cumul achat boissons et repas pour les informateurs/P29</t>
  </si>
  <si>
    <t>Achat billet Dolisie-Brazza/P29</t>
  </si>
  <si>
    <t>Cumul frais de transport local mois de Mai 2021/P29</t>
  </si>
  <si>
    <t>Versement Caisse PALF /Ted</t>
  </si>
  <si>
    <t>Cumul frais transport local mois de mai 21/Ted</t>
  </si>
  <si>
    <t>EVisa Kenya</t>
  </si>
  <si>
    <t>Cumul frais transport local mois de mai 21/Tiffany</t>
  </si>
  <si>
    <t>Bonus Opération à PN/p29</t>
  </si>
  <si>
    <t>Bonus Operation à PN/I23c</t>
  </si>
  <si>
    <t>Achat 1 paire de gants et séringue/JB</t>
  </si>
  <si>
    <t>Frais Examen medical n°1 et n°2/JB</t>
  </si>
  <si>
    <t>Cumul frais Visite geôle  pour les prévenus à PN/JB</t>
  </si>
  <si>
    <t>Achat Modem pour l'internet</t>
  </si>
  <si>
    <t>Photocopies en couleur de 04 feuilles</t>
  </si>
  <si>
    <t>Team Building</t>
  </si>
  <si>
    <t>Repas Fête du 1 er mai 2021/Staff PALF</t>
  </si>
  <si>
    <t>BALANCE 1 Mai 2021</t>
  </si>
  <si>
    <t>TOTAL RECU EN Mai</t>
  </si>
  <si>
    <t>TOTAL DEPENSE EN Mai</t>
  </si>
  <si>
    <t>BALANCE 30 Mai 2021</t>
  </si>
  <si>
    <t>BALANCE CAISSES ET BANQUE AU 30  Mai  2021</t>
  </si>
  <si>
    <t>Balance au          01 Mai  2021</t>
  </si>
  <si>
    <t>Balance au 30 Mai 2021</t>
  </si>
  <si>
    <t>MAI</t>
  </si>
  <si>
    <t>Versement Caisse PALF /Hérick</t>
  </si>
  <si>
    <t>Versement JB/Crépin</t>
  </si>
  <si>
    <t>Versement Geis/Crépin</t>
  </si>
  <si>
    <t>Journal n°5/21</t>
  </si>
  <si>
    <t xml:space="preserve">Report de solde du 01/05/2021 </t>
  </si>
  <si>
    <t>Reglement gardiennage mois d'Avril 2021</t>
  </si>
  <si>
    <t>Transfert</t>
  </si>
  <si>
    <t>Versemnet</t>
  </si>
  <si>
    <t>Report de solde du 01/05/2021</t>
  </si>
  <si>
    <t>Report au 01/05/21</t>
  </si>
  <si>
    <t>BCI n°3643473</t>
  </si>
  <si>
    <t>BCI n°3643472</t>
  </si>
  <si>
    <t>BCI  n°3643468/achat credit</t>
  </si>
  <si>
    <t>BCI  n°3643470/achat credit</t>
  </si>
  <si>
    <t>Retrait especes/appro caisse/bord n°3643473</t>
  </si>
  <si>
    <t>Somme de Spent</t>
  </si>
  <si>
    <t>Total Somme de Received</t>
  </si>
  <si>
    <t>Somme de Received</t>
  </si>
  <si>
    <t>Total Somme de Spent</t>
  </si>
  <si>
    <t>Frais de mission maitre Severin/cas KOUMBA/PNR du 24 au 26 mai 2021</t>
  </si>
  <si>
    <t>Complement Frais de mission maitre Severin/cas KOUMBA/PNR du 26 au 27 mai 2021</t>
  </si>
  <si>
    <t>Relevé</t>
  </si>
  <si>
    <t>Agios du 31/03 au 30/04/21</t>
  </si>
  <si>
    <t>Bank fees</t>
  </si>
  <si>
    <t>Frais S/VIRT EMIS</t>
  </si>
  <si>
    <t>Frais sur les cotisation Web Bank</t>
  </si>
  <si>
    <t>Paiement salaire du mois Mai 2021/MATOKO Geisner</t>
  </si>
  <si>
    <t>Paiement salaire du mois de Mai 2021/IBOUILI CREPIN</t>
  </si>
  <si>
    <t>Paiement salaire du mois de Mai 2021/ Jack-Bénisson MALONGA</t>
  </si>
  <si>
    <t>n°3643459</t>
  </si>
  <si>
    <t>n°3643463</t>
  </si>
  <si>
    <t>n°3643466</t>
  </si>
  <si>
    <t>n°3643467</t>
  </si>
  <si>
    <t>Paiement salaire du mois de Mai 2021/ Evariste Leloussi</t>
  </si>
  <si>
    <t>DU 01 AU 31 Mai  2021</t>
  </si>
  <si>
    <t xml:space="preserve"> Solde rapporché au 31/05/2021∑(1)-(2)</t>
  </si>
  <si>
    <t>Fait à Brazzaville, le 09/06/2021</t>
  </si>
  <si>
    <t>Agios du 31/03 au 30/04</t>
  </si>
  <si>
    <t>Cumul frais bancaire mois de Mai compte 56/BCI</t>
  </si>
  <si>
    <t>Cumul frais bancaire mois de Mai compte 34/BCI</t>
  </si>
  <si>
    <t>RALFF-CO2190</t>
  </si>
  <si>
    <t>RALFF-CO2194</t>
  </si>
  <si>
    <t>RALFF-CO2195</t>
  </si>
  <si>
    <t>RALFF-CO2196</t>
  </si>
  <si>
    <t>RALFF-CO2197</t>
  </si>
  <si>
    <t>RALFF-CO2198</t>
  </si>
  <si>
    <t>RALFF-CO2199</t>
  </si>
  <si>
    <t>RALFF-CO2200</t>
  </si>
  <si>
    <t>RALFF-CO2201</t>
  </si>
  <si>
    <t>RALFF-CO2202</t>
  </si>
  <si>
    <t>RALFF-CO2203</t>
  </si>
  <si>
    <t>RALFF-CO2204</t>
  </si>
  <si>
    <t>RALFF-CO2205</t>
  </si>
  <si>
    <t>RALFF-CO2206</t>
  </si>
  <si>
    <t>RALFF-CO2207</t>
  </si>
  <si>
    <t>RALFF-CO2208</t>
  </si>
  <si>
    <t>RALFF-CO2209</t>
  </si>
  <si>
    <t>RALFF-CO2210</t>
  </si>
  <si>
    <t>RALFF-CO2211</t>
  </si>
  <si>
    <t>RALFF-CO2212</t>
  </si>
  <si>
    <t>RALFF-CO2213</t>
  </si>
  <si>
    <t>RALFF-CO2214</t>
  </si>
  <si>
    <t>RALFF-CO2215</t>
  </si>
  <si>
    <t>RALFF-CO2216</t>
  </si>
  <si>
    <t>RALFF-CO2217</t>
  </si>
  <si>
    <t>RALFF-CO2218</t>
  </si>
  <si>
    <t>RALFF-CO2219</t>
  </si>
  <si>
    <t>RALFF-CO2220</t>
  </si>
  <si>
    <t>RALFF-CO2221</t>
  </si>
  <si>
    <t>RALFF-CO2222</t>
  </si>
  <si>
    <t>RALFF-CO2223</t>
  </si>
  <si>
    <t>RALFF-CO2224</t>
  </si>
  <si>
    <t>RALFF-CO2225</t>
  </si>
  <si>
    <t>RALFF-CO2226</t>
  </si>
  <si>
    <t>RALFF-CO2227</t>
  </si>
  <si>
    <t>RALFF-CO2228</t>
  </si>
  <si>
    <t>RALFF-CO2229</t>
  </si>
  <si>
    <t>RALFF-CO2230</t>
  </si>
  <si>
    <t>RALFF-CO2231</t>
  </si>
  <si>
    <t>RALFF-CO2232</t>
  </si>
  <si>
    <t>RALFF-CO2234</t>
  </si>
  <si>
    <t>RALFF-CO2235</t>
  </si>
  <si>
    <t>RALFF-CO2237</t>
  </si>
  <si>
    <t>RALFF-CO2238</t>
  </si>
  <si>
    <t>RALFF-CO2239</t>
  </si>
  <si>
    <t>RALFF-CO2240</t>
  </si>
  <si>
    <t>RALFF-CO2242</t>
  </si>
  <si>
    <t>RALFF-CO2243</t>
  </si>
  <si>
    <t>RALFF-CO2244</t>
  </si>
  <si>
    <t>RALFF-CO2245</t>
  </si>
  <si>
    <t>RALFF-CO2246</t>
  </si>
  <si>
    <t>RALFF-CO2247</t>
  </si>
  <si>
    <t>RALFF-CO2248</t>
  </si>
  <si>
    <t>RALFF-CO2249</t>
  </si>
  <si>
    <t>RALFF-CO2250</t>
  </si>
  <si>
    <t>RALFF-CO2251</t>
  </si>
  <si>
    <t>RALFF-CO2252</t>
  </si>
  <si>
    <t>RALFF-CO2253</t>
  </si>
  <si>
    <t>RALFF-CO2254</t>
  </si>
  <si>
    <t>RALFF-CO2255</t>
  </si>
  <si>
    <t>RALFF-CO2256</t>
  </si>
  <si>
    <t>RALFF-CO2257</t>
  </si>
  <si>
    <t>RALFF-CO2258</t>
  </si>
  <si>
    <t>RALFF-CO2259</t>
  </si>
  <si>
    <t>RALFF-CO2260</t>
  </si>
  <si>
    <t>RALFF-CO2261</t>
  </si>
  <si>
    <t>RALFF-CO2262</t>
  </si>
  <si>
    <t>RALFF-CO2263</t>
  </si>
  <si>
    <t>RALFF-CO2264</t>
  </si>
  <si>
    <t>RALFF-CO2265</t>
  </si>
  <si>
    <t>RALFF-CO2266</t>
  </si>
  <si>
    <t>RALFF-CO2267</t>
  </si>
  <si>
    <t>RALFF-CO2268</t>
  </si>
  <si>
    <t>RALFF-CO2269</t>
  </si>
  <si>
    <t>RALFF-CO2270</t>
  </si>
  <si>
    <t>RALFF-CO2271</t>
  </si>
  <si>
    <t>RALFF-CO2272</t>
  </si>
  <si>
    <t>RALFF-CO2273</t>
  </si>
  <si>
    <t>RALFF-CO2274</t>
  </si>
  <si>
    <t>RALFF-CO2275</t>
  </si>
  <si>
    <t>RALFF-CO2276</t>
  </si>
  <si>
    <t>RALFF-CO2277</t>
  </si>
  <si>
    <t>RALFF-CO2278</t>
  </si>
  <si>
    <t>RALFF-CO2279</t>
  </si>
  <si>
    <t>RALFF-CO2280</t>
  </si>
  <si>
    <t>RALFF-CO2281</t>
  </si>
  <si>
    <t>RALFF-CO2282</t>
  </si>
  <si>
    <t>RALFF-CO2283</t>
  </si>
  <si>
    <t>NO WILDLIFE CRIME</t>
  </si>
  <si>
    <t>Frais de Bonus média/Evariste</t>
  </si>
  <si>
    <t>1.1.2.1</t>
  </si>
  <si>
    <t>4.4</t>
  </si>
  <si>
    <t>5.8</t>
  </si>
  <si>
    <t>Achat billet Brazzaville-Pointe-Noire/JB</t>
  </si>
  <si>
    <t>RALFF-CO2284</t>
  </si>
  <si>
    <t>RALFF-CO2285</t>
  </si>
  <si>
    <t>RALFF-CO2286</t>
  </si>
  <si>
    <t>RALFF-CO2287</t>
  </si>
  <si>
    <t>CHRISTIAN MININGOU - CONGO - Hôtel Mission à sibiti du 29/04 au 01/05/21</t>
  </si>
  <si>
    <t>CREPIN IBOUILI - CONGO - Hôtel Mission  OP à Pointe-Noire du 18/05  au 01 /06/21</t>
  </si>
  <si>
    <t xml:space="preserve">I23C - CONGO - Hôtel Mission à Nkayi du 30/04  au 3/05/21 </t>
  </si>
  <si>
    <t>I23C - CONGO - Ration Mission à Sibiti-Nkayi du 10 au 17/05/21</t>
  </si>
  <si>
    <t xml:space="preserve">I23C - CONGO - Hôtel Mission à Sibiti  du 10 au 13/05/21 </t>
  </si>
  <si>
    <t xml:space="preserve">I23C - CONGO - Hôtel Mission à Nkayi du 13 au 17/05/21 </t>
  </si>
  <si>
    <t xml:space="preserve">I23C - CONGO - Hôtel Mission  à Pointe-Noire du 18 au 28/05/21 </t>
  </si>
  <si>
    <t>I23C - CONGO - Hôtel Mission à Dolisie du 28 au 29/05 /21</t>
  </si>
  <si>
    <t xml:space="preserve">JB MALONGA - CONGO -  Ration pour  Mission OP à Pointe-Noire  du 18/05  au 03/06/21 </t>
  </si>
  <si>
    <t>P29 - CONGO - Hôtel Mission à Dolisie du 29/04 au 01/05/21</t>
  </si>
  <si>
    <t>P29 - CONGO - Hôtel Mission à Madingou  du 01 au 03/05/21</t>
  </si>
  <si>
    <t>P29 - CONGO - Ration pour  Mission à Pointe-Noire-Nzassi-Dolisie du 10 au 21/05/21</t>
  </si>
  <si>
    <t>P29 - CONGO - Hôtel Mission à Pointe-Noire  du 10 au 20/05/21</t>
  </si>
  <si>
    <t>P29 - CONGO - Hôtel Mission à Dolisie du 20 au 21/05/21</t>
  </si>
  <si>
    <t xml:space="preserve">CREPIN IBOUILI - CONGO - Ration pour  Mission OP de 18 nuitées  à Pointe-Noire du 18/05  au 05/06/21 </t>
  </si>
  <si>
    <t>EVARISTE  LELOUSSI - CONGO - Ration pour Mission OP  à Pointe-Noiredu 18 au 23/05/21</t>
  </si>
  <si>
    <t>EVARISTE  LELOUSSI - CONGO - Hôtel Mission OP à Pointe-Noire18 au 23/05/21</t>
  </si>
  <si>
    <t>EVARISTE  LELOUSSI - CONGO - Ration pour  Mission OP à Pointe-Noire du 27/05  au 02/06/ 21</t>
  </si>
  <si>
    <t>GEISNER MATOKO - CONGO - Ration pour Mission OP à Pointe-Noire  du 18 au 21/05/21</t>
  </si>
  <si>
    <t>GEISNER MATOKO - CONGO - Hôtel Mission OP à Pointe-Noire du 18 au 21/05/21</t>
  </si>
  <si>
    <t>GEISNER MATOKO - CONGO - Ration  Mission OP à Pointe-Noire du 27/05  au 02/06/21</t>
  </si>
  <si>
    <t>I23C - CONGO - Ration Mission à Pointe-Noire du 18 au 29/05/21</t>
  </si>
  <si>
    <t>Versement Ted/JB</t>
  </si>
  <si>
    <t>Réçu caisse JB /Ted</t>
  </si>
  <si>
    <t>Frais surveillance prévenu par 2 gendarmes/JB</t>
  </si>
  <si>
    <t>Frais de transport P/N-Dolisie</t>
  </si>
  <si>
    <t>Frais de transport  PN-Dolisie/I23C</t>
  </si>
  <si>
    <t>Frais de transport OP/Reservation taxi trois heures/Geis</t>
  </si>
  <si>
    <t>Achat billet Brazzaville - Pointe-Noire/Geis</t>
  </si>
  <si>
    <t>Achat Billet d'avion: PN-Brazzaville- PN/Crépin</t>
  </si>
  <si>
    <t>Frais examen medical et produit medicaux/JB</t>
  </si>
  <si>
    <t>Frais surveillance prévenu par 2 gendarmes/Crépin</t>
  </si>
  <si>
    <t>Travel expense</t>
  </si>
  <si>
    <t>Honoraire cabinet d'avocat Maître Prudence MOUDOUDOU/première acompte</t>
  </si>
  <si>
    <t>RALFF-CO2233</t>
  </si>
  <si>
    <t>RALFF-CO2236</t>
  </si>
  <si>
    <t>RALFF-CO2241</t>
  </si>
  <si>
    <t>RALFF-CO2288</t>
  </si>
  <si>
    <t>Internet</t>
  </si>
  <si>
    <t>Editing Costs</t>
  </si>
  <si>
    <t>Achat Billet Nkayi-Brazzaville/Christian</t>
  </si>
</sst>
</file>

<file path=xl/styles.xml><?xml version="1.0" encoding="utf-8"?>
<styleSheet xmlns="http://schemas.openxmlformats.org/spreadsheetml/2006/main">
  <numFmts count="12">
    <numFmt numFmtId="43" formatCode="_-* #,##0.00\ _€_-;\-* #,##0.00\ _€_-;_-* &quot;-&quot;??\ _€_-;_-@_-"/>
    <numFmt numFmtId="164" formatCode="_-* #,##0\ _F_C_F_A_-;\-* #,##0\ _F_C_F_A_-;_-* &quot;-&quot;\ _F_C_F_A_-;_-@_-"/>
    <numFmt numFmtId="165" formatCode="d/m/yy;@"/>
    <numFmt numFmtId="166" formatCode="_-* #,##0\ _€_-;\-* #,##0\ _€_-;_-* &quot;-&quot;??\ _€_-;_-@_-"/>
    <numFmt numFmtId="167" formatCode="#,##0\ &quot;F&quot;;[Red]#,##0\ &quot;F&quot;"/>
    <numFmt numFmtId="168" formatCode="[$-40C]d\-mmm;@"/>
    <numFmt numFmtId="169" formatCode="_-* #,##0\ _€_-;\-* #,##0\ _€_-;_-* &quot;-&quot;??\ _€_-;_-@"/>
    <numFmt numFmtId="170" formatCode="[$-409]d\-mmm\-yy;@"/>
    <numFmt numFmtId="171" formatCode="_-* #,##0.0\ _€_-;\-* #,##0.0\ _€_-;_-* &quot;-&quot;??\ _€_-;_-@_-"/>
    <numFmt numFmtId="172" formatCode="dd/mm/yy;@"/>
    <numFmt numFmtId="173" formatCode="_(* #,##0_);_(* \(#,##0\);_(* &quot;-&quot;??_);_(@_)"/>
    <numFmt numFmtId="174" formatCode="[$-40C]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rgb="FF92D050"/>
      <name val="Arial Narrow"/>
      <family val="2"/>
    </font>
    <font>
      <b/>
      <sz val="9"/>
      <name val="Arial Narrow"/>
      <family val="2"/>
    </font>
    <font>
      <b/>
      <sz val="9"/>
      <color rgb="FF92D05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i/>
      <u/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name val="Times New Roman"/>
      <family val="1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18"/>
      <color theme="0"/>
      <name val="Arial Narrow"/>
      <family val="2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9" tint="-0.249977111117893"/>
      <name val="Calibri"/>
      <family val="2"/>
      <scheme val="minor"/>
    </font>
    <font>
      <b/>
      <sz val="12"/>
      <color theme="1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4" fillId="0" borderId="0"/>
    <xf numFmtId="164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0" fillId="0" borderId="0" applyBorder="0" applyProtection="0"/>
  </cellStyleXfs>
  <cellXfs count="562">
    <xf numFmtId="0" fontId="0" fillId="0" borderId="0" xfId="0"/>
    <xf numFmtId="0" fontId="0" fillId="0" borderId="0" xfId="0" applyFill="1"/>
    <xf numFmtId="165" fontId="3" fillId="0" borderId="0" xfId="0" applyNumberFormat="1" applyFont="1" applyFill="1" applyAlignment="1">
      <alignment horizontal="left"/>
    </xf>
    <xf numFmtId="0" fontId="3" fillId="0" borderId="0" xfId="0" applyFont="1"/>
    <xf numFmtId="166" fontId="4" fillId="0" borderId="0" xfId="1" applyNumberFormat="1" applyFont="1" applyFill="1"/>
    <xf numFmtId="165" fontId="3" fillId="0" borderId="0" xfId="0" applyNumberFormat="1" applyFont="1" applyFill="1" applyAlignment="1">
      <alignment horizontal="center"/>
    </xf>
    <xf numFmtId="167" fontId="5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66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/>
    <xf numFmtId="0" fontId="5" fillId="0" borderId="0" xfId="0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/>
    <xf numFmtId="166" fontId="0" fillId="0" borderId="0" xfId="0" applyNumberFormat="1" applyBorder="1"/>
    <xf numFmtId="0" fontId="0" fillId="0" borderId="1" xfId="0" applyBorder="1"/>
    <xf numFmtId="0" fontId="0" fillId="0" borderId="0" xfId="0" applyFill="1" applyBorder="1"/>
    <xf numFmtId="0" fontId="3" fillId="0" borderId="3" xfId="0" applyFont="1" applyBorder="1"/>
    <xf numFmtId="0" fontId="3" fillId="0" borderId="1" xfId="0" applyFont="1" applyBorder="1"/>
    <xf numFmtId="166" fontId="0" fillId="0" borderId="0" xfId="0" applyNumberFormat="1"/>
    <xf numFmtId="168" fontId="11" fillId="0" borderId="1" xfId="2" applyNumberFormat="1" applyFont="1" applyBorder="1"/>
    <xf numFmtId="0" fontId="3" fillId="0" borderId="1" xfId="0" applyFont="1" applyFill="1" applyBorder="1"/>
    <xf numFmtId="166" fontId="3" fillId="0" borderId="1" xfId="1" applyNumberFormat="1" applyFont="1" applyFill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66" fontId="0" fillId="0" borderId="0" xfId="1" applyNumberFormat="1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NumberFormat="1" applyFont="1" applyBorder="1"/>
    <xf numFmtId="0" fontId="12" fillId="0" borderId="0" xfId="0" applyFont="1"/>
    <xf numFmtId="166" fontId="22" fillId="0" borderId="1" xfId="1" applyNumberFormat="1" applyFont="1" applyBorder="1"/>
    <xf numFmtId="0" fontId="0" fillId="0" borderId="0" xfId="0" applyFill="1" applyAlignment="1"/>
    <xf numFmtId="166" fontId="0" fillId="0" borderId="0" xfId="1" applyNumberFormat="1" applyFont="1" applyFill="1" applyProtection="1"/>
    <xf numFmtId="0" fontId="0" fillId="0" borderId="1" xfId="0" applyFill="1" applyBorder="1" applyAlignment="1"/>
    <xf numFmtId="166" fontId="0" fillId="0" borderId="1" xfId="0" applyNumberFormat="1" applyFill="1" applyBorder="1" applyAlignment="1"/>
    <xf numFmtId="166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25" fillId="6" borderId="1" xfId="3" applyNumberFormat="1" applyFont="1" applyFill="1" applyBorder="1"/>
    <xf numFmtId="0" fontId="25" fillId="6" borderId="1" xfId="3" applyFont="1" applyFill="1" applyBorder="1"/>
    <xf numFmtId="0" fontId="26" fillId="0" borderId="1" xfId="0" applyFont="1" applyFill="1" applyBorder="1" applyAlignment="1"/>
    <xf numFmtId="166" fontId="0" fillId="0" borderId="0" xfId="0" applyNumberFormat="1" applyAlignment="1">
      <alignment vertical="center"/>
    </xf>
    <xf numFmtId="0" fontId="26" fillId="0" borderId="0" xfId="0" applyFont="1" applyFill="1" applyBorder="1" applyAlignment="1"/>
    <xf numFmtId="0" fontId="27" fillId="0" borderId="0" xfId="0" applyFont="1" applyBorder="1" applyAlignment="1">
      <alignment vertical="center"/>
    </xf>
    <xf numFmtId="166" fontId="28" fillId="0" borderId="0" xfId="1" applyNumberFormat="1" applyFont="1" applyBorder="1" applyProtection="1">
      <protection locked="0"/>
    </xf>
    <xf numFmtId="166" fontId="29" fillId="0" borderId="0" xfId="1" applyNumberFormat="1" applyFont="1" applyBorder="1" applyProtection="1">
      <protection locked="0"/>
    </xf>
    <xf numFmtId="166" fontId="26" fillId="0" borderId="0" xfId="0" applyNumberFormat="1" applyFont="1" applyFill="1" applyBorder="1" applyAlignment="1"/>
    <xf numFmtId="166" fontId="27" fillId="0" borderId="0" xfId="0" applyNumberFormat="1" applyFont="1" applyBorder="1" applyAlignment="1">
      <alignment vertical="center"/>
    </xf>
    <xf numFmtId="0" fontId="30" fillId="0" borderId="0" xfId="0" applyFont="1" applyAlignment="1"/>
    <xf numFmtId="0" fontId="8" fillId="0" borderId="0" xfId="0" applyFont="1" applyAlignment="1"/>
    <xf numFmtId="0" fontId="9" fillId="7" borderId="0" xfId="0" applyFont="1" applyFill="1" applyAlignment="1">
      <alignment horizontal="center"/>
    </xf>
    <xf numFmtId="0" fontId="9" fillId="0" borderId="0" xfId="0" applyFont="1" applyFill="1" applyAlignment="1"/>
    <xf numFmtId="0" fontId="8" fillId="0" borderId="0" xfId="0" applyFont="1" applyFill="1" applyAlignment="1"/>
    <xf numFmtId="166" fontId="8" fillId="0" borderId="0" xfId="1" applyNumberFormat="1" applyFont="1" applyFill="1" applyProtection="1"/>
    <xf numFmtId="166" fontId="9" fillId="0" borderId="3" xfId="1" applyNumberFormat="1" applyFont="1" applyFill="1" applyBorder="1" applyAlignment="1" applyProtection="1">
      <alignment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8" fillId="10" borderId="4" xfId="1" applyNumberFormat="1" applyFont="1" applyFill="1" applyBorder="1" applyAlignment="1" applyProtection="1">
      <alignment horizontal="center" vertical="center"/>
    </xf>
    <xf numFmtId="0" fontId="32" fillId="10" borderId="5" xfId="0" applyFont="1" applyFill="1" applyBorder="1" applyAlignment="1"/>
    <xf numFmtId="166" fontId="8" fillId="10" borderId="5" xfId="1" applyNumberFormat="1" applyFont="1" applyFill="1" applyBorder="1" applyProtection="1"/>
    <xf numFmtId="166" fontId="8" fillId="10" borderId="5" xfId="0" applyNumberFormat="1" applyFont="1" applyFill="1" applyBorder="1" applyAlignment="1"/>
    <xf numFmtId="166" fontId="8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8" fillId="0" borderId="6" xfId="1" applyNumberFormat="1" applyFont="1" applyFill="1" applyBorder="1" applyProtection="1"/>
    <xf numFmtId="166" fontId="8" fillId="0" borderId="1" xfId="0" applyNumberFormat="1" applyFont="1" applyFill="1" applyBorder="1" applyAlignment="1"/>
    <xf numFmtId="166" fontId="8" fillId="0" borderId="1" xfId="1" applyNumberFormat="1" applyFont="1" applyFill="1" applyBorder="1" applyProtection="1"/>
    <xf numFmtId="166" fontId="33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9" fillId="10" borderId="4" xfId="1" applyNumberFormat="1" applyFont="1" applyFill="1" applyBorder="1" applyAlignment="1" applyProtection="1">
      <alignment horizontal="left"/>
    </xf>
    <xf numFmtId="166" fontId="9" fillId="10" borderId="5" xfId="1" applyNumberFormat="1" applyFont="1" applyFill="1" applyBorder="1" applyAlignment="1" applyProtection="1">
      <alignment horizontal="left"/>
    </xf>
    <xf numFmtId="166" fontId="8" fillId="10" borderId="1" xfId="0" applyNumberFormat="1" applyFont="1" applyFill="1" applyBorder="1" applyAlignment="1"/>
    <xf numFmtId="0" fontId="9" fillId="0" borderId="4" xfId="0" applyFont="1" applyFill="1" applyBorder="1" applyAlignment="1"/>
    <xf numFmtId="166" fontId="8" fillId="0" borderId="1" xfId="1" applyNumberFormat="1" applyFont="1" applyFill="1" applyBorder="1" applyAlignment="1" applyProtection="1"/>
    <xf numFmtId="166" fontId="8" fillId="0" borderId="6" xfId="1" applyNumberFormat="1" applyFont="1" applyBorder="1" applyProtection="1"/>
    <xf numFmtId="166" fontId="34" fillId="0" borderId="1" xfId="1" applyNumberFormat="1" applyFont="1" applyBorder="1" applyProtection="1"/>
    <xf numFmtId="166" fontId="34" fillId="0" borderId="0" xfId="1" applyNumberFormat="1" applyFont="1" applyProtection="1"/>
    <xf numFmtId="166" fontId="24" fillId="0" borderId="1" xfId="0" applyNumberFormat="1" applyFont="1" applyBorder="1" applyAlignment="1"/>
    <xf numFmtId="0" fontId="32" fillId="10" borderId="4" xfId="0" applyFont="1" applyFill="1" applyBorder="1" applyAlignment="1"/>
    <xf numFmtId="166" fontId="0" fillId="0" borderId="1" xfId="1" applyNumberFormat="1" applyFont="1" applyBorder="1" applyProtection="1"/>
    <xf numFmtId="166" fontId="8" fillId="0" borderId="1" xfId="0" applyNumberFormat="1" applyFont="1" applyBorder="1" applyAlignment="1"/>
    <xf numFmtId="0" fontId="2" fillId="11" borderId="1" xfId="0" applyFont="1" applyFill="1" applyBorder="1"/>
    <xf numFmtId="166" fontId="2" fillId="11" borderId="1" xfId="1" applyNumberFormat="1" applyFont="1" applyFill="1" applyBorder="1"/>
    <xf numFmtId="0" fontId="2" fillId="0" borderId="1" xfId="0" applyFont="1" applyFill="1" applyBorder="1"/>
    <xf numFmtId="166" fontId="37" fillId="0" borderId="0" xfId="0" applyNumberFormat="1" applyFont="1"/>
    <xf numFmtId="0" fontId="37" fillId="0" borderId="0" xfId="0" applyFont="1"/>
    <xf numFmtId="166" fontId="12" fillId="0" borderId="0" xfId="0" applyNumberFormat="1" applyFont="1"/>
    <xf numFmtId="3" fontId="0" fillId="0" borderId="1" xfId="0" applyNumberFormat="1" applyBorder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30" fillId="0" borderId="6" xfId="1" applyNumberFormat="1" applyFont="1" applyBorder="1" applyProtection="1"/>
    <xf numFmtId="166" fontId="33" fillId="0" borderId="6" xfId="1" applyNumberFormat="1" applyFont="1" applyBorder="1" applyProtection="1"/>
    <xf numFmtId="166" fontId="33" fillId="0" borderId="1" xfId="1" applyNumberFormat="1" applyFont="1" applyBorder="1" applyAlignment="1" applyProtection="1">
      <alignment vertical="center"/>
    </xf>
    <xf numFmtId="166" fontId="33" fillId="5" borderId="1" xfId="1" applyNumberFormat="1" applyFont="1" applyFill="1" applyBorder="1" applyProtection="1"/>
    <xf numFmtId="166" fontId="22" fillId="0" borderId="3" xfId="1" applyNumberFormat="1" applyFont="1" applyFill="1" applyBorder="1" applyProtection="1"/>
    <xf numFmtId="166" fontId="33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33" fillId="0" borderId="1" xfId="1" applyNumberFormat="1" applyFont="1" applyFill="1" applyBorder="1" applyAlignment="1" applyProtection="1">
      <alignment horizontal="center" vertical="center"/>
    </xf>
    <xf numFmtId="166" fontId="21" fillId="0" borderId="6" xfId="1" applyNumberFormat="1" applyFont="1" applyFill="1" applyBorder="1" applyProtection="1"/>
    <xf numFmtId="166" fontId="38" fillId="0" borderId="0" xfId="1" applyNumberFormat="1" applyFont="1" applyBorder="1" applyProtection="1">
      <protection locked="0"/>
    </xf>
    <xf numFmtId="0" fontId="10" fillId="0" borderId="1" xfId="0" applyFont="1" applyFill="1" applyBorder="1" applyAlignment="1"/>
    <xf numFmtId="0" fontId="39" fillId="0" borderId="1" xfId="0" applyFont="1" applyBorder="1" applyAlignment="1">
      <alignment vertical="center"/>
    </xf>
    <xf numFmtId="166" fontId="40" fillId="0" borderId="1" xfId="1" applyNumberFormat="1" applyFont="1" applyBorder="1" applyProtection="1">
      <protection locked="0"/>
    </xf>
    <xf numFmtId="166" fontId="41" fillId="0" borderId="1" xfId="1" applyNumberFormat="1" applyFont="1" applyBorder="1" applyProtection="1">
      <protection locked="0"/>
    </xf>
    <xf numFmtId="0" fontId="1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2" fillId="0" borderId="0" xfId="0" applyFont="1" applyFill="1" applyBorder="1" applyAlignment="1"/>
    <xf numFmtId="0" fontId="44" fillId="0" borderId="0" xfId="0" applyFont="1" applyAlignment="1">
      <alignment vertic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3" fillId="0" borderId="3" xfId="1" applyNumberFormat="1" applyFont="1" applyFill="1" applyBorder="1"/>
    <xf numFmtId="166" fontId="3" fillId="0" borderId="2" xfId="1" applyNumberFormat="1" applyFont="1" applyFill="1" applyBorder="1"/>
    <xf numFmtId="0" fontId="2" fillId="0" borderId="0" xfId="0" applyFont="1" applyFill="1"/>
    <xf numFmtId="14" fontId="35" fillId="0" borderId="0" xfId="0" applyNumberFormat="1" applyFont="1" applyFill="1" applyBorder="1"/>
    <xf numFmtId="0" fontId="16" fillId="0" borderId="1" xfId="0" applyFont="1" applyBorder="1"/>
    <xf numFmtId="166" fontId="2" fillId="0" borderId="1" xfId="1" applyNumberFormat="1" applyFont="1" applyFill="1" applyBorder="1"/>
    <xf numFmtId="166" fontId="16" fillId="0" borderId="1" xfId="1" applyNumberFormat="1" applyFont="1" applyFill="1" applyBorder="1"/>
    <xf numFmtId="0" fontId="2" fillId="0" borderId="1" xfId="0" applyFont="1" applyBorder="1"/>
    <xf numFmtId="0" fontId="36" fillId="0" borderId="1" xfId="0" applyFont="1" applyFill="1" applyBorder="1"/>
    <xf numFmtId="0" fontId="0" fillId="0" borderId="1" xfId="0" applyFill="1" applyBorder="1"/>
    <xf numFmtId="166" fontId="0" fillId="0" borderId="0" xfId="0" applyNumberFormat="1" applyFill="1"/>
    <xf numFmtId="0" fontId="0" fillId="0" borderId="1" xfId="0" applyFont="1" applyFill="1" applyBorder="1"/>
    <xf numFmtId="166" fontId="2" fillId="0" borderId="0" xfId="0" applyNumberFormat="1" applyFont="1" applyFill="1"/>
    <xf numFmtId="166" fontId="36" fillId="0" borderId="3" xfId="1" applyNumberFormat="1" applyFont="1" applyFill="1" applyBorder="1"/>
    <xf numFmtId="14" fontId="35" fillId="13" borderId="1" xfId="0" applyNumberFormat="1" applyFont="1" applyFill="1" applyBorder="1"/>
    <xf numFmtId="0" fontId="0" fillId="11" borderId="1" xfId="0" applyFill="1" applyBorder="1"/>
    <xf numFmtId="14" fontId="42" fillId="0" borderId="0" xfId="0" applyNumberFormat="1" applyFont="1" applyFill="1" applyBorder="1"/>
    <xf numFmtId="0" fontId="9" fillId="15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41" fillId="0" borderId="0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6" fontId="8" fillId="0" borderId="0" xfId="1" applyNumberFormat="1" applyFont="1" applyFill="1" applyBorder="1" applyProtection="1"/>
    <xf numFmtId="166" fontId="8" fillId="19" borderId="4" xfId="1" applyNumberFormat="1" applyFont="1" applyFill="1" applyBorder="1" applyAlignment="1" applyProtection="1">
      <alignment horizontal="center" vertical="center"/>
    </xf>
    <xf numFmtId="0" fontId="32" fillId="19" borderId="5" xfId="0" applyFont="1" applyFill="1" applyBorder="1" applyAlignment="1"/>
    <xf numFmtId="166" fontId="8" fillId="19" borderId="5" xfId="1" applyNumberFormat="1" applyFont="1" applyFill="1" applyBorder="1" applyProtection="1"/>
    <xf numFmtId="166" fontId="8" fillId="19" borderId="5" xfId="0" applyNumberFormat="1" applyFont="1" applyFill="1" applyBorder="1" applyAlignment="1"/>
    <xf numFmtId="166" fontId="8" fillId="0" borderId="3" xfId="1" applyNumberFormat="1" applyFont="1" applyFill="1" applyBorder="1" applyProtection="1"/>
    <xf numFmtId="166" fontId="41" fillId="0" borderId="1" xfId="1" applyNumberFormat="1" applyFont="1" applyFill="1" applyBorder="1" applyProtection="1"/>
    <xf numFmtId="166" fontId="45" fillId="0" borderId="1" xfId="1" applyNumberFormat="1" applyFont="1" applyFill="1" applyBorder="1" applyAlignment="1" applyProtection="1">
      <alignment horizontal="center" vertical="center"/>
    </xf>
    <xf numFmtId="166" fontId="40" fillId="0" borderId="1" xfId="1" applyNumberFormat="1" applyFont="1" applyFill="1" applyBorder="1" applyProtection="1"/>
    <xf numFmtId="166" fontId="45" fillId="0" borderId="1" xfId="1" applyNumberFormat="1" applyFont="1" applyFill="1" applyBorder="1" applyProtection="1"/>
    <xf numFmtId="166" fontId="40" fillId="0" borderId="0" xfId="1" applyNumberFormat="1" applyFont="1" applyFill="1" applyBorder="1" applyProtection="1"/>
    <xf numFmtId="166" fontId="9" fillId="19" borderId="4" xfId="1" applyNumberFormat="1" applyFont="1" applyFill="1" applyBorder="1" applyAlignment="1" applyProtection="1">
      <alignment horizontal="left"/>
    </xf>
    <xf numFmtId="166" fontId="9" fillId="19" borderId="5" xfId="1" applyNumberFormat="1" applyFont="1" applyFill="1" applyBorder="1" applyAlignment="1" applyProtection="1">
      <alignment horizontal="left"/>
    </xf>
    <xf numFmtId="166" fontId="8" fillId="19" borderId="1" xfId="0" applyNumberFormat="1" applyFont="1" applyFill="1" applyBorder="1" applyAlignment="1"/>
    <xf numFmtId="166" fontId="46" fillId="0" borderId="1" xfId="1" applyNumberFormat="1" applyFont="1" applyFill="1" applyBorder="1" applyProtection="1"/>
    <xf numFmtId="3" fontId="41" fillId="0" borderId="1" xfId="0" applyNumberFormat="1" applyFont="1" applyFill="1" applyBorder="1" applyAlignment="1">
      <alignment vertical="center"/>
    </xf>
    <xf numFmtId="166" fontId="46" fillId="0" borderId="0" xfId="1" applyNumberFormat="1" applyFont="1" applyFill="1" applyBorder="1" applyProtection="1"/>
    <xf numFmtId="166" fontId="24" fillId="0" borderId="1" xfId="0" applyNumberFormat="1" applyFont="1" applyFill="1" applyBorder="1" applyAlignment="1"/>
    <xf numFmtId="0" fontId="32" fillId="19" borderId="4" xfId="0" applyFont="1" applyFill="1" applyBorder="1" applyAlignment="1"/>
    <xf numFmtId="166" fontId="47" fillId="0" borderId="3" xfId="1" applyNumberFormat="1" applyFont="1" applyFill="1" applyBorder="1" applyProtection="1"/>
    <xf numFmtId="166" fontId="45" fillId="0" borderId="6" xfId="1" applyNumberFormat="1" applyFont="1" applyFill="1" applyBorder="1" applyProtection="1"/>
    <xf numFmtId="166" fontId="45" fillId="20" borderId="1" xfId="1" applyNumberFormat="1" applyFont="1" applyFill="1" applyBorder="1" applyProtection="1"/>
    <xf numFmtId="166" fontId="45" fillId="20" borderId="1" xfId="1" applyNumberFormat="1" applyFont="1" applyFill="1" applyBorder="1" applyAlignment="1" applyProtection="1">
      <alignment vertical="center"/>
    </xf>
    <xf numFmtId="166" fontId="48" fillId="0" borderId="6" xfId="1" applyNumberFormat="1" applyFont="1" applyFill="1" applyBorder="1" applyProtection="1"/>
    <xf numFmtId="166" fontId="48" fillId="0" borderId="1" xfId="1" applyNumberFormat="1" applyFont="1" applyFill="1" applyBorder="1" applyProtection="1"/>
    <xf numFmtId="166" fontId="45" fillId="0" borderId="1" xfId="1" applyNumberFormat="1" applyFont="1" applyFill="1" applyBorder="1" applyAlignment="1" applyProtection="1">
      <alignment vertical="center"/>
    </xf>
    <xf numFmtId="166" fontId="41" fillId="0" borderId="0" xfId="0" applyNumberFormat="1" applyFont="1" applyFill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3" fillId="0" borderId="1" xfId="0" applyFont="1" applyFill="1" applyBorder="1" applyAlignment="1"/>
    <xf numFmtId="166" fontId="33" fillId="0" borderId="6" xfId="1" applyNumberFormat="1" applyFont="1" applyFill="1" applyBorder="1" applyProtection="1"/>
    <xf numFmtId="166" fontId="33" fillId="0" borderId="1" xfId="0" applyNumberFormat="1" applyFont="1" applyFill="1" applyBorder="1" applyAlignment="1"/>
    <xf numFmtId="166" fontId="12" fillId="0" borderId="0" xfId="0" applyNumberFormat="1" applyFont="1" applyAlignment="1">
      <alignment vertical="center"/>
    </xf>
    <xf numFmtId="0" fontId="0" fillId="0" borderId="0" xfId="0" applyFont="1" applyFill="1" applyAlignment="1"/>
    <xf numFmtId="166" fontId="21" fillId="0" borderId="6" xfId="1" applyNumberFormat="1" applyFont="1" applyBorder="1" applyProtection="1"/>
    <xf numFmtId="166" fontId="21" fillId="0" borderId="1" xfId="1" applyNumberFormat="1" applyFont="1" applyFill="1" applyBorder="1" applyProtection="1"/>
    <xf numFmtId="166" fontId="49" fillId="0" borderId="0" xfId="0" applyNumberFormat="1" applyFont="1" applyAlignment="1">
      <alignment vertical="center"/>
    </xf>
    <xf numFmtId="3" fontId="0" fillId="0" borderId="0" xfId="0" applyNumberFormat="1" applyFill="1"/>
    <xf numFmtId="3" fontId="2" fillId="0" borderId="0" xfId="0" applyNumberFormat="1" applyFont="1" applyFill="1"/>
    <xf numFmtId="3" fontId="12" fillId="0" borderId="0" xfId="0" applyNumberFormat="1" applyFont="1" applyFill="1"/>
    <xf numFmtId="166" fontId="36" fillId="5" borderId="1" xfId="1" applyNumberFormat="1" applyFont="1" applyFill="1" applyBorder="1"/>
    <xf numFmtId="3" fontId="0" fillId="5" borderId="0" xfId="0" applyNumberFormat="1" applyFill="1"/>
    <xf numFmtId="166" fontId="22" fillId="0" borderId="3" xfId="1" applyNumberFormat="1" applyFont="1" applyBorder="1"/>
    <xf numFmtId="14" fontId="49" fillId="14" borderId="1" xfId="0" applyNumberFormat="1" applyFont="1" applyFill="1" applyBorder="1" applyAlignment="1"/>
    <xf numFmtId="0" fontId="49" fillId="14" borderId="1" xfId="0" applyFont="1" applyFill="1" applyBorder="1" applyAlignment="1"/>
    <xf numFmtId="166" fontId="49" fillId="14" borderId="1" xfId="1" applyNumberFormat="1" applyFont="1" applyFill="1" applyBorder="1" applyProtection="1"/>
    <xf numFmtId="0" fontId="0" fillId="21" borderId="0" xfId="0" applyFill="1" applyAlignment="1"/>
    <xf numFmtId="0" fontId="0" fillId="5" borderId="0" xfId="0" applyFill="1" applyAlignment="1"/>
    <xf numFmtId="0" fontId="10" fillId="22" borderId="0" xfId="0" applyFont="1" applyFill="1"/>
    <xf numFmtId="166" fontId="10" fillId="22" borderId="0" xfId="1" applyNumberFormat="1" applyFont="1" applyFill="1"/>
    <xf numFmtId="0" fontId="10" fillId="22" borderId="0" xfId="0" applyFont="1" applyFill="1" applyAlignment="1">
      <alignment horizontal="left"/>
    </xf>
    <xf numFmtId="0" fontId="51" fillId="23" borderId="1" xfId="0" applyFont="1" applyFill="1" applyBorder="1" applyAlignment="1"/>
    <xf numFmtId="3" fontId="0" fillId="0" borderId="0" xfId="1" applyNumberFormat="1" applyFont="1" applyFill="1" applyAlignment="1" applyProtection="1">
      <alignment horizontal="right"/>
    </xf>
    <xf numFmtId="3" fontId="10" fillId="22" borderId="0" xfId="1" applyNumberFormat="1" applyFont="1" applyFill="1" applyAlignment="1">
      <alignment horizontal="right"/>
    </xf>
    <xf numFmtId="3" fontId="49" fillId="14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49" fillId="14" borderId="1" xfId="0" applyFont="1" applyFill="1" applyBorder="1" applyAlignment="1">
      <alignment horizontal="center"/>
    </xf>
    <xf numFmtId="0" fontId="10" fillId="22" borderId="0" xfId="0" applyFont="1" applyFill="1" applyAlignment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12" fillId="24" borderId="0" xfId="0" applyNumberFormat="1" applyFont="1" applyFill="1" applyAlignment="1">
      <alignment vertical="center"/>
    </xf>
    <xf numFmtId="166" fontId="29" fillId="0" borderId="1" xfId="1" applyNumberFormat="1" applyFont="1" applyBorder="1" applyProtection="1">
      <protection locked="0"/>
    </xf>
    <xf numFmtId="166" fontId="8" fillId="3" borderId="3" xfId="1" applyNumberFormat="1" applyFont="1" applyFill="1" applyBorder="1" applyProtection="1"/>
    <xf numFmtId="0" fontId="26" fillId="3" borderId="1" xfId="0" applyFont="1" applyFill="1" applyBorder="1" applyAlignment="1"/>
    <xf numFmtId="166" fontId="0" fillId="3" borderId="1" xfId="1" applyNumberFormat="1" applyFont="1" applyFill="1" applyBorder="1" applyProtection="1"/>
    <xf numFmtId="166" fontId="8" fillId="3" borderId="1" xfId="1" applyNumberFormat="1" applyFont="1" applyFill="1" applyBorder="1" applyProtection="1"/>
    <xf numFmtId="166" fontId="8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8" fillId="3" borderId="1" xfId="0" applyNumberFormat="1" applyFont="1" applyFill="1" applyBorder="1" applyAlignment="1"/>
    <xf numFmtId="0" fontId="0" fillId="25" borderId="1" xfId="0" applyFill="1" applyBorder="1" applyAlignment="1"/>
    <xf numFmtId="164" fontId="0" fillId="25" borderId="1" xfId="4" applyFont="1" applyFill="1" applyBorder="1" applyAlignment="1"/>
    <xf numFmtId="166" fontId="33" fillId="0" borderId="1" xfId="1" applyNumberFormat="1" applyFont="1" applyBorder="1"/>
    <xf numFmtId="166" fontId="9" fillId="0" borderId="3" xfId="1" applyNumberFormat="1" applyFont="1" applyFill="1" applyBorder="1" applyAlignment="1" applyProtection="1">
      <alignment horizontal="center" vertical="center" wrapText="1"/>
    </xf>
    <xf numFmtId="169" fontId="8" fillId="0" borderId="3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23" borderId="1" xfId="0" applyFont="1" applyFill="1" applyBorder="1" applyAlignment="1"/>
    <xf numFmtId="0" fontId="39" fillId="23" borderId="1" xfId="0" applyFont="1" applyFill="1" applyBorder="1" applyAlignment="1">
      <alignment vertical="center"/>
    </xf>
    <xf numFmtId="166" fontId="40" fillId="23" borderId="1" xfId="1" applyNumberFormat="1" applyFont="1" applyFill="1" applyBorder="1" applyProtection="1">
      <protection locked="0"/>
    </xf>
    <xf numFmtId="166" fontId="41" fillId="23" borderId="1" xfId="1" applyNumberFormat="1" applyFont="1" applyFill="1" applyBorder="1" applyProtection="1">
      <protection locked="0"/>
    </xf>
    <xf numFmtId="166" fontId="8" fillId="5" borderId="1" xfId="1" applyNumberFormat="1" applyFont="1" applyFill="1" applyBorder="1" applyProtection="1"/>
    <xf numFmtId="166" fontId="33" fillId="23" borderId="1" xfId="1" applyNumberFormat="1" applyFont="1" applyFill="1" applyBorder="1" applyProtection="1"/>
    <xf numFmtId="166" fontId="8" fillId="23" borderId="1" xfId="0" applyNumberFormat="1" applyFont="1" applyFill="1" applyBorder="1" applyAlignment="1"/>
    <xf numFmtId="166" fontId="8" fillId="0" borderId="1" xfId="1" applyNumberFormat="1" applyFont="1" applyBorder="1" applyProtection="1"/>
    <xf numFmtId="166" fontId="8" fillId="23" borderId="1" xfId="1" applyNumberFormat="1" applyFont="1" applyFill="1" applyBorder="1" applyProtection="1"/>
    <xf numFmtId="166" fontId="33" fillId="5" borderId="1" xfId="0" applyNumberFormat="1" applyFont="1" applyFill="1" applyBorder="1" applyAlignment="1"/>
    <xf numFmtId="166" fontId="33" fillId="0" borderId="1" xfId="1" applyNumberFormat="1" applyFont="1" applyBorder="1" applyProtection="1"/>
    <xf numFmtId="166" fontId="33" fillId="0" borderId="0" xfId="1" applyNumberFormat="1" applyFont="1" applyProtection="1"/>
    <xf numFmtId="0" fontId="9" fillId="0" borderId="1" xfId="0" applyFont="1" applyFill="1" applyBorder="1" applyAlignment="1"/>
    <xf numFmtId="0" fontId="9" fillId="5" borderId="1" xfId="0" applyFont="1" applyFill="1" applyBorder="1" applyAlignment="1"/>
    <xf numFmtId="0" fontId="9" fillId="23" borderId="1" xfId="0" applyFont="1" applyFill="1" applyBorder="1" applyAlignment="1"/>
    <xf numFmtId="0" fontId="33" fillId="5" borderId="1" xfId="0" applyFont="1" applyFill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166" fontId="33" fillId="0" borderId="3" xfId="1" applyNumberFormat="1" applyFont="1" applyFill="1" applyBorder="1" applyProtection="1"/>
    <xf numFmtId="0" fontId="52" fillId="0" borderId="0" xfId="0" applyFont="1" applyAlignment="1">
      <alignment vertical="center"/>
    </xf>
    <xf numFmtId="3" fontId="2" fillId="26" borderId="0" xfId="1" applyNumberFormat="1" applyFont="1" applyFill="1" applyAlignment="1" applyProtection="1">
      <alignment horizontal="right"/>
    </xf>
    <xf numFmtId="171" fontId="41" fillId="0" borderId="1" xfId="1" applyNumberFormat="1" applyFont="1" applyBorder="1" applyProtection="1">
      <protection locked="0"/>
    </xf>
    <xf numFmtId="171" fontId="41" fillId="23" borderId="1" xfId="1" applyNumberFormat="1" applyFont="1" applyFill="1" applyBorder="1" applyProtection="1">
      <protection locked="0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166" fontId="55" fillId="0" borderId="0" xfId="1" applyNumberFormat="1" applyFont="1" applyBorder="1" applyProtection="1">
      <protection locked="0"/>
    </xf>
    <xf numFmtId="166" fontId="21" fillId="0" borderId="1" xfId="1" applyNumberFormat="1" applyFont="1" applyFill="1" applyBorder="1" applyAlignment="1" applyProtection="1">
      <alignment horizontal="center" vertical="center"/>
    </xf>
    <xf numFmtId="166" fontId="21" fillId="5" borderId="1" xfId="1" applyNumberFormat="1" applyFont="1" applyFill="1" applyBorder="1" applyProtection="1"/>
    <xf numFmtId="166" fontId="21" fillId="23" borderId="1" xfId="1" applyNumberFormat="1" applyFont="1" applyFill="1" applyBorder="1" applyProtection="1"/>
    <xf numFmtId="0" fontId="21" fillId="5" borderId="1" xfId="0" applyFont="1" applyFill="1" applyBorder="1" applyAlignment="1">
      <alignment vertical="center"/>
    </xf>
    <xf numFmtId="166" fontId="21" fillId="0" borderId="1" xfId="1" applyNumberFormat="1" applyFont="1" applyBorder="1" applyProtection="1"/>
    <xf numFmtId="0" fontId="22" fillId="5" borderId="0" xfId="0" applyFont="1" applyFill="1" applyBorder="1" applyAlignment="1">
      <alignment vertical="center"/>
    </xf>
    <xf numFmtId="166" fontId="54" fillId="0" borderId="0" xfId="0" applyNumberFormat="1" applyFont="1" applyAlignment="1">
      <alignment vertical="center"/>
    </xf>
    <xf numFmtId="0" fontId="53" fillId="0" borderId="0" xfId="0" applyFont="1" applyFill="1" applyBorder="1" applyAlignment="1"/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8" fillId="0" borderId="3" xfId="1" applyNumberFormat="1" applyFont="1" applyFill="1" applyBorder="1"/>
    <xf numFmtId="166" fontId="2" fillId="0" borderId="0" xfId="0" applyNumberFormat="1" applyFont="1" applyAlignment="1">
      <alignment vertic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9" fontId="33" fillId="0" borderId="1" xfId="0" applyNumberFormat="1" applyFont="1" applyFill="1" applyBorder="1"/>
    <xf numFmtId="14" fontId="35" fillId="0" borderId="1" xfId="0" applyNumberFormat="1" applyFont="1" applyFill="1" applyBorder="1"/>
    <xf numFmtId="0" fontId="57" fillId="5" borderId="1" xfId="0" applyFont="1" applyFill="1" applyBorder="1" applyAlignment="1">
      <alignment vertical="center"/>
    </xf>
    <xf numFmtId="0" fontId="57" fillId="5" borderId="1" xfId="0" applyFont="1" applyFill="1" applyBorder="1" applyAlignment="1"/>
    <xf numFmtId="0" fontId="57" fillId="5" borderId="1" xfId="0" applyFont="1" applyFill="1" applyBorder="1"/>
    <xf numFmtId="0" fontId="57" fillId="5" borderId="1" xfId="0" applyFont="1" applyFill="1" applyBorder="1" applyAlignment="1">
      <alignment horizontal="center"/>
    </xf>
    <xf numFmtId="167" fontId="59" fillId="3" borderId="0" xfId="0" applyNumberFormat="1" applyFont="1" applyFill="1"/>
    <xf numFmtId="0" fontId="60" fillId="0" borderId="0" xfId="0" applyFont="1" applyFill="1"/>
    <xf numFmtId="0" fontId="60" fillId="0" borderId="0" xfId="0" applyFont="1"/>
    <xf numFmtId="0" fontId="61" fillId="0" borderId="0" xfId="0" applyFont="1" applyFill="1"/>
    <xf numFmtId="172" fontId="60" fillId="0" borderId="0" xfId="0" applyNumberFormat="1" applyFont="1" applyFill="1" applyAlignment="1">
      <alignment horizontal="center"/>
    </xf>
    <xf numFmtId="1" fontId="60" fillId="0" borderId="0" xfId="0" applyNumberFormat="1" applyFont="1" applyFill="1" applyAlignment="1">
      <alignment horizontal="left"/>
    </xf>
    <xf numFmtId="0" fontId="60" fillId="0" borderId="0" xfId="0" applyFont="1" applyFill="1" applyAlignment="1">
      <alignment horizontal="center"/>
    </xf>
    <xf numFmtId="3" fontId="60" fillId="0" borderId="0" xfId="5" applyNumberFormat="1" applyFont="1" applyFill="1" applyAlignment="1">
      <alignment horizontal="center"/>
    </xf>
    <xf numFmtId="173" fontId="60" fillId="0" borderId="0" xfId="5" applyNumberFormat="1" applyFont="1" applyFill="1" applyAlignment="1">
      <alignment horizontal="center"/>
    </xf>
    <xf numFmtId="0" fontId="60" fillId="27" borderId="0" xfId="0" applyFont="1" applyFill="1"/>
    <xf numFmtId="172" fontId="63" fillId="5" borderId="0" xfId="0" applyNumberFormat="1" applyFont="1" applyFill="1"/>
    <xf numFmtId="1" fontId="61" fillId="0" borderId="0" xfId="0" applyNumberFormat="1" applyFont="1" applyFill="1" applyAlignment="1">
      <alignment horizontal="left"/>
    </xf>
    <xf numFmtId="0" fontId="61" fillId="0" borderId="0" xfId="0" applyFont="1"/>
    <xf numFmtId="0" fontId="61" fillId="0" borderId="0" xfId="0" applyFont="1" applyFill="1" applyAlignment="1">
      <alignment horizontal="center"/>
    </xf>
    <xf numFmtId="0" fontId="25" fillId="3" borderId="0" xfId="0" applyFont="1" applyFill="1"/>
    <xf numFmtId="0" fontId="64" fillId="0" borderId="0" xfId="0" applyFont="1" applyFill="1" applyAlignment="1">
      <alignment horizontal="left"/>
    </xf>
    <xf numFmtId="0" fontId="61" fillId="0" borderId="0" xfId="0" applyFont="1" applyFill="1" applyBorder="1"/>
    <xf numFmtId="3" fontId="60" fillId="0" borderId="0" xfId="0" applyNumberFormat="1" applyFont="1"/>
    <xf numFmtId="14" fontId="60" fillId="0" borderId="12" xfId="0" applyNumberFormat="1" applyFont="1" applyBorder="1"/>
    <xf numFmtId="0" fontId="60" fillId="0" borderId="12" xfId="0" applyFont="1" applyBorder="1"/>
    <xf numFmtId="3" fontId="61" fillId="0" borderId="12" xfId="0" applyNumberFormat="1" applyFont="1" applyBorder="1"/>
    <xf numFmtId="3" fontId="60" fillId="0" borderId="12" xfId="0" applyNumberFormat="1" applyFont="1" applyBorder="1"/>
    <xf numFmtId="0" fontId="61" fillId="0" borderId="0" xfId="0" applyFont="1" applyFill="1" applyBorder="1" applyAlignment="1"/>
    <xf numFmtId="0" fontId="60" fillId="0" borderId="0" xfId="0" applyFont="1" applyAlignment="1"/>
    <xf numFmtId="14" fontId="60" fillId="0" borderId="1" xfId="0" applyNumberFormat="1" applyFont="1" applyBorder="1"/>
    <xf numFmtId="0" fontId="60" fillId="0" borderId="1" xfId="0" applyFont="1" applyBorder="1"/>
    <xf numFmtId="3" fontId="60" fillId="0" borderId="1" xfId="0" applyNumberFormat="1" applyFont="1" applyBorder="1"/>
    <xf numFmtId="14" fontId="65" fillId="0" borderId="1" xfId="0" applyNumberFormat="1" applyFont="1" applyBorder="1"/>
    <xf numFmtId="0" fontId="66" fillId="0" borderId="1" xfId="0" applyFont="1" applyFill="1" applyBorder="1" applyAlignment="1">
      <alignment horizontal="left" vertical="center"/>
    </xf>
    <xf numFmtId="0" fontId="65" fillId="0" borderId="1" xfId="0" applyFont="1" applyBorder="1"/>
    <xf numFmtId="3" fontId="65" fillId="0" borderId="1" xfId="0" applyNumberFormat="1" applyFont="1" applyBorder="1"/>
    <xf numFmtId="14" fontId="60" fillId="0" borderId="11" xfId="0" applyNumberFormat="1" applyFont="1" applyBorder="1"/>
    <xf numFmtId="3" fontId="60" fillId="0" borderId="11" xfId="0" applyNumberFormat="1" applyFont="1" applyBorder="1"/>
    <xf numFmtId="0" fontId="60" fillId="0" borderId="11" xfId="0" applyFont="1" applyBorder="1"/>
    <xf numFmtId="3" fontId="61" fillId="0" borderId="18" xfId="0" applyNumberFormat="1" applyFont="1" applyBorder="1"/>
    <xf numFmtId="0" fontId="61" fillId="28" borderId="12" xfId="0" applyFont="1" applyFill="1" applyBorder="1"/>
    <xf numFmtId="3" fontId="60" fillId="29" borderId="12" xfId="0" applyNumberFormat="1" applyFont="1" applyFill="1" applyBorder="1"/>
    <xf numFmtId="3" fontId="60" fillId="28" borderId="12" xfId="0" applyNumberFormat="1" applyFont="1" applyFill="1" applyBorder="1"/>
    <xf numFmtId="0" fontId="67" fillId="0" borderId="12" xfId="0" applyFont="1" applyBorder="1"/>
    <xf numFmtId="3" fontId="67" fillId="0" borderId="12" xfId="0" applyNumberFormat="1" applyFont="1" applyBorder="1"/>
    <xf numFmtId="0" fontId="67" fillId="0" borderId="0" xfId="0" applyFont="1"/>
    <xf numFmtId="3" fontId="67" fillId="3" borderId="12" xfId="0" applyNumberFormat="1" applyFont="1" applyFill="1" applyBorder="1"/>
    <xf numFmtId="0" fontId="60" fillId="3" borderId="0" xfId="0" applyFont="1" applyFill="1"/>
    <xf numFmtId="0" fontId="61" fillId="0" borderId="0" xfId="0" applyFont="1" applyBorder="1"/>
    <xf numFmtId="0" fontId="61" fillId="0" borderId="0" xfId="0" applyFont="1" applyAlignment="1"/>
    <xf numFmtId="0" fontId="0" fillId="0" borderId="0" xfId="0" applyBorder="1"/>
    <xf numFmtId="0" fontId="58" fillId="3" borderId="0" xfId="0" applyFont="1" applyFill="1"/>
    <xf numFmtId="0" fontId="5" fillId="27" borderId="3" xfId="0" applyFont="1" applyFill="1" applyBorder="1"/>
    <xf numFmtId="0" fontId="9" fillId="27" borderId="1" xfId="0" applyFont="1" applyFill="1" applyBorder="1" applyAlignment="1">
      <alignment horizontal="left"/>
    </xf>
    <xf numFmtId="0" fontId="5" fillId="27" borderId="1" xfId="0" applyFont="1" applyFill="1" applyBorder="1"/>
    <xf numFmtId="0" fontId="5" fillId="27" borderId="1" xfId="0" applyFont="1" applyFill="1" applyBorder="1" applyAlignment="1">
      <alignment vertical="center"/>
    </xf>
    <xf numFmtId="0" fontId="9" fillId="27" borderId="1" xfId="0" applyFont="1" applyFill="1" applyBorder="1"/>
    <xf numFmtId="166" fontId="5" fillId="27" borderId="1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68" fillId="0" borderId="0" xfId="0" applyFont="1" applyAlignment="1">
      <alignment vertical="center"/>
    </xf>
    <xf numFmtId="3" fontId="0" fillId="0" borderId="0" xfId="1" applyNumberFormat="1" applyFont="1" applyFill="1" applyAlignment="1" applyProtection="1"/>
    <xf numFmtId="3" fontId="49" fillId="14" borderId="1" xfId="1" applyNumberFormat="1" applyFont="1" applyFill="1" applyBorder="1" applyAlignment="1" applyProtection="1"/>
    <xf numFmtId="3" fontId="10" fillId="22" borderId="0" xfId="1" applyNumberFormat="1" applyFont="1" applyFill="1" applyAlignment="1"/>
    <xf numFmtId="0" fontId="57" fillId="5" borderId="1" xfId="0" applyFont="1" applyFill="1" applyBorder="1" applyAlignment="1">
      <alignment horizontal="center" vertical="center"/>
    </xf>
    <xf numFmtId="166" fontId="57" fillId="5" borderId="1" xfId="1" applyNumberFormat="1" applyFont="1" applyFill="1" applyBorder="1" applyAlignment="1">
      <alignment horizontal="center" vertical="center" wrapText="1"/>
    </xf>
    <xf numFmtId="3" fontId="57" fillId="5" borderId="1" xfId="1" applyNumberFormat="1" applyFont="1" applyFill="1" applyBorder="1" applyAlignment="1" applyProtection="1">
      <alignment horizontal="center"/>
    </xf>
    <xf numFmtId="3" fontId="57" fillId="5" borderId="3" xfId="1" applyNumberFormat="1" applyFont="1" applyFill="1" applyBorder="1" applyAlignment="1" applyProtection="1"/>
    <xf numFmtId="166" fontId="57" fillId="5" borderId="1" xfId="1" applyNumberFormat="1" applyFont="1" applyFill="1" applyBorder="1" applyProtection="1"/>
    <xf numFmtId="0" fontId="61" fillId="0" borderId="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7" fillId="5" borderId="3" xfId="0" applyFont="1" applyFill="1" applyBorder="1" applyAlignment="1">
      <alignment horizontal="center" vertical="center"/>
    </xf>
    <xf numFmtId="0" fontId="57" fillId="5" borderId="6" xfId="0" applyFont="1" applyFill="1" applyBorder="1" applyAlignment="1">
      <alignment horizontal="center"/>
    </xf>
    <xf numFmtId="0" fontId="5" fillId="2" borderId="1" xfId="0" applyFont="1" applyFill="1" applyBorder="1"/>
    <xf numFmtId="166" fontId="5" fillId="2" borderId="1" xfId="1" applyNumberFormat="1" applyFont="1" applyFill="1" applyBorder="1"/>
    <xf numFmtId="0" fontId="5" fillId="2" borderId="3" xfId="0" applyFont="1" applyFill="1" applyBorder="1"/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6" fontId="6" fillId="0" borderId="0" xfId="1" applyNumberFormat="1" applyFont="1" applyFill="1"/>
    <xf numFmtId="0" fontId="9" fillId="0" borderId="3" xfId="0" applyFont="1" applyFill="1" applyBorder="1" applyAlignment="1">
      <alignment horizontal="center"/>
    </xf>
    <xf numFmtId="0" fontId="12" fillId="0" borderId="1" xfId="0" applyFont="1" applyFill="1" applyBorder="1"/>
    <xf numFmtId="0" fontId="0" fillId="5" borderId="1" xfId="0" applyFill="1" applyBorder="1"/>
    <xf numFmtId="166" fontId="12" fillId="0" borderId="0" xfId="1" applyNumberFormat="1" applyFont="1"/>
    <xf numFmtId="166" fontId="12" fillId="0" borderId="0" xfId="0" applyNumberFormat="1" applyFont="1" applyFill="1" applyAlignment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57" fillId="5" borderId="3" xfId="0" applyFont="1" applyFill="1" applyBorder="1"/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1" fillId="0" borderId="4" xfId="0" applyFont="1" applyFill="1" applyBorder="1" applyAlignment="1"/>
    <xf numFmtId="166" fontId="33" fillId="0" borderId="1" xfId="0" applyNumberFormat="1" applyFont="1" applyBorder="1" applyAlignment="1"/>
    <xf numFmtId="0" fontId="71" fillId="0" borderId="0" xfId="0" applyFont="1" applyFill="1" applyBorder="1" applyAlignment="1"/>
    <xf numFmtId="0" fontId="71" fillId="0" borderId="1" xfId="0" applyFont="1" applyFill="1" applyBorder="1" applyAlignment="1"/>
    <xf numFmtId="166" fontId="33" fillId="0" borderId="3" xfId="1" applyNumberFormat="1" applyFont="1" applyBorder="1" applyProtection="1"/>
    <xf numFmtId="166" fontId="1" fillId="0" borderId="1" xfId="1" applyNumberFormat="1" applyFont="1" applyBorder="1" applyProtection="1"/>
    <xf numFmtId="166" fontId="33" fillId="24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0" fontId="3" fillId="0" borderId="9" xfId="0" applyFont="1" applyBorder="1"/>
    <xf numFmtId="166" fontId="2" fillId="27" borderId="1" xfId="1" applyNumberFormat="1" applyFont="1" applyFill="1" applyBorder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57" fillId="5" borderId="10" xfId="0" applyFont="1" applyFill="1" applyBorder="1" applyAlignment="1">
      <alignment horizontal="center" vertical="center"/>
    </xf>
    <xf numFmtId="0" fontId="0" fillId="5" borderId="0" xfId="0" applyFont="1" applyFill="1" applyAlignment="1"/>
    <xf numFmtId="3" fontId="57" fillId="5" borderId="1" xfId="1" applyNumberFormat="1" applyFont="1" applyFill="1" applyBorder="1"/>
    <xf numFmtId="166" fontId="3" fillId="0" borderId="0" xfId="0" applyNumberFormat="1" applyFont="1"/>
    <xf numFmtId="0" fontId="22" fillId="0" borderId="3" xfId="0" applyFont="1" applyBorder="1"/>
    <xf numFmtId="0" fontId="22" fillId="0" borderId="1" xfId="0" applyFont="1" applyBorder="1"/>
    <xf numFmtId="166" fontId="22" fillId="0" borderId="3" xfId="1" applyNumberFormat="1" applyFont="1" applyFill="1" applyBorder="1"/>
    <xf numFmtId="0" fontId="57" fillId="5" borderId="19" xfId="0" applyFont="1" applyFill="1" applyBorder="1"/>
    <xf numFmtId="166" fontId="57" fillId="5" borderId="1" xfId="1" applyNumberFormat="1" applyFont="1" applyFill="1" applyBorder="1"/>
    <xf numFmtId="14" fontId="57" fillId="5" borderId="3" xfId="0" applyNumberFormat="1" applyFont="1" applyFill="1" applyBorder="1" applyAlignment="1"/>
    <xf numFmtId="14" fontId="57" fillId="5" borderId="1" xfId="0" applyNumberFormat="1" applyFont="1" applyFill="1" applyBorder="1" applyAlignment="1"/>
    <xf numFmtId="3" fontId="57" fillId="5" borderId="1" xfId="0" applyNumberFormat="1" applyFont="1" applyFill="1" applyBorder="1" applyAlignment="1">
      <alignment vertical="center"/>
    </xf>
    <xf numFmtId="0" fontId="57" fillId="5" borderId="3" xfId="0" applyFont="1" applyFill="1" applyBorder="1" applyAlignment="1">
      <alignment vertical="center"/>
    </xf>
    <xf numFmtId="0" fontId="57" fillId="5" borderId="1" xfId="0" applyFont="1" applyFill="1" applyBorder="1" applyAlignment="1">
      <alignment horizontal="left" vertical="center"/>
    </xf>
    <xf numFmtId="174" fontId="57" fillId="5" borderId="1" xfId="2" applyNumberFormat="1" applyFont="1" applyFill="1" applyBorder="1" applyAlignment="1">
      <alignment vertical="top" wrapText="1"/>
    </xf>
    <xf numFmtId="0" fontId="57" fillId="5" borderId="1" xfId="2" applyFont="1" applyFill="1" applyBorder="1" applyAlignment="1" applyProtection="1"/>
    <xf numFmtId="0" fontId="57" fillId="5" borderId="0" xfId="0" applyFont="1" applyFill="1" applyBorder="1" applyAlignment="1">
      <alignment vertical="center"/>
    </xf>
    <xf numFmtId="0" fontId="57" fillId="5" borderId="0" xfId="0" applyFont="1" applyFill="1" applyBorder="1" applyAlignment="1">
      <alignment horizontal="center"/>
    </xf>
    <xf numFmtId="0" fontId="57" fillId="5" borderId="8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/>
    </xf>
    <xf numFmtId="0" fontId="57" fillId="5" borderId="3" xfId="0" applyFont="1" applyFill="1" applyBorder="1" applyAlignment="1">
      <alignment horizontal="left" vertical="center"/>
    </xf>
    <xf numFmtId="166" fontId="57" fillId="5" borderId="1" xfId="0" applyNumberFormat="1" applyFont="1" applyFill="1" applyBorder="1" applyAlignment="1">
      <alignment vertical="center"/>
    </xf>
    <xf numFmtId="169" fontId="57" fillId="5" borderId="1" xfId="0" applyNumberFormat="1" applyFont="1" applyFill="1" applyBorder="1"/>
    <xf numFmtId="169" fontId="57" fillId="5" borderId="1" xfId="0" applyNumberFormat="1" applyFont="1" applyFill="1" applyBorder="1" applyAlignment="1"/>
    <xf numFmtId="0" fontId="57" fillId="5" borderId="3" xfId="0" applyFont="1" applyFill="1" applyBorder="1" applyAlignment="1"/>
    <xf numFmtId="3" fontId="57" fillId="5" borderId="1" xfId="0" applyNumberFormat="1" applyFont="1" applyFill="1" applyBorder="1" applyAlignment="1">
      <alignment horizontal="right"/>
    </xf>
    <xf numFmtId="15" fontId="57" fillId="0" borderId="0" xfId="0" applyNumberFormat="1" applyFont="1" applyFill="1" applyBorder="1" applyAlignment="1"/>
    <xf numFmtId="168" fontId="71" fillId="0" borderId="1" xfId="2" applyNumberFormat="1" applyFont="1" applyBorder="1"/>
    <xf numFmtId="0" fontId="71" fillId="0" borderId="1" xfId="0" applyFont="1" applyBorder="1"/>
    <xf numFmtId="0" fontId="71" fillId="0" borderId="1" xfId="0" applyFont="1" applyFill="1" applyBorder="1"/>
    <xf numFmtId="166" fontId="33" fillId="0" borderId="1" xfId="0" applyNumberFormat="1" applyFont="1" applyFill="1" applyBorder="1" applyAlignment="1">
      <alignment vertical="center"/>
    </xf>
    <xf numFmtId="166" fontId="72" fillId="0" borderId="2" xfId="1" applyNumberFormat="1" applyFont="1" applyFill="1" applyBorder="1"/>
    <xf numFmtId="3" fontId="22" fillId="0" borderId="1" xfId="0" applyNumberFormat="1" applyFont="1" applyFill="1" applyBorder="1"/>
    <xf numFmtId="0" fontId="71" fillId="0" borderId="3" xfId="0" applyFont="1" applyBorder="1"/>
    <xf numFmtId="0" fontId="33" fillId="0" borderId="1" xfId="0" applyFont="1" applyFill="1" applyBorder="1" applyAlignment="1">
      <alignment horizontal="left"/>
    </xf>
    <xf numFmtId="166" fontId="33" fillId="0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2" fillId="27" borderId="3" xfId="0" applyFont="1" applyFill="1" applyBorder="1"/>
    <xf numFmtId="0" fontId="71" fillId="27" borderId="3" xfId="0" applyFont="1" applyFill="1" applyBorder="1" applyAlignment="1">
      <alignment horizontal="left"/>
    </xf>
    <xf numFmtId="166" fontId="72" fillId="27" borderId="3" xfId="1" applyNumberFormat="1" applyFont="1" applyFill="1" applyBorder="1"/>
    <xf numFmtId="166" fontId="72" fillId="0" borderId="1" xfId="1" applyNumberFormat="1" applyFont="1" applyFill="1" applyBorder="1"/>
    <xf numFmtId="174" fontId="57" fillId="30" borderId="1" xfId="2" applyNumberFormat="1" applyFont="1" applyFill="1" applyBorder="1" applyAlignment="1">
      <alignment horizontal="left"/>
    </xf>
    <xf numFmtId="174" fontId="57" fillId="5" borderId="1" xfId="2" applyNumberFormat="1" applyFont="1" applyFill="1" applyBorder="1" applyAlignment="1">
      <alignment vertical="top"/>
    </xf>
    <xf numFmtId="166" fontId="57" fillId="5" borderId="21" xfId="0" applyNumberFormat="1" applyFont="1" applyFill="1" applyBorder="1" applyAlignment="1">
      <alignment vertic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4" fontId="57" fillId="30" borderId="1" xfId="2" applyNumberFormat="1" applyFont="1" applyFill="1" applyBorder="1" applyAlignment="1">
      <alignment vertical="top"/>
    </xf>
    <xf numFmtId="0" fontId="57" fillId="0" borderId="1" xfId="0" applyFont="1" applyFill="1" applyBorder="1" applyAlignment="1">
      <alignment vertical="center"/>
    </xf>
    <xf numFmtId="0" fontId="57" fillId="0" borderId="1" xfId="0" applyFont="1" applyFill="1" applyBorder="1" applyAlignment="1">
      <alignment horizontal="center"/>
    </xf>
    <xf numFmtId="14" fontId="57" fillId="0" borderId="0" xfId="0" applyNumberFormat="1" applyFont="1" applyFill="1" applyBorder="1" applyAlignment="1"/>
    <xf numFmtId="0" fontId="57" fillId="0" borderId="1" xfId="0" applyFont="1" applyFill="1" applyBorder="1"/>
    <xf numFmtId="14" fontId="57" fillId="0" borderId="1" xfId="0" applyNumberFormat="1" applyFont="1" applyFill="1" applyBorder="1" applyAlignment="1"/>
    <xf numFmtId="0" fontId="58" fillId="0" borderId="3" xfId="0" applyFont="1" applyFill="1" applyBorder="1" applyAlignment="1">
      <alignment horizontal="left"/>
    </xf>
    <xf numFmtId="0" fontId="57" fillId="0" borderId="3" xfId="0" applyFont="1" applyFill="1" applyBorder="1"/>
    <xf numFmtId="169" fontId="57" fillId="0" borderId="3" xfId="0" applyNumberFormat="1" applyFont="1" applyFill="1" applyBorder="1"/>
    <xf numFmtId="0" fontId="58" fillId="0" borderId="1" xfId="0" applyFont="1" applyFill="1" applyBorder="1"/>
    <xf numFmtId="0" fontId="57" fillId="0" borderId="0" xfId="0" applyFont="1" applyFill="1"/>
    <xf numFmtId="0" fontId="58" fillId="5" borderId="1" xfId="0" applyFont="1" applyFill="1" applyBorder="1"/>
    <xf numFmtId="0" fontId="57" fillId="0" borderId="1" xfId="0" applyFont="1" applyBorder="1"/>
    <xf numFmtId="0" fontId="73" fillId="0" borderId="1" xfId="0" applyFont="1" applyFill="1" applyBorder="1" applyAlignment="1">
      <alignment horizontal="center"/>
    </xf>
    <xf numFmtId="166" fontId="57" fillId="5" borderId="1" xfId="0" applyNumberFormat="1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3" fontId="58" fillId="0" borderId="3" xfId="1" applyNumberFormat="1" applyFont="1" applyFill="1" applyBorder="1"/>
    <xf numFmtId="3" fontId="57" fillId="0" borderId="1" xfId="1" applyNumberFormat="1" applyFont="1" applyBorder="1"/>
    <xf numFmtId="3" fontId="58" fillId="5" borderId="1" xfId="1" applyNumberFormat="1" applyFont="1" applyFill="1" applyBorder="1"/>
    <xf numFmtId="3" fontId="58" fillId="0" borderId="1" xfId="1" applyNumberFormat="1" applyFont="1" applyFill="1" applyBorder="1"/>
    <xf numFmtId="3" fontId="57" fillId="0" borderId="1" xfId="1" applyNumberFormat="1" applyFont="1" applyFill="1" applyBorder="1"/>
    <xf numFmtId="0" fontId="57" fillId="0" borderId="0" xfId="2" applyFont="1" applyFill="1" applyBorder="1"/>
    <xf numFmtId="0" fontId="57" fillId="0" borderId="0" xfId="0" applyFont="1" applyFill="1" applyAlignment="1">
      <alignment vertical="center"/>
    </xf>
    <xf numFmtId="3" fontId="57" fillId="0" borderId="1" xfId="0" applyNumberFormat="1" applyFont="1" applyBorder="1"/>
    <xf numFmtId="3" fontId="73" fillId="0" borderId="3" xfId="0" applyNumberFormat="1" applyFont="1" applyBorder="1"/>
    <xf numFmtId="3" fontId="57" fillId="0" borderId="3" xfId="1" applyNumberFormat="1" applyFont="1" applyFill="1" applyBorder="1"/>
    <xf numFmtId="3" fontId="57" fillId="0" borderId="3" xfId="1" applyNumberFormat="1" applyFont="1" applyBorder="1"/>
    <xf numFmtId="169" fontId="8" fillId="0" borderId="9" xfId="0" applyNumberFormat="1" applyFont="1" applyFill="1" applyBorder="1"/>
    <xf numFmtId="0" fontId="9" fillId="0" borderId="9" xfId="0" applyFont="1" applyBorder="1"/>
    <xf numFmtId="166" fontId="8" fillId="0" borderId="1" xfId="1" applyNumberFormat="1" applyFont="1" applyFill="1" applyBorder="1"/>
    <xf numFmtId="166" fontId="8" fillId="0" borderId="1" xfId="0" applyNumberFormat="1" applyFont="1" applyFill="1" applyBorder="1" applyAlignment="1">
      <alignment vertical="center"/>
    </xf>
    <xf numFmtId="0" fontId="22" fillId="5" borderId="19" xfId="0" applyFont="1" applyFill="1" applyBorder="1"/>
    <xf numFmtId="166" fontId="22" fillId="5" borderId="22" xfId="0" applyNumberFormat="1" applyFont="1" applyFill="1" applyBorder="1" applyAlignment="1">
      <alignment vertical="center"/>
    </xf>
    <xf numFmtId="0" fontId="22" fillId="5" borderId="3" xfId="0" applyFont="1" applyFill="1" applyBorder="1"/>
    <xf numFmtId="15" fontId="22" fillId="0" borderId="0" xfId="0" applyNumberFormat="1" applyFont="1" applyFill="1" applyBorder="1" applyAlignment="1"/>
    <xf numFmtId="0" fontId="74" fillId="0" borderId="0" xfId="0" applyFont="1" applyFill="1" applyAlignment="1"/>
    <xf numFmtId="3" fontId="57" fillId="0" borderId="1" xfId="0" applyNumberFormat="1" applyFont="1" applyFill="1" applyBorder="1" applyAlignment="1">
      <alignment vertical="center"/>
    </xf>
    <xf numFmtId="3" fontId="57" fillId="0" borderId="1" xfId="6" applyNumberFormat="1" applyFont="1" applyFill="1" applyBorder="1" applyAlignment="1">
      <alignment vertical="top" wrapText="1"/>
    </xf>
    <xf numFmtId="3" fontId="22" fillId="0" borderId="1" xfId="1" applyNumberFormat="1" applyFont="1" applyBorder="1"/>
    <xf numFmtId="3" fontId="22" fillId="0" borderId="3" xfId="1" applyNumberFormat="1" applyFont="1" applyBorder="1"/>
    <xf numFmtId="0" fontId="0" fillId="0" borderId="0" xfId="0" applyFont="1"/>
    <xf numFmtId="3" fontId="0" fillId="0" borderId="0" xfId="0" applyNumberFormat="1" applyFont="1" applyFill="1"/>
    <xf numFmtId="0" fontId="0" fillId="5" borderId="1" xfId="0" applyFont="1" applyFill="1" applyBorder="1"/>
    <xf numFmtId="3" fontId="0" fillId="5" borderId="0" xfId="0" applyNumberFormat="1" applyFont="1" applyFill="1"/>
    <xf numFmtId="174" fontId="57" fillId="0" borderId="1" xfId="2" applyNumberFormat="1" applyFont="1" applyFill="1" applyBorder="1" applyAlignment="1">
      <alignment vertical="top"/>
    </xf>
    <xf numFmtId="169" fontId="57" fillId="5" borderId="3" xfId="0" applyNumberFormat="1" applyFont="1" applyFill="1" applyBorder="1" applyAlignment="1"/>
    <xf numFmtId="14" fontId="57" fillId="0" borderId="3" xfId="0" applyNumberFormat="1" applyFont="1" applyFill="1" applyBorder="1" applyAlignment="1"/>
    <xf numFmtId="0" fontId="57" fillId="0" borderId="3" xfId="0" applyFont="1" applyBorder="1"/>
    <xf numFmtId="174" fontId="57" fillId="30" borderId="3" xfId="2" applyNumberFormat="1" applyFont="1" applyFill="1" applyBorder="1" applyAlignment="1">
      <alignment horizontal="left"/>
    </xf>
    <xf numFmtId="0" fontId="57" fillId="5" borderId="0" xfId="0" applyFont="1" applyFill="1" applyBorder="1"/>
    <xf numFmtId="0" fontId="57" fillId="0" borderId="20" xfId="0" applyFont="1" applyFill="1" applyBorder="1"/>
    <xf numFmtId="0" fontId="57" fillId="5" borderId="21" xfId="0" applyFont="1" applyFill="1" applyBorder="1"/>
    <xf numFmtId="0" fontId="57" fillId="5" borderId="3" xfId="2" applyFont="1" applyFill="1" applyBorder="1" applyAlignment="1" applyProtection="1"/>
    <xf numFmtId="0" fontId="57" fillId="5" borderId="21" xfId="2" applyFont="1" applyFill="1" applyBorder="1" applyAlignment="1" applyProtection="1"/>
    <xf numFmtId="166" fontId="57" fillId="5" borderId="0" xfId="0" applyNumberFormat="1" applyFont="1" applyFill="1" applyBorder="1" applyAlignment="1">
      <alignment vertical="center"/>
    </xf>
    <xf numFmtId="0" fontId="57" fillId="0" borderId="0" xfId="0" applyFont="1" applyFill="1" applyBorder="1"/>
    <xf numFmtId="0" fontId="57" fillId="0" borderId="13" xfId="2" applyFont="1" applyFill="1" applyBorder="1" applyAlignment="1">
      <alignment vertical="top"/>
    </xf>
    <xf numFmtId="0" fontId="57" fillId="0" borderId="19" xfId="0" applyFont="1" applyFill="1" applyBorder="1"/>
    <xf numFmtId="3" fontId="57" fillId="5" borderId="3" xfId="0" applyNumberFormat="1" applyFont="1" applyFill="1" applyBorder="1" applyAlignment="1">
      <alignment vertical="center"/>
    </xf>
    <xf numFmtId="3" fontId="57" fillId="5" borderId="3" xfId="1" applyNumberFormat="1" applyFont="1" applyFill="1" applyBorder="1"/>
    <xf numFmtId="3" fontId="57" fillId="0" borderId="3" xfId="0" applyNumberFormat="1" applyFont="1" applyBorder="1"/>
    <xf numFmtId="3" fontId="57" fillId="0" borderId="20" xfId="1" applyNumberFormat="1" applyFont="1" applyFill="1" applyBorder="1"/>
    <xf numFmtId="0" fontId="57" fillId="5" borderId="19" xfId="0" applyFont="1" applyFill="1" applyBorder="1" applyAlignment="1">
      <alignment vertical="center"/>
    </xf>
    <xf numFmtId="0" fontId="57" fillId="5" borderId="19" xfId="0" applyFont="1" applyFill="1" applyBorder="1" applyAlignment="1"/>
    <xf numFmtId="0" fontId="57" fillId="0" borderId="3" xfId="0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 vertical="center"/>
    </xf>
    <xf numFmtId="166" fontId="57" fillId="5" borderId="10" xfId="1" applyNumberFormat="1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/>
    </xf>
    <xf numFmtId="0" fontId="57" fillId="0" borderId="21" xfId="0" applyFont="1" applyFill="1" applyBorder="1"/>
    <xf numFmtId="0" fontId="57" fillId="0" borderId="1" xfId="0" applyFont="1" applyFill="1" applyBorder="1" applyAlignment="1">
      <alignment horizontal="left"/>
    </xf>
    <xf numFmtId="0" fontId="57" fillId="0" borderId="1" xfId="2" applyFont="1" applyFill="1" applyBorder="1" applyAlignment="1">
      <alignment vertical="top"/>
    </xf>
    <xf numFmtId="0" fontId="57" fillId="0" borderId="1" xfId="0" applyFont="1" applyFill="1" applyBorder="1" applyAlignment="1">
      <alignment horizontal="center" vertical="center"/>
    </xf>
    <xf numFmtId="166" fontId="57" fillId="0" borderId="1" xfId="0" applyNumberFormat="1" applyFont="1" applyFill="1" applyBorder="1" applyAlignment="1">
      <alignment vertical="center"/>
    </xf>
    <xf numFmtId="3" fontId="57" fillId="0" borderId="19" xfId="1" applyNumberFormat="1" applyFont="1" applyFill="1" applyBorder="1"/>
    <xf numFmtId="174" fontId="57" fillId="30" borderId="3" xfId="2" applyNumberFormat="1" applyFont="1" applyFill="1" applyBorder="1" applyAlignment="1">
      <alignment vertical="top"/>
    </xf>
    <xf numFmtId="3" fontId="57" fillId="5" borderId="19" xfId="1" applyNumberFormat="1" applyFont="1" applyFill="1" applyBorder="1"/>
    <xf numFmtId="0" fontId="57" fillId="0" borderId="1" xfId="0" applyFont="1" applyFill="1" applyBorder="1" applyAlignment="1"/>
    <xf numFmtId="166" fontId="57" fillId="0" borderId="1" xfId="1" applyNumberFormat="1" applyFont="1" applyFill="1" applyBorder="1"/>
    <xf numFmtId="174" fontId="57" fillId="30" borderId="0" xfId="2" applyNumberFormat="1" applyFont="1" applyFill="1" applyBorder="1" applyAlignment="1">
      <alignment horizontal="left"/>
    </xf>
    <xf numFmtId="166" fontId="57" fillId="0" borderId="3" xfId="0" applyNumberFormat="1" applyFont="1" applyFill="1" applyBorder="1" applyAlignment="1">
      <alignment vertical="center"/>
    </xf>
    <xf numFmtId="3" fontId="57" fillId="0" borderId="13" xfId="1" applyNumberFormat="1" applyFont="1" applyFill="1" applyBorder="1"/>
    <xf numFmtId="3" fontId="57" fillId="0" borderId="0" xfId="1" applyNumberFormat="1" applyFont="1" applyBorder="1"/>
    <xf numFmtId="0" fontId="0" fillId="0" borderId="1" xfId="0" applyFont="1" applyFill="1" applyBorder="1" applyAlignment="1"/>
    <xf numFmtId="0" fontId="57" fillId="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left"/>
    </xf>
    <xf numFmtId="166" fontId="0" fillId="5" borderId="0" xfId="0" applyNumberFormat="1" applyFill="1" applyBorder="1"/>
    <xf numFmtId="0" fontId="12" fillId="0" borderId="0" xfId="0" applyFont="1" applyFill="1" applyAlignment="1"/>
    <xf numFmtId="0" fontId="12" fillId="5" borderId="0" xfId="0" applyFont="1" applyFill="1" applyAlignment="1"/>
    <xf numFmtId="0" fontId="12" fillId="3" borderId="0" xfId="0" applyFont="1" applyFill="1" applyAlignment="1"/>
    <xf numFmtId="0" fontId="9" fillId="9" borderId="1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center" vertical="center"/>
    </xf>
    <xf numFmtId="170" fontId="9" fillId="0" borderId="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9" fillId="0" borderId="13" xfId="1" applyNumberFormat="1" applyFont="1" applyFill="1" applyBorder="1" applyAlignment="1" applyProtection="1">
      <alignment horizontal="center"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50" fillId="22" borderId="0" xfId="0" applyFont="1" applyFill="1" applyAlignment="1">
      <alignment horizontal="center"/>
    </xf>
    <xf numFmtId="0" fontId="56" fillId="22" borderId="0" xfId="0" applyFont="1" applyFill="1" applyAlignment="1">
      <alignment horizontal="center"/>
    </xf>
    <xf numFmtId="0" fontId="62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28" borderId="12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174" fontId="57" fillId="5" borderId="3" xfId="2" applyNumberFormat="1" applyFont="1" applyFill="1" applyBorder="1" applyAlignment="1">
      <alignment vertical="top"/>
    </xf>
    <xf numFmtId="0" fontId="57" fillId="5" borderId="1" xfId="2" applyFont="1" applyFill="1" applyBorder="1" applyAlignment="1">
      <alignment vertical="top"/>
    </xf>
    <xf numFmtId="3" fontId="57" fillId="0" borderId="3" xfId="6" applyNumberFormat="1" applyFont="1" applyFill="1" applyBorder="1" applyAlignment="1">
      <alignment vertical="top" wrapText="1"/>
    </xf>
    <xf numFmtId="0" fontId="57" fillId="5" borderId="24" xfId="0" applyFont="1" applyFill="1" applyBorder="1"/>
    <xf numFmtId="3" fontId="57" fillId="5" borderId="23" xfId="1" applyNumberFormat="1" applyFont="1" applyFill="1" applyBorder="1"/>
    <xf numFmtId="0" fontId="57" fillId="5" borderId="3" xfId="0" applyFont="1" applyFill="1" applyBorder="1" applyAlignment="1">
      <alignment horizontal="center"/>
    </xf>
    <xf numFmtId="14" fontId="57" fillId="5" borderId="1" xfId="0" applyNumberFormat="1" applyFont="1" applyFill="1" applyBorder="1" applyAlignment="1">
      <alignment horizontal="center" vertical="center"/>
    </xf>
    <xf numFmtId="0" fontId="57" fillId="0" borderId="3" xfId="2" applyFont="1" applyFill="1" applyBorder="1"/>
    <xf numFmtId="0" fontId="57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left" vertical="center"/>
    </xf>
    <xf numFmtId="169" fontId="57" fillId="5" borderId="3" xfId="0" applyNumberFormat="1" applyFont="1" applyFill="1" applyBorder="1"/>
    <xf numFmtId="166" fontId="57" fillId="5" borderId="3" xfId="0" applyNumberFormat="1" applyFont="1" applyFill="1" applyBorder="1" applyAlignment="1">
      <alignment vertical="center"/>
    </xf>
    <xf numFmtId="169" fontId="57" fillId="0" borderId="1" xfId="0" applyNumberFormat="1" applyFont="1" applyFill="1" applyBorder="1"/>
    <xf numFmtId="0" fontId="57" fillId="5" borderId="13" xfId="0" applyFont="1" applyFill="1" applyBorder="1" applyAlignment="1">
      <alignment horizontal="center" vertical="center"/>
    </xf>
    <xf numFmtId="14" fontId="57" fillId="5" borderId="1" xfId="0" applyNumberFormat="1" applyFont="1" applyFill="1" applyBorder="1" applyAlignment="1">
      <alignment vertical="center"/>
    </xf>
    <xf numFmtId="3" fontId="57" fillId="5" borderId="1" xfId="0" applyNumberFormat="1" applyFont="1" applyFill="1" applyBorder="1" applyAlignment="1"/>
  </cellXfs>
  <cellStyles count="7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8" name="Image 2" descr="Description : Logo mefe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251460</xdr:colOff>
      <xdr:row>0</xdr:row>
      <xdr:rowOff>142875</xdr:rowOff>
    </xdr:from>
    <xdr:to>
      <xdr:col>8</xdr:col>
      <xdr:colOff>99060</xdr:colOff>
      <xdr:row>3</xdr:row>
      <xdr:rowOff>158115</xdr:rowOff>
    </xdr:to>
    <xdr:pic>
      <xdr:nvPicPr>
        <xdr:cNvPr id="9" name="Image 5" descr="Description : téléchargement.png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5937885" y="142875"/>
          <a:ext cx="74295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939165</xdr:colOff>
      <xdr:row>1</xdr:row>
      <xdr:rowOff>57150</xdr:rowOff>
    </xdr:from>
    <xdr:to>
      <xdr:col>5</xdr:col>
      <xdr:colOff>337185</xdr:colOff>
      <xdr:row>4</xdr:row>
      <xdr:rowOff>64770</xdr:rowOff>
    </xdr:to>
    <xdr:pic>
      <xdr:nvPicPr>
        <xdr:cNvPr id="10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247650"/>
          <a:ext cx="2493645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729616</xdr:colOff>
      <xdr:row>0</xdr:row>
      <xdr:rowOff>123826</xdr:rowOff>
    </xdr:from>
    <xdr:ext cx="1120139" cy="716279"/>
    <xdr:pic>
      <xdr:nvPicPr>
        <xdr:cNvPr id="11" name="Image 4" descr="eaglelogo.jpg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11391" y="12382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523875</xdr:colOff>
      <xdr:row>0</xdr:row>
      <xdr:rowOff>0</xdr:rowOff>
    </xdr:from>
    <xdr:to>
      <xdr:col>3</xdr:col>
      <xdr:colOff>257175</xdr:colOff>
      <xdr:row>4</xdr:row>
      <xdr:rowOff>30480</xdr:rowOff>
    </xdr:to>
    <xdr:pic>
      <xdr:nvPicPr>
        <xdr:cNvPr id="12" name="Image 6" descr="E:\PALF_logo_new_1.jpg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60007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21995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0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79145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0</xdr:row>
      <xdr:rowOff>0</xdr:rowOff>
    </xdr:from>
    <xdr:ext cx="76200" cy="228600"/>
    <xdr:sp macro="" textlink="">
      <xdr:nvSpPr>
        <xdr:cNvPr id="9" name="Text Box 32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7219950" y="4838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0</xdr:row>
      <xdr:rowOff>0</xdr:rowOff>
    </xdr:from>
    <xdr:ext cx="19050" cy="209550"/>
    <xdr:sp macro="" textlink="">
      <xdr:nvSpPr>
        <xdr:cNvPr id="10" name="Text Box 34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7791450" y="48387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220980</xdr:colOff>
      <xdr:row>0</xdr:row>
      <xdr:rowOff>152400</xdr:rowOff>
    </xdr:from>
    <xdr:to>
      <xdr:col>2</xdr:col>
      <xdr:colOff>228600</xdr:colOff>
      <xdr:row>3</xdr:row>
      <xdr:rowOff>175260</xdr:rowOff>
    </xdr:to>
    <xdr:pic>
      <xdr:nvPicPr>
        <xdr:cNvPr id="11" name="Image 2" descr="Description : Logo mefe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1327785</xdr:colOff>
      <xdr:row>0</xdr:row>
      <xdr:rowOff>28575</xdr:rowOff>
    </xdr:from>
    <xdr:to>
      <xdr:col>9</xdr:col>
      <xdr:colOff>2423160</xdr:colOff>
      <xdr:row>3</xdr:row>
      <xdr:rowOff>43815</xdr:rowOff>
    </xdr:to>
    <xdr:pic>
      <xdr:nvPicPr>
        <xdr:cNvPr id="12" name="Image 5" descr="Description : téléchargement.png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7557135" y="28575"/>
          <a:ext cx="109537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339090</xdr:colOff>
      <xdr:row>0</xdr:row>
      <xdr:rowOff>180975</xdr:rowOff>
    </xdr:from>
    <xdr:to>
      <xdr:col>8</xdr:col>
      <xdr:colOff>394335</xdr:colOff>
      <xdr:row>3</xdr:row>
      <xdr:rowOff>188595</xdr:rowOff>
    </xdr:to>
    <xdr:pic>
      <xdr:nvPicPr>
        <xdr:cNvPr id="13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590" y="180975"/>
          <a:ext cx="9220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34291</xdr:colOff>
      <xdr:row>0</xdr:row>
      <xdr:rowOff>28576</xdr:rowOff>
    </xdr:from>
    <xdr:ext cx="1120139" cy="716279"/>
    <xdr:pic>
      <xdr:nvPicPr>
        <xdr:cNvPr id="14" name="Image 4" descr="eaglelogo.jpg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49791" y="285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3</xdr:col>
      <xdr:colOff>561975</xdr:colOff>
      <xdr:row>0</xdr:row>
      <xdr:rowOff>133350</xdr:rowOff>
    </xdr:from>
    <xdr:to>
      <xdr:col>4</xdr:col>
      <xdr:colOff>561975</xdr:colOff>
      <xdr:row>4</xdr:row>
      <xdr:rowOff>163830</xdr:rowOff>
    </xdr:to>
    <xdr:pic>
      <xdr:nvPicPr>
        <xdr:cNvPr id="15" name="Image 6" descr="E:\PALF_logo_new_1.jpg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3350"/>
          <a:ext cx="7620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12" name="Image 2" descr="Description : Logo mefe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375285</xdr:colOff>
      <xdr:row>0</xdr:row>
      <xdr:rowOff>152400</xdr:rowOff>
    </xdr:from>
    <xdr:to>
      <xdr:col>7</xdr:col>
      <xdr:colOff>613410</xdr:colOff>
      <xdr:row>3</xdr:row>
      <xdr:rowOff>167640</xdr:rowOff>
    </xdr:to>
    <xdr:pic>
      <xdr:nvPicPr>
        <xdr:cNvPr id="13" name="Image 5" descr="Description : téléchargement.png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6528435" y="152400"/>
          <a:ext cx="107632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605790</xdr:colOff>
      <xdr:row>0</xdr:row>
      <xdr:rowOff>180975</xdr:rowOff>
    </xdr:from>
    <xdr:to>
      <xdr:col>5</xdr:col>
      <xdr:colOff>3810</xdr:colOff>
      <xdr:row>3</xdr:row>
      <xdr:rowOff>188595</xdr:rowOff>
    </xdr:to>
    <xdr:pic>
      <xdr:nvPicPr>
        <xdr:cNvPr id="14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80975"/>
          <a:ext cx="33985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167641</xdr:colOff>
      <xdr:row>0</xdr:row>
      <xdr:rowOff>104776</xdr:rowOff>
    </xdr:from>
    <xdr:ext cx="1120139" cy="716279"/>
    <xdr:pic>
      <xdr:nvPicPr>
        <xdr:cNvPr id="15" name="Image 9" descr="eaglelogo.jpg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997191" y="1047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3</xdr:col>
      <xdr:colOff>85725</xdr:colOff>
      <xdr:row>4</xdr:row>
      <xdr:rowOff>11430</xdr:rowOff>
    </xdr:to>
    <xdr:pic>
      <xdr:nvPicPr>
        <xdr:cNvPr id="16" name="Image 6" descr="E:\PALF_logo_new_1.jpg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7620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46760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0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803910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220980</xdr:colOff>
      <xdr:row>0</xdr:row>
      <xdr:rowOff>152400</xdr:rowOff>
    </xdr:from>
    <xdr:to>
      <xdr:col>2</xdr:col>
      <xdr:colOff>228600</xdr:colOff>
      <xdr:row>3</xdr:row>
      <xdr:rowOff>175260</xdr:rowOff>
    </xdr:to>
    <xdr:pic>
      <xdr:nvPicPr>
        <xdr:cNvPr id="14" name="Image 2" descr="Description : Logo mefe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1327785</xdr:colOff>
      <xdr:row>0</xdr:row>
      <xdr:rowOff>28575</xdr:rowOff>
    </xdr:from>
    <xdr:to>
      <xdr:col>9</xdr:col>
      <xdr:colOff>2423160</xdr:colOff>
      <xdr:row>3</xdr:row>
      <xdr:rowOff>43815</xdr:rowOff>
    </xdr:to>
    <xdr:pic>
      <xdr:nvPicPr>
        <xdr:cNvPr id="15" name="Image 5" descr="Description : téléchargement.png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7557135" y="28575"/>
          <a:ext cx="1095375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339090</xdr:colOff>
      <xdr:row>0</xdr:row>
      <xdr:rowOff>180975</xdr:rowOff>
    </xdr:from>
    <xdr:to>
      <xdr:col>8</xdr:col>
      <xdr:colOff>394335</xdr:colOff>
      <xdr:row>3</xdr:row>
      <xdr:rowOff>188595</xdr:rowOff>
    </xdr:to>
    <xdr:pic>
      <xdr:nvPicPr>
        <xdr:cNvPr id="16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590" y="180975"/>
          <a:ext cx="9220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34291</xdr:colOff>
      <xdr:row>0</xdr:row>
      <xdr:rowOff>28576</xdr:rowOff>
    </xdr:from>
    <xdr:ext cx="1120139" cy="716279"/>
    <xdr:pic>
      <xdr:nvPicPr>
        <xdr:cNvPr id="17" name="Image 4" descr="eaglelogo.jpg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73641" y="28576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3</xdr:col>
      <xdr:colOff>561975</xdr:colOff>
      <xdr:row>0</xdr:row>
      <xdr:rowOff>133350</xdr:rowOff>
    </xdr:from>
    <xdr:to>
      <xdr:col>4</xdr:col>
      <xdr:colOff>561975</xdr:colOff>
      <xdr:row>4</xdr:row>
      <xdr:rowOff>78105</xdr:rowOff>
    </xdr:to>
    <xdr:pic>
      <xdr:nvPicPr>
        <xdr:cNvPr id="18" name="Image 6" descr="E:\PALF_logo_new_1.jpg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3350"/>
          <a:ext cx="7620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septembre\compta%2030%20SPTE\Compta_Perrine_3009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Fichier%20comptable-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Compta_Tiffany%20Mai%202021%201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_CREPIN%20du%2031-08-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_comptable_Dalia_au_21_Aout_2020%20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bilit&#233;%20Evariste%20du%2021%20ao&#251;t%202020%20vf%20O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_21_08_20_%20Herick%20_Harmonis&#233;e(3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bilit&#233;%20i23c%20au%2019%20Ao&#251;t%202020%20corrig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%20PALF%20JB%20actualis&#233;e%20ce%2021.08.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_%20comptable_%20Jospin%20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P29-Comptabilit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Rapport%20Fin\RAF\RF\Rapport_20\RALFF%2020\2021\RF\RF%20Avril%202021\PALF%20Rapport%20Financier%20Avril%202021_HB_1_1_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%20comptable-Shely%20A%20(1)%20(1)O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%20comptable-ted%20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lff\AppData\Local\Microsoft\Windows\INetCache\Content.Outlook\BTO9MOI8\RAPPORT%20FINANCIER%20JUILLE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Compta%20Christian%20actuais&#233;e%20au%2008_04_2021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COMPTA_CREPIN%20du%2004-06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Fichier-comptable-Evariste-04-06-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2018-3\Desktop\Fichier%20Compta%20matoko%20Geisner%20%20Du%2004-%2005-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Comptabilit&#233;%20i23c%20au%2031%20Mai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COMPTA%20PALF%20JB%20actualis&#233;e%20ce%2004.06.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\Downloads\Compta%20Mai%202021\P29-Comptabilit&#233;%20(13)V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  <sheetName val="Cumul frais transport"/>
      <sheetName val="compta ted ok"/>
    </sheetNames>
    <sheetDataSet>
      <sheetData sheetId="0"/>
      <sheetData sheetId="1">
        <row r="54">
          <cell r="G54">
            <v>30800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ok"/>
      <sheetName val="Compta ok (2)"/>
      <sheetName val="Cumul frais transport"/>
    </sheetNames>
    <sheetDataSet>
      <sheetData sheetId="0"/>
      <sheetData sheetId="1"/>
      <sheetData sheetId="2">
        <row r="73">
          <cell r="G73">
            <v>41893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"/>
      <sheetName val="Donateurs"/>
      <sheetName val="Sheet4"/>
      <sheetName val="DATA  AVRIL "/>
      <sheetName val="Compte Principal 34 BCI"/>
      <sheetName val="Rapprochement Bancaire Cpte 34"/>
      <sheetName val="Sous-Compte 56 BCI"/>
      <sheetName val="Rapprochement Bancaire Cpte 56"/>
      <sheetName val="CAISSE Avril  21"/>
    </sheetNames>
    <sheetDataSet>
      <sheetData sheetId="0">
        <row r="3">
          <cell r="I3">
            <v>7405927</v>
          </cell>
        </row>
        <row r="4">
          <cell r="I4">
            <v>22972065</v>
          </cell>
        </row>
        <row r="5">
          <cell r="I5">
            <v>467929</v>
          </cell>
        </row>
        <row r="6">
          <cell r="I6">
            <v>40050</v>
          </cell>
        </row>
        <row r="7">
          <cell r="I7">
            <v>38845</v>
          </cell>
        </row>
        <row r="8">
          <cell r="I8">
            <v>6895</v>
          </cell>
        </row>
        <row r="9">
          <cell r="I9">
            <v>28540</v>
          </cell>
        </row>
        <row r="10">
          <cell r="I10">
            <v>184</v>
          </cell>
        </row>
        <row r="11">
          <cell r="I11">
            <v>68200</v>
          </cell>
        </row>
        <row r="12">
          <cell r="I12">
            <v>233614</v>
          </cell>
        </row>
        <row r="13">
          <cell r="I13">
            <v>249769</v>
          </cell>
        </row>
        <row r="14">
          <cell r="I14">
            <v>-4675</v>
          </cell>
        </row>
        <row r="15">
          <cell r="I15">
            <v>5000</v>
          </cell>
        </row>
        <row r="16">
          <cell r="I16">
            <v>72800</v>
          </cell>
        </row>
        <row r="17">
          <cell r="I17">
            <v>47300</v>
          </cell>
        </row>
        <row r="18">
          <cell r="I18">
            <v>79600</v>
          </cell>
        </row>
        <row r="19">
          <cell r="I19">
            <v>31712043</v>
          </cell>
        </row>
      </sheetData>
      <sheetData sheetId="1"/>
      <sheetData sheetId="2"/>
      <sheetData sheetId="3"/>
      <sheetData sheetId="4">
        <row r="29">
          <cell r="H29">
            <v>7405927</v>
          </cell>
        </row>
      </sheetData>
      <sheetData sheetId="5"/>
      <sheetData sheetId="6">
        <row r="37">
          <cell r="H37">
            <v>22972068</v>
          </cell>
        </row>
      </sheetData>
      <sheetData sheetId="7"/>
      <sheetData sheetId="8">
        <row r="104">
          <cell r="G104">
            <v>467929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compta Christian ok"/>
      <sheetName val="Cumul frais de transport local"/>
    </sheetNames>
    <sheetDataSet>
      <sheetData sheetId="0" refreshError="1"/>
      <sheetData sheetId="1">
        <row r="687">
          <cell r="G687">
            <v>9050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 ok"/>
      <sheetName val="Cumul frais transport local OK"/>
      <sheetName val="Cumul trust building OK"/>
      <sheetName val="compta ok (2)"/>
    </sheetNames>
    <sheetDataSet>
      <sheetData sheetId="0"/>
      <sheetData sheetId="1"/>
      <sheetData sheetId="2"/>
      <sheetData sheetId="3">
        <row r="3655">
          <cell r="G3655">
            <v>260445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compta ok"/>
      <sheetName val="Type de dépenses"/>
      <sheetName val="Feuil1"/>
      <sheetName val="Feuil3"/>
    </sheetNames>
    <sheetDataSet>
      <sheetData sheetId="0"/>
      <sheetData sheetId="1">
        <row r="2846">
          <cell r="G2846">
            <v>88995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Geisner"/>
      <sheetName val="Compta Geisner ok"/>
      <sheetName val="Cumul frais transport local"/>
      <sheetName val="Cumul frais visite geôle"/>
      <sheetName val="Compta Geisner ok (2)"/>
    </sheetNames>
    <sheetDataSet>
      <sheetData sheetId="0" refreshError="1"/>
      <sheetData sheetId="1" refreshError="1"/>
      <sheetData sheetId="2">
        <row r="402">
          <cell r="G402">
            <v>67690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COMPTA_I23C OK"/>
      <sheetName val="Feuil6"/>
      <sheetName val="Feuil5"/>
      <sheetName val="COMPTA"/>
    </sheetNames>
    <sheetDataSet>
      <sheetData sheetId="0"/>
      <sheetData sheetId="1"/>
      <sheetData sheetId="2"/>
      <sheetData sheetId="3">
        <row r="4979">
          <cell r="G4979">
            <v>-36185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ok "/>
      <sheetName val="Cumul frais transport local"/>
      <sheetName val="Cumul frais visite geôle"/>
      <sheetName val="Cumul frais team building"/>
    </sheetNames>
    <sheetDataSet>
      <sheetData sheetId="0"/>
      <sheetData sheetId="1">
        <row r="3424">
          <cell r="G3424">
            <v>131575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COMPT-P29 ok"/>
      <sheetName val="Feuil5"/>
      <sheetName val="Feuil3"/>
      <sheetName val="compta"/>
    </sheetNames>
    <sheetDataSet>
      <sheetData sheetId="0" refreshError="1"/>
      <sheetData sheetId="1" refreshError="1"/>
      <sheetData sheetId="2" refreshError="1"/>
      <sheetData sheetId="3">
        <row r="909">
          <cell r="G909">
            <v>6200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369.623307986112" createdVersion="3" refreshedVersion="3" minRefreshableVersion="3" recordCount="273">
  <cacheSource type="worksheet">
    <worksheetSource ref="A11:O284" sheet="DATA  MAI"/>
  </cacheSource>
  <cacheFields count="15">
    <cacheField name="Date" numFmtId="15">
      <sharedItems containsSemiMixedTypes="0" containsNonDate="0" containsDate="1" containsString="0" minDate="2021-05-01T00:00:00" maxDate="2021-06-01T00:00:00"/>
    </cacheField>
    <cacheField name="Details" numFmtId="0">
      <sharedItems/>
    </cacheField>
    <cacheField name="Type de dépenses" numFmtId="0">
      <sharedItems containsBlank="1" count="21">
        <m/>
        <s v="Transport"/>
        <s v="Travel expense"/>
        <s v="Travel subsistence"/>
        <s v="Services"/>
        <s v="Versement"/>
        <s v="Personnel"/>
        <s v="Office Materials"/>
        <s v="Lawyer fees"/>
        <s v="Rent &amp; Utilities"/>
        <s v="Bonus"/>
        <s v="Transfer fees"/>
        <s v="Telephone"/>
        <s v="Internet"/>
        <s v="Editing Costs"/>
        <s v="Trust Building"/>
        <s v="Jail visits"/>
        <s v="Flight"/>
        <s v="Bonus "/>
        <s v="Bank fees"/>
        <s v="Versement " u="1"/>
      </sharedItems>
    </cacheField>
    <cacheField name="Departement" numFmtId="0">
      <sharedItems containsBlank="1"/>
    </cacheField>
    <cacheField name="Received" numFmtId="3">
      <sharedItems containsString="0" containsBlank="1" containsNumber="1" containsInteger="1" minValue="184" maxValue="1000000"/>
    </cacheField>
    <cacheField name="Spent" numFmtId="3">
      <sharedItems containsString="0" containsBlank="1" containsNumber="1" containsInteger="1" minValue="0" maxValue="1181177"/>
    </cacheField>
    <cacheField name="Balance" numFmtId="166">
      <sharedItems containsSemiMixedTypes="0" containsString="0" containsNumber="1" containsInteger="1" minValue="20520554" maxValue="31712043"/>
    </cacheField>
    <cacheField name="Name" numFmtId="0">
      <sharedItems containsBlank="1" count="17">
        <m/>
        <s v="P29"/>
        <s v="Tiffany"/>
        <s v="Christian"/>
        <s v="I23C"/>
        <s v="BCI"/>
        <s v="Caisse"/>
        <s v="Geisner"/>
        <s v="Merveille"/>
        <s v="Ted"/>
        <s v="Jack-Bénisson"/>
        <s v="BCI Sous-Compte"/>
        <s v="Evariste"/>
        <s v="Crépin"/>
        <s v="I73X"/>
        <s v="I55S"/>
        <s v="Hérick"/>
      </sharedItems>
    </cacheField>
    <cacheField name="Receipt" numFmtId="0">
      <sharedItems containsBlank="1" containsMixedTypes="1" containsNumber="1" containsInteger="1" minValue="3643457" maxValue="3654446"/>
    </cacheField>
    <cacheField name="Donor" numFmtId="0">
      <sharedItems containsBlank="1" count="4">
        <m/>
        <s v="AVAAZ 2020"/>
        <s v="UE"/>
        <s v="NO WILDLIFE CRIME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">
  <r>
    <d v="2021-05-01T00:00:00"/>
    <s v="Solde au 01/05/2021"/>
    <x v="0"/>
    <m/>
    <m/>
    <m/>
    <n v="31712043"/>
    <x v="0"/>
    <m/>
    <x v="0"/>
    <m/>
    <m/>
    <m/>
    <m/>
    <m/>
  </r>
  <r>
    <d v="2021-05-01T00:00:00"/>
    <s v="Frais de transport  Dolisie-Madingou/P29"/>
    <x v="1"/>
    <s v="Investigations"/>
    <m/>
    <n v="5000"/>
    <n v="31707043"/>
    <x v="1"/>
    <s v="Oui"/>
    <x v="1"/>
    <s v="PALF"/>
    <s v="CONGO"/>
    <m/>
    <m/>
    <m/>
  </r>
  <r>
    <d v="2021-05-01T00:00:00"/>
    <s v="EVisa Kenya"/>
    <x v="2"/>
    <s v="Management"/>
    <m/>
    <n v="27707"/>
    <n v="31679336"/>
    <x v="2"/>
    <s v="Oui"/>
    <x v="1"/>
    <s v="PALF"/>
    <s v="CONGO"/>
    <m/>
    <m/>
    <m/>
  </r>
  <r>
    <d v="2021-05-01T00:00:00"/>
    <s v="CHRISTIAN MININGOU - CONGO - Hôtel Mission à sibiti du 29/04 au 01/05/21"/>
    <x v="3"/>
    <s v="Legal"/>
    <m/>
    <n v="30000"/>
    <n v="31649336"/>
    <x v="3"/>
    <s v="Oui"/>
    <x v="2"/>
    <s v="RALFF"/>
    <s v="CONGO"/>
    <s v="RALFF-CO2196"/>
    <s v="1.3.2"/>
    <m/>
  </r>
  <r>
    <d v="2021-05-01T00:00:00"/>
    <s v="P29 - CONGO - Hôtel Mission à Dolisie du 29/04 au 01/05/21"/>
    <x v="3"/>
    <s v="Investigations"/>
    <m/>
    <n v="30000"/>
    <n v="31619336"/>
    <x v="1"/>
    <s v="Oui"/>
    <x v="2"/>
    <s v="RALFF"/>
    <s v="CONGO"/>
    <s v="RALFF-CO2197"/>
    <s v="1.3.2"/>
    <m/>
  </r>
  <r>
    <d v="2021-05-01T00:00:00"/>
    <s v="Frais transport Sibiti-Nkayi/Christian"/>
    <x v="1"/>
    <s v="Legal"/>
    <m/>
    <n v="6000"/>
    <n v="31613336"/>
    <x v="3"/>
    <s v="Oui"/>
    <x v="2"/>
    <s v="RALFF"/>
    <s v="CONGO"/>
    <s v="RALFF-CO2194"/>
    <s v="2.2"/>
    <m/>
  </r>
  <r>
    <d v="2021-05-01T00:00:00"/>
    <s v="Achat Billet Nkayi-Brazzaville/Geis"/>
    <x v="1"/>
    <s v="Legal"/>
    <m/>
    <n v="8000"/>
    <n v="31605336"/>
    <x v="3"/>
    <s v="Oui"/>
    <x v="2"/>
    <s v="RALFF"/>
    <s v="CONGO"/>
    <s v="RALFF-CO2195"/>
    <s v="2.2"/>
    <m/>
  </r>
  <r>
    <d v="2021-05-03T00:00:00"/>
    <s v="Frais de transport  Madingou-Brazzaville/P29"/>
    <x v="1"/>
    <s v="Investigations"/>
    <m/>
    <n v="8000"/>
    <n v="31597336"/>
    <x v="1"/>
    <s v="Oui"/>
    <x v="1"/>
    <s v="PALF"/>
    <s v="CONGO"/>
    <m/>
    <m/>
    <m/>
  </r>
  <r>
    <d v="2021-05-03T00:00:00"/>
    <s v="I23C - CONGO - Hôtel Mission à Nkayi du 30/04  au 3/05/21 "/>
    <x v="3"/>
    <s v="Investigations"/>
    <m/>
    <n v="45000"/>
    <n v="31552336"/>
    <x v="4"/>
    <s v="Oui"/>
    <x v="2"/>
    <s v="RALFF"/>
    <s v="CONGO"/>
    <s v="RALFF-CO2198"/>
    <s v="1.3.2"/>
    <m/>
  </r>
  <r>
    <d v="2021-05-03T00:00:00"/>
    <s v="P29 - CONGO - Hôtel Mission à Madingou  du 01 au 03/05/21"/>
    <x v="3"/>
    <s v="Investigations"/>
    <m/>
    <n v="30000"/>
    <n v="31522336"/>
    <x v="1"/>
    <s v="Oui"/>
    <x v="2"/>
    <s v="RALFF"/>
    <s v="CONGO"/>
    <s v="RALFF-CO2200"/>
    <s v="1.3.2"/>
    <m/>
  </r>
  <r>
    <d v="2021-05-03T00:00:00"/>
    <s v="Frais de transport  Nkayi-Brazzaville/I23C"/>
    <x v="1"/>
    <s v="Investigations"/>
    <m/>
    <n v="9000"/>
    <n v="31513336"/>
    <x v="4"/>
    <s v="Oui"/>
    <x v="2"/>
    <s v="RALFF"/>
    <s v="CONGO"/>
    <s v="RALFF-CO2199"/>
    <s v="2.2"/>
    <m/>
  </r>
  <r>
    <d v="2021-05-04T00:00:00"/>
    <s v="Reglement gardiennage mois d'Avril 2021/Première Global"/>
    <x v="4"/>
    <s v="Office"/>
    <m/>
    <n v="260000"/>
    <n v="31253336"/>
    <x v="5"/>
    <s v="Virement"/>
    <x v="1"/>
    <s v="PALF"/>
    <s v="CONGO"/>
    <m/>
    <m/>
    <m/>
  </r>
  <r>
    <d v="2021-05-04T00:00:00"/>
    <s v="Retrait especes/appro caisse/bord n°3654444"/>
    <x v="5"/>
    <m/>
    <m/>
    <n v="1000000"/>
    <n v="30253336"/>
    <x v="5"/>
    <n v="3654444"/>
    <x v="0"/>
    <m/>
    <m/>
    <m/>
    <m/>
    <m/>
  </r>
  <r>
    <d v="2021-05-04T00:00:00"/>
    <s v="Remboursement frais assurances Tiffany"/>
    <x v="6"/>
    <s v="Management"/>
    <m/>
    <n v="204665"/>
    <n v="30048671"/>
    <x v="6"/>
    <s v="Oui"/>
    <x v="1"/>
    <s v="PALF"/>
    <s v="CONGO"/>
    <m/>
    <m/>
    <m/>
  </r>
  <r>
    <d v="2021-05-04T00:00:00"/>
    <s v="BCI"/>
    <x v="5"/>
    <m/>
    <n v="1000000"/>
    <m/>
    <n v="31048671"/>
    <x v="6"/>
    <m/>
    <x v="0"/>
    <m/>
    <m/>
    <m/>
    <m/>
    <m/>
  </r>
  <r>
    <d v="2021-05-04T00:00:00"/>
    <s v="Achat 02 paquets de pile"/>
    <x v="7"/>
    <s v="Office"/>
    <m/>
    <n v="4000"/>
    <n v="31044671"/>
    <x v="6"/>
    <s v="Oui"/>
    <x v="2"/>
    <s v="RALFF"/>
    <s v="CONGO"/>
    <s v="RALFF-CO2201"/>
    <s v="4.3"/>
    <m/>
  </r>
  <r>
    <d v="2021-05-05T00:00:00"/>
    <s v="Repas Fête du 1 er mai 2021/Staff PALF"/>
    <x v="6"/>
    <s v="Team Building"/>
    <m/>
    <n v="130500"/>
    <n v="30914171"/>
    <x v="6"/>
    <s v="Oui"/>
    <x v="1"/>
    <s v="PALF"/>
    <s v="CONGO"/>
    <m/>
    <m/>
    <m/>
  </r>
  <r>
    <d v="2021-05-05T00:00:00"/>
    <s v="Récu caisse/I23C"/>
    <x v="5"/>
    <m/>
    <n v="10000"/>
    <m/>
    <n v="30924171"/>
    <x v="4"/>
    <m/>
    <x v="0"/>
    <m/>
    <m/>
    <m/>
    <m/>
    <m/>
  </r>
  <r>
    <d v="2021-05-06T00:00:00"/>
    <s v="Honoraire cabinet d'avocat Maître Prudence MOUDOUDOU/première acompte"/>
    <x v="8"/>
    <s v="Legal"/>
    <m/>
    <n v="245000"/>
    <n v="30679171"/>
    <x v="5"/>
    <n v="3654445"/>
    <x v="1"/>
    <s v="PALF"/>
    <s v="CONGO"/>
    <m/>
    <m/>
    <m/>
  </r>
  <r>
    <d v="2021-05-06T00:00:00"/>
    <s v="P29"/>
    <x v="5"/>
    <m/>
    <m/>
    <n v="100000"/>
    <n v="30579171"/>
    <x v="6"/>
    <m/>
    <x v="0"/>
    <m/>
    <m/>
    <m/>
    <m/>
    <m/>
  </r>
  <r>
    <d v="2021-05-06T00:00:00"/>
    <s v="I23C"/>
    <x v="5"/>
    <m/>
    <m/>
    <n v="100000"/>
    <n v="30479171"/>
    <x v="6"/>
    <m/>
    <x v="0"/>
    <m/>
    <m/>
    <m/>
    <m/>
    <m/>
  </r>
  <r>
    <d v="2021-05-06T00:00:00"/>
    <s v="P29"/>
    <x v="5"/>
    <m/>
    <m/>
    <n v="20000"/>
    <n v="30459171"/>
    <x v="6"/>
    <m/>
    <x v="0"/>
    <m/>
    <m/>
    <m/>
    <m/>
    <m/>
  </r>
  <r>
    <d v="2021-05-06T00:00:00"/>
    <s v="I23C"/>
    <x v="5"/>
    <m/>
    <m/>
    <n v="10000"/>
    <n v="30449171"/>
    <x v="6"/>
    <m/>
    <x v="0"/>
    <m/>
    <m/>
    <m/>
    <m/>
    <m/>
  </r>
  <r>
    <d v="2021-05-06T00:00:00"/>
    <s v="Récu caisse/I23C"/>
    <x v="5"/>
    <m/>
    <n v="100000"/>
    <m/>
    <n v="30549171"/>
    <x v="4"/>
    <m/>
    <x v="0"/>
    <m/>
    <m/>
    <m/>
    <m/>
    <m/>
  </r>
  <r>
    <d v="2021-05-06T00:00:00"/>
    <s v="Recu caisse/P29"/>
    <x v="5"/>
    <m/>
    <n v="120000"/>
    <m/>
    <n v="30669171"/>
    <x v="1"/>
    <m/>
    <x v="0"/>
    <m/>
    <m/>
    <m/>
    <m/>
    <m/>
  </r>
  <r>
    <d v="2021-05-06T00:00:00"/>
    <s v="Achat billet Brazzaville-Loudima/I23C"/>
    <x v="1"/>
    <s v="Investigations"/>
    <m/>
    <n v="10000"/>
    <n v="30659171"/>
    <x v="4"/>
    <s v="Oui"/>
    <x v="2"/>
    <s v="RALFF"/>
    <s v="CONGO"/>
    <s v="RALFF-CO2202"/>
    <s v="2.2"/>
    <m/>
  </r>
  <r>
    <d v="2021-05-06T00:00:00"/>
    <s v="Achat billet Brazza-PN/P29"/>
    <x v="1"/>
    <s v="Investigations"/>
    <m/>
    <n v="15000"/>
    <n v="30644171"/>
    <x v="1"/>
    <s v="Oui"/>
    <x v="2"/>
    <s v="RALFF"/>
    <s v="CONGO"/>
    <s v="RALFF-CO2203"/>
    <s v="2.2"/>
    <m/>
  </r>
  <r>
    <d v="2021-05-07T00:00:00"/>
    <s v="Solde de tout compte Hérick TCHICAYA"/>
    <x v="6"/>
    <s v="Legal"/>
    <m/>
    <n v="1181177"/>
    <n v="29462994"/>
    <x v="5"/>
    <s v="Virement"/>
    <x v="1"/>
    <s v="PALF"/>
    <s v="CONGO"/>
    <m/>
    <m/>
    <m/>
  </r>
  <r>
    <d v="2021-05-07T00:00:00"/>
    <s v="Frais d'impression et reliure des documents"/>
    <x v="7"/>
    <s v="Office"/>
    <m/>
    <n v="9600"/>
    <n v="29453394"/>
    <x v="6"/>
    <s v="Oui"/>
    <x v="1"/>
    <s v="PALF"/>
    <s v="CONGO"/>
    <m/>
    <m/>
    <m/>
  </r>
  <r>
    <d v="2021-05-07T00:00:00"/>
    <s v="Christian"/>
    <x v="5"/>
    <m/>
    <m/>
    <n v="15000"/>
    <n v="29438394"/>
    <x v="6"/>
    <m/>
    <x v="0"/>
    <m/>
    <m/>
    <m/>
    <m/>
    <m/>
  </r>
  <r>
    <d v="2021-05-07T00:00:00"/>
    <s v="Merveille"/>
    <x v="5"/>
    <m/>
    <m/>
    <n v="10000"/>
    <n v="29428394"/>
    <x v="6"/>
    <m/>
    <x v="0"/>
    <m/>
    <m/>
    <m/>
    <m/>
    <m/>
  </r>
  <r>
    <d v="2021-05-07T00:00:00"/>
    <s v="Ted"/>
    <x v="5"/>
    <m/>
    <m/>
    <n v="5000"/>
    <n v="29423394"/>
    <x v="6"/>
    <m/>
    <x v="0"/>
    <m/>
    <m/>
    <m/>
    <m/>
    <m/>
  </r>
  <r>
    <d v="2021-05-07T00:00:00"/>
    <s v="Geisner"/>
    <x v="5"/>
    <m/>
    <m/>
    <n v="10000"/>
    <n v="29413394"/>
    <x v="6"/>
    <m/>
    <x v="0"/>
    <m/>
    <m/>
    <m/>
    <m/>
    <m/>
  </r>
  <r>
    <d v="2021-05-07T00:00:00"/>
    <s v="Recu caisse/Christian"/>
    <x v="5"/>
    <m/>
    <n v="15000"/>
    <m/>
    <n v="29428394"/>
    <x v="3"/>
    <m/>
    <x v="0"/>
    <m/>
    <m/>
    <m/>
    <m/>
    <m/>
  </r>
  <r>
    <d v="2021-05-07T00:00:00"/>
    <s v="Reçu caisse/Geis"/>
    <x v="5"/>
    <m/>
    <n v="10000"/>
    <m/>
    <n v="29438394"/>
    <x v="7"/>
    <m/>
    <x v="0"/>
    <m/>
    <m/>
    <m/>
    <m/>
    <m/>
  </r>
  <r>
    <d v="2021-05-07T00:00:00"/>
    <s v="Reçu caisse/Merveille"/>
    <x v="5"/>
    <m/>
    <n v="10000"/>
    <m/>
    <n v="29448394"/>
    <x v="8"/>
    <m/>
    <x v="0"/>
    <m/>
    <m/>
    <m/>
    <m/>
    <m/>
  </r>
  <r>
    <d v="2021-05-07T00:00:00"/>
    <s v="Reçu caisse/Ted"/>
    <x v="5"/>
    <m/>
    <n v="5000"/>
    <m/>
    <n v="29453394"/>
    <x v="9"/>
    <m/>
    <x v="0"/>
    <m/>
    <m/>
    <m/>
    <m/>
    <m/>
  </r>
  <r>
    <d v="2021-05-07T00:00:00"/>
    <s v="Cumul frais transport local mois de mai 21/Tiffany"/>
    <x v="1"/>
    <s v="Management"/>
    <m/>
    <n v="10000"/>
    <n v="29443394"/>
    <x v="2"/>
    <s v="Décharge"/>
    <x v="2"/>
    <s v="RALFF"/>
    <s v="CONGO"/>
    <s v="RALFF-CO2205"/>
    <s v="2.2"/>
    <m/>
  </r>
  <r>
    <d v="2021-05-07T00:00:00"/>
    <s v="Reglement facture E²C/Mars-Avril 2021/bureau PALF"/>
    <x v="9"/>
    <s v="Office"/>
    <m/>
    <n v="93234"/>
    <n v="29350160"/>
    <x v="6"/>
    <s v="Oui"/>
    <x v="2"/>
    <s v="RALFF"/>
    <s v="CONGO"/>
    <s v="RALFF-CO2204"/>
    <s v="4.4"/>
    <m/>
  </r>
  <r>
    <d v="2021-05-10T00:00:00"/>
    <s v="JB"/>
    <x v="5"/>
    <m/>
    <m/>
    <n v="10000"/>
    <n v="29340160"/>
    <x v="6"/>
    <m/>
    <x v="0"/>
    <m/>
    <m/>
    <m/>
    <m/>
    <m/>
  </r>
  <r>
    <d v="2021-05-10T00:00:00"/>
    <s v="I23C - CONGO - Ration Mission à Sibiti-Nkayi du 10 au 17/05/21"/>
    <x v="3"/>
    <s v="Investigations"/>
    <m/>
    <n v="70000"/>
    <n v="29270160"/>
    <x v="4"/>
    <s v="Décharge"/>
    <x v="2"/>
    <s v="RALFF"/>
    <s v="CONGO"/>
    <s v="RALFF-CO2207"/>
    <s v="1.3.2"/>
    <m/>
  </r>
  <r>
    <d v="2021-05-10T00:00:00"/>
    <s v="P29 - CONGO - Ration pour  Mission à Pointe-Noire-Nzassi-Dolisie du 10 au 21/05/21"/>
    <x v="3"/>
    <s v="Investigations"/>
    <m/>
    <n v="110000"/>
    <n v="29160160"/>
    <x v="1"/>
    <s v="Décharge"/>
    <x v="2"/>
    <s v="RALFF"/>
    <s v="CONGO"/>
    <s v="RALFF-CO2209"/>
    <s v="1.3.2"/>
    <m/>
  </r>
  <r>
    <d v="2021-05-10T00:00:00"/>
    <s v="Reçu caisse/JB"/>
    <x v="5"/>
    <m/>
    <n v="10000"/>
    <m/>
    <n v="29170160"/>
    <x v="10"/>
    <m/>
    <x v="0"/>
    <m/>
    <m/>
    <m/>
    <m/>
    <m/>
  </r>
  <r>
    <d v="2021-05-10T00:00:00"/>
    <s v="Frais de transport Loudima - Sibiti/I23C"/>
    <x v="1"/>
    <s v="Investigations"/>
    <m/>
    <n v="4000"/>
    <n v="29166160"/>
    <x v="4"/>
    <s v="Oui"/>
    <x v="2"/>
    <s v="RALFF"/>
    <s v="CONGO"/>
    <s v="RALFF-CO2208"/>
    <s v="2.2"/>
    <m/>
  </r>
  <r>
    <d v="2021-05-10T00:00:00"/>
    <s v="Reglement facture Agence pluriel solutions/ loyer PALF MAI 2021"/>
    <x v="9"/>
    <s v="Office"/>
    <m/>
    <n v="500000"/>
    <n v="28666160"/>
    <x v="11"/>
    <s v="Virement"/>
    <x v="2"/>
    <s v="RALFF"/>
    <s v="CONGO"/>
    <s v="RALFF-CO2206"/>
    <s v="4.2"/>
    <m/>
  </r>
  <r>
    <d v="2021-05-11T00:00:00"/>
    <s v="Evariste"/>
    <x v="5"/>
    <m/>
    <m/>
    <n v="5000"/>
    <n v="28661160"/>
    <x v="6"/>
    <m/>
    <x v="0"/>
    <m/>
    <m/>
    <m/>
    <m/>
    <m/>
  </r>
  <r>
    <d v="2021-05-11T00:00:00"/>
    <s v="Reçu caisse/Evariste"/>
    <x v="5"/>
    <m/>
    <n v="5000"/>
    <m/>
    <n v="28666160"/>
    <x v="12"/>
    <m/>
    <x v="0"/>
    <m/>
    <m/>
    <m/>
    <m/>
    <m/>
  </r>
  <r>
    <d v="2021-05-12T00:00:00"/>
    <s v="P29"/>
    <x v="5"/>
    <m/>
    <m/>
    <n v="226000"/>
    <n v="28440160"/>
    <x v="6"/>
    <m/>
    <x v="0"/>
    <m/>
    <m/>
    <m/>
    <m/>
    <m/>
  </r>
  <r>
    <d v="2021-05-12T00:00:00"/>
    <s v="I23C"/>
    <x v="5"/>
    <m/>
    <m/>
    <n v="223000"/>
    <n v="28217160"/>
    <x v="6"/>
    <m/>
    <x v="0"/>
    <m/>
    <m/>
    <m/>
    <m/>
    <m/>
  </r>
  <r>
    <d v="2021-05-12T00:00:00"/>
    <s v="Christian"/>
    <x v="5"/>
    <m/>
    <m/>
    <n v="84000"/>
    <n v="28133160"/>
    <x v="6"/>
    <m/>
    <x v="0"/>
    <m/>
    <m/>
    <m/>
    <m/>
    <m/>
  </r>
  <r>
    <d v="2021-05-12T00:00:00"/>
    <s v="BCI"/>
    <x v="5"/>
    <m/>
    <n v="1000000"/>
    <m/>
    <n v="29133160"/>
    <x v="6"/>
    <m/>
    <x v="0"/>
    <m/>
    <m/>
    <m/>
    <m/>
    <m/>
  </r>
  <r>
    <d v="2021-05-12T00:00:00"/>
    <s v="Evariste"/>
    <x v="5"/>
    <m/>
    <m/>
    <n v="9000"/>
    <n v="29124160"/>
    <x v="6"/>
    <m/>
    <x v="0"/>
    <m/>
    <m/>
    <m/>
    <m/>
    <m/>
  </r>
  <r>
    <d v="2021-05-12T00:00:00"/>
    <s v="Recu caisse/Christian"/>
    <x v="5"/>
    <m/>
    <n v="84000"/>
    <m/>
    <n v="29208160"/>
    <x v="3"/>
    <m/>
    <x v="0"/>
    <m/>
    <m/>
    <m/>
    <m/>
    <m/>
  </r>
  <r>
    <d v="2021-05-12T00:00:00"/>
    <s v="Récu caisse/I23C"/>
    <x v="5"/>
    <m/>
    <n v="223000"/>
    <m/>
    <n v="29431160"/>
    <x v="4"/>
    <m/>
    <x v="0"/>
    <m/>
    <m/>
    <m/>
    <m/>
    <m/>
  </r>
  <r>
    <d v="2021-05-12T00:00:00"/>
    <s v="Recu caisse/P29"/>
    <x v="5"/>
    <m/>
    <n v="226000"/>
    <m/>
    <n v="29657160"/>
    <x v="1"/>
    <m/>
    <x v="0"/>
    <m/>
    <m/>
    <m/>
    <m/>
    <m/>
  </r>
  <r>
    <d v="2021-05-12T00:00:00"/>
    <s v="Achat Billet Brazzaville-Loudima/Christian"/>
    <x v="1"/>
    <s v="Legal"/>
    <m/>
    <n v="10000"/>
    <n v="29647160"/>
    <x v="3"/>
    <s v="Oui"/>
    <x v="2"/>
    <s v="RALFF"/>
    <s v="CONGO"/>
    <s v="RALFF-CO2211"/>
    <s v="2.2"/>
    <m/>
  </r>
  <r>
    <d v="2021-05-12T00:00:00"/>
    <s v="Bonus media/Journée mondial des espèces menacées/Evariste"/>
    <x v="10"/>
    <s v="Media"/>
    <m/>
    <n v="33000"/>
    <n v="29614160"/>
    <x v="6"/>
    <s v="Décharge"/>
    <x v="1"/>
    <s v="PALF"/>
    <s v="CONGO"/>
    <m/>
    <m/>
    <m/>
  </r>
  <r>
    <d v="2021-05-12T00:00:00"/>
    <s v="Frais de transfert charden farell/i23c et P29"/>
    <x v="11"/>
    <s v="Office"/>
    <m/>
    <n v="13470"/>
    <n v="29600690"/>
    <x v="6"/>
    <s v="Oui"/>
    <x v="2"/>
    <s v="RALFF"/>
    <s v="CONGO"/>
    <s v="RALFF-CO2210"/>
    <s v="5.6"/>
    <m/>
  </r>
  <r>
    <d v="2021-05-13T00:00:00"/>
    <s v="I23C - CONGO - Hôtel Mission à Sibiti  du 10 au 13/05/21 "/>
    <x v="3"/>
    <s v="Investigations"/>
    <m/>
    <n v="45000"/>
    <n v="29555690"/>
    <x v="4"/>
    <s v="Oui"/>
    <x v="2"/>
    <s v="RALFF"/>
    <s v="CONGO"/>
    <s v="RALFF-CO2213"/>
    <s v="1.3.2"/>
    <m/>
  </r>
  <r>
    <d v="2021-05-13T00:00:00"/>
    <s v="Achat Billet Loutété-Brazzaville/Christian"/>
    <x v="1"/>
    <s v="Legal"/>
    <m/>
    <n v="8000"/>
    <n v="29547690"/>
    <x v="3"/>
    <s v="Oui"/>
    <x v="2"/>
    <s v="RALFF"/>
    <s v="CONGO"/>
    <s v="RALFF-CO2212"/>
    <s v="2.2"/>
    <m/>
  </r>
  <r>
    <d v="2021-05-13T00:00:00"/>
    <s v="Frais de transport Sibiti-Nkayi/I23C"/>
    <x v="1"/>
    <s v="Investigations"/>
    <m/>
    <n v="7000"/>
    <n v="29540690"/>
    <x v="4"/>
    <s v="Oui"/>
    <x v="2"/>
    <s v="RALFF"/>
    <s v="CONGO"/>
    <s v="RALFF-CO2214"/>
    <s v="2.2"/>
    <m/>
  </r>
  <r>
    <d v="2021-05-14T00:00:00"/>
    <s v="MTN Achat crédit de recharge/I23C"/>
    <x v="12"/>
    <s v="Investigations"/>
    <m/>
    <n v="5000"/>
    <n v="29535690"/>
    <x v="4"/>
    <s v="Oui"/>
    <x v="1"/>
    <s v="PALF"/>
    <s v="CONGO"/>
    <m/>
    <m/>
    <m/>
  </r>
  <r>
    <d v="2021-05-17T00:00:00"/>
    <s v="I23C - CONGO - Hôtel Mission à Nkayi du 13 au 17/05/21 "/>
    <x v="3"/>
    <s v="Investigations"/>
    <m/>
    <n v="60000"/>
    <n v="29475690"/>
    <x v="4"/>
    <s v="Oui"/>
    <x v="2"/>
    <s v="RALFF"/>
    <s v="CONGO"/>
    <s v="RALFF-CO2226"/>
    <s v="1.3.2"/>
    <m/>
  </r>
  <r>
    <d v="2021-05-17T00:00:00"/>
    <s v="Achat Carte de credit MTN/P29"/>
    <x v="12"/>
    <s v="Investigations"/>
    <m/>
    <n v="5000"/>
    <n v="29470690"/>
    <x v="1"/>
    <s v="Décharge"/>
    <x v="1"/>
    <s v="PALF"/>
    <s v="CONGO"/>
    <m/>
    <m/>
    <m/>
  </r>
  <r>
    <d v="2021-05-17T00:00:00"/>
    <s v="Retrait especes/appro caisse/bord n°3654446"/>
    <x v="5"/>
    <m/>
    <m/>
    <n v="1000000"/>
    <n v="28470690"/>
    <x v="5"/>
    <n v="3654446"/>
    <x v="0"/>
    <m/>
    <m/>
    <m/>
    <m/>
    <m/>
  </r>
  <r>
    <d v="2021-05-17T00:00:00"/>
    <s v="Geisner"/>
    <x v="5"/>
    <m/>
    <m/>
    <n v="121000"/>
    <n v="28349690"/>
    <x v="6"/>
    <m/>
    <x v="0"/>
    <m/>
    <m/>
    <m/>
    <m/>
    <m/>
  </r>
  <r>
    <d v="2021-05-17T00:00:00"/>
    <s v="Crépin"/>
    <x v="5"/>
    <m/>
    <m/>
    <n v="165000"/>
    <n v="28184690"/>
    <x v="6"/>
    <m/>
    <x v="0"/>
    <m/>
    <m/>
    <m/>
    <m/>
    <m/>
  </r>
  <r>
    <d v="2021-05-17T00:00:00"/>
    <s v="Evariste"/>
    <x v="5"/>
    <m/>
    <m/>
    <n v="121000"/>
    <n v="28063690"/>
    <x v="6"/>
    <m/>
    <x v="0"/>
    <m/>
    <m/>
    <m/>
    <m/>
    <m/>
  </r>
  <r>
    <d v="2021-05-17T00:00:00"/>
    <s v="JB"/>
    <x v="5"/>
    <m/>
    <m/>
    <n v="121000"/>
    <n v="27942690"/>
    <x v="6"/>
    <m/>
    <x v="0"/>
    <m/>
    <m/>
    <m/>
    <m/>
    <m/>
  </r>
  <r>
    <d v="2021-05-17T00:00:00"/>
    <s v="Crépin"/>
    <x v="5"/>
    <m/>
    <m/>
    <n v="121000"/>
    <n v="27821690"/>
    <x v="6"/>
    <m/>
    <x v="0"/>
    <m/>
    <m/>
    <m/>
    <m/>
    <m/>
  </r>
  <r>
    <d v="2021-05-17T00:00:00"/>
    <s v="Crépin"/>
    <x v="5"/>
    <m/>
    <m/>
    <n v="273000"/>
    <n v="27548690"/>
    <x v="6"/>
    <m/>
    <x v="0"/>
    <m/>
    <m/>
    <m/>
    <m/>
    <m/>
  </r>
  <r>
    <d v="2021-05-17T00:00:00"/>
    <s v="I23C"/>
    <x v="5"/>
    <m/>
    <m/>
    <n v="49000"/>
    <n v="27499690"/>
    <x v="6"/>
    <m/>
    <x v="0"/>
    <m/>
    <m/>
    <m/>
    <m/>
    <m/>
  </r>
  <r>
    <d v="2021-05-17T00:00:00"/>
    <s v="Reçu caisse/Crépin"/>
    <x v="5"/>
    <m/>
    <n v="165000"/>
    <m/>
    <n v="27664690"/>
    <x v="13"/>
    <m/>
    <x v="0"/>
    <m/>
    <m/>
    <m/>
    <m/>
    <m/>
  </r>
  <r>
    <d v="2021-05-17T00:00:00"/>
    <s v="Reçu caisse/Crépin"/>
    <x v="5"/>
    <m/>
    <n v="273000"/>
    <m/>
    <n v="27937690"/>
    <x v="13"/>
    <m/>
    <x v="0"/>
    <m/>
    <m/>
    <m/>
    <m/>
    <m/>
  </r>
  <r>
    <d v="2021-05-17T00:00:00"/>
    <s v="Reçu caisse/Crépin"/>
    <x v="5"/>
    <m/>
    <n v="121000"/>
    <m/>
    <n v="28058690"/>
    <x v="13"/>
    <m/>
    <x v="0"/>
    <m/>
    <m/>
    <m/>
    <m/>
    <m/>
  </r>
  <r>
    <d v="2021-05-17T00:00:00"/>
    <s v="Reçu caisse/Evariste"/>
    <x v="5"/>
    <m/>
    <n v="9000"/>
    <m/>
    <n v="28067690"/>
    <x v="12"/>
    <m/>
    <x v="0"/>
    <m/>
    <m/>
    <m/>
    <m/>
    <m/>
  </r>
  <r>
    <d v="2021-05-17T00:00:00"/>
    <s v="Reçu caisse/Evariste"/>
    <x v="5"/>
    <m/>
    <n v="121000"/>
    <m/>
    <n v="28188690"/>
    <x v="12"/>
    <m/>
    <x v="0"/>
    <m/>
    <m/>
    <m/>
    <m/>
    <m/>
  </r>
  <r>
    <d v="2021-05-17T00:00:00"/>
    <s v="Reçu caisse/Geis"/>
    <x v="5"/>
    <m/>
    <n v="121000"/>
    <m/>
    <n v="28309690"/>
    <x v="7"/>
    <m/>
    <x v="0"/>
    <m/>
    <m/>
    <m/>
    <m/>
    <m/>
  </r>
  <r>
    <d v="2021-05-17T00:00:00"/>
    <s v="Reçu caisse/JB"/>
    <x v="5"/>
    <m/>
    <n v="121000"/>
    <m/>
    <n v="28430690"/>
    <x v="10"/>
    <m/>
    <x v="0"/>
    <m/>
    <m/>
    <m/>
    <m/>
    <m/>
  </r>
  <r>
    <d v="2021-05-17T00:00:00"/>
    <s v="Réparation téléphone(carte mère)/P29"/>
    <x v="12"/>
    <s v="Investigations"/>
    <m/>
    <n v="20000"/>
    <n v="28410690"/>
    <x v="1"/>
    <s v="Oui"/>
    <x v="1"/>
    <s v="PALF"/>
    <s v="CONGO"/>
    <m/>
    <m/>
    <m/>
  </r>
  <r>
    <d v="2021-05-17T00:00:00"/>
    <s v="Achat Billet: Brazzaville-Pointe-Noire/Crépin"/>
    <x v="1"/>
    <s v="Operations"/>
    <m/>
    <n v="15000"/>
    <n v="28395690"/>
    <x v="13"/>
    <s v="Oui"/>
    <x v="2"/>
    <s v="RALFF"/>
    <s v="CONGO"/>
    <s v="RALFF-CO2223"/>
    <s v="2.2"/>
    <m/>
  </r>
  <r>
    <d v="2021-05-17T00:00:00"/>
    <s v="Achat Billet Brazzaville-Pointe Noire/Evariste"/>
    <x v="1"/>
    <s v="Operations"/>
    <m/>
    <n v="15000"/>
    <n v="28380690"/>
    <x v="12"/>
    <s v="Oui"/>
    <x v="2"/>
    <s v="RALFF"/>
    <s v="CONGO"/>
    <s v="RALFF-CO2224"/>
    <s v="2.2"/>
    <m/>
  </r>
  <r>
    <d v="2021-05-17T00:00:00"/>
    <s v="Achat billet Brazzaville-Pointe-Noire/Geis"/>
    <x v="1"/>
    <s v="Operations"/>
    <m/>
    <n v="15000"/>
    <n v="28365690"/>
    <x v="7"/>
    <s v="Oui"/>
    <x v="2"/>
    <s v="RALFF"/>
    <s v="CONGO"/>
    <s v="RALFF-CO2225"/>
    <s v="2.2"/>
    <m/>
  </r>
  <r>
    <d v="2021-05-17T00:00:00"/>
    <s v="Frais de transport Nkayi-Brazzaville/I23C"/>
    <x v="1"/>
    <s v="Investigations"/>
    <m/>
    <n v="9000"/>
    <n v="28356690"/>
    <x v="4"/>
    <s v="Oui"/>
    <x v="2"/>
    <s v="RALFF"/>
    <s v="CONGO"/>
    <s v="RALFF-CO2227"/>
    <s v="2.2"/>
    <m/>
  </r>
  <r>
    <d v="2021-05-17T00:00:00"/>
    <s v="Achat billet Brazzaville-Pointe-Noire/JB"/>
    <x v="1"/>
    <s v="Operations"/>
    <m/>
    <n v="15000"/>
    <n v="28341690"/>
    <x v="10"/>
    <s v="Oui"/>
    <x v="2"/>
    <s v="RALFF"/>
    <s v="CONGO"/>
    <s v="RALFF-CO2228"/>
    <s v="2.2"/>
    <m/>
  </r>
  <r>
    <d v="2021-05-17T00:00:00"/>
    <s v="Achat Modem pour l'internet"/>
    <x v="13"/>
    <s v="Office"/>
    <m/>
    <n v="25000"/>
    <n v="28316690"/>
    <x v="6"/>
    <s v="Oui"/>
    <x v="2"/>
    <s v="RALFF"/>
    <s v="CONGO"/>
    <s v="RALFF-CO2222"/>
    <s v="4.3"/>
    <m/>
  </r>
  <r>
    <d v="2021-05-17T00:00:00"/>
    <s v="MTN/Achat carte de recharge  Mai /Staff PALF/Management/2eme partie"/>
    <x v="12"/>
    <s v="Management"/>
    <m/>
    <n v="25000"/>
    <n v="28291690"/>
    <x v="6"/>
    <s v="Oui"/>
    <x v="2"/>
    <s v="RALFF"/>
    <s v="CONGO"/>
    <s v="RALFF-CO2215"/>
    <s v="4.6"/>
    <m/>
  </r>
  <r>
    <d v="2021-05-17T00:00:00"/>
    <s v="MTN/Achat carte de recharge Mai /Staff PALF/Legal/2eme partie"/>
    <x v="12"/>
    <s v="Legal"/>
    <m/>
    <n v="20000"/>
    <n v="28271690"/>
    <x v="6"/>
    <s v="Oui"/>
    <x v="2"/>
    <s v="RALFF"/>
    <s v="CONGO"/>
    <s v="RALFF-CO2216"/>
    <s v="4.6"/>
    <m/>
  </r>
  <r>
    <d v="2021-05-17T00:00:00"/>
    <s v="MTN/Achat carte de recharge Mai/Staff PALF/Média/2eme partie"/>
    <x v="12"/>
    <s v="Media"/>
    <m/>
    <n v="5000"/>
    <n v="28266690"/>
    <x v="6"/>
    <s v="Oui"/>
    <x v="2"/>
    <s v="RALFF"/>
    <s v="CONGO"/>
    <s v="RALFF-CO2217"/>
    <s v="4.6"/>
    <m/>
  </r>
  <r>
    <d v="2021-05-17T00:00:00"/>
    <s v="MTN/Achat carte de recharge Mai/Staff PALF/Investigation/2eme partie"/>
    <x v="12"/>
    <s v="Investigations"/>
    <m/>
    <n v="20000"/>
    <n v="28246690"/>
    <x v="6"/>
    <s v="Oui"/>
    <x v="2"/>
    <s v="RALFF"/>
    <s v="CONGO"/>
    <s v="RALFF-CO2218"/>
    <s v="4.6"/>
    <m/>
  </r>
  <r>
    <d v="2021-05-17T00:00:00"/>
    <s v="AIRTEL/Achat carte de recharge Mai/staff PALF/Légal/2ere partie"/>
    <x v="12"/>
    <s v="Legal"/>
    <m/>
    <n v="20000"/>
    <n v="28226690"/>
    <x v="6"/>
    <s v="Oui"/>
    <x v="2"/>
    <s v="RALFF"/>
    <s v="CONGO"/>
    <s v="RALFF-CO2219"/>
    <s v="4.6"/>
    <m/>
  </r>
  <r>
    <d v="2021-05-17T00:00:00"/>
    <s v="AIRTEL/Achat carte de recharge Mai/staff PALF/Management/2ere partie"/>
    <x v="12"/>
    <s v="Management"/>
    <m/>
    <n v="10000"/>
    <n v="28216690"/>
    <x v="6"/>
    <s v="Oui"/>
    <x v="2"/>
    <s v="RALFF"/>
    <s v="CONGO"/>
    <s v="RALFF-CO2220"/>
    <s v="4.6"/>
    <m/>
  </r>
  <r>
    <d v="2021-05-17T00:00:00"/>
    <s v="AIRTEL/Achat carte de recharge Mai/staff PALF/Investigation/2ere partie"/>
    <x v="12"/>
    <s v="Investigations"/>
    <m/>
    <n v="5000"/>
    <n v="28211690"/>
    <x v="6"/>
    <s v="Oui"/>
    <x v="2"/>
    <s v="RALFF"/>
    <s v="CONGO"/>
    <s v="RALFF-CO2221"/>
    <s v="4.6"/>
    <m/>
  </r>
  <r>
    <d v="2021-05-18T00:00:00"/>
    <s v="CREPIN IBOUILI - CONGO - Ration pour  Mission OP de 18 nuitées  à Pointe-Noire du 18/05  au 05/06/21 "/>
    <x v="3"/>
    <s v="Operations"/>
    <m/>
    <n v="180000"/>
    <n v="28031690"/>
    <x v="13"/>
    <s v="Décharge"/>
    <x v="2"/>
    <s v="RALFF"/>
    <s v="CONGO"/>
    <s v="RALFF-CO2232"/>
    <s v="1.3.2"/>
    <m/>
  </r>
  <r>
    <d v="2021-05-18T00:00:00"/>
    <s v="EVARISTE  LELOUSSI - CONGO - Ration pour Mission OP  à Pointe-Noiredu 18 au 23/05/21"/>
    <x v="3"/>
    <s v="Operations"/>
    <m/>
    <n v="50000"/>
    <n v="27981690"/>
    <x v="12"/>
    <s v="Décharge"/>
    <x v="2"/>
    <s v="RALFF"/>
    <s v="CONGO"/>
    <s v="RALFF-CO2233"/>
    <s v="1.3.2"/>
    <m/>
  </r>
  <r>
    <d v="2021-05-18T00:00:00"/>
    <s v="GEISNER MATOKO - CONGO - Ration pour Mission OP à Pointe-Noire  du 18 au 21/05/21"/>
    <x v="3"/>
    <s v="Operations"/>
    <m/>
    <n v="30000"/>
    <n v="27951690"/>
    <x v="7"/>
    <s v="Décharge"/>
    <x v="2"/>
    <s v="RALFF"/>
    <s v="CONGO"/>
    <s v="RALFF-CO2234"/>
    <s v="1.3.2"/>
    <m/>
  </r>
  <r>
    <d v="2021-05-18T00:00:00"/>
    <s v="I23C - CONGO - Ration Mission à Pointe-Noire du 18 au 29/05/21"/>
    <x v="3"/>
    <s v="Investigations"/>
    <m/>
    <n v="110000"/>
    <n v="27841690"/>
    <x v="4"/>
    <s v="Décharge"/>
    <x v="2"/>
    <s v="RALFF"/>
    <s v="CONGO"/>
    <s v="RALFF-CO2236"/>
    <s v="1.3.2"/>
    <m/>
  </r>
  <r>
    <d v="2021-05-18T00:00:00"/>
    <s v="JB MALONGA - CONGO -  Ration pour  Mission OP à Pointe-Noire  du 18/05  au 03/06/21 "/>
    <x v="3"/>
    <s v="Operations"/>
    <m/>
    <n v="160000"/>
    <n v="27681690"/>
    <x v="10"/>
    <s v="Décharge"/>
    <x v="2"/>
    <s v="RALFF"/>
    <s v="CONGO"/>
    <s v="RALFF-CO2237"/>
    <s v="1.3.2"/>
    <m/>
  </r>
  <r>
    <d v="2021-05-18T00:00:00"/>
    <s v="Retrait especes/appro caisse/bord n°3643457"/>
    <x v="5"/>
    <m/>
    <m/>
    <n v="1000000"/>
    <n v="26681690"/>
    <x v="11"/>
    <n v="3643457"/>
    <x v="0"/>
    <m/>
    <m/>
    <m/>
    <m/>
    <m/>
  </r>
  <r>
    <d v="2021-05-18T00:00:00"/>
    <s v="Christian"/>
    <x v="5"/>
    <m/>
    <n v="54000"/>
    <m/>
    <n v="26735690"/>
    <x v="6"/>
    <m/>
    <x v="0"/>
    <m/>
    <m/>
    <m/>
    <m/>
    <m/>
  </r>
  <r>
    <d v="2021-05-18T00:00:00"/>
    <s v="BCI"/>
    <x v="5"/>
    <m/>
    <n v="1000000"/>
    <m/>
    <n v="27735690"/>
    <x v="6"/>
    <m/>
    <x v="0"/>
    <m/>
    <m/>
    <m/>
    <m/>
    <m/>
  </r>
  <r>
    <d v="2021-05-18T00:00:00"/>
    <s v="P29"/>
    <x v="5"/>
    <m/>
    <m/>
    <n v="100000"/>
    <n v="27635690"/>
    <x v="6"/>
    <m/>
    <x v="0"/>
    <m/>
    <m/>
    <m/>
    <m/>
    <m/>
  </r>
  <r>
    <d v="2021-05-18T00:00:00"/>
    <s v="Versement Caisse PALF /Christian"/>
    <x v="5"/>
    <m/>
    <m/>
    <n v="54000"/>
    <n v="27581690"/>
    <x v="3"/>
    <m/>
    <x v="0"/>
    <m/>
    <m/>
    <m/>
    <m/>
    <m/>
  </r>
  <r>
    <d v="2021-05-18T00:00:00"/>
    <s v="Recu caisse/P29"/>
    <x v="5"/>
    <m/>
    <n v="100000"/>
    <m/>
    <n v="27681690"/>
    <x v="1"/>
    <m/>
    <x v="0"/>
    <m/>
    <m/>
    <m/>
    <m/>
    <m/>
  </r>
  <r>
    <d v="2021-05-18T00:00:00"/>
    <s v="Achat billet Brazzaville-Pointe-Noire/I23C"/>
    <x v="1"/>
    <s v="Investigations"/>
    <m/>
    <n v="15000"/>
    <n v="27666690"/>
    <x v="4"/>
    <s v="Oui"/>
    <x v="2"/>
    <s v="RALFF"/>
    <s v="CONGO"/>
    <s v="RALFF-CO2235"/>
    <s v="2.2"/>
    <m/>
  </r>
  <r>
    <d v="2021-05-18T00:00:00"/>
    <s v="Frais de transfert charden farell/  P29"/>
    <x v="11"/>
    <s v="Office"/>
    <m/>
    <n v="3000"/>
    <n v="27663690"/>
    <x v="6"/>
    <s v="Oui"/>
    <x v="2"/>
    <s v="RALFF"/>
    <s v="CONGO"/>
    <s v="RALFF-CO2230"/>
    <s v="5.6"/>
    <m/>
  </r>
  <r>
    <d v="2021-05-18T00:00:00"/>
    <s v="Frais de transfert western Union/zanne"/>
    <x v="11"/>
    <s v="Office"/>
    <m/>
    <n v="22771"/>
    <n v="27640919"/>
    <x v="6"/>
    <s v="Oui"/>
    <x v="2"/>
    <s v="RALFF"/>
    <s v="CONGO"/>
    <s v="RALFF-CO2231"/>
    <s v="5.6"/>
    <m/>
  </r>
  <r>
    <d v="2021-05-18T00:00:00"/>
    <s v="Reglement factures Zanne LABUSCHAGNE/Production newsletter"/>
    <x v="14"/>
    <s v="Office"/>
    <m/>
    <n v="350000"/>
    <n v="27290919"/>
    <x v="6"/>
    <s v="Oui"/>
    <x v="2"/>
    <s v="RALFF"/>
    <s v="CONGO"/>
    <s v="RALFF-CO2229"/>
    <s v="5.8"/>
    <m/>
  </r>
  <r>
    <d v="2021-05-19T00:00:00"/>
    <s v="Récu caisse/I23C"/>
    <x v="5"/>
    <m/>
    <n v="49000"/>
    <m/>
    <n v="27339919"/>
    <x v="4"/>
    <m/>
    <x v="0"/>
    <m/>
    <m/>
    <m/>
    <m/>
    <m/>
  </r>
  <r>
    <d v="2021-05-20T00:00:00"/>
    <s v="GEISNER MATOKO - CONGO - Hôtel Mission OP à Pointe-Noire du 18 au 21/05/21"/>
    <x v="3"/>
    <s v="Operations"/>
    <m/>
    <n v="45000"/>
    <n v="27294919"/>
    <x v="7"/>
    <s v="Oui"/>
    <x v="2"/>
    <s v="RALFF"/>
    <s v="CONGO"/>
    <s v="RALFF-CO2239"/>
    <s v="1.3.2"/>
    <m/>
  </r>
  <r>
    <d v="2021-05-20T00:00:00"/>
    <s v="P29 - CONGO - Hôtel Mission à Pointe-Noire  du 10 au 20/05/21"/>
    <x v="3"/>
    <s v="Investigations"/>
    <m/>
    <n v="150000"/>
    <n v="27144919"/>
    <x v="1"/>
    <s v="Oui"/>
    <x v="2"/>
    <s v="RALFF"/>
    <s v="CONGO"/>
    <s v="RALFF-CO2240"/>
    <s v="1.3.2"/>
    <m/>
  </r>
  <r>
    <d v="2021-05-20T00:00:00"/>
    <s v="Photocopies en couleur de 04 feuilles"/>
    <x v="7"/>
    <s v="Office"/>
    <m/>
    <n v="400"/>
    <n v="27144519"/>
    <x v="6"/>
    <s v="Oui"/>
    <x v="1"/>
    <s v="PALF"/>
    <s v="CONGO"/>
    <m/>
    <m/>
    <m/>
  </r>
  <r>
    <d v="2021-05-20T00:00:00"/>
    <s v="Cumul achat boissons et repas pour les informateurs/P29"/>
    <x v="15"/>
    <s v="Investigations"/>
    <m/>
    <n v="28500"/>
    <n v="27116019"/>
    <x v="1"/>
    <s v="Décharge"/>
    <x v="1"/>
    <s v="PALF"/>
    <s v="CONGO"/>
    <m/>
    <m/>
    <m/>
  </r>
  <r>
    <d v="2021-05-20T00:00:00"/>
    <s v="Versement Geis/Crépin"/>
    <x v="5"/>
    <m/>
    <m/>
    <n v="10000"/>
    <n v="27106019"/>
    <x v="13"/>
    <m/>
    <x v="0"/>
    <m/>
    <m/>
    <m/>
    <m/>
    <m/>
  </r>
  <r>
    <d v="2021-05-20T00:00:00"/>
    <s v="Reçu caisse Crépin/Geis"/>
    <x v="5"/>
    <m/>
    <n v="10000"/>
    <m/>
    <n v="27116019"/>
    <x v="7"/>
    <m/>
    <x v="0"/>
    <m/>
    <m/>
    <m/>
    <m/>
    <m/>
  </r>
  <r>
    <d v="2021-05-20T00:00:00"/>
    <s v="Frais de transport P/N-Dolisie"/>
    <x v="1"/>
    <s v="Operations"/>
    <m/>
    <n v="5000"/>
    <n v="27111019"/>
    <x v="1"/>
    <s v="Décharge"/>
    <x v="1"/>
    <s v="PALF"/>
    <s v="CONGO"/>
    <m/>
    <m/>
    <m/>
  </r>
  <r>
    <d v="2021-05-20T00:00:00"/>
    <s v="Achat billet  Pointe Noire - Brazzaville/Geis"/>
    <x v="1"/>
    <s v="Operations"/>
    <m/>
    <n v="15000"/>
    <n v="27096019"/>
    <x v="7"/>
    <s v="Oui"/>
    <x v="2"/>
    <s v="RALFF"/>
    <s v="CONGO"/>
    <s v="RALFF-CO2238"/>
    <s v="2.2"/>
    <m/>
  </r>
  <r>
    <d v="2021-05-21T00:00:00"/>
    <s v="P29 - CONGO - Hôtel Mission à Dolisie du 20 au 21/05/21"/>
    <x v="3"/>
    <s v="Operations"/>
    <m/>
    <n v="15000"/>
    <n v="27081019"/>
    <x v="1"/>
    <s v="Oui"/>
    <x v="2"/>
    <s v="RALFF"/>
    <s v="CONGO"/>
    <s v="RALFF-CO2243"/>
    <s v="1.3.2"/>
    <m/>
  </r>
  <r>
    <d v="2021-05-21T00:00:00"/>
    <s v="Retrait especes/appro caisse/bord n°3643458"/>
    <x v="5"/>
    <m/>
    <m/>
    <n v="1000000"/>
    <n v="26081019"/>
    <x v="11"/>
    <n v="3643458"/>
    <x v="0"/>
    <m/>
    <m/>
    <m/>
    <m/>
    <m/>
  </r>
  <r>
    <d v="2021-05-21T00:00:00"/>
    <s v="BCI"/>
    <x v="5"/>
    <m/>
    <n v="1000000"/>
    <m/>
    <n v="27081019"/>
    <x v="6"/>
    <m/>
    <x v="0"/>
    <m/>
    <m/>
    <m/>
    <m/>
    <m/>
  </r>
  <r>
    <d v="2021-05-21T00:00:00"/>
    <s v="Crépin"/>
    <x v="5"/>
    <m/>
    <m/>
    <n v="226000"/>
    <n v="26855019"/>
    <x v="6"/>
    <m/>
    <x v="0"/>
    <m/>
    <m/>
    <m/>
    <m/>
    <m/>
  </r>
  <r>
    <d v="2021-05-21T00:00:00"/>
    <s v="JB"/>
    <x v="5"/>
    <m/>
    <m/>
    <n v="169000"/>
    <n v="26686019"/>
    <x v="6"/>
    <m/>
    <x v="0"/>
    <m/>
    <m/>
    <m/>
    <m/>
    <m/>
  </r>
  <r>
    <d v="2021-05-21T00:00:00"/>
    <s v="Evariste"/>
    <x v="5"/>
    <m/>
    <m/>
    <n v="183000"/>
    <n v="26503019"/>
    <x v="6"/>
    <m/>
    <x v="0"/>
    <m/>
    <m/>
    <m/>
    <m/>
    <m/>
  </r>
  <r>
    <d v="2021-05-21T00:00:00"/>
    <s v="I23C"/>
    <x v="5"/>
    <m/>
    <m/>
    <n v="159000"/>
    <n v="26344019"/>
    <x v="6"/>
    <m/>
    <x v="0"/>
    <m/>
    <m/>
    <m/>
    <m/>
    <m/>
  </r>
  <r>
    <d v="2021-05-21T00:00:00"/>
    <s v="Christian"/>
    <x v="5"/>
    <m/>
    <m/>
    <n v="5000"/>
    <n v="26339019"/>
    <x v="6"/>
    <m/>
    <x v="0"/>
    <m/>
    <m/>
    <m/>
    <m/>
    <m/>
  </r>
  <r>
    <d v="2021-05-21T00:00:00"/>
    <s v="Merveille"/>
    <x v="5"/>
    <m/>
    <m/>
    <n v="10000"/>
    <n v="26329019"/>
    <x v="6"/>
    <m/>
    <x v="0"/>
    <m/>
    <m/>
    <m/>
    <m/>
    <m/>
  </r>
  <r>
    <d v="2021-05-21T00:00:00"/>
    <s v="Achat billet Dolisie-Brazza/P29"/>
    <x v="1"/>
    <s v="Investigations"/>
    <m/>
    <n v="10000"/>
    <n v="26319019"/>
    <x v="1"/>
    <s v="Oui"/>
    <x v="2"/>
    <s v="RALFF"/>
    <s v="CONGO"/>
    <s v="RALFF-CO2244"/>
    <s v="2.2"/>
    <m/>
  </r>
  <r>
    <d v="2021-05-21T00:00:00"/>
    <s v="Recu caisse/Christian"/>
    <x v="5"/>
    <m/>
    <n v="5000"/>
    <m/>
    <n v="26324019"/>
    <x v="3"/>
    <m/>
    <x v="0"/>
    <m/>
    <m/>
    <m/>
    <m/>
    <m/>
  </r>
  <r>
    <d v="2021-05-21T00:00:00"/>
    <s v="Reçu caisse/JB"/>
    <x v="5"/>
    <m/>
    <n v="169000"/>
    <m/>
    <n v="26493019"/>
    <x v="10"/>
    <m/>
    <x v="0"/>
    <m/>
    <m/>
    <m/>
    <m/>
    <m/>
  </r>
  <r>
    <d v="2021-05-21T00:00:00"/>
    <s v="Reçu caisse/Merveille"/>
    <x v="5"/>
    <m/>
    <n v="10000"/>
    <m/>
    <n v="26503019"/>
    <x v="8"/>
    <m/>
    <x v="0"/>
    <m/>
    <m/>
    <m/>
    <m/>
    <m/>
  </r>
  <r>
    <d v="2021-05-21T00:00:00"/>
    <s v="Frais de mission maitre Severin/cas KOUMBA/PNR du 24 au 26 mai 2021"/>
    <x v="8"/>
    <s v="Legal"/>
    <m/>
    <n v="86000"/>
    <n v="26417019"/>
    <x v="6"/>
    <s v="Oui"/>
    <x v="2"/>
    <s v="RALFF"/>
    <s v="CONGO"/>
    <s v="RALFF-CO2242"/>
    <s v="5.2.2"/>
    <m/>
  </r>
  <r>
    <d v="2021-05-21T00:00:00"/>
    <s v="Bonus Opération 2 agents des EF"/>
    <x v="10"/>
    <s v="Operations"/>
    <m/>
    <n v="20000"/>
    <n v="26397019"/>
    <x v="13"/>
    <s v="Décharge"/>
    <x v="1"/>
    <s v="PALF"/>
    <s v="CONGO"/>
    <m/>
    <m/>
    <m/>
  </r>
  <r>
    <d v="2021-05-21T00:00:00"/>
    <s v="Frais de transfert charden Farell/jb"/>
    <x v="11"/>
    <s v="Office"/>
    <m/>
    <n v="22110"/>
    <n v="26374909"/>
    <x v="6"/>
    <s v="Oui"/>
    <x v="2"/>
    <s v="RALFF"/>
    <s v="CONGO"/>
    <s v="RALFF-CO2241"/>
    <s v="5.6"/>
    <m/>
  </r>
  <r>
    <d v="2021-05-22T00:00:00"/>
    <s v="EVARISTE  LELOUSSI - CONGO - Hôtel Mission OP à Pointe-Noire18 au 23/05/21"/>
    <x v="3"/>
    <s v="Operations"/>
    <m/>
    <n v="75000"/>
    <n v="26299909"/>
    <x v="12"/>
    <s v="Oui"/>
    <x v="2"/>
    <s v="RALFF"/>
    <s v="CONGO"/>
    <s v="RALFF-CO2246"/>
    <s v="1.3.2"/>
    <m/>
  </r>
  <r>
    <d v="2021-05-22T00:00:00"/>
    <s v="Frais médicaux (prescription examen à l'Hôpital Régionale des Armées) pour le prévenu NGOMA SOTA Landry"/>
    <x v="16"/>
    <s v="Legal"/>
    <m/>
    <n v="6800"/>
    <n v="26293109"/>
    <x v="10"/>
    <s v="Oui"/>
    <x v="1"/>
    <s v="PALF"/>
    <s v="CONGO"/>
    <m/>
    <m/>
    <m/>
  </r>
  <r>
    <d v="2021-05-22T00:00:00"/>
    <s v="Achat produit pharmaceutique-Ordonnance  prévenu /JB"/>
    <x v="16"/>
    <s v="Legal"/>
    <m/>
    <n v="21840"/>
    <n v="26271269"/>
    <x v="10"/>
    <s v="Oui"/>
    <x v="1"/>
    <s v="PALF"/>
    <s v="CONGO"/>
    <m/>
    <m/>
    <m/>
  </r>
  <r>
    <d v="2021-05-22T00:00:00"/>
    <s v="Achat Billet Pointe Noire-Brazzaville/Evariste"/>
    <x v="1"/>
    <s v="Operations"/>
    <m/>
    <n v="15000"/>
    <n v="26256269"/>
    <x v="12"/>
    <s v="Oui"/>
    <x v="2"/>
    <s v="RALFF"/>
    <s v="CONGO"/>
    <s v="RALFF-CO2247"/>
    <s v="2.2"/>
    <m/>
  </r>
  <r>
    <d v="2021-05-22T00:00:00"/>
    <s v="Reçu caisse/Crépin"/>
    <x v="5"/>
    <m/>
    <n v="226000"/>
    <m/>
    <n v="26482269"/>
    <x v="13"/>
    <m/>
    <x v="0"/>
    <m/>
    <m/>
    <m/>
    <m/>
    <m/>
  </r>
  <r>
    <d v="2021-05-22T00:00:00"/>
    <s v="Reçu caisse/Evariste"/>
    <x v="5"/>
    <m/>
    <n v="183000"/>
    <m/>
    <n v="26665269"/>
    <x v="12"/>
    <m/>
    <x v="0"/>
    <m/>
    <m/>
    <m/>
    <m/>
    <m/>
  </r>
  <r>
    <d v="2021-05-22T00:00:00"/>
    <s v="Versement Ted/JB"/>
    <x v="5"/>
    <m/>
    <m/>
    <n v="6500"/>
    <n v="26658769"/>
    <x v="10"/>
    <m/>
    <x v="0"/>
    <m/>
    <m/>
    <m/>
    <m/>
    <m/>
  </r>
  <r>
    <d v="2021-05-22T00:00:00"/>
    <s v="Réçu caisse JB /Ted"/>
    <x v="5"/>
    <m/>
    <n v="6500"/>
    <m/>
    <n v="26665269"/>
    <x v="9"/>
    <m/>
    <x v="0"/>
    <m/>
    <m/>
    <m/>
    <m/>
    <m/>
  </r>
  <r>
    <d v="2021-05-22T00:00:00"/>
    <s v="Frais de Bonus média/Evariste"/>
    <x v="10"/>
    <s v="Media"/>
    <m/>
    <n v="50000"/>
    <n v="26615269"/>
    <x v="12"/>
    <s v="Décharge"/>
    <x v="3"/>
    <s v="PALF"/>
    <s v="CONGO"/>
    <m/>
    <m/>
    <m/>
  </r>
  <r>
    <d v="2021-05-22T00:00:00"/>
    <s v="Frais de transfert charden Farell/Crepin"/>
    <x v="11"/>
    <s v="Office"/>
    <m/>
    <n v="900"/>
    <n v="26614369"/>
    <x v="6"/>
    <s v="Oui"/>
    <x v="2"/>
    <s v="RALFF"/>
    <s v="CONGO"/>
    <s v="RALFF-CO2245"/>
    <s v="5.6"/>
    <m/>
  </r>
  <r>
    <d v="2021-05-23T00:00:00"/>
    <s v="Frais surveillance prévenu par 2 gendarmes/JB"/>
    <x v="16"/>
    <s v="Legal"/>
    <m/>
    <n v="20000"/>
    <n v="26594369"/>
    <x v="10"/>
    <s v="Oui"/>
    <x v="1"/>
    <s v="PALF"/>
    <s v="CONGO"/>
    <m/>
    <m/>
    <m/>
  </r>
  <r>
    <d v="2021-05-23T00:00:00"/>
    <s v="Achat produit pharmaceutique-Ordonnance  prévenu /JB"/>
    <x v="16"/>
    <s v="Legal"/>
    <m/>
    <n v="12240"/>
    <n v="26582129"/>
    <x v="10"/>
    <s v="Oui"/>
    <x v="1"/>
    <s v="PALF"/>
    <s v="CONGO"/>
    <m/>
    <m/>
    <m/>
  </r>
  <r>
    <d v="2021-05-23T00:00:00"/>
    <s v="Récu caisse/I23C"/>
    <x v="5"/>
    <m/>
    <n v="159000"/>
    <m/>
    <n v="26741129"/>
    <x v="4"/>
    <m/>
    <x v="0"/>
    <m/>
    <m/>
    <m/>
    <m/>
    <m/>
  </r>
  <r>
    <d v="2021-05-24T00:00:00"/>
    <s v="Paiement salaire du mois de Mai 2021/ Evariste Leloussi/chq n°3643467"/>
    <x v="6"/>
    <s v="Media"/>
    <m/>
    <n v="230000"/>
    <n v="26511129"/>
    <x v="11"/>
    <n v="3643467"/>
    <x v="2"/>
    <s v="RALFF"/>
    <s v="CONGO"/>
    <s v="RALFF-CO2256"/>
    <s v="1.1.1.4"/>
    <m/>
  </r>
  <r>
    <d v="2021-05-24T00:00:00"/>
    <s v="Paiement salaire du mois Mai 2021/MATOKO Geisner/chq n°3643459"/>
    <x v="6"/>
    <s v="Legal"/>
    <m/>
    <n v="193600"/>
    <n v="26317529"/>
    <x v="11"/>
    <n v="3643459"/>
    <x v="2"/>
    <s v="RALFF"/>
    <s v="CONGO"/>
    <s v="RALFF-CO2248"/>
    <s v="1.1.1.7"/>
    <m/>
  </r>
  <r>
    <d v="2021-05-24T00:00:00"/>
    <s v="Paiement salaire du mois de Mai  2021/MININGOU Christian/chq n°3643460"/>
    <x v="6"/>
    <s v="Legal"/>
    <m/>
    <n v="193600"/>
    <n v="26123929"/>
    <x v="11"/>
    <n v="3643460"/>
    <x v="2"/>
    <s v="RALFF"/>
    <s v="CONGO"/>
    <s v="RALFF-CO2249"/>
    <s v="1.1.1.7"/>
    <m/>
  </r>
  <r>
    <d v="2021-05-24T00:00:00"/>
    <s v="Paiement salaire du mois de Mai 2021/IBOUILI CREPIN/chq n°3643463"/>
    <x v="6"/>
    <s v="Legal"/>
    <m/>
    <n v="356500"/>
    <n v="25767429"/>
    <x v="11"/>
    <n v="3643463"/>
    <x v="2"/>
    <s v="RALFF"/>
    <s v="CONGO"/>
    <s v="RALFF-CO2252"/>
    <s v="1.1.1.7"/>
    <m/>
  </r>
  <r>
    <d v="2021-05-24T00:00:00"/>
    <s v="Paiement salaire du mois de Mai 2021/ Jack-Bénisson MALONGA/chq n°3643466"/>
    <x v="6"/>
    <s v="Legal"/>
    <m/>
    <n v="308000"/>
    <n v="25459429"/>
    <x v="11"/>
    <n v="3643466"/>
    <x v="2"/>
    <s v="RALFF"/>
    <s v="CONGO"/>
    <s v="RALFF-CO2255"/>
    <s v="1.1.1.7"/>
    <m/>
  </r>
  <r>
    <d v="2021-05-24T00:00:00"/>
    <s v="Paiement salaire du mois de Mai 2021/P29 /chq n°3643462"/>
    <x v="6"/>
    <s v="Investigations"/>
    <m/>
    <n v="191000"/>
    <n v="25268429"/>
    <x v="11"/>
    <n v="3643462"/>
    <x v="2"/>
    <s v="RALFF"/>
    <s v="CONGO"/>
    <s v="RALFF-CO2251"/>
    <s v="1.1.1.9"/>
    <m/>
  </r>
  <r>
    <d v="2021-05-24T00:00:00"/>
    <s v="Reglement facture honoraire du mois de Mai 2021/I23C/chq n°3643464"/>
    <x v="6"/>
    <s v="Investigations"/>
    <m/>
    <n v="400000"/>
    <n v="24868429"/>
    <x v="11"/>
    <n v="3643464"/>
    <x v="2"/>
    <s v="RALFF"/>
    <s v="CONGO"/>
    <s v="RALFF-CO2253"/>
    <s v="1.1.1.9"/>
    <m/>
  </r>
  <r>
    <d v="2021-05-24T00:00:00"/>
    <s v="Paiement salaire du mois de Mai 2021/MAHANGA Merveille/chq n°3643461"/>
    <x v="6"/>
    <s v="Management"/>
    <m/>
    <n v="275000"/>
    <n v="24593429"/>
    <x v="11"/>
    <n v="3643461"/>
    <x v="2"/>
    <s v="RALFF"/>
    <s v="CONGO"/>
    <s v="RALFF-CO2250"/>
    <s v="1.1.2.1"/>
    <m/>
  </r>
  <r>
    <d v="2021-05-24T00:00:00"/>
    <s v="Reglement salaire du mois de Mai 2021/ KOUEMITOUKA TED/chq n°3643465"/>
    <x v="6"/>
    <s v="Management"/>
    <m/>
    <n v="400000"/>
    <n v="24193429"/>
    <x v="11"/>
    <n v="3643465"/>
    <x v="2"/>
    <s v="RALFF"/>
    <s v="CONGO"/>
    <s v="RALFF-CO2254"/>
    <s v="1.1.2.1"/>
    <m/>
  </r>
  <r>
    <d v="2021-05-24T00:00:00"/>
    <s v="Frais surveillance prévenu par 2 gendarmes/Crépin"/>
    <x v="16"/>
    <s v="Legal"/>
    <m/>
    <n v="20000"/>
    <n v="24173429"/>
    <x v="13"/>
    <s v="Oui"/>
    <x v="1"/>
    <s v="PALF"/>
    <s v="CONGO"/>
    <m/>
    <m/>
    <m/>
  </r>
  <r>
    <d v="2021-05-24T00:00:00"/>
    <s v="Achat produit pharmaceutique-Ordonnance  prévenu /JB"/>
    <x v="16"/>
    <s v="Legal"/>
    <m/>
    <n v="37495"/>
    <n v="24135934"/>
    <x v="10"/>
    <s v="Oui"/>
    <x v="1"/>
    <s v="PALF"/>
    <s v="CONGO"/>
    <m/>
    <m/>
    <m/>
  </r>
  <r>
    <d v="2021-05-24T00:00:00"/>
    <s v="Achat 1 paire de gants et séringue/JB"/>
    <x v="16"/>
    <s v="Legal"/>
    <m/>
    <n v="800"/>
    <n v="24135134"/>
    <x v="10"/>
    <s v="Décharge"/>
    <x v="1"/>
    <s v="PALF"/>
    <s v="CONGO"/>
    <m/>
    <m/>
    <m/>
  </r>
  <r>
    <d v="2021-05-25T00:00:00"/>
    <s v="Frais d'impression de la procédure"/>
    <x v="7"/>
    <s v="Legal"/>
    <m/>
    <n v="3900"/>
    <n v="24131234"/>
    <x v="13"/>
    <s v="Oui"/>
    <x v="1"/>
    <s v="PALF"/>
    <s v="CONGO"/>
    <m/>
    <m/>
    <m/>
  </r>
  <r>
    <d v="2021-05-25T00:00:00"/>
    <s v="Achat Carburant pour la BJ gendarmerie OP à PN/Crépin"/>
    <x v="1"/>
    <s v="Operations"/>
    <m/>
    <n v="25000"/>
    <n v="24106234"/>
    <x v="13"/>
    <s v="Oui"/>
    <x v="1"/>
    <s v="PALF"/>
    <s v="CONGO"/>
    <m/>
    <m/>
    <m/>
  </r>
  <r>
    <d v="2021-05-25T00:00:00"/>
    <s v="Achat Cartouche d'encre, rame de papier et marqueur pour la gendarmerie"/>
    <x v="7"/>
    <s v="Legal"/>
    <m/>
    <n v="63500"/>
    <n v="24042734"/>
    <x v="13"/>
    <s v="Oui"/>
    <x v="1"/>
    <s v="PALF"/>
    <s v="CONGO"/>
    <m/>
    <m/>
    <m/>
  </r>
  <r>
    <d v="2021-05-25T00:00:00"/>
    <s v="Evariste"/>
    <x v="5"/>
    <m/>
    <m/>
    <n v="70000"/>
    <n v="23972734"/>
    <x v="6"/>
    <m/>
    <x v="0"/>
    <m/>
    <m/>
    <m/>
    <m/>
    <m/>
  </r>
  <r>
    <d v="2021-05-25T00:00:00"/>
    <s v="Evariste"/>
    <x v="5"/>
    <m/>
    <m/>
    <n v="10000"/>
    <n v="23962734"/>
    <x v="6"/>
    <m/>
    <x v="0"/>
    <m/>
    <m/>
    <m/>
    <m/>
    <m/>
  </r>
  <r>
    <d v="2021-05-25T00:00:00"/>
    <s v="Frais examen medical et produit medicaux/JB"/>
    <x v="16"/>
    <s v="Legal"/>
    <m/>
    <n v="8000"/>
    <n v="23954734"/>
    <x v="10"/>
    <s v="Oui"/>
    <x v="1"/>
    <s v="PALF"/>
    <s v="CONGO"/>
    <m/>
    <m/>
    <m/>
  </r>
  <r>
    <d v="2021-05-25T00:00:00"/>
    <s v="Frais Examen medical n°1 et n°2/JB"/>
    <x v="16"/>
    <s v="Legal"/>
    <m/>
    <n v="2500"/>
    <n v="23952234"/>
    <x v="10"/>
    <s v="Décharge"/>
    <x v="1"/>
    <s v="PALF"/>
    <s v="CONGO"/>
    <m/>
    <m/>
    <m/>
  </r>
  <r>
    <d v="2021-05-25T00:00:00"/>
    <s v="Frais surveillance prévenu par 2 gendarmes/JB"/>
    <x v="16"/>
    <s v="Legal"/>
    <m/>
    <n v="20000"/>
    <n v="23932234"/>
    <x v="10"/>
    <s v="Oui"/>
    <x v="1"/>
    <s v="PALF"/>
    <s v="CONGO"/>
    <m/>
    <m/>
    <m/>
  </r>
  <r>
    <d v="2021-05-25T00:00:00"/>
    <s v="Achat produit pharmaceutique-Ordonnance  prévenu /JB"/>
    <x v="16"/>
    <s v="Legal"/>
    <m/>
    <n v="30725"/>
    <n v="23901509"/>
    <x v="10"/>
    <s v="Oui"/>
    <x v="1"/>
    <s v="PALF"/>
    <s v="CONGO"/>
    <m/>
    <m/>
    <m/>
  </r>
  <r>
    <d v="2021-05-25T00:00:00"/>
    <s v="Versement JB/Crépin"/>
    <x v="5"/>
    <m/>
    <m/>
    <n v="200000"/>
    <n v="23701509"/>
    <x v="13"/>
    <m/>
    <x v="0"/>
    <m/>
    <m/>
    <m/>
    <m/>
    <m/>
  </r>
  <r>
    <d v="2021-05-25T00:00:00"/>
    <s v="Reçu caisse/Evariste"/>
    <x v="5"/>
    <m/>
    <n v="10000"/>
    <m/>
    <n v="23711509"/>
    <x v="12"/>
    <m/>
    <x v="0"/>
    <m/>
    <m/>
    <m/>
    <m/>
    <m/>
  </r>
  <r>
    <d v="2021-05-25T00:00:00"/>
    <s v="Reçu caisse/Evariste"/>
    <x v="5"/>
    <m/>
    <n v="70000"/>
    <m/>
    <n v="23781509"/>
    <x v="12"/>
    <m/>
    <x v="0"/>
    <m/>
    <m/>
    <m/>
    <m/>
    <m/>
  </r>
  <r>
    <d v="2021-05-25T00:00:00"/>
    <s v="Reçu caisse Crépin/JB"/>
    <x v="5"/>
    <m/>
    <n v="200000"/>
    <m/>
    <n v="23981509"/>
    <x v="10"/>
    <m/>
    <x v="0"/>
    <m/>
    <m/>
    <m/>
    <m/>
    <m/>
  </r>
  <r>
    <d v="2021-05-25T00:00:00"/>
    <s v="Bonus Opération 15 agents de la gendarmerie"/>
    <x v="10"/>
    <s v="Operations"/>
    <m/>
    <n v="150000"/>
    <n v="23831509"/>
    <x v="13"/>
    <s v="Décharge"/>
    <x v="3"/>
    <s v="PALF"/>
    <s v="CONGO"/>
    <m/>
    <m/>
    <m/>
  </r>
  <r>
    <d v="2021-05-26T00:00:00"/>
    <s v="Cumul frais de transport local mois de Mai 2021/christian"/>
    <x v="1"/>
    <s v="Legal"/>
    <m/>
    <n v="19000"/>
    <n v="23812509"/>
    <x v="3"/>
    <s v="Décharge"/>
    <x v="2"/>
    <s v="RALFF"/>
    <s v="CONGO"/>
    <s v="RALFF-CO2259"/>
    <s v="2.2"/>
    <m/>
  </r>
  <r>
    <d v="2021-05-26T00:00:00"/>
    <s v="Achat Billet d'avion: PN-Brazzaville- PN/Crépin"/>
    <x v="17"/>
    <s v="Management"/>
    <m/>
    <n v="80000"/>
    <n v="23732509"/>
    <x v="13"/>
    <s v="Oui"/>
    <x v="2"/>
    <s v="RALFF"/>
    <s v="CONGO"/>
    <s v="RALFF-CO2260"/>
    <s v="2.2"/>
    <m/>
  </r>
  <r>
    <d v="2021-05-26T00:00:00"/>
    <s v="Achat Billet Brazzaville-Pointe Noire/Evariste"/>
    <x v="1"/>
    <s v="Operations"/>
    <m/>
    <n v="15000"/>
    <n v="23717509"/>
    <x v="12"/>
    <s v="Oui"/>
    <x v="2"/>
    <s v="RALFF"/>
    <s v="CONGO"/>
    <s v="RALFF-CO2261"/>
    <s v="2.2"/>
    <m/>
  </r>
  <r>
    <d v="2021-05-26T00:00:00"/>
    <s v="Achat billet Brazzaville - Pointe-Noire/Geis"/>
    <x v="1"/>
    <s v="Operations"/>
    <m/>
    <n v="15000"/>
    <n v="23702509"/>
    <x v="7"/>
    <s v="Oui"/>
    <x v="2"/>
    <s v="RALFF"/>
    <s v="CONGO"/>
    <s v="RALFF-CO2262"/>
    <s v="2.2"/>
    <m/>
  </r>
  <r>
    <d v="2021-05-26T00:00:00"/>
    <s v="Frais de Bonus média/Evariste"/>
    <x v="18"/>
    <s v="Media"/>
    <m/>
    <n v="150000"/>
    <n v="23552509"/>
    <x v="12"/>
    <s v="Décharge"/>
    <x v="1"/>
    <s v="PALF"/>
    <s v="CONGO"/>
    <m/>
    <m/>
    <m/>
  </r>
  <r>
    <d v="2021-05-26T00:00:00"/>
    <s v="Achat produit pharmaceutique-Ordonnance  prévenu /JB"/>
    <x v="16"/>
    <s v="Legal"/>
    <m/>
    <n v="2600"/>
    <n v="23549909"/>
    <x v="10"/>
    <s v="Oui"/>
    <x v="1"/>
    <s v="PALF"/>
    <s v="CONGO"/>
    <m/>
    <m/>
    <m/>
  </r>
  <r>
    <d v="2021-05-26T00:00:00"/>
    <s v="Frais surveillance prévenu par 2 gendarmes/JB"/>
    <x v="16"/>
    <s v="Legal"/>
    <m/>
    <n v="20000"/>
    <n v="23529909"/>
    <x v="10"/>
    <s v="Oui"/>
    <x v="1"/>
    <s v="PALF"/>
    <s v="CONGO"/>
    <m/>
    <m/>
    <m/>
  </r>
  <r>
    <d v="2021-05-26T00:00:00"/>
    <s v="Retrait especes/appro caisse/bord n°3643470"/>
    <x v="5"/>
    <m/>
    <m/>
    <n v="167000"/>
    <n v="23362909"/>
    <x v="11"/>
    <n v="3643470"/>
    <x v="0"/>
    <m/>
    <m/>
    <m/>
    <m/>
    <m/>
  </r>
  <r>
    <d v="2021-05-26T00:00:00"/>
    <s v="Retrait especes/appro caisse/bord n°3643468"/>
    <x v="5"/>
    <m/>
    <m/>
    <n v="143000"/>
    <n v="23219909"/>
    <x v="11"/>
    <n v="3643468"/>
    <x v="0"/>
    <m/>
    <m/>
    <m/>
    <m/>
    <m/>
  </r>
  <r>
    <d v="2021-05-26T00:00:00"/>
    <s v="Crépin"/>
    <x v="5"/>
    <m/>
    <m/>
    <n v="141000"/>
    <n v="23078909"/>
    <x v="6"/>
    <m/>
    <x v="0"/>
    <m/>
    <m/>
    <m/>
    <m/>
    <m/>
  </r>
  <r>
    <d v="2021-05-26T00:00:00"/>
    <s v="JB"/>
    <x v="5"/>
    <m/>
    <m/>
    <n v="103000"/>
    <n v="22975909"/>
    <x v="6"/>
    <m/>
    <x v="0"/>
    <m/>
    <m/>
    <m/>
    <m/>
    <m/>
  </r>
  <r>
    <d v="2021-05-26T00:00:00"/>
    <s v="I23C"/>
    <x v="5"/>
    <m/>
    <m/>
    <n v="97000"/>
    <n v="22878909"/>
    <x v="6"/>
    <m/>
    <x v="0"/>
    <m/>
    <m/>
    <m/>
    <m/>
    <m/>
  </r>
  <r>
    <d v="2021-05-26T00:00:00"/>
    <s v="Evariste"/>
    <x v="5"/>
    <m/>
    <m/>
    <n v="92000"/>
    <n v="22786909"/>
    <x v="6"/>
    <m/>
    <x v="0"/>
    <m/>
    <m/>
    <m/>
    <m/>
    <m/>
  </r>
  <r>
    <d v="2021-05-26T00:00:00"/>
    <s v="Geisner"/>
    <x v="5"/>
    <m/>
    <m/>
    <n v="92000"/>
    <n v="22694909"/>
    <x v="6"/>
    <m/>
    <x v="0"/>
    <m/>
    <m/>
    <m/>
    <m/>
    <m/>
  </r>
  <r>
    <d v="2021-05-26T00:00:00"/>
    <s v="BCI/achat credit"/>
    <x v="5"/>
    <m/>
    <n v="143000"/>
    <m/>
    <n v="22837909"/>
    <x v="6"/>
    <m/>
    <x v="0"/>
    <m/>
    <m/>
    <m/>
    <m/>
    <m/>
  </r>
  <r>
    <d v="2021-05-26T00:00:00"/>
    <s v="BCI/achat credit"/>
    <x v="5"/>
    <m/>
    <n v="167000"/>
    <m/>
    <n v="23004909"/>
    <x v="6"/>
    <m/>
    <x v="0"/>
    <m/>
    <m/>
    <m/>
    <m/>
    <m/>
  </r>
  <r>
    <d v="2021-05-26T00:00:00"/>
    <s v="Reçu caisse/Crépin"/>
    <x v="5"/>
    <m/>
    <n v="141000"/>
    <m/>
    <n v="23145909"/>
    <x v="13"/>
    <m/>
    <x v="0"/>
    <m/>
    <m/>
    <m/>
    <m/>
    <m/>
  </r>
  <r>
    <d v="2021-05-26T00:00:00"/>
    <s v="Reçu caisse/Evariste"/>
    <x v="5"/>
    <m/>
    <n v="92000"/>
    <m/>
    <n v="23237909"/>
    <x v="12"/>
    <m/>
    <x v="0"/>
    <m/>
    <m/>
    <m/>
    <m/>
    <m/>
  </r>
  <r>
    <d v="2021-05-26T00:00:00"/>
    <s v="Reçu caisse/Geis"/>
    <x v="5"/>
    <m/>
    <n v="92000"/>
    <m/>
    <n v="23329909"/>
    <x v="7"/>
    <m/>
    <x v="0"/>
    <m/>
    <m/>
    <m/>
    <m/>
    <m/>
  </r>
  <r>
    <d v="2021-05-26T00:00:00"/>
    <s v="Récu caisse/I23C"/>
    <x v="5"/>
    <m/>
    <n v="97000"/>
    <m/>
    <n v="23426909"/>
    <x v="4"/>
    <m/>
    <x v="0"/>
    <m/>
    <m/>
    <m/>
    <m/>
    <m/>
  </r>
  <r>
    <d v="2021-05-26T00:00:00"/>
    <s v="Reçu caisse/JB"/>
    <x v="5"/>
    <m/>
    <n v="103000"/>
    <m/>
    <n v="23529909"/>
    <x v="10"/>
    <m/>
    <x v="0"/>
    <m/>
    <m/>
    <m/>
    <m/>
    <m/>
  </r>
  <r>
    <d v="2021-05-26T00:00:00"/>
    <s v="Complement Frais de mission maitre Severin/cas KOUMBA/PNR du 26 au 27 mai 2021"/>
    <x v="8"/>
    <s v="Legal"/>
    <m/>
    <n v="27000"/>
    <n v="23502909"/>
    <x v="6"/>
    <s v="Oui"/>
    <x v="2"/>
    <s v="RALFF"/>
    <s v="CONGO"/>
    <s v="RALFF-CO2257"/>
    <s v="5.2.2"/>
    <m/>
  </r>
  <r>
    <d v="2021-05-26T00:00:00"/>
    <s v="Frais de transfert charden Farell/jb"/>
    <x v="11"/>
    <s v="Office"/>
    <m/>
    <n v="10230"/>
    <n v="23492679"/>
    <x v="6"/>
    <s v="Oui"/>
    <x v="2"/>
    <s v="RALFF"/>
    <s v="CONGO"/>
    <s v="RALFF-CO2258"/>
    <s v="5.6"/>
    <m/>
  </r>
  <r>
    <d v="2021-05-27T00:00:00"/>
    <s v="EVARISTE  LELOUSSI - CONGO - Ration pour  Mission OP à Pointe-Noire du 27/05  au 02/06/ 21"/>
    <x v="3"/>
    <s v="Operations"/>
    <m/>
    <n v="60000"/>
    <n v="23432679"/>
    <x v="12"/>
    <s v="Décharge"/>
    <x v="2"/>
    <s v="RALFF"/>
    <s v="CONGO"/>
    <s v="RALFF-CO2263"/>
    <s v="1.3.2"/>
    <m/>
  </r>
  <r>
    <d v="2021-05-27T00:00:00"/>
    <s v="GEISNER MATOKO - CONGO - Ration  Mission OP à Pointe-Noire du 27/05  au 02/06/21"/>
    <x v="3"/>
    <s v="Operations"/>
    <m/>
    <n v="70000"/>
    <n v="23362679"/>
    <x v="7"/>
    <s v="Décharge"/>
    <x v="2"/>
    <s v="RALFF"/>
    <s v="CONGO"/>
    <s v="RALFF-CO2264"/>
    <s v="1.3.2"/>
    <m/>
  </r>
  <r>
    <d v="2021-05-27T00:00:00"/>
    <s v="Achat Eau/04Bobone/Bureau PALF"/>
    <x v="9"/>
    <s v="Office"/>
    <m/>
    <n v="18000"/>
    <n v="23344679"/>
    <x v="6"/>
    <s v="Oui"/>
    <x v="1"/>
    <s v="PALF"/>
    <s v="CONGO"/>
    <m/>
    <m/>
    <m/>
  </r>
  <r>
    <d v="2021-05-27T00:00:00"/>
    <s v="Consultation dentiste/I23C"/>
    <x v="6"/>
    <s v="Team Building"/>
    <m/>
    <n v="10000"/>
    <n v="23334679"/>
    <x v="4"/>
    <s v="Oui"/>
    <x v="1"/>
    <s v="PALF"/>
    <s v="CONGO"/>
    <m/>
    <m/>
    <m/>
  </r>
  <r>
    <d v="2021-05-27T00:00:00"/>
    <s v="Radio Panoramique/I23C"/>
    <x v="6"/>
    <s v="Team Building"/>
    <m/>
    <n v="20000"/>
    <n v="23314679"/>
    <x v="4"/>
    <s v="Oui"/>
    <x v="1"/>
    <s v="PALF"/>
    <s v="CONGO"/>
    <m/>
    <m/>
    <m/>
  </r>
  <r>
    <d v="2021-05-27T00:00:00"/>
    <s v="Achat produits pharmaceutiques/I23C"/>
    <x v="6"/>
    <s v="Team Building"/>
    <m/>
    <n v="14585"/>
    <n v="23300094"/>
    <x v="4"/>
    <s v="Oui"/>
    <x v="1"/>
    <s v="PALF"/>
    <s v="CONGO"/>
    <m/>
    <m/>
    <m/>
  </r>
  <r>
    <d v="2021-05-27T00:00:00"/>
    <s v="Retrait especes/appro caisse/bord n°3643472"/>
    <x v="5"/>
    <m/>
    <m/>
    <n v="1000000"/>
    <n v="22300094"/>
    <x v="11"/>
    <n v="3643472"/>
    <x v="0"/>
    <m/>
    <m/>
    <m/>
    <m/>
    <m/>
  </r>
  <r>
    <d v="2021-05-27T00:00:00"/>
    <s v="BCI"/>
    <x v="5"/>
    <m/>
    <n v="1000000"/>
    <m/>
    <n v="23300094"/>
    <x v="6"/>
    <m/>
    <x v="0"/>
    <m/>
    <m/>
    <m/>
    <m/>
    <m/>
  </r>
  <r>
    <d v="2021-05-27T00:00:00"/>
    <s v="Crépin"/>
    <x v="5"/>
    <m/>
    <m/>
    <n v="533000"/>
    <n v="22767094"/>
    <x v="6"/>
    <m/>
    <x v="0"/>
    <m/>
    <m/>
    <m/>
    <m/>
    <m/>
  </r>
  <r>
    <d v="2021-05-27T00:00:00"/>
    <s v="Ted "/>
    <x v="5"/>
    <m/>
    <n v="20000"/>
    <m/>
    <n v="22787094"/>
    <x v="6"/>
    <m/>
    <x v="0"/>
    <m/>
    <m/>
    <m/>
    <m/>
    <m/>
  </r>
  <r>
    <d v="2021-05-27T00:00:00"/>
    <s v="Frais d'hospitalisation 1 prévenu/JB"/>
    <x v="16"/>
    <s v="Legal"/>
    <m/>
    <n v="20000"/>
    <n v="22767094"/>
    <x v="10"/>
    <s v="Oui"/>
    <x v="1"/>
    <s v="PALF"/>
    <s v="CONGO"/>
    <m/>
    <m/>
    <m/>
  </r>
  <r>
    <d v="2021-05-27T00:00:00"/>
    <s v="Reçu caisse/Crépin"/>
    <x v="5"/>
    <m/>
    <n v="300000"/>
    <m/>
    <n v="23067094"/>
    <x v="13"/>
    <m/>
    <x v="0"/>
    <m/>
    <m/>
    <m/>
    <m/>
    <m/>
  </r>
  <r>
    <d v="2021-05-27T00:00:00"/>
    <s v="Reçu caisse/Crépin"/>
    <x v="5"/>
    <m/>
    <n v="150000"/>
    <m/>
    <n v="23217094"/>
    <x v="13"/>
    <m/>
    <x v="0"/>
    <m/>
    <m/>
    <m/>
    <m/>
    <m/>
  </r>
  <r>
    <d v="2021-05-27T00:00:00"/>
    <s v="Reçu caisse/Crépin"/>
    <x v="5"/>
    <m/>
    <n v="20000"/>
    <m/>
    <n v="23237094"/>
    <x v="13"/>
    <m/>
    <x v="0"/>
    <m/>
    <m/>
    <m/>
    <m/>
    <m/>
  </r>
  <r>
    <d v="2021-05-27T00:00:00"/>
    <s v="Reçu caisse/Crépin"/>
    <x v="5"/>
    <m/>
    <n v="25000"/>
    <m/>
    <n v="23262094"/>
    <x v="13"/>
    <m/>
    <x v="0"/>
    <m/>
    <m/>
    <m/>
    <m/>
    <m/>
  </r>
  <r>
    <d v="2021-05-27T00:00:00"/>
    <s v="Reçu caisse/Crépin"/>
    <x v="5"/>
    <m/>
    <n v="38000"/>
    <m/>
    <n v="23300094"/>
    <x v="13"/>
    <m/>
    <x v="0"/>
    <m/>
    <m/>
    <m/>
    <m/>
    <m/>
  </r>
  <r>
    <d v="2021-05-27T00:00:00"/>
    <s v="Versement Crépin/I23C"/>
    <x v="5"/>
    <m/>
    <m/>
    <n v="45000"/>
    <n v="23255094"/>
    <x v="13"/>
    <m/>
    <x v="0"/>
    <m/>
    <m/>
    <m/>
    <m/>
    <m/>
  </r>
  <r>
    <d v="2021-05-27T00:00:00"/>
    <s v="Frais surveillance prévenu par 2 gendarmes/JB"/>
    <x v="16"/>
    <s v="Legal"/>
    <m/>
    <n v="20000"/>
    <n v="23235094"/>
    <x v="10"/>
    <s v="Oui"/>
    <x v="1"/>
    <s v="PALF"/>
    <s v="CONGO"/>
    <m/>
    <m/>
    <m/>
  </r>
  <r>
    <d v="2021-05-27T00:00:00"/>
    <s v="Récu caisse Crépin/I23C"/>
    <x v="5"/>
    <m/>
    <n v="45000"/>
    <m/>
    <n v="23280094"/>
    <x v="4"/>
    <m/>
    <x v="0"/>
    <m/>
    <m/>
    <m/>
    <m/>
    <m/>
  </r>
  <r>
    <d v="2021-05-27T00:00:00"/>
    <s v="Versement Caisse PALF /Ted"/>
    <x v="5"/>
    <m/>
    <m/>
    <n v="20000"/>
    <n v="23260094"/>
    <x v="9"/>
    <m/>
    <x v="0"/>
    <m/>
    <m/>
    <m/>
    <m/>
    <m/>
  </r>
  <r>
    <d v="2021-05-28T00:00:00"/>
    <s v="I23C - CONGO - Hôtel Mission  à Pointe-Noire du 18 au 28/05/21 "/>
    <x v="3"/>
    <s v="Investigations"/>
    <m/>
    <n v="150000"/>
    <n v="23110094"/>
    <x v="4"/>
    <s v="Oui"/>
    <x v="2"/>
    <s v="RALFF"/>
    <s v="CONGO"/>
    <s v="RALFF-CO2274"/>
    <s v="1.3.2"/>
    <m/>
  </r>
  <r>
    <d v="2021-05-28T00:00:00"/>
    <s v="Frais de transport OP/Reservation taxi trois heures/Geis"/>
    <x v="1"/>
    <s v="Operations"/>
    <m/>
    <n v="15000"/>
    <n v="23095094"/>
    <x v="7"/>
    <s v="Oui"/>
    <x v="2"/>
    <s v="RALFF"/>
    <s v="CONGO"/>
    <s v="RALFF-CO2273"/>
    <s v="2.2"/>
    <m/>
  </r>
  <r>
    <d v="2021-05-28T00:00:00"/>
    <s v="Frais de transport  PN-Dolisie/I23C"/>
    <x v="1"/>
    <s v="Operations"/>
    <m/>
    <n v="5000"/>
    <n v="23090094"/>
    <x v="4"/>
    <s v="Oui"/>
    <x v="2"/>
    <s v="RALFF"/>
    <s v="CONGO"/>
    <s v="RALFF-CO2275"/>
    <s v="2.2"/>
    <m/>
  </r>
  <r>
    <d v="2021-05-28T00:00:00"/>
    <s v="Reglement prestation Technicienne de Surface mois d'Avril 2021/MFIELO"/>
    <x v="4"/>
    <s v="Office"/>
    <m/>
    <n v="75625"/>
    <n v="23014469"/>
    <x v="6"/>
    <s v="Oui"/>
    <x v="1"/>
    <s v="PALF"/>
    <s v="CONGO"/>
    <m/>
    <m/>
    <m/>
  </r>
  <r>
    <d v="2021-05-28T00:00:00"/>
    <s v="Cumul frais achat boissons et repas avec les informateurs/I23C"/>
    <x v="15"/>
    <s v="Investigations"/>
    <m/>
    <n v="31500"/>
    <n v="22982969"/>
    <x v="4"/>
    <s v="Décharge"/>
    <x v="1"/>
    <s v="PALF"/>
    <s v="CONGO"/>
    <m/>
    <m/>
    <m/>
  </r>
  <r>
    <d v="2021-05-28T00:00:00"/>
    <s v="MTN/Achat Carte de recharge/staff PALF/Juin/Management/1ere partie"/>
    <x v="12"/>
    <s v="Management"/>
    <m/>
    <n v="36000"/>
    <n v="22946969"/>
    <x v="6"/>
    <s v="Oui"/>
    <x v="2"/>
    <s v="RALFF"/>
    <s v="CONGO"/>
    <s v="RALFF-CO2265"/>
    <s v="4.6"/>
    <m/>
  </r>
  <r>
    <d v="2021-05-28T00:00:00"/>
    <s v="MTN/Achat Carte de recharge/staff PALF/Juin/Légal/1ere partie"/>
    <x v="12"/>
    <s v="Legal"/>
    <m/>
    <n v="31000"/>
    <n v="22915969"/>
    <x v="6"/>
    <s v="Oui"/>
    <x v="2"/>
    <s v="RALFF"/>
    <s v="CONGO"/>
    <s v="RALFF-CO2266"/>
    <s v="4.6"/>
    <m/>
  </r>
  <r>
    <d v="2021-05-28T00:00:00"/>
    <s v="MTN/Achat Carte de recharge/staff PALF/Juin/Investigation/1ere partie"/>
    <x v="12"/>
    <s v="Investigations"/>
    <m/>
    <n v="25000"/>
    <n v="22890969"/>
    <x v="6"/>
    <s v="Oui"/>
    <x v="2"/>
    <s v="RALFF"/>
    <s v="CONGO"/>
    <s v="RALFF-CO2267"/>
    <s v="4.6"/>
    <m/>
  </r>
  <r>
    <d v="2021-05-28T00:00:00"/>
    <s v="Versement Crépin/JB"/>
    <x v="5"/>
    <m/>
    <m/>
    <n v="6000"/>
    <n v="22884969"/>
    <x v="13"/>
    <m/>
    <x v="0"/>
    <m/>
    <m/>
    <m/>
    <m/>
    <m/>
  </r>
  <r>
    <d v="2021-05-28T00:00:00"/>
    <s v="MTN/Achat Carte de recharge/staff PALF/Juin/Média/1ere partie"/>
    <x v="12"/>
    <s v="Media"/>
    <m/>
    <n v="5000"/>
    <n v="22879969"/>
    <x v="6"/>
    <s v="Oui"/>
    <x v="2"/>
    <s v="RALFF"/>
    <s v="CONGO"/>
    <s v="RALFF-CO2268"/>
    <s v="4.6"/>
    <m/>
  </r>
  <r>
    <d v="2021-05-28T00:00:00"/>
    <s v="Aritel/Achat Carte de recharge/staff PALF/Juin/Management/1ere partie"/>
    <x v="12"/>
    <s v="Management"/>
    <m/>
    <n v="22000"/>
    <n v="22857969"/>
    <x v="6"/>
    <s v="Oui"/>
    <x v="2"/>
    <s v="RALFF"/>
    <s v="CONGO"/>
    <s v="RALFF-CO2269"/>
    <s v="4.6"/>
    <m/>
  </r>
  <r>
    <d v="2021-05-28T00:00:00"/>
    <s v="Aritel/Achat Carte de recharge/staff PALF/Juin/Légal/1ere partie"/>
    <x v="12"/>
    <s v="Legal"/>
    <m/>
    <n v="53000"/>
    <n v="22804969"/>
    <x v="6"/>
    <s v="Oui"/>
    <x v="2"/>
    <s v="RALFF"/>
    <s v="CONGO"/>
    <s v="RALFF-CO2270"/>
    <s v="4.6"/>
    <m/>
  </r>
  <r>
    <d v="2021-05-28T00:00:00"/>
    <s v="Reçu caisse Crépin/JB"/>
    <x v="5"/>
    <m/>
    <n v="6000"/>
    <m/>
    <n v="22810969"/>
    <x v="10"/>
    <m/>
    <x v="0"/>
    <m/>
    <m/>
    <m/>
    <m/>
    <m/>
  </r>
  <r>
    <d v="2021-05-28T00:00:00"/>
    <s v="Aritel/Achat Carte de recharge/staff PALF/Juin/Investigation/1ere partie"/>
    <x v="12"/>
    <s v="Investigations"/>
    <m/>
    <n v="32000"/>
    <n v="22778969"/>
    <x v="6"/>
    <s v="Oui"/>
    <x v="2"/>
    <s v="RALFF"/>
    <s v="CONGO"/>
    <s v="RALFF-CO2271"/>
    <s v="4.6"/>
    <m/>
  </r>
  <r>
    <d v="2021-05-28T00:00:00"/>
    <s v="Aritel/Achat Carte de recharge/staff PALF/Juin/Média/1ere partie"/>
    <x v="12"/>
    <s v="Media"/>
    <m/>
    <n v="11000"/>
    <n v="22767969"/>
    <x v="6"/>
    <s v="Oui"/>
    <x v="2"/>
    <s v="RALFF"/>
    <s v="CONGO"/>
    <s v="RALFF-CO2272"/>
    <s v="4.6"/>
    <m/>
  </r>
  <r>
    <d v="2021-05-28T00:00:00"/>
    <s v="Bonus Opération à PN/p29"/>
    <x v="10"/>
    <s v="Operations"/>
    <m/>
    <n v="80000"/>
    <n v="22687969"/>
    <x v="6"/>
    <s v="Décharge"/>
    <x v="3"/>
    <s v="PALF"/>
    <s v="CONGO"/>
    <m/>
    <m/>
    <m/>
  </r>
  <r>
    <d v="2021-05-29T00:00:00"/>
    <s v="I23C - CONGO - Hôtel Mission à Dolisie du 28 au 29/05 /21"/>
    <x v="3"/>
    <s v="Operations"/>
    <m/>
    <n v="15000"/>
    <n v="22672969"/>
    <x v="4"/>
    <s v="Oui"/>
    <x v="2"/>
    <s v="RALFF"/>
    <s v="CONGO"/>
    <s v="RALFF-CO2277"/>
    <s v="1.3.2"/>
    <m/>
  </r>
  <r>
    <d v="2021-05-29T00:00:00"/>
    <s v="Achat billet Dol-Brazzaville/I23C"/>
    <x v="1"/>
    <s v="Operations"/>
    <m/>
    <n v="10000"/>
    <n v="22662969"/>
    <x v="4"/>
    <s v="Oui"/>
    <x v="2"/>
    <s v="RALFF"/>
    <s v="CONGO"/>
    <s v="RALFF-CO2278"/>
    <s v="2.2"/>
    <m/>
  </r>
  <r>
    <d v="2021-05-29T00:00:00"/>
    <s v="Cumul frais transport local mois de mai 21/Ted"/>
    <x v="1"/>
    <s v="Management"/>
    <m/>
    <n v="8000"/>
    <n v="22654969"/>
    <x v="9"/>
    <s v="Décharge"/>
    <x v="2"/>
    <s v="RALFF"/>
    <s v="CONGO"/>
    <s v="RALFF-CO2279"/>
    <s v="2.2"/>
    <m/>
  </r>
  <r>
    <d v="2021-05-29T00:00:00"/>
    <s v="Achat Carburant pour la BJ gendarmerie OP à PN/Crépin"/>
    <x v="1"/>
    <s v="Operations"/>
    <m/>
    <n v="25000"/>
    <n v="22629969"/>
    <x v="13"/>
    <s v="Oui"/>
    <x v="1"/>
    <s v="PALF"/>
    <s v="CONGO"/>
    <m/>
    <m/>
    <m/>
  </r>
  <r>
    <d v="2021-05-29T00:00:00"/>
    <s v="Evariste"/>
    <x v="5"/>
    <m/>
    <m/>
    <n v="91000"/>
    <n v="22538969"/>
    <x v="6"/>
    <m/>
    <x v="0"/>
    <m/>
    <m/>
    <m/>
    <m/>
    <m/>
  </r>
  <r>
    <d v="2021-05-29T00:00:00"/>
    <s v="JB"/>
    <x v="5"/>
    <m/>
    <m/>
    <n v="91000"/>
    <n v="22447969"/>
    <x v="6"/>
    <m/>
    <x v="0"/>
    <m/>
    <m/>
    <m/>
    <m/>
    <m/>
  </r>
  <r>
    <d v="2021-05-29T00:00:00"/>
    <s v="Crépin"/>
    <x v="5"/>
    <m/>
    <m/>
    <n v="91000"/>
    <n v="22356969"/>
    <x v="6"/>
    <m/>
    <x v="0"/>
    <m/>
    <m/>
    <m/>
    <m/>
    <m/>
  </r>
  <r>
    <d v="2021-05-29T00:00:00"/>
    <s v="Geisner"/>
    <x v="5"/>
    <m/>
    <m/>
    <n v="109000"/>
    <n v="22247969"/>
    <x v="6"/>
    <m/>
    <x v="0"/>
    <m/>
    <m/>
    <m/>
    <m/>
    <m/>
  </r>
  <r>
    <d v="2021-05-29T00:00:00"/>
    <s v="Reçu caisse/Evariste"/>
    <x v="5"/>
    <m/>
    <n v="91000"/>
    <m/>
    <n v="22338969"/>
    <x v="12"/>
    <m/>
    <x v="0"/>
    <m/>
    <m/>
    <m/>
    <m/>
    <m/>
  </r>
  <r>
    <d v="2021-05-29T00:00:00"/>
    <s v="Reçu caisse/Geis"/>
    <x v="5"/>
    <m/>
    <n v="109000"/>
    <m/>
    <n v="22447969"/>
    <x v="7"/>
    <m/>
    <x v="0"/>
    <m/>
    <m/>
    <m/>
    <m/>
    <m/>
  </r>
  <r>
    <d v="2021-05-29T00:00:00"/>
    <s v="Reçu caisse/JB"/>
    <x v="5"/>
    <m/>
    <n v="91000"/>
    <m/>
    <n v="22538969"/>
    <x v="10"/>
    <m/>
    <x v="0"/>
    <m/>
    <m/>
    <m/>
    <m/>
    <m/>
  </r>
  <r>
    <d v="2021-05-29T00:00:00"/>
    <s v="Frais de transfert charden farell/geisner"/>
    <x v="11"/>
    <s v="Office"/>
    <m/>
    <n v="11460"/>
    <n v="22527509"/>
    <x v="6"/>
    <s v="Oui"/>
    <x v="2"/>
    <s v="RALFF"/>
    <s v="CONGO"/>
    <s v="RALFF-CO2276"/>
    <s v="5.6"/>
    <m/>
  </r>
  <r>
    <d v="2021-05-29T00:00:00"/>
    <s v="Bonus Opération 12 agents de la gendarmerie"/>
    <x v="10"/>
    <s v="Operations"/>
    <m/>
    <n v="120000"/>
    <n v="22407509"/>
    <x v="13"/>
    <s v="Décharge"/>
    <x v="3"/>
    <s v="PALF"/>
    <s v="CONGO"/>
    <m/>
    <m/>
    <m/>
  </r>
  <r>
    <d v="2021-05-30T00:00:00"/>
    <s v="Achat paire de gant/Geis"/>
    <x v="16"/>
    <s v="Legal"/>
    <m/>
    <n v="700"/>
    <n v="22406809"/>
    <x v="7"/>
    <s v="Oui"/>
    <x v="1"/>
    <s v="PALF"/>
    <s v="CONGO"/>
    <m/>
    <m/>
    <m/>
  </r>
  <r>
    <d v="2021-05-30T00:00:00"/>
    <s v="Achat produit pharmaceutique-Ordonnance/JB"/>
    <x v="16"/>
    <s v="Legal"/>
    <m/>
    <n v="35750"/>
    <n v="22371059"/>
    <x v="10"/>
    <s v="Oui"/>
    <x v="1"/>
    <s v="PALF"/>
    <s v="CONGO"/>
    <m/>
    <m/>
    <m/>
  </r>
  <r>
    <d v="2021-05-30T00:00:00"/>
    <s v="Reçu caisse/Crépin"/>
    <x v="5"/>
    <m/>
    <n v="91000"/>
    <m/>
    <n v="22462059"/>
    <x v="13"/>
    <m/>
    <x v="0"/>
    <m/>
    <m/>
    <m/>
    <m/>
    <m/>
  </r>
  <r>
    <d v="2021-05-30T00:00:00"/>
    <s v="Versement Crépin/JB"/>
    <x v="5"/>
    <m/>
    <m/>
    <n v="50000"/>
    <n v="22412059"/>
    <x v="13"/>
    <m/>
    <x v="0"/>
    <m/>
    <m/>
    <m/>
    <m/>
    <m/>
  </r>
  <r>
    <d v="2021-05-30T00:00:00"/>
    <s v="Reçu caisse Crépin/JB"/>
    <x v="5"/>
    <m/>
    <n v="50000"/>
    <m/>
    <n v="22462059"/>
    <x v="10"/>
    <m/>
    <x v="0"/>
    <m/>
    <m/>
    <m/>
    <m/>
    <m/>
  </r>
  <r>
    <d v="2021-05-30T00:00:00"/>
    <s v="Reçu caisse/I73X"/>
    <x v="5"/>
    <m/>
    <m/>
    <n v="0"/>
    <n v="22462059"/>
    <x v="14"/>
    <m/>
    <x v="0"/>
    <m/>
    <m/>
    <m/>
    <m/>
    <m/>
  </r>
  <r>
    <d v="2021-05-30T00:00:00"/>
    <s v="Reçu caisse/I55S"/>
    <x v="5"/>
    <m/>
    <m/>
    <n v="0"/>
    <n v="22462059"/>
    <x v="15"/>
    <m/>
    <x v="0"/>
    <m/>
    <m/>
    <m/>
    <m/>
    <m/>
  </r>
  <r>
    <d v="2021-05-31T00:00:00"/>
    <s v="CREPIN IBOUILI - CONGO - Hôtel Mission  OP à Pointe-Noire du 18/05  au 01 /06/21"/>
    <x v="3"/>
    <s v="Operations"/>
    <m/>
    <n v="210000"/>
    <n v="22252059"/>
    <x v="13"/>
    <s v="Oui"/>
    <x v="2"/>
    <s v="RALFF"/>
    <s v="CONGO"/>
    <s v="RALFF-CO2281"/>
    <s v="1.3.2"/>
    <m/>
  </r>
  <r>
    <d v="2021-05-31T00:00:00"/>
    <s v="Cumul frais transport local mois de mai/Crépin"/>
    <x v="1"/>
    <s v="Management"/>
    <m/>
    <n v="91000"/>
    <n v="22161059"/>
    <x v="13"/>
    <s v="Décharge"/>
    <x v="2"/>
    <s v="RALFF"/>
    <s v="CONGO"/>
    <s v="RALFF-CO2282"/>
    <s v="2.2"/>
    <m/>
  </r>
  <r>
    <d v="2021-05-31T00:00:00"/>
    <s v="Cumul frais de transport local mois de mai 2021/Evariste"/>
    <x v="1"/>
    <s v="Media"/>
    <m/>
    <n v="68900"/>
    <n v="22092159"/>
    <x v="12"/>
    <s v="Décharge"/>
    <x v="2"/>
    <s v="RALFF"/>
    <s v="CONGO"/>
    <s v="RALFF-CO2283"/>
    <s v="2.2"/>
    <m/>
  </r>
  <r>
    <d v="2021-05-31T00:00:00"/>
    <s v="Cumul frais de transport local mois de Mai 2021/Geis"/>
    <x v="1"/>
    <s v="Legal"/>
    <m/>
    <n v="69500"/>
    <n v="22022659"/>
    <x v="7"/>
    <s v="Décharge"/>
    <x v="2"/>
    <s v="RALFF"/>
    <s v="CONGO"/>
    <s v="RALFF-CO2284"/>
    <s v="2.2"/>
    <m/>
  </r>
  <r>
    <d v="2021-05-31T00:00:00"/>
    <s v="Cumul frais de transport local mois de Mai 2021/I23C"/>
    <x v="1"/>
    <s v="Investigations"/>
    <m/>
    <n v="142300"/>
    <n v="21880359"/>
    <x v="4"/>
    <s v="Décharge"/>
    <x v="2"/>
    <s v="RALFF"/>
    <s v="CONGO"/>
    <s v="RALFF-CO2285"/>
    <s v="2.2"/>
    <m/>
  </r>
  <r>
    <d v="2021-05-31T00:00:00"/>
    <s v="Cumul frais transport local mois de mai/JB"/>
    <x v="1"/>
    <s v="Legal"/>
    <m/>
    <n v="120500"/>
    <n v="21759859"/>
    <x v="10"/>
    <s v="Décharge"/>
    <x v="2"/>
    <s v="RALFF"/>
    <s v="CONGO"/>
    <s v="RALFF-CO2286"/>
    <s v="2.2"/>
    <m/>
  </r>
  <r>
    <d v="2021-05-31T00:00:00"/>
    <s v="Cumul frais transport local mois de mai 21/Merveille"/>
    <x v="1"/>
    <s v="Management"/>
    <m/>
    <n v="29500"/>
    <n v="21730359"/>
    <x v="8"/>
    <s v="Décharge"/>
    <x v="2"/>
    <s v="RALFF"/>
    <s v="CONGO"/>
    <s v="RALFF-CO2287"/>
    <s v="2.2"/>
    <m/>
  </r>
  <r>
    <d v="2021-05-31T00:00:00"/>
    <s v="Cumul frais de transport local mois de Mai 2021/P29"/>
    <x v="1"/>
    <s v="Investigations"/>
    <m/>
    <n v="81100"/>
    <n v="21649259"/>
    <x v="1"/>
    <s v="Décharge"/>
    <x v="2"/>
    <s v="RALFF"/>
    <s v="CONGO"/>
    <s v="RALFF-CO2288"/>
    <s v="2.2"/>
    <m/>
  </r>
  <r>
    <d v="2021-05-31T00:00:00"/>
    <s v="Cumul frais bancaire mois de Mai compte 34/BCI"/>
    <x v="19"/>
    <s v="Office"/>
    <m/>
    <n v="24055"/>
    <n v="21625204"/>
    <x v="5"/>
    <s v="Relevé"/>
    <x v="1"/>
    <s v="PALF"/>
    <s v="CONGO"/>
    <m/>
    <m/>
    <m/>
  </r>
  <r>
    <d v="2021-05-31T00:00:00"/>
    <s v="Bonus mois d'avril 2021/Christian"/>
    <x v="10"/>
    <s v="Legal"/>
    <m/>
    <n v="10000"/>
    <n v="21615204"/>
    <x v="6"/>
    <s v="Décharge"/>
    <x v="1"/>
    <s v="PALF"/>
    <s v="CONGO"/>
    <m/>
    <m/>
    <m/>
  </r>
  <r>
    <d v="2021-05-31T00:00:00"/>
    <s v="Cumul frais achat jus pour raffraichissement: gendarmeries/Crépin"/>
    <x v="3"/>
    <s v="Operations"/>
    <m/>
    <n v="14000"/>
    <n v="21601204"/>
    <x v="13"/>
    <s v="Décharge"/>
    <x v="1"/>
    <s v="PALF"/>
    <s v="CONGO"/>
    <m/>
    <m/>
    <m/>
  </r>
  <r>
    <d v="2021-05-31T00:00:00"/>
    <s v="Cumul frais ration aux détenus à Pointe-Noire/Geis"/>
    <x v="16"/>
    <s v="Legal"/>
    <m/>
    <n v="27650"/>
    <n v="21573554"/>
    <x v="7"/>
    <s v="Décharge"/>
    <x v="1"/>
    <s v="PALF"/>
    <s v="CONGO"/>
    <m/>
    <m/>
    <m/>
  </r>
  <r>
    <d v="2021-05-31T00:00:00"/>
    <s v="Cumul frais Visite geôle  pour les prévenus à PN/JB"/>
    <x v="16"/>
    <s v="Legal"/>
    <m/>
    <n v="43000"/>
    <n v="21530554"/>
    <x v="10"/>
    <s v="Décharge"/>
    <x v="1"/>
    <s v="PALF"/>
    <s v="CONGO"/>
    <m/>
    <m/>
    <m/>
  </r>
  <r>
    <d v="2021-05-31T00:00:00"/>
    <s v="Cumul frais achat jus avec les agents/JB"/>
    <x v="3"/>
    <s v="Operations"/>
    <m/>
    <n v="10000"/>
    <n v="21520554"/>
    <x v="10"/>
    <s v="Décharge"/>
    <x v="1"/>
    <s v="PALF"/>
    <s v="CONGO"/>
    <m/>
    <m/>
    <m/>
  </r>
  <r>
    <d v="2021-05-31T00:00:00"/>
    <s v="Retrait especes/appro caisse/bord n°3643473"/>
    <x v="5"/>
    <m/>
    <m/>
    <n v="1000000"/>
    <n v="20520554"/>
    <x v="11"/>
    <n v="3643473"/>
    <x v="0"/>
    <m/>
    <m/>
    <m/>
    <m/>
    <m/>
  </r>
  <r>
    <d v="2021-05-31T00:00:00"/>
    <s v="BCI"/>
    <x v="5"/>
    <m/>
    <n v="1000000"/>
    <m/>
    <n v="21520554"/>
    <x v="6"/>
    <m/>
    <x v="0"/>
    <m/>
    <m/>
    <m/>
    <m/>
    <m/>
  </r>
  <r>
    <d v="2021-05-31T00:00:00"/>
    <s v="Merveille"/>
    <x v="5"/>
    <m/>
    <m/>
    <n v="10000"/>
    <n v="21510554"/>
    <x v="6"/>
    <m/>
    <x v="0"/>
    <m/>
    <m/>
    <m/>
    <m/>
    <m/>
  </r>
  <r>
    <d v="2021-05-31T00:00:00"/>
    <s v="Hérick"/>
    <x v="5"/>
    <m/>
    <n v="184"/>
    <m/>
    <n v="21510738"/>
    <x v="6"/>
    <m/>
    <x v="0"/>
    <m/>
    <m/>
    <m/>
    <m/>
    <m/>
  </r>
  <r>
    <d v="2021-05-31T00:00:00"/>
    <s v="Bonus Operation à PN/I23c"/>
    <x v="10"/>
    <s v="Operations"/>
    <m/>
    <n v="160000"/>
    <n v="21350738"/>
    <x v="6"/>
    <s v="Décharge"/>
    <x v="3"/>
    <s v="PALF"/>
    <s v="CONGO"/>
    <m/>
    <m/>
    <m/>
  </r>
  <r>
    <d v="2021-05-31T00:00:00"/>
    <s v="Cumul frais bancaire mois de Mai compte 56/BCI"/>
    <x v="19"/>
    <s v="Office"/>
    <m/>
    <n v="7811"/>
    <n v="21342927"/>
    <x v="11"/>
    <s v="Relevé"/>
    <x v="2"/>
    <s v="RALFF"/>
    <s v="CONGO"/>
    <s v="RALFF-CO2280"/>
    <s v="5.6"/>
    <m/>
  </r>
  <r>
    <d v="2021-05-31T00:00:00"/>
    <s v="Reçu caisse/Merveille"/>
    <x v="5"/>
    <m/>
    <n v="10000"/>
    <m/>
    <n v="21352927"/>
    <x v="8"/>
    <m/>
    <x v="0"/>
    <m/>
    <m/>
    <m/>
    <m/>
    <m/>
  </r>
  <r>
    <d v="2021-05-31T00:00:00"/>
    <s v="Versement Caisse PALF /Hérick"/>
    <x v="5"/>
    <m/>
    <m/>
    <n v="184"/>
    <n v="21352743"/>
    <x v="16"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5">
    <pivotField numFmtId="15"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5">
        <item x="1"/>
        <item x="2"/>
        <item h="1" x="0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Somme de Spent" fld="5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22" firstHeaderRow="1" firstDataRow="3" firstDataCol="1"/>
  <pivotFields count="15">
    <pivotField numFmtId="15" showAll="0"/>
    <pivotField showAll="0"/>
    <pivotField axis="axisCol" showAll="0">
      <items count="22">
        <item x="10"/>
        <item x="18"/>
        <item x="17"/>
        <item x="16"/>
        <item x="8"/>
        <item x="7"/>
        <item x="6"/>
        <item x="9"/>
        <item x="4"/>
        <item x="12"/>
        <item x="11"/>
        <item x="1"/>
        <item x="3"/>
        <item x="15"/>
        <item x="5"/>
        <item m="1" x="20"/>
        <item x="0"/>
        <item x="19"/>
        <item x="2"/>
        <item x="13"/>
        <item x="14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8">
        <item x="5"/>
        <item x="11"/>
        <item x="6"/>
        <item x="3"/>
        <item x="13"/>
        <item x="12"/>
        <item x="7"/>
        <item x="16"/>
        <item x="4"/>
        <item x="15"/>
        <item x="14"/>
        <item x="10"/>
        <item x="8"/>
        <item x="1"/>
        <item x="9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 t="grand">
      <x/>
    </i>
    <i t="grand" i="1">
      <x/>
    </i>
  </colItems>
  <dataFields count="2">
    <dataField name="Somme de Received" fld="4" baseField="0" baseItem="0" numFmtId="3"/>
    <dataField name="Somme de Spent" fld="5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314"/>
  <sheetViews>
    <sheetView zoomScale="80" zoomScaleNormal="80" workbookViewId="0">
      <pane xSplit="1" topLeftCell="E1" activePane="topRight" state="frozen"/>
      <selection pane="topRight" activeCell="N24" sqref="N24"/>
    </sheetView>
  </sheetViews>
  <sheetFormatPr baseColWidth="10" defaultColWidth="11.42578125" defaultRowHeight="15"/>
  <cols>
    <col min="1" max="1" width="31" style="56" customWidth="1"/>
    <col min="2" max="2" width="21.42578125" style="56" customWidth="1"/>
    <col min="3" max="3" width="26" style="56" customWidth="1"/>
    <col min="4" max="4" width="23.7109375" style="56" customWidth="1"/>
    <col min="5" max="5" width="19.5703125" style="56" customWidth="1"/>
    <col min="6" max="6" width="21" style="56" customWidth="1"/>
    <col min="7" max="7" width="19.85546875" style="56" customWidth="1"/>
    <col min="8" max="8" width="20.5703125" style="56" customWidth="1"/>
    <col min="9" max="9" width="19.7109375" style="56" customWidth="1"/>
    <col min="10" max="10" width="16.7109375" style="56" customWidth="1"/>
    <col min="11" max="11" width="18.7109375" style="56" customWidth="1"/>
    <col min="12" max="12" width="16" style="106" customWidth="1"/>
    <col min="13" max="13" width="18.7109375" style="106" customWidth="1"/>
    <col min="14" max="14" width="14.140625" style="106" customWidth="1"/>
    <col min="15" max="15" width="14.85546875" style="106" customWidth="1"/>
    <col min="16" max="16384" width="11.42578125" style="56"/>
  </cols>
  <sheetData>
    <row r="1" spans="1:15">
      <c r="A1" s="55">
        <v>44347</v>
      </c>
    </row>
    <row r="2" spans="1:15" ht="15.75">
      <c r="A2" s="57" t="s">
        <v>75</v>
      </c>
      <c r="B2" s="57" t="s">
        <v>9</v>
      </c>
      <c r="C2" s="57">
        <v>44317</v>
      </c>
      <c r="D2" s="58" t="s">
        <v>76</v>
      </c>
      <c r="E2" s="58" t="s">
        <v>77</v>
      </c>
      <c r="F2" s="58" t="s">
        <v>78</v>
      </c>
      <c r="G2" s="58" t="s">
        <v>79</v>
      </c>
      <c r="H2" s="57">
        <v>44346</v>
      </c>
      <c r="I2" s="58" t="s">
        <v>80</v>
      </c>
      <c r="K2" s="105"/>
      <c r="L2" s="105" t="s">
        <v>81</v>
      </c>
      <c r="M2" s="105" t="s">
        <v>82</v>
      </c>
      <c r="N2" s="105" t="s">
        <v>83</v>
      </c>
      <c r="O2" s="105" t="s">
        <v>84</v>
      </c>
    </row>
    <row r="3" spans="1:15" ht="16.5">
      <c r="A3" s="118" t="str">
        <f>+K3</f>
        <v xml:space="preserve">BCI </v>
      </c>
      <c r="B3" s="119" t="s">
        <v>85</v>
      </c>
      <c r="C3" s="120">
        <f>+[2]Récapitulatif!$I$3</f>
        <v>7405927</v>
      </c>
      <c r="D3" s="212">
        <f>+L3</f>
        <v>0</v>
      </c>
      <c r="E3" s="121">
        <f>+N3</f>
        <v>1710232</v>
      </c>
      <c r="F3" s="121">
        <f>+M3</f>
        <v>2000000</v>
      </c>
      <c r="G3" s="121">
        <f>+O3</f>
        <v>0</v>
      </c>
      <c r="H3" s="247">
        <f>+'Compte Principal 34 BCI'!H28</f>
        <v>3695695</v>
      </c>
      <c r="I3" s="247">
        <f>+C3+D3-E3-F3+G3</f>
        <v>3695695</v>
      </c>
      <c r="J3" s="60">
        <f>I3-H3</f>
        <v>0</v>
      </c>
      <c r="K3" s="105" t="s">
        <v>86</v>
      </c>
      <c r="L3" s="107">
        <v>0</v>
      </c>
      <c r="M3" s="107">
        <v>2000000</v>
      </c>
      <c r="N3" s="107">
        <v>1710232</v>
      </c>
      <c r="O3" s="107"/>
    </row>
    <row r="4" spans="1:15" ht="16.5">
      <c r="A4" s="118" t="str">
        <f>+K4</f>
        <v>BCI  sous-compte</v>
      </c>
      <c r="B4" s="119" t="s">
        <v>85</v>
      </c>
      <c r="C4" s="120">
        <f>+[2]Récapitulatif!$I$4</f>
        <v>22972065</v>
      </c>
      <c r="D4" s="121">
        <f>+L4</f>
        <v>0</v>
      </c>
      <c r="E4" s="121">
        <f>+N4</f>
        <v>3055511</v>
      </c>
      <c r="F4" s="121">
        <f>+M4</f>
        <v>4310000</v>
      </c>
      <c r="G4" s="121">
        <f t="shared" ref="G4:G18" si="0">+O4</f>
        <v>0</v>
      </c>
      <c r="H4" s="247">
        <f>+'Sous-Compte 56 BCI'!H37</f>
        <v>15606557</v>
      </c>
      <c r="I4" s="247">
        <f>+C4+D4-E4-F4+G4</f>
        <v>15606554</v>
      </c>
      <c r="J4" s="60">
        <f t="shared" ref="J4:J14" si="1">I4-H4</f>
        <v>-3</v>
      </c>
      <c r="K4" s="105" t="s">
        <v>87</v>
      </c>
      <c r="L4" s="107">
        <v>0</v>
      </c>
      <c r="M4" s="107">
        <v>4310000</v>
      </c>
      <c r="N4" s="107">
        <v>3055511</v>
      </c>
      <c r="O4" s="107"/>
    </row>
    <row r="5" spans="1:15" ht="16.5">
      <c r="A5" s="118" t="str">
        <f t="shared" ref="A5:A15" si="2">+K5</f>
        <v>Caisse</v>
      </c>
      <c r="B5" s="119" t="s">
        <v>60</v>
      </c>
      <c r="C5" s="120">
        <f>+[2]Récapitulatif!$I$5</f>
        <v>467929</v>
      </c>
      <c r="D5" s="121">
        <f>+L5</f>
        <v>6384184</v>
      </c>
      <c r="E5" s="121">
        <f>+N5</f>
        <v>1710965</v>
      </c>
      <c r="F5" s="121">
        <f t="shared" ref="F5:F18" si="3">+M5</f>
        <v>4180000</v>
      </c>
      <c r="G5" s="121">
        <f t="shared" si="0"/>
        <v>0</v>
      </c>
      <c r="H5" s="247">
        <f>+'CAISSE Mai 21'!G102</f>
        <v>961148</v>
      </c>
      <c r="I5" s="247">
        <f>+C5+D5-E5-F5+G5</f>
        <v>961148</v>
      </c>
      <c r="J5" s="184">
        <f t="shared" si="1"/>
        <v>0</v>
      </c>
      <c r="K5" s="105" t="s">
        <v>60</v>
      </c>
      <c r="L5" s="107">
        <v>6384184</v>
      </c>
      <c r="M5" s="107">
        <v>4180000</v>
      </c>
      <c r="N5" s="107">
        <v>1710965</v>
      </c>
      <c r="O5" s="107"/>
    </row>
    <row r="6" spans="1:15" ht="16.5">
      <c r="A6" s="118" t="str">
        <f t="shared" si="2"/>
        <v>Christian</v>
      </c>
      <c r="B6" s="119" t="s">
        <v>16</v>
      </c>
      <c r="C6" s="120">
        <f>+[2]Récapitulatif!$I$6</f>
        <v>40050</v>
      </c>
      <c r="D6" s="121">
        <f t="shared" ref="D6:D18" si="4">+L6</f>
        <v>104000</v>
      </c>
      <c r="E6" s="121">
        <f t="shared" ref="E6:E18" si="5">+N6</f>
        <v>81000</v>
      </c>
      <c r="F6" s="121">
        <f t="shared" si="3"/>
        <v>54000</v>
      </c>
      <c r="G6" s="121">
        <f t="shared" si="0"/>
        <v>0</v>
      </c>
      <c r="H6" s="247">
        <f>'[3]compta shely'!$G$687</f>
        <v>9050</v>
      </c>
      <c r="I6" s="247">
        <f t="shared" ref="I6:I18" si="6">+C6+D6-E6-F6+G6</f>
        <v>9050</v>
      </c>
      <c r="J6" s="60">
        <f t="shared" si="1"/>
        <v>0</v>
      </c>
      <c r="K6" s="105" t="s">
        <v>119</v>
      </c>
      <c r="L6" s="107">
        <v>104000</v>
      </c>
      <c r="M6" s="107">
        <v>54000</v>
      </c>
      <c r="N6" s="107">
        <v>81000</v>
      </c>
      <c r="O6" s="107"/>
    </row>
    <row r="7" spans="1:15" ht="16.5">
      <c r="A7" s="118" t="str">
        <f t="shared" si="2"/>
        <v>Crépin</v>
      </c>
      <c r="B7" s="119" t="s">
        <v>16</v>
      </c>
      <c r="C7" s="120">
        <f>+[2]Récapitulatif!$I$7</f>
        <v>38845</v>
      </c>
      <c r="D7" s="121">
        <f t="shared" si="4"/>
        <v>1550000</v>
      </c>
      <c r="E7" s="121">
        <f t="shared" si="5"/>
        <v>1017400</v>
      </c>
      <c r="F7" s="121">
        <f t="shared" si="3"/>
        <v>311000</v>
      </c>
      <c r="G7" s="121">
        <f t="shared" si="0"/>
        <v>0</v>
      </c>
      <c r="H7" s="247">
        <f>+'[4]compta ok'!$G$3655</f>
        <v>260445</v>
      </c>
      <c r="I7" s="247">
        <f t="shared" si="6"/>
        <v>260445</v>
      </c>
      <c r="J7" s="60">
        <f t="shared" si="1"/>
        <v>0</v>
      </c>
      <c r="K7" s="105" t="s">
        <v>88</v>
      </c>
      <c r="L7" s="107">
        <v>1550000</v>
      </c>
      <c r="M7" s="107">
        <v>311000</v>
      </c>
      <c r="N7" s="107">
        <v>1017400</v>
      </c>
      <c r="O7" s="107"/>
    </row>
    <row r="8" spans="1:15" ht="16.5">
      <c r="A8" s="118" t="str">
        <f t="shared" si="2"/>
        <v>Evariste</v>
      </c>
      <c r="B8" s="119" t="s">
        <v>16</v>
      </c>
      <c r="C8" s="120">
        <f>+[2]Récapitulatif!$I$8</f>
        <v>6895</v>
      </c>
      <c r="D8" s="121">
        <f t="shared" si="4"/>
        <v>581000</v>
      </c>
      <c r="E8" s="121">
        <f t="shared" si="5"/>
        <v>498900</v>
      </c>
      <c r="F8" s="121">
        <f t="shared" si="3"/>
        <v>0</v>
      </c>
      <c r="G8" s="121">
        <f t="shared" si="0"/>
        <v>0</v>
      </c>
      <c r="H8" s="247">
        <f>+'[5]compta ok'!$G$2846</f>
        <v>88995</v>
      </c>
      <c r="I8" s="247">
        <f t="shared" si="6"/>
        <v>88995</v>
      </c>
      <c r="J8" s="60">
        <f t="shared" si="1"/>
        <v>0</v>
      </c>
      <c r="K8" s="105" t="s">
        <v>67</v>
      </c>
      <c r="L8" s="107">
        <v>581000</v>
      </c>
      <c r="M8" s="107">
        <v>0</v>
      </c>
      <c r="N8" s="107">
        <v>498900</v>
      </c>
      <c r="O8" s="107"/>
    </row>
    <row r="9" spans="1:15" ht="16.5">
      <c r="A9" s="118" t="str">
        <f t="shared" si="2"/>
        <v>Geisner</v>
      </c>
      <c r="B9" s="180" t="s">
        <v>16</v>
      </c>
      <c r="C9" s="121">
        <f>+[2]Récapitulatif!$I$9</f>
        <v>28540</v>
      </c>
      <c r="D9" s="121">
        <f t="shared" si="4"/>
        <v>342000</v>
      </c>
      <c r="E9" s="121">
        <f t="shared" si="5"/>
        <v>302850</v>
      </c>
      <c r="F9" s="121">
        <f t="shared" si="3"/>
        <v>0</v>
      </c>
      <c r="G9" s="121">
        <f t="shared" si="0"/>
        <v>0</v>
      </c>
      <c r="H9" s="247">
        <f>+'[6]Compta Geisner ok'!$G$402</f>
        <v>67690</v>
      </c>
      <c r="I9" s="247">
        <f t="shared" si="6"/>
        <v>67690</v>
      </c>
      <c r="J9" s="60">
        <f t="shared" si="1"/>
        <v>0</v>
      </c>
      <c r="K9" s="105" t="s">
        <v>120</v>
      </c>
      <c r="L9" s="107">
        <v>342000</v>
      </c>
      <c r="M9" s="107">
        <v>0</v>
      </c>
      <c r="N9" s="107">
        <v>302850</v>
      </c>
      <c r="O9" s="107"/>
    </row>
    <row r="10" spans="1:15" ht="16.5">
      <c r="A10" s="118" t="str">
        <f t="shared" si="2"/>
        <v>Herick</v>
      </c>
      <c r="B10" s="180" t="s">
        <v>16</v>
      </c>
      <c r="C10" s="121">
        <f>+[2]Récapitulatif!$I$10</f>
        <v>184</v>
      </c>
      <c r="D10" s="247">
        <f t="shared" si="4"/>
        <v>0</v>
      </c>
      <c r="E10" s="247">
        <f t="shared" si="5"/>
        <v>0</v>
      </c>
      <c r="F10" s="247">
        <f t="shared" si="3"/>
        <v>184</v>
      </c>
      <c r="G10" s="247">
        <f t="shared" si="0"/>
        <v>0</v>
      </c>
      <c r="H10" s="121">
        <v>0</v>
      </c>
      <c r="I10" s="247">
        <f t="shared" si="6"/>
        <v>0</v>
      </c>
      <c r="J10" s="60">
        <f t="shared" si="1"/>
        <v>0</v>
      </c>
      <c r="K10" s="105" t="s">
        <v>62</v>
      </c>
      <c r="L10" s="107">
        <v>0</v>
      </c>
      <c r="M10" s="107">
        <v>184</v>
      </c>
      <c r="N10" s="107">
        <v>0</v>
      </c>
      <c r="O10" s="107"/>
    </row>
    <row r="11" spans="1:15" ht="16.5">
      <c r="A11" s="118" t="str">
        <f>K11</f>
        <v>I23C</v>
      </c>
      <c r="B11" s="119" t="s">
        <v>29</v>
      </c>
      <c r="C11" s="120">
        <f>+[2]Récapitulatif!$I$11</f>
        <v>68200</v>
      </c>
      <c r="D11" s="121">
        <f t="shared" si="4"/>
        <v>683000</v>
      </c>
      <c r="E11" s="121">
        <f t="shared" si="5"/>
        <v>787385</v>
      </c>
      <c r="F11" s="121">
        <f t="shared" si="3"/>
        <v>0</v>
      </c>
      <c r="G11" s="121">
        <f t="shared" si="0"/>
        <v>0</v>
      </c>
      <c r="H11" s="247">
        <f>+'[7]COMPTA_I23C OK'!$G$4979</f>
        <v>-36185</v>
      </c>
      <c r="I11" s="247">
        <f t="shared" si="6"/>
        <v>-36185</v>
      </c>
      <c r="J11" s="60">
        <f t="shared" si="1"/>
        <v>0</v>
      </c>
      <c r="K11" s="105" t="s">
        <v>66</v>
      </c>
      <c r="L11" s="107">
        <v>683000</v>
      </c>
      <c r="M11" s="107">
        <v>0</v>
      </c>
      <c r="N11" s="107">
        <v>787385</v>
      </c>
      <c r="O11" s="107"/>
    </row>
    <row r="12" spans="1:15" ht="16.5">
      <c r="A12" s="227" t="str">
        <f t="shared" si="2"/>
        <v>I55S</v>
      </c>
      <c r="B12" s="228" t="s">
        <v>29</v>
      </c>
      <c r="C12" s="229">
        <f>+[2]Récapitulatif!$I$12</f>
        <v>233614</v>
      </c>
      <c r="D12" s="230">
        <f t="shared" si="4"/>
        <v>0</v>
      </c>
      <c r="E12" s="230">
        <f t="shared" si="5"/>
        <v>0</v>
      </c>
      <c r="F12" s="230">
        <f t="shared" si="3"/>
        <v>0</v>
      </c>
      <c r="G12" s="230">
        <f t="shared" si="0"/>
        <v>0</v>
      </c>
      <c r="H12" s="248">
        <v>233614</v>
      </c>
      <c r="I12" s="248">
        <f t="shared" si="6"/>
        <v>233614</v>
      </c>
      <c r="J12" s="60">
        <f t="shared" si="1"/>
        <v>0</v>
      </c>
      <c r="K12" s="105" t="s">
        <v>127</v>
      </c>
      <c r="L12" s="107">
        <v>0</v>
      </c>
      <c r="M12" s="107">
        <v>0</v>
      </c>
      <c r="N12" s="107">
        <v>0</v>
      </c>
      <c r="O12" s="107"/>
    </row>
    <row r="13" spans="1:15" ht="16.5">
      <c r="A13" s="227" t="str">
        <f t="shared" si="2"/>
        <v>I73X</v>
      </c>
      <c r="B13" s="228" t="s">
        <v>29</v>
      </c>
      <c r="C13" s="229">
        <f>+[2]Récapitulatif!$I$13</f>
        <v>249769</v>
      </c>
      <c r="D13" s="230">
        <f t="shared" si="4"/>
        <v>0</v>
      </c>
      <c r="E13" s="230">
        <f t="shared" si="5"/>
        <v>0</v>
      </c>
      <c r="F13" s="230">
        <f t="shared" si="3"/>
        <v>0</v>
      </c>
      <c r="G13" s="230">
        <f t="shared" si="0"/>
        <v>0</v>
      </c>
      <c r="H13" s="248">
        <v>249769</v>
      </c>
      <c r="I13" s="248">
        <f t="shared" si="6"/>
        <v>249769</v>
      </c>
      <c r="J13" s="60">
        <f t="shared" si="1"/>
        <v>0</v>
      </c>
      <c r="K13" s="105" t="s">
        <v>126</v>
      </c>
      <c r="L13" s="107">
        <v>0</v>
      </c>
      <c r="M13" s="107">
        <v>0</v>
      </c>
      <c r="N13" s="107">
        <v>0</v>
      </c>
      <c r="O13" s="107"/>
    </row>
    <row r="14" spans="1:15" ht="16.5">
      <c r="A14" s="118" t="str">
        <f t="shared" si="2"/>
        <v>Jack-Bénisson</v>
      </c>
      <c r="B14" s="180" t="s">
        <v>16</v>
      </c>
      <c r="C14" s="120">
        <f>+[2]Récapitulatif!$I$14</f>
        <v>-4675</v>
      </c>
      <c r="D14" s="121">
        <f t="shared" si="4"/>
        <v>750000</v>
      </c>
      <c r="E14" s="121">
        <f t="shared" si="5"/>
        <v>607250</v>
      </c>
      <c r="F14" s="121">
        <f t="shared" si="3"/>
        <v>6500</v>
      </c>
      <c r="G14" s="121">
        <f t="shared" si="0"/>
        <v>0</v>
      </c>
      <c r="H14" s="247">
        <f>+'[8]compta ok '!$G$3424</f>
        <v>131575</v>
      </c>
      <c r="I14" s="247">
        <f t="shared" si="6"/>
        <v>131575</v>
      </c>
      <c r="J14" s="60">
        <f t="shared" si="1"/>
        <v>0</v>
      </c>
      <c r="K14" s="105" t="s">
        <v>74</v>
      </c>
      <c r="L14" s="107">
        <v>750000</v>
      </c>
      <c r="M14" s="107">
        <v>6500</v>
      </c>
      <c r="N14" s="107">
        <v>607250</v>
      </c>
      <c r="O14" s="107"/>
    </row>
    <row r="15" spans="1:15" ht="16.5">
      <c r="A15" s="118" t="str">
        <f t="shared" si="2"/>
        <v>Merveille</v>
      </c>
      <c r="B15" s="119" t="s">
        <v>19</v>
      </c>
      <c r="C15" s="120">
        <f>+[2]Récapitulatif!$I$15</f>
        <v>5000</v>
      </c>
      <c r="D15" s="121">
        <f t="shared" si="4"/>
        <v>30000</v>
      </c>
      <c r="E15" s="121">
        <f t="shared" si="5"/>
        <v>29500</v>
      </c>
      <c r="F15" s="121">
        <f t="shared" si="3"/>
        <v>0</v>
      </c>
      <c r="G15" s="121">
        <f t="shared" si="0"/>
        <v>0</v>
      </c>
      <c r="H15" s="247">
        <v>5500</v>
      </c>
      <c r="I15" s="247">
        <f t="shared" si="6"/>
        <v>5500</v>
      </c>
      <c r="J15" s="60">
        <f>I15-H15</f>
        <v>0</v>
      </c>
      <c r="K15" s="105" t="s">
        <v>138</v>
      </c>
      <c r="L15" s="107">
        <v>30000</v>
      </c>
      <c r="M15" s="107">
        <v>0</v>
      </c>
      <c r="N15" s="107">
        <v>29500</v>
      </c>
      <c r="O15" s="107"/>
    </row>
    <row r="16" spans="1:15" ht="16.5">
      <c r="A16" s="118" t="str">
        <f>K16</f>
        <v>P29</v>
      </c>
      <c r="B16" s="119" t="s">
        <v>29</v>
      </c>
      <c r="C16" s="120">
        <f>+[2]Récapitulatif!$I$16</f>
        <v>72800</v>
      </c>
      <c r="D16" s="121">
        <f t="shared" si="4"/>
        <v>446000</v>
      </c>
      <c r="E16" s="121">
        <f t="shared" si="5"/>
        <v>512600</v>
      </c>
      <c r="F16" s="121">
        <f t="shared" si="3"/>
        <v>0</v>
      </c>
      <c r="G16" s="121">
        <f t="shared" si="0"/>
        <v>0</v>
      </c>
      <c r="H16" s="247">
        <f>+'[9]COMPT-P29 ok'!$G$909</f>
        <v>6200</v>
      </c>
      <c r="I16" s="247">
        <f t="shared" si="6"/>
        <v>6200</v>
      </c>
      <c r="J16" s="60">
        <f t="shared" ref="J16:J18" si="7">I16-H16</f>
        <v>0</v>
      </c>
      <c r="K16" s="105" t="s">
        <v>65</v>
      </c>
      <c r="L16" s="107">
        <v>446000</v>
      </c>
      <c r="M16" s="107">
        <v>0</v>
      </c>
      <c r="N16" s="107">
        <v>512600</v>
      </c>
      <c r="O16" s="107"/>
    </row>
    <row r="17" spans="1:15" ht="16.5">
      <c r="A17" s="118" t="str">
        <f>+K17</f>
        <v>Ted</v>
      </c>
      <c r="B17" s="119" t="s">
        <v>19</v>
      </c>
      <c r="C17" s="120">
        <f>+[2]Récapitulatif!$I$17</f>
        <v>47300</v>
      </c>
      <c r="D17" s="121">
        <f t="shared" si="4"/>
        <v>11500</v>
      </c>
      <c r="E17" s="121">
        <f t="shared" si="5"/>
        <v>8000</v>
      </c>
      <c r="F17" s="121">
        <f>+M17</f>
        <v>20000</v>
      </c>
      <c r="G17" s="121">
        <f t="shared" si="0"/>
        <v>0</v>
      </c>
      <c r="H17" s="247">
        <f>+'[10]compta ted'!$G$54</f>
        <v>30800</v>
      </c>
      <c r="I17" s="247">
        <f t="shared" si="6"/>
        <v>30800</v>
      </c>
      <c r="J17" s="60">
        <f t="shared" si="7"/>
        <v>0</v>
      </c>
      <c r="K17" s="105" t="s">
        <v>68</v>
      </c>
      <c r="L17" s="107">
        <v>11500</v>
      </c>
      <c r="M17" s="107">
        <v>20000</v>
      </c>
      <c r="N17" s="107">
        <v>8000</v>
      </c>
      <c r="O17" s="107"/>
    </row>
    <row r="18" spans="1:15" ht="16.5">
      <c r="A18" s="118" t="str">
        <f>K18</f>
        <v>Tiffany</v>
      </c>
      <c r="B18" s="119" t="s">
        <v>29</v>
      </c>
      <c r="C18" s="120">
        <f>+[2]Récapitulatif!$I$18</f>
        <v>79600</v>
      </c>
      <c r="D18" s="121">
        <f t="shared" si="4"/>
        <v>0</v>
      </c>
      <c r="E18" s="121">
        <f t="shared" si="5"/>
        <v>37707</v>
      </c>
      <c r="F18" s="121">
        <f t="shared" si="3"/>
        <v>0</v>
      </c>
      <c r="G18" s="121">
        <f t="shared" si="0"/>
        <v>0</v>
      </c>
      <c r="H18" s="247">
        <f>+'[11]Compta ok (2)'!$G$73</f>
        <v>41893</v>
      </c>
      <c r="I18" s="247">
        <f t="shared" si="6"/>
        <v>41893</v>
      </c>
      <c r="J18" s="60">
        <f t="shared" si="7"/>
        <v>0</v>
      </c>
      <c r="K18" s="105" t="s">
        <v>167</v>
      </c>
      <c r="L18" s="107">
        <v>0</v>
      </c>
      <c r="M18" s="107">
        <v>0</v>
      </c>
      <c r="N18" s="107">
        <v>37707</v>
      </c>
      <c r="O18" s="107"/>
    </row>
    <row r="19" spans="1:15" ht="16.5">
      <c r="A19" s="61" t="s">
        <v>91</v>
      </c>
      <c r="B19" s="62"/>
      <c r="C19" s="63">
        <f t="shared" ref="C19:I19" si="8">SUM(C3:C18)</f>
        <v>31712043</v>
      </c>
      <c r="D19" s="117">
        <f t="shared" si="8"/>
        <v>10881684</v>
      </c>
      <c r="E19" s="117">
        <f t="shared" si="8"/>
        <v>10359300</v>
      </c>
      <c r="F19" s="117">
        <f t="shared" si="8"/>
        <v>10881684</v>
      </c>
      <c r="G19" s="117">
        <f t="shared" si="8"/>
        <v>0</v>
      </c>
      <c r="H19" s="117">
        <f t="shared" si="8"/>
        <v>21352746</v>
      </c>
      <c r="I19" s="117">
        <f t="shared" si="8"/>
        <v>21352743</v>
      </c>
      <c r="J19" s="60">
        <f>I19-H19</f>
        <v>-3</v>
      </c>
      <c r="K19" s="54"/>
      <c r="L19" s="107">
        <v>10881684</v>
      </c>
      <c r="M19" s="107">
        <v>10881684</v>
      </c>
      <c r="N19" s="107">
        <v>10359300</v>
      </c>
      <c r="O19" s="107"/>
    </row>
    <row r="20" spans="1:15" ht="16.5">
      <c r="A20" s="61"/>
      <c r="B20" s="62"/>
      <c r="C20" s="63"/>
      <c r="D20" s="64"/>
      <c r="E20" s="63"/>
      <c r="F20" s="64"/>
      <c r="G20" s="63"/>
      <c r="H20" s="63"/>
      <c r="I20" s="251" t="b">
        <f>I19=D22</f>
        <v>1</v>
      </c>
      <c r="L20" s="56"/>
      <c r="M20" s="56"/>
      <c r="N20" s="56"/>
      <c r="O20" s="56"/>
    </row>
    <row r="21" spans="1:15" ht="16.5">
      <c r="A21" s="61" t="s">
        <v>365</v>
      </c>
      <c r="B21" s="62" t="s">
        <v>366</v>
      </c>
      <c r="C21" s="63" t="s">
        <v>367</v>
      </c>
      <c r="D21" s="63" t="s">
        <v>368</v>
      </c>
      <c r="E21" s="63" t="s">
        <v>92</v>
      </c>
      <c r="F21" s="63"/>
      <c r="G21" s="63">
        <f>+D19-F19</f>
        <v>0</v>
      </c>
      <c r="H21" s="63"/>
      <c r="I21" s="63"/>
    </row>
    <row r="22" spans="1:15" ht="16.5">
      <c r="A22" s="65">
        <f>C19</f>
        <v>31712043</v>
      </c>
      <c r="B22" s="66">
        <f>G19</f>
        <v>0</v>
      </c>
      <c r="C22" s="63">
        <f>E19</f>
        <v>10359300</v>
      </c>
      <c r="D22" s="63">
        <f>A22+B22-C22</f>
        <v>21352743</v>
      </c>
      <c r="E22" s="64">
        <f>I19-D22</f>
        <v>0</v>
      </c>
      <c r="F22" s="63"/>
      <c r="G22" s="63"/>
      <c r="H22" s="63"/>
      <c r="I22" s="63"/>
    </row>
    <row r="23" spans="1:15" ht="16.5">
      <c r="A23" s="65"/>
      <c r="B23" s="66"/>
      <c r="C23" s="63"/>
      <c r="D23" s="63"/>
      <c r="E23" s="64"/>
      <c r="F23" s="63"/>
      <c r="G23" s="63"/>
      <c r="H23" s="63"/>
      <c r="I23" s="63"/>
    </row>
    <row r="24" spans="1:15">
      <c r="A24" s="67" t="s">
        <v>93</v>
      </c>
      <c r="B24" s="67"/>
      <c r="C24" s="67"/>
      <c r="D24" s="68"/>
      <c r="E24" s="68"/>
      <c r="F24" s="68"/>
      <c r="G24" s="68"/>
      <c r="H24" s="68"/>
      <c r="I24" s="68"/>
    </row>
    <row r="25" spans="1:15">
      <c r="A25" s="69" t="s">
        <v>369</v>
      </c>
      <c r="B25" s="69"/>
      <c r="C25" s="69"/>
      <c r="D25" s="69"/>
      <c r="E25" s="69"/>
      <c r="F25" s="69"/>
      <c r="G25" s="69"/>
      <c r="H25" s="69"/>
      <c r="I25" s="69"/>
      <c r="J25" s="68"/>
    </row>
    <row r="26" spans="1:15">
      <c r="A26" s="70"/>
      <c r="B26" s="71"/>
      <c r="C26" s="72"/>
      <c r="D26" s="72"/>
      <c r="E26" s="72"/>
      <c r="F26" s="72"/>
      <c r="G26" s="72"/>
      <c r="H26" s="71"/>
      <c r="I26" s="71"/>
      <c r="J26" s="69"/>
    </row>
    <row r="27" spans="1:15">
      <c r="A27" s="505" t="s">
        <v>94</v>
      </c>
      <c r="B27" s="507" t="s">
        <v>95</v>
      </c>
      <c r="C27" s="509" t="s">
        <v>370</v>
      </c>
      <c r="D27" s="511" t="s">
        <v>96</v>
      </c>
      <c r="E27" s="512"/>
      <c r="F27" s="512"/>
      <c r="G27" s="513"/>
      <c r="H27" s="514" t="s">
        <v>97</v>
      </c>
      <c r="I27" s="501" t="s">
        <v>98</v>
      </c>
      <c r="J27" s="71"/>
    </row>
    <row r="28" spans="1:15">
      <c r="A28" s="506"/>
      <c r="B28" s="508"/>
      <c r="C28" s="510"/>
      <c r="D28" s="73" t="s">
        <v>56</v>
      </c>
      <c r="E28" s="73" t="s">
        <v>60</v>
      </c>
      <c r="F28" s="409" t="s">
        <v>220</v>
      </c>
      <c r="G28" s="73" t="s">
        <v>99</v>
      </c>
      <c r="H28" s="515"/>
      <c r="I28" s="502"/>
      <c r="J28" s="503" t="s">
        <v>371</v>
      </c>
      <c r="K28" s="350"/>
    </row>
    <row r="29" spans="1:15">
      <c r="A29" s="75"/>
      <c r="B29" s="76" t="s">
        <v>100</v>
      </c>
      <c r="C29" s="77"/>
      <c r="D29" s="77"/>
      <c r="E29" s="77"/>
      <c r="F29" s="77"/>
      <c r="G29" s="77"/>
      <c r="H29" s="77"/>
      <c r="I29" s="78"/>
      <c r="J29" s="504"/>
      <c r="K29" s="350"/>
    </row>
    <row r="30" spans="1:15">
      <c r="A30" s="234" t="s">
        <v>372</v>
      </c>
      <c r="B30" s="239" t="s">
        <v>119</v>
      </c>
      <c r="C30" s="84">
        <f t="shared" ref="C30:C42" si="9">+C6</f>
        <v>40050</v>
      </c>
      <c r="D30" s="83"/>
      <c r="E30" s="84">
        <v>104000</v>
      </c>
      <c r="F30" s="84"/>
      <c r="G30" s="84"/>
      <c r="H30" s="115">
        <v>54000</v>
      </c>
      <c r="I30" s="84">
        <v>81000</v>
      </c>
      <c r="J30" s="82">
        <f>+SUM(C30:G30)-(H30+I30)</f>
        <v>9050</v>
      </c>
      <c r="K30" s="351" t="b">
        <f t="shared" ref="K30:K42" si="10">J30=I6</f>
        <v>1</v>
      </c>
    </row>
    <row r="31" spans="1:15">
      <c r="A31" s="234" t="s">
        <v>372</v>
      </c>
      <c r="B31" s="239" t="s">
        <v>88</v>
      </c>
      <c r="C31" s="84">
        <f t="shared" si="9"/>
        <v>38845</v>
      </c>
      <c r="D31" s="83"/>
      <c r="E31" s="84">
        <v>1550000</v>
      </c>
      <c r="F31" s="84"/>
      <c r="G31" s="84"/>
      <c r="H31" s="115">
        <v>311000</v>
      </c>
      <c r="I31" s="84">
        <v>1017400</v>
      </c>
      <c r="J31" s="82">
        <f t="shared" ref="J31:J32" si="11">+SUM(C31:G31)-(H31+I31)</f>
        <v>260445</v>
      </c>
      <c r="K31" s="351" t="b">
        <f t="shared" si="10"/>
        <v>1</v>
      </c>
    </row>
    <row r="32" spans="1:15">
      <c r="A32" s="234" t="s">
        <v>372</v>
      </c>
      <c r="B32" s="239" t="s">
        <v>67</v>
      </c>
      <c r="C32" s="84">
        <f t="shared" si="9"/>
        <v>6895</v>
      </c>
      <c r="D32" s="83"/>
      <c r="E32" s="84">
        <v>581000</v>
      </c>
      <c r="F32" s="84"/>
      <c r="G32" s="84"/>
      <c r="H32" s="84"/>
      <c r="I32" s="84">
        <v>498900</v>
      </c>
      <c r="J32" s="183">
        <f t="shared" si="11"/>
        <v>88995</v>
      </c>
      <c r="K32" s="351" t="b">
        <f t="shared" si="10"/>
        <v>1</v>
      </c>
    </row>
    <row r="33" spans="1:11">
      <c r="A33" s="234" t="s">
        <v>372</v>
      </c>
      <c r="B33" s="239" t="s">
        <v>120</v>
      </c>
      <c r="C33" s="84">
        <f t="shared" si="9"/>
        <v>28540</v>
      </c>
      <c r="D33" s="187"/>
      <c r="E33" s="84">
        <v>332000</v>
      </c>
      <c r="F33" s="84">
        <v>10000</v>
      </c>
      <c r="G33" s="84"/>
      <c r="H33" s="84"/>
      <c r="I33" s="84">
        <v>302850</v>
      </c>
      <c r="J33" s="183">
        <f>+SUM(C33:G33)-(H33+I33)</f>
        <v>67690</v>
      </c>
      <c r="K33" s="351" t="b">
        <f t="shared" si="10"/>
        <v>1</v>
      </c>
    </row>
    <row r="34" spans="1:11">
      <c r="A34" s="234" t="s">
        <v>372</v>
      </c>
      <c r="B34" s="239" t="s">
        <v>111</v>
      </c>
      <c r="C34" s="84">
        <f t="shared" si="9"/>
        <v>184</v>
      </c>
      <c r="D34" s="187"/>
      <c r="E34" s="84"/>
      <c r="F34" s="84"/>
      <c r="G34" s="84"/>
      <c r="H34" s="84">
        <v>184</v>
      </c>
      <c r="I34" s="84"/>
      <c r="J34" s="183">
        <f t="shared" ref="J34" si="12">+SUM(C34:G34)-(H34+I34)</f>
        <v>0</v>
      </c>
      <c r="K34" s="351" t="b">
        <f t="shared" si="10"/>
        <v>1</v>
      </c>
    </row>
    <row r="35" spans="1:11">
      <c r="A35" s="234" t="s">
        <v>372</v>
      </c>
      <c r="B35" s="240" t="s">
        <v>66</v>
      </c>
      <c r="C35" s="84">
        <f t="shared" si="9"/>
        <v>68200</v>
      </c>
      <c r="D35" s="231"/>
      <c r="E35" s="111">
        <v>638000</v>
      </c>
      <c r="F35" s="111">
        <v>45000</v>
      </c>
      <c r="G35" s="111"/>
      <c r="H35" s="111"/>
      <c r="I35" s="111">
        <v>787385</v>
      </c>
      <c r="J35" s="236">
        <f>+SUM(C35:G35)-(H35+I35)</f>
        <v>-36185</v>
      </c>
      <c r="K35" s="351" t="b">
        <f t="shared" si="10"/>
        <v>1</v>
      </c>
    </row>
    <row r="36" spans="1:11">
      <c r="A36" s="234" t="s">
        <v>372</v>
      </c>
      <c r="B36" s="241" t="s">
        <v>127</v>
      </c>
      <c r="C36" s="232">
        <f t="shared" si="9"/>
        <v>233614</v>
      </c>
      <c r="D36" s="235"/>
      <c r="E36" s="254"/>
      <c r="F36" s="254"/>
      <c r="G36" s="254"/>
      <c r="H36" s="254"/>
      <c r="I36" s="254"/>
      <c r="J36" s="233">
        <f>+SUM(C36:G36)-(H36+I36)</f>
        <v>233614</v>
      </c>
      <c r="K36" s="351" t="b">
        <f t="shared" si="10"/>
        <v>1</v>
      </c>
    </row>
    <row r="37" spans="1:11">
      <c r="A37" s="234" t="s">
        <v>372</v>
      </c>
      <c r="B37" s="241" t="s">
        <v>126</v>
      </c>
      <c r="C37" s="232">
        <f t="shared" si="9"/>
        <v>249769</v>
      </c>
      <c r="D37" s="235"/>
      <c r="E37" s="254"/>
      <c r="F37" s="254"/>
      <c r="G37" s="254"/>
      <c r="H37" s="254"/>
      <c r="I37" s="254"/>
      <c r="J37" s="233">
        <f t="shared" ref="J37:J42" si="13">+SUM(C37:G37)-(H37+I37)</f>
        <v>249769</v>
      </c>
      <c r="K37" s="351" t="b">
        <f t="shared" si="10"/>
        <v>1</v>
      </c>
    </row>
    <row r="38" spans="1:11">
      <c r="A38" s="234" t="s">
        <v>372</v>
      </c>
      <c r="B38" s="239" t="s">
        <v>74</v>
      </c>
      <c r="C38" s="84">
        <f t="shared" si="9"/>
        <v>-4675</v>
      </c>
      <c r="D38" s="83"/>
      <c r="E38" s="84">
        <v>494000</v>
      </c>
      <c r="F38" s="84">
        <v>256000</v>
      </c>
      <c r="G38" s="187"/>
      <c r="H38" s="187">
        <v>6500</v>
      </c>
      <c r="I38" s="84">
        <v>607250</v>
      </c>
      <c r="J38" s="82">
        <f t="shared" si="13"/>
        <v>131575</v>
      </c>
      <c r="K38" s="351" t="b">
        <f t="shared" si="10"/>
        <v>1</v>
      </c>
    </row>
    <row r="39" spans="1:11">
      <c r="A39" s="234" t="s">
        <v>372</v>
      </c>
      <c r="B39" s="239" t="s">
        <v>138</v>
      </c>
      <c r="C39" s="84">
        <f t="shared" si="9"/>
        <v>5000</v>
      </c>
      <c r="D39" s="83"/>
      <c r="E39" s="84">
        <v>30000</v>
      </c>
      <c r="F39" s="187"/>
      <c r="G39" s="187"/>
      <c r="H39" s="187"/>
      <c r="I39" s="84">
        <v>29500</v>
      </c>
      <c r="J39" s="82">
        <f t="shared" si="13"/>
        <v>5500</v>
      </c>
      <c r="K39" s="351" t="b">
        <f t="shared" si="10"/>
        <v>1</v>
      </c>
    </row>
    <row r="40" spans="1:11">
      <c r="A40" s="234" t="s">
        <v>372</v>
      </c>
      <c r="B40" s="239" t="s">
        <v>65</v>
      </c>
      <c r="C40" s="84">
        <f t="shared" si="9"/>
        <v>72800</v>
      </c>
      <c r="D40" s="83"/>
      <c r="E40" s="84">
        <v>446000</v>
      </c>
      <c r="F40" s="187"/>
      <c r="G40" s="187"/>
      <c r="H40" s="187"/>
      <c r="I40" s="84">
        <v>512600</v>
      </c>
      <c r="J40" s="82">
        <f t="shared" si="13"/>
        <v>6200</v>
      </c>
      <c r="K40" s="351" t="b">
        <f t="shared" si="10"/>
        <v>1</v>
      </c>
    </row>
    <row r="41" spans="1:11">
      <c r="A41" s="234" t="s">
        <v>372</v>
      </c>
      <c r="B41" s="239" t="s">
        <v>68</v>
      </c>
      <c r="C41" s="84">
        <f t="shared" si="9"/>
        <v>47300</v>
      </c>
      <c r="D41" s="83"/>
      <c r="E41" s="84">
        <v>5000</v>
      </c>
      <c r="F41" s="187">
        <v>6500</v>
      </c>
      <c r="G41" s="187"/>
      <c r="H41" s="84">
        <v>20000</v>
      </c>
      <c r="I41" s="84">
        <v>8000</v>
      </c>
      <c r="J41" s="82">
        <f t="shared" si="13"/>
        <v>30800</v>
      </c>
      <c r="K41" s="351" t="b">
        <f t="shared" si="10"/>
        <v>1</v>
      </c>
    </row>
    <row r="42" spans="1:11">
      <c r="A42" s="234" t="s">
        <v>372</v>
      </c>
      <c r="B42" s="240" t="s">
        <v>167</v>
      </c>
      <c r="C42" s="84">
        <f t="shared" si="9"/>
        <v>79600</v>
      </c>
      <c r="D42" s="231"/>
      <c r="E42" s="111"/>
      <c r="F42" s="111"/>
      <c r="G42" s="255"/>
      <c r="H42" s="111"/>
      <c r="I42" s="111">
        <v>37707</v>
      </c>
      <c r="J42" s="82">
        <f t="shared" si="13"/>
        <v>41893</v>
      </c>
      <c r="K42" s="351" t="b">
        <f t="shared" si="10"/>
        <v>1</v>
      </c>
    </row>
    <row r="43" spans="1:11">
      <c r="A43" s="86" t="s">
        <v>101</v>
      </c>
      <c r="B43" s="87"/>
      <c r="C43" s="87"/>
      <c r="D43" s="87"/>
      <c r="E43" s="87"/>
      <c r="F43" s="87"/>
      <c r="G43" s="87"/>
      <c r="H43" s="87"/>
      <c r="I43" s="87"/>
      <c r="J43" s="88"/>
      <c r="K43" s="350"/>
    </row>
    <row r="44" spans="1:11">
      <c r="A44" s="234" t="s">
        <v>372</v>
      </c>
      <c r="B44" s="89" t="s">
        <v>102</v>
      </c>
      <c r="C44" s="90">
        <f>+C5</f>
        <v>467929</v>
      </c>
      <c r="D44" s="109">
        <v>6310000</v>
      </c>
      <c r="E44" s="186"/>
      <c r="F44" s="109">
        <v>74184</v>
      </c>
      <c r="G44" s="256"/>
      <c r="H44" s="243">
        <v>4180000</v>
      </c>
      <c r="I44" s="238">
        <v>1710965</v>
      </c>
      <c r="J44" s="97">
        <f>+SUM(C44:G44)-(H44+I44)</f>
        <v>961148</v>
      </c>
      <c r="K44" s="351" t="b">
        <f>J44=I5</f>
        <v>1</v>
      </c>
    </row>
    <row r="45" spans="1:11">
      <c r="A45" s="95" t="s">
        <v>103</v>
      </c>
      <c r="B45" s="76"/>
      <c r="C45" s="87"/>
      <c r="D45" s="76"/>
      <c r="E45" s="76"/>
      <c r="F45" s="76"/>
      <c r="G45" s="76"/>
      <c r="H45" s="76"/>
      <c r="I45" s="76"/>
      <c r="J45" s="88"/>
      <c r="K45" s="350"/>
    </row>
    <row r="46" spans="1:11">
      <c r="A46" s="234" t="s">
        <v>372</v>
      </c>
      <c r="B46" s="89" t="s">
        <v>104</v>
      </c>
      <c r="C46" s="237">
        <f>+C3</f>
        <v>7405927</v>
      </c>
      <c r="D46" s="244"/>
      <c r="E46" s="109"/>
      <c r="F46" s="109"/>
      <c r="G46" s="109"/>
      <c r="H46" s="111">
        <v>2000000</v>
      </c>
      <c r="I46" s="113">
        <v>1710232</v>
      </c>
      <c r="J46" s="97">
        <f>+SUM(C46:G46)-(H46+I46)</f>
        <v>3695695</v>
      </c>
      <c r="K46" s="351" t="b">
        <f>+J46=I3</f>
        <v>1</v>
      </c>
    </row>
    <row r="47" spans="1:11">
      <c r="A47" s="234" t="s">
        <v>372</v>
      </c>
      <c r="B47" s="89" t="s">
        <v>105</v>
      </c>
      <c r="C47" s="237">
        <f>+C4</f>
        <v>22972065</v>
      </c>
      <c r="D47" s="109"/>
      <c r="E47" s="108"/>
      <c r="F47" s="108"/>
      <c r="G47" s="108"/>
      <c r="H47" s="84">
        <v>4310000</v>
      </c>
      <c r="I47" s="110">
        <v>3055511</v>
      </c>
      <c r="J47" s="97">
        <f>SUM(C47:G47)-(H47+I47)</f>
        <v>15606554</v>
      </c>
      <c r="K47" s="351" t="b">
        <f>+J47=I4</f>
        <v>1</v>
      </c>
    </row>
    <row r="48" spans="1:11" ht="15.75">
      <c r="C48" s="262">
        <f>SUM(C30:C47)</f>
        <v>31712043</v>
      </c>
      <c r="I48" s="258">
        <f>SUM(I30:I47)</f>
        <v>10359300</v>
      </c>
      <c r="J48" s="188">
        <f>+SUM(J30:J47)</f>
        <v>21352743</v>
      </c>
      <c r="K48" s="56" t="b">
        <f>J48=I19</f>
        <v>1</v>
      </c>
    </row>
    <row r="49" spans="1:11" ht="16.5">
      <c r="A49" s="65"/>
      <c r="B49" s="66"/>
      <c r="C49" s="63"/>
      <c r="D49" s="63"/>
      <c r="E49" s="64"/>
      <c r="F49" s="63"/>
      <c r="G49" s="63"/>
      <c r="H49" s="63"/>
      <c r="I49" s="63"/>
    </row>
    <row r="50" spans="1:11">
      <c r="A50" s="67" t="s">
        <v>93</v>
      </c>
      <c r="B50" s="67"/>
      <c r="C50" s="67"/>
      <c r="D50" s="68"/>
      <c r="E50" s="68"/>
      <c r="F50" s="68"/>
      <c r="G50" s="68"/>
      <c r="H50" s="68"/>
      <c r="I50" s="68"/>
    </row>
    <row r="51" spans="1:11">
      <c r="A51" s="69" t="s">
        <v>226</v>
      </c>
      <c r="B51" s="69"/>
      <c r="C51" s="69"/>
      <c r="D51" s="69"/>
      <c r="E51" s="69"/>
      <c r="F51" s="69"/>
      <c r="G51" s="69"/>
      <c r="H51" s="69"/>
      <c r="I51" s="69"/>
      <c r="J51" s="68"/>
    </row>
    <row r="52" spans="1:11">
      <c r="A52" s="70"/>
      <c r="B52" s="71"/>
      <c r="C52" s="72"/>
      <c r="D52" s="72"/>
      <c r="E52" s="72"/>
      <c r="F52" s="72"/>
      <c r="G52" s="72"/>
      <c r="H52" s="71"/>
      <c r="I52" s="71"/>
      <c r="J52" s="69"/>
    </row>
    <row r="53" spans="1:11">
      <c r="A53" s="505" t="s">
        <v>94</v>
      </c>
      <c r="B53" s="507" t="s">
        <v>95</v>
      </c>
      <c r="C53" s="509" t="s">
        <v>227</v>
      </c>
      <c r="D53" s="511" t="s">
        <v>96</v>
      </c>
      <c r="E53" s="512"/>
      <c r="F53" s="512"/>
      <c r="G53" s="513"/>
      <c r="H53" s="514" t="s">
        <v>97</v>
      </c>
      <c r="I53" s="501" t="s">
        <v>98</v>
      </c>
      <c r="J53" s="71"/>
    </row>
    <row r="54" spans="1:11">
      <c r="A54" s="506"/>
      <c r="B54" s="508"/>
      <c r="C54" s="510"/>
      <c r="D54" s="73" t="s">
        <v>56</v>
      </c>
      <c r="E54" s="73" t="s">
        <v>60</v>
      </c>
      <c r="F54" s="363" t="s">
        <v>220</v>
      </c>
      <c r="G54" s="73" t="s">
        <v>99</v>
      </c>
      <c r="H54" s="515"/>
      <c r="I54" s="502"/>
      <c r="J54" s="503" t="s">
        <v>228</v>
      </c>
      <c r="K54" s="350"/>
    </row>
    <row r="55" spans="1:11">
      <c r="A55" s="75"/>
      <c r="B55" s="76" t="s">
        <v>100</v>
      </c>
      <c r="C55" s="77"/>
      <c r="D55" s="77"/>
      <c r="E55" s="77"/>
      <c r="F55" s="77"/>
      <c r="G55" s="77"/>
      <c r="H55" s="77"/>
      <c r="I55" s="78"/>
      <c r="J55" s="504"/>
      <c r="K55" s="350"/>
    </row>
    <row r="56" spans="1:11">
      <c r="A56" s="234" t="s">
        <v>229</v>
      </c>
      <c r="B56" s="239" t="s">
        <v>119</v>
      </c>
      <c r="C56" s="84">
        <v>-450</v>
      </c>
      <c r="D56" s="83"/>
      <c r="E56" s="84">
        <v>168000</v>
      </c>
      <c r="F56" s="84">
        <v>55000</v>
      </c>
      <c r="G56" s="84"/>
      <c r="H56" s="115"/>
      <c r="I56" s="84">
        <v>182500</v>
      </c>
      <c r="J56" s="82">
        <f>+SUM(C56:G56)-(H56+I56)</f>
        <v>40050</v>
      </c>
      <c r="K56" s="351"/>
    </row>
    <row r="57" spans="1:11">
      <c r="A57" s="234" t="s">
        <v>229</v>
      </c>
      <c r="B57" s="239" t="s">
        <v>88</v>
      </c>
      <c r="C57" s="84">
        <v>12510</v>
      </c>
      <c r="D57" s="83"/>
      <c r="E57" s="84">
        <v>303000</v>
      </c>
      <c r="F57" s="84"/>
      <c r="G57" s="84"/>
      <c r="H57" s="115"/>
      <c r="I57" s="84">
        <v>276665</v>
      </c>
      <c r="J57" s="82">
        <f t="shared" ref="J57:J58" si="14">+SUM(C57:G57)-(H57+I57)</f>
        <v>38845</v>
      </c>
      <c r="K57" s="351"/>
    </row>
    <row r="58" spans="1:11">
      <c r="A58" s="234" t="s">
        <v>229</v>
      </c>
      <c r="B58" s="239" t="s">
        <v>67</v>
      </c>
      <c r="C58" s="84">
        <v>2895</v>
      </c>
      <c r="D58" s="83"/>
      <c r="E58" s="84">
        <v>40000</v>
      </c>
      <c r="F58" s="84"/>
      <c r="G58" s="84"/>
      <c r="H58" s="84"/>
      <c r="I58" s="84">
        <v>36000</v>
      </c>
      <c r="J58" s="183">
        <f t="shared" si="14"/>
        <v>6895</v>
      </c>
      <c r="K58" s="351"/>
    </row>
    <row r="59" spans="1:11">
      <c r="A59" s="234" t="s">
        <v>229</v>
      </c>
      <c r="B59" s="239" t="s">
        <v>120</v>
      </c>
      <c r="C59" s="84">
        <v>62040</v>
      </c>
      <c r="D59" s="187"/>
      <c r="E59" s="84"/>
      <c r="F59" s="84"/>
      <c r="G59" s="84"/>
      <c r="H59" s="84">
        <v>25000</v>
      </c>
      <c r="I59" s="84">
        <v>8500</v>
      </c>
      <c r="J59" s="183">
        <f>+SUM(C59:G59)-(H59+I59)</f>
        <v>28540</v>
      </c>
      <c r="K59" s="351"/>
    </row>
    <row r="60" spans="1:11">
      <c r="A60" s="234" t="s">
        <v>229</v>
      </c>
      <c r="B60" s="239" t="s">
        <v>111</v>
      </c>
      <c r="C60" s="84">
        <v>184</v>
      </c>
      <c r="D60" s="187"/>
      <c r="E60" s="84">
        <v>0</v>
      </c>
      <c r="F60" s="84"/>
      <c r="G60" s="84"/>
      <c r="H60" s="84"/>
      <c r="I60" s="84">
        <v>0</v>
      </c>
      <c r="J60" s="183">
        <f t="shared" ref="J60" si="15">+SUM(C60:G60)-(H60+I60)</f>
        <v>184</v>
      </c>
      <c r="K60" s="351"/>
    </row>
    <row r="61" spans="1:11">
      <c r="A61" s="234" t="s">
        <v>229</v>
      </c>
      <c r="B61" s="240" t="s">
        <v>66</v>
      </c>
      <c r="C61" s="84">
        <v>-36500</v>
      </c>
      <c r="D61" s="231"/>
      <c r="E61" s="111">
        <v>523500</v>
      </c>
      <c r="F61" s="111"/>
      <c r="G61" s="111"/>
      <c r="H61" s="111"/>
      <c r="I61" s="111">
        <v>418800</v>
      </c>
      <c r="J61" s="236">
        <f>+SUM(C61:G61)-(H61+I61)</f>
        <v>68200</v>
      </c>
      <c r="K61" s="351"/>
    </row>
    <row r="62" spans="1:11">
      <c r="A62" s="234" t="s">
        <v>229</v>
      </c>
      <c r="B62" s="241" t="s">
        <v>127</v>
      </c>
      <c r="C62" s="232">
        <v>233614</v>
      </c>
      <c r="D62" s="235"/>
      <c r="E62" s="254"/>
      <c r="F62" s="254"/>
      <c r="G62" s="254"/>
      <c r="H62" s="254"/>
      <c r="I62" s="254"/>
      <c r="J62" s="233">
        <f>+SUM(C62:G62)-(H62+I62)</f>
        <v>233614</v>
      </c>
      <c r="K62" s="351"/>
    </row>
    <row r="63" spans="1:11">
      <c r="A63" s="234" t="s">
        <v>229</v>
      </c>
      <c r="B63" s="241" t="s">
        <v>126</v>
      </c>
      <c r="C63" s="232">
        <v>249769</v>
      </c>
      <c r="D63" s="235"/>
      <c r="E63" s="254"/>
      <c r="F63" s="254"/>
      <c r="G63" s="254"/>
      <c r="H63" s="254"/>
      <c r="I63" s="254"/>
      <c r="J63" s="233">
        <f t="shared" ref="J63:J68" si="16">+SUM(C63:G63)-(H63+I63)</f>
        <v>249769</v>
      </c>
      <c r="K63" s="351"/>
    </row>
    <row r="64" spans="1:11">
      <c r="A64" s="234" t="s">
        <v>229</v>
      </c>
      <c r="B64" s="239" t="s">
        <v>74</v>
      </c>
      <c r="C64" s="84">
        <v>71200</v>
      </c>
      <c r="D64" s="83"/>
      <c r="E64" s="84">
        <v>1056000</v>
      </c>
      <c r="F64" s="84"/>
      <c r="G64" s="187"/>
      <c r="H64" s="187">
        <v>55000</v>
      </c>
      <c r="I64" s="84">
        <v>1076875</v>
      </c>
      <c r="J64" s="82">
        <f t="shared" si="16"/>
        <v>-4675</v>
      </c>
      <c r="K64" s="351"/>
    </row>
    <row r="65" spans="1:11">
      <c r="A65" s="234" t="s">
        <v>229</v>
      </c>
      <c r="B65" s="239" t="s">
        <v>138</v>
      </c>
      <c r="C65" s="84">
        <v>6000</v>
      </c>
      <c r="D65" s="83"/>
      <c r="E65" s="84">
        <v>20000</v>
      </c>
      <c r="F65" s="187"/>
      <c r="G65" s="187"/>
      <c r="H65" s="187"/>
      <c r="I65" s="84">
        <v>21000</v>
      </c>
      <c r="J65" s="82">
        <f t="shared" si="16"/>
        <v>5000</v>
      </c>
      <c r="K65" s="351"/>
    </row>
    <row r="66" spans="1:11">
      <c r="A66" s="234" t="s">
        <v>229</v>
      </c>
      <c r="B66" s="239" t="s">
        <v>65</v>
      </c>
      <c r="C66" s="84">
        <v>167700</v>
      </c>
      <c r="D66" s="83"/>
      <c r="E66" s="84">
        <v>473000</v>
      </c>
      <c r="F66" s="187"/>
      <c r="G66" s="187"/>
      <c r="H66" s="187"/>
      <c r="I66" s="84">
        <v>567900</v>
      </c>
      <c r="J66" s="82">
        <f t="shared" si="16"/>
        <v>72800</v>
      </c>
      <c r="K66" s="351"/>
    </row>
    <row r="67" spans="1:11">
      <c r="A67" s="234" t="s">
        <v>229</v>
      </c>
      <c r="B67" s="239" t="s">
        <v>68</v>
      </c>
      <c r="C67" s="84">
        <v>65300</v>
      </c>
      <c r="D67" s="83"/>
      <c r="E67" s="84">
        <v>10000</v>
      </c>
      <c r="F67" s="187"/>
      <c r="G67" s="187"/>
      <c r="H67" s="187">
        <v>20000</v>
      </c>
      <c r="I67" s="84">
        <v>8000</v>
      </c>
      <c r="J67" s="82">
        <f t="shared" si="16"/>
        <v>47300</v>
      </c>
      <c r="K67" s="351"/>
    </row>
    <row r="68" spans="1:11">
      <c r="A68" s="234" t="s">
        <v>229</v>
      </c>
      <c r="B68" s="240" t="s">
        <v>167</v>
      </c>
      <c r="C68" s="84">
        <v>-11700</v>
      </c>
      <c r="D68" s="231"/>
      <c r="E68" s="111">
        <v>385800</v>
      </c>
      <c r="F68" s="111"/>
      <c r="G68" s="255"/>
      <c r="H68" s="111"/>
      <c r="I68" s="111">
        <v>294500</v>
      </c>
      <c r="J68" s="82">
        <f t="shared" si="16"/>
        <v>79600</v>
      </c>
      <c r="K68" s="351"/>
    </row>
    <row r="69" spans="1:11">
      <c r="A69" s="86" t="s">
        <v>101</v>
      </c>
      <c r="B69" s="87"/>
      <c r="C69" s="87"/>
      <c r="D69" s="87"/>
      <c r="E69" s="87"/>
      <c r="F69" s="87"/>
      <c r="G69" s="87"/>
      <c r="H69" s="87"/>
      <c r="I69" s="87"/>
      <c r="J69" s="88"/>
      <c r="K69" s="350"/>
    </row>
    <row r="70" spans="1:11">
      <c r="A70" s="234" t="s">
        <v>229</v>
      </c>
      <c r="B70" s="89" t="s">
        <v>102</v>
      </c>
      <c r="C70" s="90">
        <v>1672959</v>
      </c>
      <c r="D70" s="109">
        <v>3341000</v>
      </c>
      <c r="E70" s="186"/>
      <c r="F70" s="186">
        <v>45000</v>
      </c>
      <c r="G70" s="256"/>
      <c r="H70" s="243">
        <v>2979300</v>
      </c>
      <c r="I70" s="238">
        <v>1611730</v>
      </c>
      <c r="J70" s="97">
        <f>+SUM(C70:G70)-(H70+I70)</f>
        <v>467929</v>
      </c>
      <c r="K70" s="351"/>
    </row>
    <row r="71" spans="1:11">
      <c r="A71" s="95" t="s">
        <v>103</v>
      </c>
      <c r="B71" s="76"/>
      <c r="C71" s="87"/>
      <c r="D71" s="76"/>
      <c r="E71" s="76"/>
      <c r="F71" s="76"/>
      <c r="G71" s="76"/>
      <c r="H71" s="76"/>
      <c r="I71" s="76"/>
      <c r="J71" s="88"/>
      <c r="K71" s="350"/>
    </row>
    <row r="72" spans="1:11">
      <c r="A72" s="234" t="s">
        <v>229</v>
      </c>
      <c r="B72" s="89" t="s">
        <v>104</v>
      </c>
      <c r="C72" s="237">
        <v>2957378</v>
      </c>
      <c r="D72" s="244">
        <v>7828953</v>
      </c>
      <c r="E72" s="109"/>
      <c r="F72" s="109"/>
      <c r="G72" s="109"/>
      <c r="H72" s="111">
        <v>3000000</v>
      </c>
      <c r="I72" s="113">
        <v>380404</v>
      </c>
      <c r="J72" s="97">
        <f>+SUM(C72:G72)-(H72+I72)</f>
        <v>7405927</v>
      </c>
      <c r="K72" s="351"/>
    </row>
    <row r="73" spans="1:11">
      <c r="A73" s="234" t="s">
        <v>229</v>
      </c>
      <c r="B73" s="89" t="s">
        <v>105</v>
      </c>
      <c r="C73" s="237">
        <v>28018504</v>
      </c>
      <c r="D73" s="109"/>
      <c r="E73" s="108"/>
      <c r="F73" s="108"/>
      <c r="G73" s="108"/>
      <c r="H73" s="84">
        <v>341000</v>
      </c>
      <c r="I73" s="110">
        <v>4705439</v>
      </c>
      <c r="J73" s="97">
        <f>SUM(C73:G73)-(H73+I73)</f>
        <v>22972065</v>
      </c>
      <c r="K73" s="351"/>
    </row>
    <row r="74" spans="1:11" ht="15.75">
      <c r="C74" s="262">
        <f>SUM(C56:C73)</f>
        <v>33471403</v>
      </c>
      <c r="I74" s="258">
        <f>SUM(I56:I73)</f>
        <v>9588313</v>
      </c>
      <c r="J74" s="188">
        <f>+SUM(J56:J73)</f>
        <v>31712043</v>
      </c>
    </row>
    <row r="75" spans="1:11" ht="16.5">
      <c r="A75" s="65"/>
      <c r="B75" s="66"/>
      <c r="C75" s="63" t="b">
        <f>C74=C19</f>
        <v>0</v>
      </c>
      <c r="D75" s="63"/>
      <c r="E75" s="64"/>
      <c r="F75" s="63"/>
      <c r="G75" s="63"/>
      <c r="H75" s="63"/>
      <c r="I75" s="63"/>
    </row>
    <row r="76" spans="1:11">
      <c r="A76" s="67" t="s">
        <v>93</v>
      </c>
      <c r="B76" s="67"/>
      <c r="C76" s="67"/>
      <c r="D76" s="68"/>
      <c r="E76" s="68"/>
      <c r="F76" s="68"/>
      <c r="G76" s="68"/>
      <c r="H76" s="68"/>
      <c r="I76" s="68"/>
    </row>
    <row r="77" spans="1:11">
      <c r="A77" s="69" t="s">
        <v>216</v>
      </c>
      <c r="B77" s="69"/>
      <c r="C77" s="69"/>
      <c r="D77" s="69"/>
      <c r="E77" s="69"/>
      <c r="F77" s="69"/>
      <c r="G77" s="69"/>
      <c r="H77" s="69"/>
      <c r="I77" s="69"/>
      <c r="J77" s="68"/>
    </row>
    <row r="78" spans="1:11">
      <c r="A78" s="70"/>
      <c r="B78" s="71"/>
      <c r="C78" s="72"/>
      <c r="D78" s="72"/>
      <c r="E78" s="72"/>
      <c r="F78" s="72"/>
      <c r="G78" s="72"/>
      <c r="H78" s="71"/>
      <c r="I78" s="71"/>
      <c r="J78" s="69"/>
    </row>
    <row r="79" spans="1:11">
      <c r="A79" s="505" t="s">
        <v>94</v>
      </c>
      <c r="B79" s="507" t="s">
        <v>95</v>
      </c>
      <c r="C79" s="509" t="s">
        <v>218</v>
      </c>
      <c r="D79" s="511" t="s">
        <v>96</v>
      </c>
      <c r="E79" s="512"/>
      <c r="F79" s="512"/>
      <c r="G79" s="513"/>
      <c r="H79" s="514" t="s">
        <v>97</v>
      </c>
      <c r="I79" s="501" t="s">
        <v>98</v>
      </c>
      <c r="J79" s="71"/>
    </row>
    <row r="80" spans="1:11">
      <c r="A80" s="506"/>
      <c r="B80" s="508"/>
      <c r="C80" s="510"/>
      <c r="D80" s="73" t="s">
        <v>56</v>
      </c>
      <c r="E80" s="73" t="s">
        <v>60</v>
      </c>
      <c r="F80" s="348" t="s">
        <v>220</v>
      </c>
      <c r="G80" s="73" t="s">
        <v>99</v>
      </c>
      <c r="H80" s="515"/>
      <c r="I80" s="502"/>
      <c r="J80" s="503" t="s">
        <v>219</v>
      </c>
      <c r="K80" s="350"/>
    </row>
    <row r="81" spans="1:11">
      <c r="A81" s="75"/>
      <c r="B81" s="76" t="s">
        <v>100</v>
      </c>
      <c r="C81" s="77"/>
      <c r="D81" s="77"/>
      <c r="E81" s="77"/>
      <c r="F81" s="77"/>
      <c r="G81" s="77"/>
      <c r="H81" s="77"/>
      <c r="I81" s="78"/>
      <c r="J81" s="504"/>
      <c r="K81" s="350"/>
    </row>
    <row r="82" spans="1:11">
      <c r="A82" s="234" t="s">
        <v>217</v>
      </c>
      <c r="B82" s="239" t="s">
        <v>119</v>
      </c>
      <c r="C82" s="84">
        <v>7670</v>
      </c>
      <c r="D82" s="83"/>
      <c r="E82" s="84">
        <v>438000</v>
      </c>
      <c r="F82" s="84"/>
      <c r="G82" s="84"/>
      <c r="H82" s="115">
        <v>40000</v>
      </c>
      <c r="I82" s="84">
        <v>406120</v>
      </c>
      <c r="J82" s="82">
        <f>+SUM(C82:G82)-(H82+I82)</f>
        <v>-450</v>
      </c>
      <c r="K82" s="351" t="b">
        <f t="shared" ref="K82:K94" si="17">J82=I6</f>
        <v>0</v>
      </c>
    </row>
    <row r="83" spans="1:11">
      <c r="A83" s="234" t="s">
        <v>217</v>
      </c>
      <c r="B83" s="239" t="s">
        <v>88</v>
      </c>
      <c r="C83" s="84">
        <v>4710</v>
      </c>
      <c r="D83" s="83"/>
      <c r="E83" s="84">
        <v>303000</v>
      </c>
      <c r="F83" s="84">
        <f>25000+91000+62000</f>
        <v>178000</v>
      </c>
      <c r="G83" s="84"/>
      <c r="H83" s="115">
        <v>29000</v>
      </c>
      <c r="I83" s="84">
        <v>444200</v>
      </c>
      <c r="J83" s="82">
        <f t="shared" ref="J83:J84" si="18">+SUM(C83:G83)-(H83+I83)</f>
        <v>12510</v>
      </c>
      <c r="K83" s="351" t="b">
        <f t="shared" si="17"/>
        <v>0</v>
      </c>
    </row>
    <row r="84" spans="1:11">
      <c r="A84" s="234" t="s">
        <v>217</v>
      </c>
      <c r="B84" s="239" t="s">
        <v>67</v>
      </c>
      <c r="C84" s="84">
        <v>9295</v>
      </c>
      <c r="D84" s="83"/>
      <c r="E84" s="84">
        <v>743000</v>
      </c>
      <c r="F84" s="84">
        <v>2000</v>
      </c>
      <c r="G84" s="84"/>
      <c r="H84" s="84">
        <f>103000+91000+137000+101000+91000</f>
        <v>523000</v>
      </c>
      <c r="I84" s="84">
        <v>228400</v>
      </c>
      <c r="J84" s="183">
        <f t="shared" si="18"/>
        <v>2895</v>
      </c>
      <c r="K84" s="351" t="b">
        <f t="shared" si="17"/>
        <v>0</v>
      </c>
    </row>
    <row r="85" spans="1:11">
      <c r="A85" s="234" t="s">
        <v>217</v>
      </c>
      <c r="B85" s="239" t="s">
        <v>120</v>
      </c>
      <c r="C85" s="84">
        <v>-25100</v>
      </c>
      <c r="D85" s="187"/>
      <c r="E85" s="84">
        <v>121100</v>
      </c>
      <c r="F85" s="84">
        <f>103000+1000+28000+137000</f>
        <v>269000</v>
      </c>
      <c r="G85" s="84"/>
      <c r="H85" s="84"/>
      <c r="I85" s="84">
        <v>302960</v>
      </c>
      <c r="J85" s="183">
        <f>+SUM(C85:G85)-(H85+I85)</f>
        <v>62040</v>
      </c>
      <c r="K85" s="351" t="b">
        <f t="shared" si="17"/>
        <v>0</v>
      </c>
    </row>
    <row r="86" spans="1:11">
      <c r="A86" s="234" t="s">
        <v>217</v>
      </c>
      <c r="B86" s="239" t="s">
        <v>111</v>
      </c>
      <c r="C86" s="84">
        <v>7384</v>
      </c>
      <c r="D86" s="187"/>
      <c r="E86" s="84">
        <v>319000</v>
      </c>
      <c r="F86" s="84">
        <v>101000</v>
      </c>
      <c r="G86" s="84"/>
      <c r="H86" s="84">
        <v>62000</v>
      </c>
      <c r="I86" s="84">
        <v>365200</v>
      </c>
      <c r="J86" s="183">
        <f t="shared" ref="J86" si="19">+SUM(C86:G86)-(H86+I86)</f>
        <v>184</v>
      </c>
      <c r="K86" s="351" t="b">
        <f t="shared" si="17"/>
        <v>0</v>
      </c>
    </row>
    <row r="87" spans="1:11">
      <c r="A87" s="234" t="s">
        <v>217</v>
      </c>
      <c r="B87" s="240" t="s">
        <v>66</v>
      </c>
      <c r="C87" s="84">
        <v>61300</v>
      </c>
      <c r="D87" s="231"/>
      <c r="E87" s="111">
        <v>931200</v>
      </c>
      <c r="F87" s="111"/>
      <c r="G87" s="111"/>
      <c r="H87" s="111">
        <v>28000</v>
      </c>
      <c r="I87" s="111">
        <v>1001000</v>
      </c>
      <c r="J87" s="236">
        <f>+SUM(C87:G87)-(H87+I87)</f>
        <v>-36500</v>
      </c>
      <c r="K87" s="351" t="b">
        <f t="shared" si="17"/>
        <v>0</v>
      </c>
    </row>
    <row r="88" spans="1:11">
      <c r="A88" s="234" t="s">
        <v>217</v>
      </c>
      <c r="B88" s="241" t="s">
        <v>127</v>
      </c>
      <c r="C88" s="232">
        <v>233614</v>
      </c>
      <c r="D88" s="235"/>
      <c r="E88" s="254"/>
      <c r="F88" s="254"/>
      <c r="G88" s="254"/>
      <c r="H88" s="254"/>
      <c r="I88" s="254"/>
      <c r="J88" s="233">
        <f>+SUM(C88:G88)-(H88+I88)</f>
        <v>233614</v>
      </c>
      <c r="K88" s="351" t="b">
        <f t="shared" si="17"/>
        <v>1</v>
      </c>
    </row>
    <row r="89" spans="1:11">
      <c r="A89" s="234" t="s">
        <v>217</v>
      </c>
      <c r="B89" s="241" t="s">
        <v>126</v>
      </c>
      <c r="C89" s="232">
        <v>249769</v>
      </c>
      <c r="D89" s="235"/>
      <c r="E89" s="254"/>
      <c r="F89" s="254"/>
      <c r="G89" s="254"/>
      <c r="H89" s="254"/>
      <c r="I89" s="254"/>
      <c r="J89" s="233">
        <f t="shared" ref="J89:J92" si="20">+SUM(C89:G89)-(H89+I89)</f>
        <v>249769</v>
      </c>
      <c r="K89" s="351" t="b">
        <f t="shared" si="17"/>
        <v>1</v>
      </c>
    </row>
    <row r="90" spans="1:11">
      <c r="A90" s="234" t="s">
        <v>217</v>
      </c>
      <c r="B90" s="239" t="s">
        <v>74</v>
      </c>
      <c r="C90" s="84">
        <v>4500</v>
      </c>
      <c r="D90" s="83"/>
      <c r="E90" s="84">
        <v>234000</v>
      </c>
      <c r="F90" s="84">
        <v>40000</v>
      </c>
      <c r="G90" s="187"/>
      <c r="H90" s="187"/>
      <c r="I90" s="84">
        <v>207300</v>
      </c>
      <c r="J90" s="82">
        <f t="shared" si="20"/>
        <v>71200</v>
      </c>
      <c r="K90" s="351" t="b">
        <f t="shared" si="17"/>
        <v>0</v>
      </c>
    </row>
    <row r="91" spans="1:11">
      <c r="A91" s="234" t="s">
        <v>217</v>
      </c>
      <c r="B91" s="239" t="s">
        <v>138</v>
      </c>
      <c r="C91" s="84">
        <v>-6000</v>
      </c>
      <c r="D91" s="83"/>
      <c r="E91" s="84">
        <v>61000</v>
      </c>
      <c r="F91" s="187"/>
      <c r="G91" s="187"/>
      <c r="H91" s="187"/>
      <c r="I91" s="84">
        <v>49000</v>
      </c>
      <c r="J91" s="82">
        <f t="shared" si="20"/>
        <v>6000</v>
      </c>
      <c r="K91" s="351" t="b">
        <f t="shared" si="17"/>
        <v>0</v>
      </c>
    </row>
    <row r="92" spans="1:11">
      <c r="A92" s="234" t="s">
        <v>217</v>
      </c>
      <c r="B92" s="239" t="s">
        <v>65</v>
      </c>
      <c r="C92" s="84">
        <v>72200</v>
      </c>
      <c r="D92" s="83"/>
      <c r="E92" s="84">
        <v>722000</v>
      </c>
      <c r="F92" s="187"/>
      <c r="G92" s="187"/>
      <c r="H92" s="187"/>
      <c r="I92" s="84">
        <v>626500</v>
      </c>
      <c r="J92" s="82">
        <f t="shared" si="20"/>
        <v>167700</v>
      </c>
      <c r="K92" s="351" t="b">
        <f t="shared" si="17"/>
        <v>0</v>
      </c>
    </row>
    <row r="93" spans="1:11">
      <c r="A93" s="234" t="s">
        <v>217</v>
      </c>
      <c r="B93" s="239" t="s">
        <v>68</v>
      </c>
      <c r="C93" s="84">
        <v>9300</v>
      </c>
      <c r="D93" s="83"/>
      <c r="E93" s="84">
        <v>60000</v>
      </c>
      <c r="F93" s="187"/>
      <c r="G93" s="187"/>
      <c r="H93" s="187"/>
      <c r="I93" s="84">
        <v>4000</v>
      </c>
      <c r="J93" s="82">
        <f t="shared" ref="J93:J94" si="21">+SUM(C93:G93)-(H93+I93)</f>
        <v>65300</v>
      </c>
      <c r="K93" s="351" t="b">
        <f t="shared" si="17"/>
        <v>0</v>
      </c>
    </row>
    <row r="94" spans="1:11">
      <c r="A94" s="234" t="s">
        <v>217</v>
      </c>
      <c r="B94" s="240" t="s">
        <v>167</v>
      </c>
      <c r="C94" s="84">
        <v>-14000</v>
      </c>
      <c r="D94" s="231"/>
      <c r="E94" s="111">
        <v>378000</v>
      </c>
      <c r="F94" s="111">
        <f>29000+91000</f>
        <v>120000</v>
      </c>
      <c r="G94" s="255"/>
      <c r="H94" s="111">
        <f>2000+1000+25000</f>
        <v>28000</v>
      </c>
      <c r="I94" s="111">
        <v>467700</v>
      </c>
      <c r="J94" s="82">
        <f t="shared" si="21"/>
        <v>-11700</v>
      </c>
      <c r="K94" s="351" t="b">
        <f t="shared" si="17"/>
        <v>0</v>
      </c>
    </row>
    <row r="95" spans="1:11">
      <c r="A95" s="86" t="s">
        <v>101</v>
      </c>
      <c r="B95" s="87"/>
      <c r="C95" s="87"/>
      <c r="D95" s="87"/>
      <c r="E95" s="87"/>
      <c r="F95" s="87"/>
      <c r="G95" s="87"/>
      <c r="H95" s="87"/>
      <c r="I95" s="87"/>
      <c r="J95" s="88"/>
      <c r="K95" s="350"/>
    </row>
    <row r="96" spans="1:11">
      <c r="A96" s="234" t="s">
        <v>217</v>
      </c>
      <c r="B96" s="89" t="s">
        <v>102</v>
      </c>
      <c r="C96" s="90">
        <v>1148337</v>
      </c>
      <c r="D96" s="109">
        <v>7000000</v>
      </c>
      <c r="E96" s="186"/>
      <c r="F96" s="186"/>
      <c r="G96" s="256"/>
      <c r="H96" s="243">
        <v>4310300</v>
      </c>
      <c r="I96" s="238">
        <v>2165078</v>
      </c>
      <c r="J96" s="97">
        <f>+SUM(C96:G96)-(H96+I96)</f>
        <v>1672959</v>
      </c>
      <c r="K96" s="351" t="b">
        <f>J96=I5</f>
        <v>0</v>
      </c>
    </row>
    <row r="97" spans="1:11">
      <c r="A97" s="95" t="s">
        <v>103</v>
      </c>
      <c r="B97" s="76"/>
      <c r="C97" s="87"/>
      <c r="D97" s="76"/>
      <c r="E97" s="76"/>
      <c r="F97" s="76"/>
      <c r="G97" s="76"/>
      <c r="H97" s="76"/>
      <c r="I97" s="76"/>
      <c r="J97" s="88"/>
      <c r="K97" s="350"/>
    </row>
    <row r="98" spans="1:11">
      <c r="A98" s="234" t="s">
        <v>217</v>
      </c>
      <c r="B98" s="89" t="s">
        <v>104</v>
      </c>
      <c r="C98" s="237">
        <v>10113263</v>
      </c>
      <c r="D98" s="244">
        <v>0</v>
      </c>
      <c r="E98" s="109"/>
      <c r="F98" s="109"/>
      <c r="G98" s="109"/>
      <c r="H98" s="111">
        <v>7000000</v>
      </c>
      <c r="I98" s="113">
        <v>155885</v>
      </c>
      <c r="J98" s="97">
        <f>+SUM(C98:G98)-(H98+I98)</f>
        <v>2957378</v>
      </c>
      <c r="K98" s="351" t="b">
        <f>+J98=I3</f>
        <v>0</v>
      </c>
    </row>
    <row r="99" spans="1:11">
      <c r="A99" s="234" t="s">
        <v>217</v>
      </c>
      <c r="B99" s="89" t="s">
        <v>105</v>
      </c>
      <c r="C99" s="237">
        <v>6219904</v>
      </c>
      <c r="D99" s="109">
        <v>28506579</v>
      </c>
      <c r="E99" s="108"/>
      <c r="F99" s="108"/>
      <c r="G99" s="108"/>
      <c r="H99" s="84"/>
      <c r="I99" s="110">
        <v>6707979</v>
      </c>
      <c r="J99" s="97">
        <f>SUM(C99:G99)-(H99+I99)</f>
        <v>28018504</v>
      </c>
      <c r="K99" s="351" t="b">
        <f>+J99=I4</f>
        <v>0</v>
      </c>
    </row>
    <row r="100" spans="1:11" ht="15.75">
      <c r="C100" s="262">
        <f>SUM(C82:C99)</f>
        <v>18096146</v>
      </c>
      <c r="I100" s="258">
        <f>SUM(I82:I99)</f>
        <v>13131322</v>
      </c>
      <c r="J100" s="188">
        <f>+SUM(J82:J99)</f>
        <v>33471403</v>
      </c>
      <c r="K100" s="56" t="b">
        <f>J100=I19</f>
        <v>0</v>
      </c>
    </row>
    <row r="101" spans="1:11" ht="16.5">
      <c r="A101" s="65"/>
      <c r="B101" s="66"/>
      <c r="C101" s="63" t="b">
        <f>C100=C19</f>
        <v>0</v>
      </c>
      <c r="D101" s="63"/>
      <c r="E101" s="64"/>
      <c r="F101" s="63"/>
      <c r="G101" s="63"/>
      <c r="H101" s="63"/>
      <c r="I101" s="63"/>
    </row>
    <row r="102" spans="1:11" ht="16.5">
      <c r="A102" s="65"/>
      <c r="B102" s="66"/>
      <c r="C102" s="63"/>
      <c r="D102" s="63"/>
      <c r="E102" s="64"/>
      <c r="F102" s="63"/>
      <c r="G102" s="63"/>
      <c r="H102" s="63"/>
      <c r="I102" s="63"/>
    </row>
    <row r="103" spans="1:11">
      <c r="A103" s="67" t="s">
        <v>93</v>
      </c>
      <c r="B103" s="67"/>
      <c r="C103" s="67"/>
      <c r="D103" s="68"/>
      <c r="E103" s="68"/>
      <c r="F103" s="68"/>
      <c r="G103" s="68"/>
      <c r="H103" s="68"/>
      <c r="I103" s="68"/>
    </row>
    <row r="104" spans="1:11">
      <c r="A104" s="69" t="s">
        <v>195</v>
      </c>
      <c r="B104" s="69"/>
      <c r="C104" s="69"/>
      <c r="D104" s="69"/>
      <c r="E104" s="69"/>
      <c r="F104" s="69"/>
      <c r="G104" s="69"/>
      <c r="H104" s="69"/>
      <c r="I104" s="69"/>
      <c r="J104" s="68"/>
    </row>
    <row r="105" spans="1:11">
      <c r="A105" s="70"/>
      <c r="B105" s="71"/>
      <c r="C105" s="72"/>
      <c r="D105" s="72"/>
      <c r="E105" s="72"/>
      <c r="F105" s="72"/>
      <c r="G105" s="72"/>
      <c r="H105" s="71"/>
      <c r="I105" s="71"/>
      <c r="J105" s="69"/>
    </row>
    <row r="106" spans="1:11">
      <c r="A106" s="505" t="s">
        <v>94</v>
      </c>
      <c r="B106" s="507" t="s">
        <v>95</v>
      </c>
      <c r="C106" s="509" t="s">
        <v>197</v>
      </c>
      <c r="D106" s="511" t="s">
        <v>96</v>
      </c>
      <c r="E106" s="512"/>
      <c r="F106" s="512"/>
      <c r="G106" s="513"/>
      <c r="H106" s="514" t="s">
        <v>97</v>
      </c>
      <c r="I106" s="501" t="s">
        <v>98</v>
      </c>
      <c r="J106" s="71"/>
    </row>
    <row r="107" spans="1:11">
      <c r="A107" s="506"/>
      <c r="B107" s="508"/>
      <c r="C107" s="510"/>
      <c r="D107" s="73" t="s">
        <v>56</v>
      </c>
      <c r="E107" s="73" t="s">
        <v>60</v>
      </c>
      <c r="F107" s="263" t="s">
        <v>199</v>
      </c>
      <c r="G107" s="73" t="s">
        <v>99</v>
      </c>
      <c r="H107" s="515"/>
      <c r="I107" s="502"/>
      <c r="J107" s="503" t="s">
        <v>198</v>
      </c>
    </row>
    <row r="108" spans="1:11">
      <c r="A108" s="75"/>
      <c r="B108" s="76" t="s">
        <v>100</v>
      </c>
      <c r="C108" s="77"/>
      <c r="D108" s="77"/>
      <c r="E108" s="77"/>
      <c r="F108" s="77"/>
      <c r="G108" s="77"/>
      <c r="H108" s="77"/>
      <c r="I108" s="78"/>
      <c r="J108" s="504"/>
    </row>
    <row r="109" spans="1:11">
      <c r="A109" s="234" t="s">
        <v>196</v>
      </c>
      <c r="B109" s="239" t="s">
        <v>119</v>
      </c>
      <c r="C109" s="84">
        <v>3670</v>
      </c>
      <c r="D109" s="83"/>
      <c r="E109" s="84">
        <v>118000</v>
      </c>
      <c r="F109" s="84">
        <v>4000</v>
      </c>
      <c r="G109" s="84"/>
      <c r="H109" s="115"/>
      <c r="I109" s="84">
        <v>118000</v>
      </c>
      <c r="J109" s="82">
        <f>+SUM(C109:G109)-(H109+I109)</f>
        <v>7670</v>
      </c>
      <c r="K109" s="324"/>
    </row>
    <row r="110" spans="1:11">
      <c r="A110" s="234" t="s">
        <v>196</v>
      </c>
      <c r="B110" s="239" t="s">
        <v>88</v>
      </c>
      <c r="C110" s="84">
        <v>-540</v>
      </c>
      <c r="D110" s="83"/>
      <c r="E110" s="84">
        <v>209750</v>
      </c>
      <c r="F110" s="84">
        <v>5000</v>
      </c>
      <c r="G110" s="84"/>
      <c r="H110" s="115"/>
      <c r="I110" s="84">
        <v>209500</v>
      </c>
      <c r="J110" s="82">
        <f t="shared" ref="J110:J111" si="22">+SUM(C110:G110)-(H110+I110)</f>
        <v>4710</v>
      </c>
      <c r="K110" s="324"/>
    </row>
    <row r="111" spans="1:11">
      <c r="A111" s="234" t="s">
        <v>196</v>
      </c>
      <c r="B111" s="239" t="s">
        <v>67</v>
      </c>
      <c r="C111" s="84">
        <v>2395</v>
      </c>
      <c r="D111" s="83"/>
      <c r="E111" s="84">
        <v>70000</v>
      </c>
      <c r="F111" s="84">
        <v>4000</v>
      </c>
      <c r="G111" s="84"/>
      <c r="H111" s="84"/>
      <c r="I111" s="84">
        <v>67100</v>
      </c>
      <c r="J111" s="183">
        <f t="shared" si="22"/>
        <v>9295</v>
      </c>
      <c r="K111" s="324"/>
    </row>
    <row r="112" spans="1:11">
      <c r="A112" s="234" t="s">
        <v>196</v>
      </c>
      <c r="B112" s="239" t="s">
        <v>120</v>
      </c>
      <c r="C112" s="84">
        <v>96100</v>
      </c>
      <c r="D112" s="187"/>
      <c r="E112" s="84">
        <v>488100</v>
      </c>
      <c r="F112" s="84">
        <v>4000</v>
      </c>
      <c r="G112" s="84"/>
      <c r="H112" s="84">
        <v>61600</v>
      </c>
      <c r="I112" s="84">
        <v>551700</v>
      </c>
      <c r="J112" s="183">
        <f>+SUM(C112:G112)-(H112+I112)</f>
        <v>-25100</v>
      </c>
      <c r="K112" s="324"/>
    </row>
    <row r="113" spans="1:11">
      <c r="A113" s="234" t="s">
        <v>196</v>
      </c>
      <c r="B113" s="239" t="s">
        <v>111</v>
      </c>
      <c r="C113" s="84">
        <v>13884</v>
      </c>
      <c r="D113" s="187"/>
      <c r="E113" s="84">
        <v>194000</v>
      </c>
      <c r="F113" s="84"/>
      <c r="G113" s="84"/>
      <c r="H113" s="84">
        <v>17000</v>
      </c>
      <c r="I113" s="84">
        <v>183500</v>
      </c>
      <c r="J113" s="183">
        <f t="shared" ref="J113" si="23">+SUM(C113:G113)-(H113+I113)</f>
        <v>7384</v>
      </c>
      <c r="K113" s="324"/>
    </row>
    <row r="114" spans="1:11">
      <c r="A114" s="234" t="s">
        <v>196</v>
      </c>
      <c r="B114" s="240" t="s">
        <v>66</v>
      </c>
      <c r="C114" s="84">
        <v>72400</v>
      </c>
      <c r="D114" s="231"/>
      <c r="E114" s="111">
        <v>599900</v>
      </c>
      <c r="F114" s="111"/>
      <c r="G114" s="111"/>
      <c r="H114" s="111"/>
      <c r="I114" s="111">
        <v>611000</v>
      </c>
      <c r="J114" s="236">
        <f>+SUM(C114:G114)-(H114+I114)</f>
        <v>61300</v>
      </c>
      <c r="K114" s="324"/>
    </row>
    <row r="115" spans="1:11">
      <c r="A115" s="234" t="s">
        <v>196</v>
      </c>
      <c r="B115" s="241" t="s">
        <v>127</v>
      </c>
      <c r="C115" s="232">
        <v>233614</v>
      </c>
      <c r="D115" s="235"/>
      <c r="E115" s="254"/>
      <c r="F115" s="254"/>
      <c r="G115" s="254"/>
      <c r="H115" s="254"/>
      <c r="I115" s="254"/>
      <c r="J115" s="233">
        <f>+SUM(C115:G115)-(H115+I115)</f>
        <v>233614</v>
      </c>
      <c r="K115" s="324"/>
    </row>
    <row r="116" spans="1:11">
      <c r="A116" s="234" t="s">
        <v>196</v>
      </c>
      <c r="B116" s="241" t="s">
        <v>126</v>
      </c>
      <c r="C116" s="232">
        <v>249769</v>
      </c>
      <c r="D116" s="235"/>
      <c r="E116" s="254"/>
      <c r="F116" s="254"/>
      <c r="G116" s="254"/>
      <c r="H116" s="254"/>
      <c r="I116" s="254"/>
      <c r="J116" s="233">
        <f t="shared" ref="J116:J123" si="24">+SUM(C116:G116)-(H116+I116)</f>
        <v>249769</v>
      </c>
      <c r="K116" s="324"/>
    </row>
    <row r="117" spans="1:11">
      <c r="A117" s="234" t="s">
        <v>196</v>
      </c>
      <c r="B117" s="239" t="s">
        <v>74</v>
      </c>
      <c r="C117" s="84">
        <v>18490</v>
      </c>
      <c r="D117" s="83"/>
      <c r="E117" s="84">
        <v>796460</v>
      </c>
      <c r="F117" s="84">
        <v>61600</v>
      </c>
      <c r="G117" s="187"/>
      <c r="H117" s="187"/>
      <c r="I117" s="84">
        <v>872050</v>
      </c>
      <c r="J117" s="82">
        <f t="shared" si="24"/>
        <v>4500</v>
      </c>
      <c r="K117" s="324"/>
    </row>
    <row r="118" spans="1:11">
      <c r="A118" s="234" t="s">
        <v>196</v>
      </c>
      <c r="B118" s="239" t="s">
        <v>138</v>
      </c>
      <c r="C118" s="84">
        <v>4500</v>
      </c>
      <c r="D118" s="83"/>
      <c r="E118" s="84">
        <v>40000</v>
      </c>
      <c r="F118" s="187"/>
      <c r="G118" s="187"/>
      <c r="H118" s="187"/>
      <c r="I118" s="84">
        <v>50500</v>
      </c>
      <c r="J118" s="82">
        <f t="shared" si="24"/>
        <v>-6000</v>
      </c>
      <c r="K118" s="324"/>
    </row>
    <row r="119" spans="1:11">
      <c r="A119" s="234" t="s">
        <v>196</v>
      </c>
      <c r="B119" s="239" t="s">
        <v>65</v>
      </c>
      <c r="C119" s="84">
        <v>44200</v>
      </c>
      <c r="D119" s="83"/>
      <c r="E119" s="84">
        <v>60000</v>
      </c>
      <c r="F119" s="187"/>
      <c r="G119" s="187"/>
      <c r="H119" s="187"/>
      <c r="I119" s="84">
        <v>32000</v>
      </c>
      <c r="J119" s="82">
        <f t="shared" si="24"/>
        <v>72200</v>
      </c>
      <c r="K119" s="324"/>
    </row>
    <row r="120" spans="1:11">
      <c r="A120" s="234" t="s">
        <v>196</v>
      </c>
      <c r="B120" s="239" t="s">
        <v>142</v>
      </c>
      <c r="C120" s="84">
        <v>-851709</v>
      </c>
      <c r="D120" s="83"/>
      <c r="E120" s="84">
        <v>851709</v>
      </c>
      <c r="F120" s="187"/>
      <c r="G120" s="187"/>
      <c r="H120" s="187"/>
      <c r="I120" s="84"/>
      <c r="J120" s="82">
        <f>+SUM(C120:G120)-(H120+I120)</f>
        <v>0</v>
      </c>
      <c r="K120" s="324"/>
    </row>
    <row r="121" spans="1:11">
      <c r="A121" s="234" t="s">
        <v>196</v>
      </c>
      <c r="B121" s="239" t="s">
        <v>149</v>
      </c>
      <c r="C121" s="84">
        <v>90300</v>
      </c>
      <c r="D121" s="83"/>
      <c r="E121" s="84">
        <v>69200</v>
      </c>
      <c r="F121" s="187"/>
      <c r="G121" s="187"/>
      <c r="H121" s="187"/>
      <c r="I121" s="84">
        <v>159500</v>
      </c>
      <c r="J121" s="82">
        <f t="shared" si="24"/>
        <v>0</v>
      </c>
      <c r="K121" s="324"/>
    </row>
    <row r="122" spans="1:11">
      <c r="A122" s="234" t="s">
        <v>196</v>
      </c>
      <c r="B122" s="239" t="s">
        <v>68</v>
      </c>
      <c r="C122" s="84">
        <v>300</v>
      </c>
      <c r="D122" s="83"/>
      <c r="E122" s="84">
        <v>20000</v>
      </c>
      <c r="F122" s="187"/>
      <c r="G122" s="187"/>
      <c r="H122" s="187"/>
      <c r="I122" s="84">
        <v>11000</v>
      </c>
      <c r="J122" s="82">
        <f t="shared" si="24"/>
        <v>9300</v>
      </c>
      <c r="K122" s="324"/>
    </row>
    <row r="123" spans="1:11">
      <c r="A123" s="234" t="s">
        <v>196</v>
      </c>
      <c r="B123" s="240" t="s">
        <v>167</v>
      </c>
      <c r="C123" s="84">
        <v>0</v>
      </c>
      <c r="D123" s="231"/>
      <c r="E123" s="253"/>
      <c r="F123" s="253"/>
      <c r="G123" s="255"/>
      <c r="H123" s="253"/>
      <c r="I123" s="111">
        <v>14000</v>
      </c>
      <c r="J123" s="82">
        <f t="shared" si="24"/>
        <v>-14000</v>
      </c>
      <c r="K123" s="324"/>
    </row>
    <row r="124" spans="1:11">
      <c r="A124" s="86" t="s">
        <v>101</v>
      </c>
      <c r="B124" s="87"/>
      <c r="C124" s="87"/>
      <c r="D124" s="87"/>
      <c r="E124" s="87"/>
      <c r="F124" s="87"/>
      <c r="G124" s="87"/>
      <c r="H124" s="87"/>
      <c r="I124" s="87"/>
      <c r="J124" s="88"/>
    </row>
    <row r="125" spans="1:11">
      <c r="A125" s="234" t="s">
        <v>196</v>
      </c>
      <c r="B125" s="89" t="s">
        <v>102</v>
      </c>
      <c r="C125" s="90">
        <f>C5</f>
        <v>467929</v>
      </c>
      <c r="D125" s="109">
        <v>5872000</v>
      </c>
      <c r="E125" s="186"/>
      <c r="F125" s="186"/>
      <c r="G125" s="256"/>
      <c r="H125" s="243">
        <v>3517119</v>
      </c>
      <c r="I125" s="238">
        <v>1523260</v>
      </c>
      <c r="J125" s="97">
        <f>+SUM(C125:G125)-(H125+I125)</f>
        <v>1299550</v>
      </c>
      <c r="K125" s="324"/>
    </row>
    <row r="126" spans="1:11">
      <c r="A126" s="95" t="s">
        <v>103</v>
      </c>
      <c r="B126" s="76"/>
      <c r="C126" s="87"/>
      <c r="D126" s="76"/>
      <c r="E126" s="76"/>
      <c r="F126" s="76"/>
      <c r="G126" s="76"/>
      <c r="H126" s="76"/>
      <c r="I126" s="76"/>
      <c r="J126" s="88"/>
    </row>
    <row r="127" spans="1:11">
      <c r="A127" s="234" t="s">
        <v>196</v>
      </c>
      <c r="B127" s="89" t="s">
        <v>104</v>
      </c>
      <c r="C127" s="237">
        <f>C3</f>
        <v>7405927</v>
      </c>
      <c r="D127" s="244">
        <v>10380044</v>
      </c>
      <c r="E127" s="109"/>
      <c r="F127" s="109"/>
      <c r="G127" s="109"/>
      <c r="H127" s="111">
        <v>5500000</v>
      </c>
      <c r="I127" s="113">
        <v>277455</v>
      </c>
      <c r="J127" s="97">
        <f>+SUM(C127:G127)-(H127+I127)</f>
        <v>12008516</v>
      </c>
      <c r="K127" s="324"/>
    </row>
    <row r="128" spans="1:11">
      <c r="A128" s="234" t="s">
        <v>196</v>
      </c>
      <c r="B128" s="89" t="s">
        <v>105</v>
      </c>
      <c r="C128" s="237">
        <f>C4</f>
        <v>22972065</v>
      </c>
      <c r="D128" s="109"/>
      <c r="E128" s="108"/>
      <c r="F128" s="108"/>
      <c r="G128" s="108"/>
      <c r="H128" s="84">
        <v>372000</v>
      </c>
      <c r="I128" s="110">
        <v>4601760</v>
      </c>
      <c r="J128" s="97">
        <f>SUM(C128:G128)-(H128+I128)</f>
        <v>17998305</v>
      </c>
      <c r="K128" s="324"/>
    </row>
    <row r="129" spans="1:11" ht="15.75">
      <c r="C129" s="262">
        <f>SUM(C109:C128)</f>
        <v>30823294</v>
      </c>
      <c r="I129" s="258">
        <f>SUM(I109:I128)</f>
        <v>9282325</v>
      </c>
      <c r="J129" s="188">
        <f>+SUM(J109:J128)</f>
        <v>31921013</v>
      </c>
    </row>
    <row r="130" spans="1:11" ht="16.5">
      <c r="A130" s="65"/>
      <c r="B130" s="66"/>
      <c r="C130" s="63"/>
      <c r="D130" s="63"/>
      <c r="E130" s="64"/>
      <c r="F130" s="63"/>
      <c r="G130" s="63"/>
      <c r="H130" s="63"/>
      <c r="I130" s="63"/>
    </row>
    <row r="131" spans="1:11">
      <c r="A131" s="67" t="s">
        <v>93</v>
      </c>
      <c r="B131" s="67"/>
      <c r="C131" s="67"/>
      <c r="D131" s="68"/>
      <c r="E131" s="68"/>
      <c r="F131" s="68"/>
      <c r="G131" s="68"/>
      <c r="H131" s="68"/>
      <c r="I131" s="68"/>
    </row>
    <row r="132" spans="1:11">
      <c r="A132" s="69" t="s">
        <v>161</v>
      </c>
      <c r="B132" s="69"/>
      <c r="C132" s="69"/>
      <c r="D132" s="69"/>
      <c r="E132" s="69"/>
      <c r="F132" s="69"/>
      <c r="G132" s="69"/>
      <c r="H132" s="69"/>
      <c r="I132" s="69"/>
      <c r="J132" s="68"/>
    </row>
    <row r="133" spans="1:11">
      <c r="A133" s="70"/>
      <c r="B133" s="71"/>
      <c r="C133" s="72"/>
      <c r="D133" s="72"/>
      <c r="E133" s="72"/>
      <c r="F133" s="72"/>
      <c r="G133" s="72"/>
      <c r="H133" s="71"/>
      <c r="I133" s="71"/>
      <c r="J133" s="69"/>
    </row>
    <row r="134" spans="1:11">
      <c r="A134" s="505" t="s">
        <v>94</v>
      </c>
      <c r="B134" s="507" t="s">
        <v>95</v>
      </c>
      <c r="C134" s="509" t="s">
        <v>162</v>
      </c>
      <c r="D134" s="511" t="s">
        <v>96</v>
      </c>
      <c r="E134" s="512"/>
      <c r="F134" s="512"/>
      <c r="G134" s="513"/>
      <c r="H134" s="514" t="s">
        <v>97</v>
      </c>
      <c r="I134" s="501" t="s">
        <v>98</v>
      </c>
      <c r="J134" s="71"/>
    </row>
    <row r="135" spans="1:11">
      <c r="A135" s="506"/>
      <c r="B135" s="508"/>
      <c r="C135" s="510"/>
      <c r="D135" s="73" t="s">
        <v>56</v>
      </c>
      <c r="E135" s="73" t="s">
        <v>60</v>
      </c>
      <c r="F135" s="260" t="s">
        <v>165</v>
      </c>
      <c r="G135" s="73" t="s">
        <v>99</v>
      </c>
      <c r="H135" s="515"/>
      <c r="I135" s="502"/>
      <c r="J135" s="503" t="s">
        <v>163</v>
      </c>
    </row>
    <row r="136" spans="1:11">
      <c r="A136" s="75"/>
      <c r="B136" s="76" t="s">
        <v>100</v>
      </c>
      <c r="C136" s="77"/>
      <c r="D136" s="77"/>
      <c r="E136" s="77"/>
      <c r="F136" s="77"/>
      <c r="G136" s="77"/>
      <c r="H136" s="77"/>
      <c r="I136" s="78"/>
      <c r="J136" s="504"/>
    </row>
    <row r="137" spans="1:11">
      <c r="A137" s="234" t="s">
        <v>160</v>
      </c>
      <c r="B137" s="239" t="s">
        <v>119</v>
      </c>
      <c r="C137" s="84">
        <v>-11330</v>
      </c>
      <c r="D137" s="83"/>
      <c r="E137" s="84">
        <v>201400</v>
      </c>
      <c r="F137" s="84">
        <v>184300</v>
      </c>
      <c r="G137" s="84"/>
      <c r="H137" s="115"/>
      <c r="I137" s="84">
        <v>370700</v>
      </c>
      <c r="J137" s="82">
        <f>+SUM(C137:G137)-(H137+I137)</f>
        <v>3670</v>
      </c>
      <c r="K137" s="129"/>
    </row>
    <row r="138" spans="1:11">
      <c r="A138" s="234" t="s">
        <v>160</v>
      </c>
      <c r="B138" s="239" t="s">
        <v>88</v>
      </c>
      <c r="C138" s="84">
        <v>8260</v>
      </c>
      <c r="D138" s="83"/>
      <c r="E138" s="84">
        <v>357900</v>
      </c>
      <c r="F138" s="84"/>
      <c r="G138" s="84"/>
      <c r="H138" s="115">
        <v>50000</v>
      </c>
      <c r="I138" s="84">
        <v>316700</v>
      </c>
      <c r="J138" s="82">
        <f t="shared" ref="J138:J139" si="25">+SUM(C138:G138)-(H138+I138)</f>
        <v>-540</v>
      </c>
      <c r="K138" s="129"/>
    </row>
    <row r="139" spans="1:11">
      <c r="A139" s="234" t="s">
        <v>160</v>
      </c>
      <c r="B139" s="239" t="s">
        <v>67</v>
      </c>
      <c r="C139" s="84">
        <v>3795</v>
      </c>
      <c r="D139" s="83"/>
      <c r="E139" s="84">
        <v>20000</v>
      </c>
      <c r="F139" s="84"/>
      <c r="G139" s="84"/>
      <c r="H139" s="84"/>
      <c r="I139" s="84">
        <v>21400</v>
      </c>
      <c r="J139" s="183">
        <f t="shared" si="25"/>
        <v>2395</v>
      </c>
      <c r="K139" s="129"/>
    </row>
    <row r="140" spans="1:11">
      <c r="A140" s="234" t="s">
        <v>160</v>
      </c>
      <c r="B140" s="239" t="s">
        <v>120</v>
      </c>
      <c r="C140" s="84">
        <v>-83100</v>
      </c>
      <c r="D140" s="187"/>
      <c r="E140" s="84">
        <v>699200</v>
      </c>
      <c r="F140" s="84"/>
      <c r="G140" s="84"/>
      <c r="H140" s="84"/>
      <c r="I140" s="84">
        <v>520000</v>
      </c>
      <c r="J140" s="183">
        <f>+SUM(C140:G140)-(H140+I140)</f>
        <v>96100</v>
      </c>
      <c r="K140" s="129"/>
    </row>
    <row r="141" spans="1:11">
      <c r="A141" s="234" t="s">
        <v>160</v>
      </c>
      <c r="B141" s="239" t="s">
        <v>111</v>
      </c>
      <c r="C141" s="84">
        <v>1784</v>
      </c>
      <c r="D141" s="187"/>
      <c r="E141" s="84">
        <v>568600</v>
      </c>
      <c r="F141" s="84">
        <v>50000</v>
      </c>
      <c r="G141" s="84"/>
      <c r="H141" s="84">
        <v>184300</v>
      </c>
      <c r="I141" s="84">
        <v>422200</v>
      </c>
      <c r="J141" s="183">
        <f t="shared" ref="J141" si="26">+SUM(C141:G141)-(H141+I141)</f>
        <v>13884</v>
      </c>
      <c r="K141" s="129"/>
    </row>
    <row r="142" spans="1:11">
      <c r="A142" s="234" t="s">
        <v>160</v>
      </c>
      <c r="B142" s="240" t="s">
        <v>66</v>
      </c>
      <c r="C142" s="84">
        <v>88800</v>
      </c>
      <c r="D142" s="231"/>
      <c r="E142" s="111">
        <v>694600</v>
      </c>
      <c r="F142" s="111"/>
      <c r="G142" s="111"/>
      <c r="H142" s="111"/>
      <c r="I142" s="111">
        <v>711000</v>
      </c>
      <c r="J142" s="236">
        <f>+SUM(C142:G142)-(H142+I142)</f>
        <v>72400</v>
      </c>
      <c r="K142" s="129"/>
    </row>
    <row r="143" spans="1:11">
      <c r="A143" s="234" t="s">
        <v>160</v>
      </c>
      <c r="B143" s="241" t="s">
        <v>127</v>
      </c>
      <c r="C143" s="232">
        <v>233614</v>
      </c>
      <c r="D143" s="235"/>
      <c r="E143" s="254"/>
      <c r="F143" s="254"/>
      <c r="G143" s="254"/>
      <c r="H143" s="254"/>
      <c r="I143" s="254"/>
      <c r="J143" s="233">
        <f>+SUM(C143:G143)-(H143+I143)</f>
        <v>233614</v>
      </c>
      <c r="K143" s="129"/>
    </row>
    <row r="144" spans="1:11">
      <c r="A144" s="234" t="s">
        <v>160</v>
      </c>
      <c r="B144" s="241" t="s">
        <v>126</v>
      </c>
      <c r="C144" s="232">
        <v>249769</v>
      </c>
      <c r="D144" s="235"/>
      <c r="E144" s="254"/>
      <c r="F144" s="254"/>
      <c r="G144" s="254"/>
      <c r="H144" s="254"/>
      <c r="I144" s="254"/>
      <c r="J144" s="233">
        <f t="shared" ref="J144:J148" si="27">+SUM(C144:G144)-(H144+I144)</f>
        <v>249769</v>
      </c>
      <c r="K144" s="129"/>
    </row>
    <row r="145" spans="1:11">
      <c r="A145" s="234" t="s">
        <v>160</v>
      </c>
      <c r="B145" s="239" t="s">
        <v>74</v>
      </c>
      <c r="C145" s="84">
        <v>7890</v>
      </c>
      <c r="D145" s="83"/>
      <c r="E145" s="84">
        <v>135600</v>
      </c>
      <c r="F145" s="187"/>
      <c r="G145" s="187"/>
      <c r="H145" s="187"/>
      <c r="I145" s="84">
        <v>125000</v>
      </c>
      <c r="J145" s="82">
        <f t="shared" si="27"/>
        <v>18490</v>
      </c>
      <c r="K145" s="129"/>
    </row>
    <row r="146" spans="1:11">
      <c r="A146" s="234" t="s">
        <v>160</v>
      </c>
      <c r="B146" s="239" t="s">
        <v>138</v>
      </c>
      <c r="C146" s="84">
        <v>5000</v>
      </c>
      <c r="D146" s="83"/>
      <c r="E146" s="84">
        <v>30000</v>
      </c>
      <c r="F146" s="187"/>
      <c r="G146" s="187"/>
      <c r="H146" s="187"/>
      <c r="I146" s="84">
        <v>30500</v>
      </c>
      <c r="J146" s="82">
        <f t="shared" si="27"/>
        <v>4500</v>
      </c>
      <c r="K146" s="129"/>
    </row>
    <row r="147" spans="1:11">
      <c r="A147" s="234" t="s">
        <v>160</v>
      </c>
      <c r="B147" s="239" t="s">
        <v>65</v>
      </c>
      <c r="C147" s="84">
        <v>57700</v>
      </c>
      <c r="D147" s="83"/>
      <c r="E147" s="84">
        <v>639000</v>
      </c>
      <c r="F147" s="187"/>
      <c r="G147" s="187"/>
      <c r="H147" s="187"/>
      <c r="I147" s="84">
        <v>652500</v>
      </c>
      <c r="J147" s="82">
        <f t="shared" si="27"/>
        <v>44200</v>
      </c>
      <c r="K147" s="129"/>
    </row>
    <row r="148" spans="1:11">
      <c r="A148" s="234" t="s">
        <v>160</v>
      </c>
      <c r="B148" s="239" t="s">
        <v>142</v>
      </c>
      <c r="C148" s="84">
        <v>-32081</v>
      </c>
      <c r="D148" s="83"/>
      <c r="E148" s="187"/>
      <c r="F148" s="187"/>
      <c r="G148" s="187"/>
      <c r="H148" s="187"/>
      <c r="I148" s="84">
        <v>819628</v>
      </c>
      <c r="J148" s="82">
        <f t="shared" si="27"/>
        <v>-851709</v>
      </c>
      <c r="K148" s="129"/>
    </row>
    <row r="149" spans="1:11">
      <c r="A149" s="234" t="s">
        <v>160</v>
      </c>
      <c r="B149" s="239" t="s">
        <v>149</v>
      </c>
      <c r="C149" s="84">
        <v>62000</v>
      </c>
      <c r="D149" s="83"/>
      <c r="E149" s="84">
        <v>622600</v>
      </c>
      <c r="F149" s="187"/>
      <c r="G149" s="187"/>
      <c r="H149" s="187"/>
      <c r="I149" s="84">
        <v>594300</v>
      </c>
      <c r="J149" s="82">
        <f>+SUM(C149:G149)-(H149+I149)</f>
        <v>90300</v>
      </c>
      <c r="K149" s="129"/>
    </row>
    <row r="150" spans="1:11">
      <c r="A150" s="234" t="s">
        <v>160</v>
      </c>
      <c r="B150" s="240" t="s">
        <v>68</v>
      </c>
      <c r="C150" s="84">
        <v>4300</v>
      </c>
      <c r="D150" s="231"/>
      <c r="E150" s="253"/>
      <c r="F150" s="253"/>
      <c r="G150" s="255"/>
      <c r="H150" s="253"/>
      <c r="I150" s="111">
        <v>4000</v>
      </c>
      <c r="J150" s="82">
        <f t="shared" ref="J150" si="28">+SUM(C150:G150)-(H150+I150)</f>
        <v>300</v>
      </c>
      <c r="K150" s="129"/>
    </row>
    <row r="151" spans="1:11">
      <c r="A151" s="86" t="s">
        <v>101</v>
      </c>
      <c r="B151" s="87"/>
      <c r="C151" s="87"/>
      <c r="D151" s="87"/>
      <c r="E151" s="87"/>
      <c r="F151" s="87"/>
      <c r="G151" s="87"/>
      <c r="H151" s="87"/>
      <c r="I151" s="87"/>
      <c r="J151" s="88"/>
      <c r="K151" s="129"/>
    </row>
    <row r="152" spans="1:11">
      <c r="A152" s="234" t="s">
        <v>160</v>
      </c>
      <c r="B152" s="89" t="s">
        <v>102</v>
      </c>
      <c r="C152" s="90">
        <v>62150</v>
      </c>
      <c r="D152" s="109">
        <v>5500000</v>
      </c>
      <c r="E152" s="186"/>
      <c r="F152" s="186"/>
      <c r="G152" s="256"/>
      <c r="H152" s="243">
        <v>3968900</v>
      </c>
      <c r="I152" s="238">
        <v>1276534</v>
      </c>
      <c r="J152" s="97">
        <f>+SUM(C152:G152)-(H152+I152)</f>
        <v>316716</v>
      </c>
      <c r="K152" s="129"/>
    </row>
    <row r="153" spans="1:11">
      <c r="A153" s="95" t="s">
        <v>103</v>
      </c>
      <c r="B153" s="76"/>
      <c r="C153" s="87"/>
      <c r="D153" s="76"/>
      <c r="E153" s="76"/>
      <c r="F153" s="76"/>
      <c r="G153" s="76"/>
      <c r="H153" s="76"/>
      <c r="I153" s="76"/>
      <c r="J153" s="88"/>
    </row>
    <row r="154" spans="1:11">
      <c r="A154" s="234" t="s">
        <v>160</v>
      </c>
      <c r="B154" s="89" t="s">
        <v>104</v>
      </c>
      <c r="C154" s="237">
        <v>11284555</v>
      </c>
      <c r="D154" s="244"/>
      <c r="E154" s="109"/>
      <c r="F154" s="109"/>
      <c r="G154" s="109"/>
      <c r="H154" s="111">
        <v>5500000</v>
      </c>
      <c r="I154" s="113">
        <v>273881</v>
      </c>
      <c r="J154" s="97">
        <f>+SUM(C154:G154)-(H154+I154)</f>
        <v>5510674</v>
      </c>
      <c r="K154" s="129"/>
    </row>
    <row r="155" spans="1:11">
      <c r="A155" s="234" t="s">
        <v>160</v>
      </c>
      <c r="B155" s="89" t="s">
        <v>105</v>
      </c>
      <c r="C155" s="237">
        <v>2158645</v>
      </c>
      <c r="D155" s="109">
        <v>15435980</v>
      </c>
      <c r="E155" s="108"/>
      <c r="F155" s="108"/>
      <c r="G155" s="108"/>
      <c r="H155" s="84"/>
      <c r="I155" s="110">
        <v>6400961</v>
      </c>
      <c r="J155" s="97">
        <f>SUM(C155:G155)-(H155+I155)</f>
        <v>11193664</v>
      </c>
      <c r="K155" s="129"/>
    </row>
    <row r="156" spans="1:11" ht="15.75">
      <c r="C156" s="262">
        <f>SUM(C137:C155)</f>
        <v>14101751</v>
      </c>
      <c r="I156" s="258">
        <f>SUM(I137:I155)</f>
        <v>12539304</v>
      </c>
      <c r="J156" s="188">
        <f>+SUM(J137:J155)</f>
        <v>16998427</v>
      </c>
    </row>
    <row r="157" spans="1:11" ht="16.5">
      <c r="A157" s="61"/>
      <c r="B157" s="62"/>
      <c r="C157" s="63"/>
      <c r="D157" s="63"/>
      <c r="E157" s="63"/>
      <c r="F157" s="63"/>
      <c r="G157" s="63"/>
      <c r="H157" s="63"/>
      <c r="I157" s="63"/>
      <c r="J157" s="245"/>
    </row>
    <row r="158" spans="1:11" ht="16.5">
      <c r="A158" s="65"/>
      <c r="B158" s="66"/>
      <c r="C158" s="63"/>
      <c r="D158" s="63"/>
      <c r="E158" s="64"/>
      <c r="F158" s="63"/>
      <c r="G158" s="63"/>
      <c r="H158" s="63"/>
      <c r="I158" s="63"/>
    </row>
    <row r="159" spans="1:11">
      <c r="A159" s="67" t="s">
        <v>93</v>
      </c>
      <c r="B159" s="67"/>
      <c r="C159" s="67"/>
      <c r="D159" s="68"/>
      <c r="E159" s="68"/>
      <c r="F159" s="68"/>
      <c r="G159" s="68"/>
      <c r="H159" s="68"/>
      <c r="I159" s="68"/>
    </row>
    <row r="160" spans="1:11">
      <c r="A160" s="69" t="s">
        <v>155</v>
      </c>
      <c r="B160" s="69"/>
      <c r="C160" s="69"/>
      <c r="D160" s="69"/>
      <c r="E160" s="69"/>
      <c r="F160" s="69"/>
      <c r="G160" s="69"/>
      <c r="H160" s="69"/>
      <c r="I160" s="69"/>
      <c r="J160" s="68"/>
    </row>
    <row r="161" spans="1:11">
      <c r="A161" s="70"/>
      <c r="B161" s="71"/>
      <c r="C161" s="72"/>
      <c r="D161" s="72"/>
      <c r="E161" s="72"/>
      <c r="F161" s="72"/>
      <c r="G161" s="72"/>
      <c r="H161" s="71"/>
      <c r="I161" s="71"/>
      <c r="J161" s="69"/>
    </row>
    <row r="162" spans="1:11">
      <c r="A162" s="505" t="s">
        <v>94</v>
      </c>
      <c r="B162" s="507" t="s">
        <v>95</v>
      </c>
      <c r="C162" s="509" t="s">
        <v>153</v>
      </c>
      <c r="D162" s="511" t="s">
        <v>96</v>
      </c>
      <c r="E162" s="512"/>
      <c r="F162" s="512"/>
      <c r="G162" s="513"/>
      <c r="H162" s="514" t="s">
        <v>97</v>
      </c>
      <c r="I162" s="501" t="s">
        <v>98</v>
      </c>
      <c r="J162" s="71"/>
    </row>
    <row r="163" spans="1:11">
      <c r="A163" s="506"/>
      <c r="B163" s="508"/>
      <c r="C163" s="510"/>
      <c r="D163" s="73" t="s">
        <v>56</v>
      </c>
      <c r="E163" s="73" t="s">
        <v>60</v>
      </c>
      <c r="F163" s="249" t="s">
        <v>158</v>
      </c>
      <c r="G163" s="73" t="s">
        <v>99</v>
      </c>
      <c r="H163" s="515"/>
      <c r="I163" s="502"/>
      <c r="J163" s="503" t="s">
        <v>154</v>
      </c>
    </row>
    <row r="164" spans="1:11">
      <c r="A164" s="75"/>
      <c r="B164" s="76" t="s">
        <v>100</v>
      </c>
      <c r="C164" s="77"/>
      <c r="D164" s="77"/>
      <c r="E164" s="77"/>
      <c r="F164" s="77"/>
      <c r="G164" s="77"/>
      <c r="H164" s="77"/>
      <c r="I164" s="78"/>
      <c r="J164" s="504"/>
    </row>
    <row r="165" spans="1:11">
      <c r="A165" s="234" t="s">
        <v>152</v>
      </c>
      <c r="B165" s="239" t="s">
        <v>119</v>
      </c>
      <c r="C165" s="84">
        <v>22200</v>
      </c>
      <c r="D165" s="83"/>
      <c r="E165" s="84">
        <v>439970</v>
      </c>
      <c r="F165" s="187"/>
      <c r="G165" s="187"/>
      <c r="H165" s="252"/>
      <c r="I165" s="84">
        <v>473500</v>
      </c>
      <c r="J165" s="82">
        <f>+SUM(C165:G165)-(H165+I165)</f>
        <v>-11330</v>
      </c>
      <c r="K165" s="129"/>
    </row>
    <row r="166" spans="1:11">
      <c r="A166" s="234" t="s">
        <v>152</v>
      </c>
      <c r="B166" s="239" t="s">
        <v>88</v>
      </c>
      <c r="C166" s="84">
        <v>3060</v>
      </c>
      <c r="D166" s="83"/>
      <c r="E166" s="84">
        <v>157200</v>
      </c>
      <c r="F166" s="84"/>
      <c r="G166" s="84"/>
      <c r="H166" s="115"/>
      <c r="I166" s="84">
        <v>152000</v>
      </c>
      <c r="J166" s="82">
        <f t="shared" ref="J166:J167" si="29">+SUM(C166:G166)-(H166+I166)</f>
        <v>8260</v>
      </c>
      <c r="K166" s="129"/>
    </row>
    <row r="167" spans="1:11">
      <c r="A167" s="234" t="s">
        <v>152</v>
      </c>
      <c r="B167" s="239" t="s">
        <v>67</v>
      </c>
      <c r="C167" s="84">
        <v>3795</v>
      </c>
      <c r="D167" s="83"/>
      <c r="E167" s="84">
        <v>45000</v>
      </c>
      <c r="F167" s="84"/>
      <c r="G167" s="84"/>
      <c r="H167" s="84"/>
      <c r="I167" s="84">
        <v>45000</v>
      </c>
      <c r="J167" s="183">
        <f t="shared" si="29"/>
        <v>3795</v>
      </c>
      <c r="K167" s="129"/>
    </row>
    <row r="168" spans="1:11">
      <c r="A168" s="234" t="s">
        <v>152</v>
      </c>
      <c r="B168" s="239" t="s">
        <v>120</v>
      </c>
      <c r="C168" s="84">
        <v>2300</v>
      </c>
      <c r="D168" s="187"/>
      <c r="E168" s="84">
        <v>266600</v>
      </c>
      <c r="F168" s="84">
        <v>159900</v>
      </c>
      <c r="G168" s="84"/>
      <c r="H168" s="84">
        <v>25000</v>
      </c>
      <c r="I168" s="84">
        <v>486900</v>
      </c>
      <c r="J168" s="183">
        <f>+SUM(C168:G168)-(H168+I168)</f>
        <v>-83100</v>
      </c>
      <c r="K168" s="129"/>
    </row>
    <row r="169" spans="1:11">
      <c r="A169" s="234" t="s">
        <v>152</v>
      </c>
      <c r="B169" s="239" t="s">
        <v>111</v>
      </c>
      <c r="C169" s="84">
        <v>-14216</v>
      </c>
      <c r="D169" s="187"/>
      <c r="E169" s="84">
        <v>622600</v>
      </c>
      <c r="F169" s="84">
        <v>25000</v>
      </c>
      <c r="G169" s="84"/>
      <c r="H169" s="84">
        <v>260700</v>
      </c>
      <c r="I169" s="84">
        <v>370900</v>
      </c>
      <c r="J169" s="183">
        <f>+SUM(C169:G169)-(H169+I169)</f>
        <v>1784</v>
      </c>
      <c r="K169" s="129"/>
    </row>
    <row r="170" spans="1:11">
      <c r="A170" s="234" t="s">
        <v>152</v>
      </c>
      <c r="B170" s="240" t="s">
        <v>66</v>
      </c>
      <c r="C170" s="111">
        <v>143300</v>
      </c>
      <c r="D170" s="231"/>
      <c r="E170" s="111">
        <v>466500</v>
      </c>
      <c r="F170" s="253"/>
      <c r="G170" s="253"/>
      <c r="H170" s="253"/>
      <c r="I170" s="111">
        <v>521000</v>
      </c>
      <c r="J170" s="236">
        <f>+SUM(C170:G170)-(H170+I170)</f>
        <v>88800</v>
      </c>
      <c r="K170" s="129"/>
    </row>
    <row r="171" spans="1:11">
      <c r="A171" s="234" t="s">
        <v>152</v>
      </c>
      <c r="B171" s="241" t="s">
        <v>127</v>
      </c>
      <c r="C171" s="232">
        <v>233614</v>
      </c>
      <c r="D171" s="235"/>
      <c r="E171" s="254"/>
      <c r="F171" s="254"/>
      <c r="G171" s="254"/>
      <c r="H171" s="254"/>
      <c r="I171" s="254"/>
      <c r="J171" s="233">
        <f>+SUM(C171:G171)-(H171+I171)</f>
        <v>233614</v>
      </c>
      <c r="K171" s="129"/>
    </row>
    <row r="172" spans="1:11">
      <c r="A172" s="234" t="s">
        <v>152</v>
      </c>
      <c r="B172" s="241" t="s">
        <v>126</v>
      </c>
      <c r="C172" s="232">
        <v>249768</v>
      </c>
      <c r="D172" s="235"/>
      <c r="E172" s="254"/>
      <c r="F172" s="254"/>
      <c r="G172" s="254"/>
      <c r="H172" s="254"/>
      <c r="I172" s="254"/>
      <c r="J172" s="233">
        <f t="shared" ref="J172:J178" si="30">+SUM(C172:G172)-(H172+I172)</f>
        <v>249768</v>
      </c>
      <c r="K172" s="129"/>
    </row>
    <row r="173" spans="1:11">
      <c r="A173" s="234" t="s">
        <v>152</v>
      </c>
      <c r="B173" s="239" t="s">
        <v>74</v>
      </c>
      <c r="C173" s="84">
        <v>55090</v>
      </c>
      <c r="D173" s="83"/>
      <c r="E173" s="84">
        <v>143000</v>
      </c>
      <c r="F173" s="84">
        <v>70800</v>
      </c>
      <c r="G173" s="187"/>
      <c r="H173" s="187"/>
      <c r="I173" s="84">
        <v>261000</v>
      </c>
      <c r="J173" s="82">
        <f t="shared" si="30"/>
        <v>7890</v>
      </c>
      <c r="K173" s="129"/>
    </row>
    <row r="174" spans="1:11">
      <c r="A174" s="234" t="s">
        <v>152</v>
      </c>
      <c r="B174" s="239" t="s">
        <v>138</v>
      </c>
      <c r="C174" s="84">
        <v>0</v>
      </c>
      <c r="D174" s="83"/>
      <c r="E174" s="84">
        <v>30000</v>
      </c>
      <c r="F174" s="187"/>
      <c r="G174" s="187"/>
      <c r="H174" s="187"/>
      <c r="I174" s="84">
        <v>25000</v>
      </c>
      <c r="J174" s="82">
        <f t="shared" si="30"/>
        <v>5000</v>
      </c>
      <c r="K174" s="129"/>
    </row>
    <row r="175" spans="1:11">
      <c r="A175" s="234" t="s">
        <v>152</v>
      </c>
      <c r="B175" s="239" t="s">
        <v>65</v>
      </c>
      <c r="C175" s="84">
        <v>110700</v>
      </c>
      <c r="D175" s="83"/>
      <c r="E175" s="84">
        <v>375000</v>
      </c>
      <c r="F175" s="84">
        <v>30000</v>
      </c>
      <c r="G175" s="187"/>
      <c r="H175" s="187"/>
      <c r="I175" s="84">
        <v>458000</v>
      </c>
      <c r="J175" s="82">
        <f t="shared" si="30"/>
        <v>57700</v>
      </c>
      <c r="K175" s="129"/>
    </row>
    <row r="176" spans="1:11">
      <c r="A176" s="234" t="s">
        <v>152</v>
      </c>
      <c r="B176" s="239" t="s">
        <v>142</v>
      </c>
      <c r="C176" s="84">
        <v>-32081</v>
      </c>
      <c r="D176" s="83"/>
      <c r="E176" s="187">
        <v>0</v>
      </c>
      <c r="F176" s="187"/>
      <c r="G176" s="187"/>
      <c r="H176" s="187"/>
      <c r="I176" s="187">
        <v>0</v>
      </c>
      <c r="J176" s="82">
        <f t="shared" si="30"/>
        <v>-32081</v>
      </c>
      <c r="K176" s="129"/>
    </row>
    <row r="177" spans="1:11">
      <c r="A177" s="234" t="s">
        <v>152</v>
      </c>
      <c r="B177" s="239" t="s">
        <v>149</v>
      </c>
      <c r="C177" s="84">
        <v>0</v>
      </c>
      <c r="D177" s="83"/>
      <c r="E177" s="84">
        <v>82000</v>
      </c>
      <c r="F177" s="187"/>
      <c r="G177" s="187"/>
      <c r="H177" s="187"/>
      <c r="I177" s="84">
        <v>20000</v>
      </c>
      <c r="J177" s="82">
        <f>+SUM(C177:G177)-(H177+I177)</f>
        <v>62000</v>
      </c>
      <c r="K177" s="129"/>
    </row>
    <row r="178" spans="1:11">
      <c r="A178" s="234" t="s">
        <v>152</v>
      </c>
      <c r="B178" s="240" t="s">
        <v>68</v>
      </c>
      <c r="C178" s="111">
        <v>7300</v>
      </c>
      <c r="D178" s="231"/>
      <c r="E178" s="253"/>
      <c r="F178" s="253"/>
      <c r="G178" s="255"/>
      <c r="H178" s="253"/>
      <c r="I178" s="111">
        <v>3000</v>
      </c>
      <c r="J178" s="82">
        <f t="shared" si="30"/>
        <v>4300</v>
      </c>
      <c r="K178" s="129"/>
    </row>
    <row r="179" spans="1:11">
      <c r="A179" s="86" t="s">
        <v>101</v>
      </c>
      <c r="B179" s="87"/>
      <c r="C179" s="87"/>
      <c r="D179" s="87"/>
      <c r="E179" s="87"/>
      <c r="F179" s="87"/>
      <c r="G179" s="87"/>
      <c r="H179" s="87"/>
      <c r="I179" s="87"/>
      <c r="J179" s="88"/>
      <c r="K179" s="129"/>
    </row>
    <row r="180" spans="1:11">
      <c r="A180" s="234" t="s">
        <v>152</v>
      </c>
      <c r="B180" s="89" t="s">
        <v>102</v>
      </c>
      <c r="C180" s="90">
        <v>817769</v>
      </c>
      <c r="D180" s="109">
        <v>3000000</v>
      </c>
      <c r="E180" s="186"/>
      <c r="F180" s="186"/>
      <c r="G180" s="256"/>
      <c r="H180" s="243">
        <v>2627870</v>
      </c>
      <c r="I180" s="238">
        <v>1127749</v>
      </c>
      <c r="J180" s="97">
        <f>+SUM(C180:G180)-(H180+I180)</f>
        <v>62150</v>
      </c>
      <c r="K180" s="129"/>
    </row>
    <row r="181" spans="1:11">
      <c r="A181" s="95" t="s">
        <v>103</v>
      </c>
      <c r="B181" s="76"/>
      <c r="C181" s="87"/>
      <c r="D181" s="76"/>
      <c r="E181" s="76"/>
      <c r="F181" s="76"/>
      <c r="G181" s="76"/>
      <c r="H181" s="76"/>
      <c r="I181" s="76"/>
      <c r="J181" s="88"/>
    </row>
    <row r="182" spans="1:11">
      <c r="A182" s="234" t="s">
        <v>152</v>
      </c>
      <c r="B182" s="89" t="s">
        <v>104</v>
      </c>
      <c r="C182" s="237">
        <v>14712920</v>
      </c>
      <c r="D182" s="244"/>
      <c r="E182" s="109"/>
      <c r="F182" s="109"/>
      <c r="G182" s="109"/>
      <c r="H182" s="111">
        <v>3000000</v>
      </c>
      <c r="I182" s="113">
        <v>428365</v>
      </c>
      <c r="J182" s="97">
        <f>+SUM(C182:G182)-(H182+I182)</f>
        <v>11284555</v>
      </c>
      <c r="K182" s="129"/>
    </row>
    <row r="183" spans="1:11">
      <c r="A183" s="234" t="s">
        <v>152</v>
      </c>
      <c r="B183" s="89" t="s">
        <v>105</v>
      </c>
      <c r="C183" s="237">
        <v>8361083</v>
      </c>
      <c r="D183" s="109"/>
      <c r="E183" s="108"/>
      <c r="F183" s="108"/>
      <c r="G183" s="108"/>
      <c r="H183" s="84"/>
      <c r="I183" s="110">
        <v>6202438</v>
      </c>
      <c r="J183" s="97">
        <f>SUM(C183:G183)-(H183+I183)</f>
        <v>2158645</v>
      </c>
      <c r="K183" s="129"/>
    </row>
    <row r="184" spans="1:11" ht="15.75">
      <c r="C184" s="60"/>
      <c r="I184" s="258">
        <f>SUM(I165:I183)</f>
        <v>10574852</v>
      </c>
      <c r="J184" s="188">
        <f>+SUM(J165:J183)</f>
        <v>14101750</v>
      </c>
      <c r="K184" s="60">
        <f>J184-C156</f>
        <v>-1</v>
      </c>
    </row>
    <row r="185" spans="1:11" ht="16.5">
      <c r="A185" s="61"/>
      <c r="B185" s="62"/>
      <c r="C185" s="63"/>
      <c r="D185" s="63"/>
      <c r="E185" s="63"/>
      <c r="F185" s="63"/>
      <c r="G185" s="63"/>
      <c r="H185" s="63"/>
      <c r="I185" s="63"/>
      <c r="J185" s="245"/>
    </row>
    <row r="186" spans="1:11">
      <c r="A186" s="67" t="s">
        <v>93</v>
      </c>
      <c r="B186" s="67"/>
      <c r="C186" s="67"/>
      <c r="D186" s="68"/>
      <c r="E186" s="68"/>
      <c r="F186" s="68"/>
      <c r="G186" s="68"/>
      <c r="H186" s="68"/>
      <c r="I186" s="68"/>
    </row>
    <row r="187" spans="1:11">
      <c r="A187" s="69" t="s">
        <v>143</v>
      </c>
      <c r="B187" s="69"/>
      <c r="C187" s="69"/>
      <c r="D187" s="69"/>
      <c r="E187" s="69"/>
      <c r="F187" s="69"/>
      <c r="G187" s="69"/>
      <c r="H187" s="69"/>
      <c r="I187" s="69"/>
      <c r="J187" s="68"/>
    </row>
    <row r="188" spans="1:11">
      <c r="A188" s="70"/>
      <c r="B188" s="71"/>
      <c r="C188" s="72"/>
      <c r="D188" s="72"/>
      <c r="E188" s="72"/>
      <c r="F188" s="72"/>
      <c r="G188" s="72"/>
      <c r="H188" s="71"/>
      <c r="I188" s="71"/>
      <c r="J188" s="69"/>
    </row>
    <row r="189" spans="1:11" ht="15" customHeight="1">
      <c r="A189" s="505" t="s">
        <v>94</v>
      </c>
      <c r="B189" s="507" t="s">
        <v>95</v>
      </c>
      <c r="C189" s="509" t="s">
        <v>144</v>
      </c>
      <c r="D189" s="511" t="s">
        <v>96</v>
      </c>
      <c r="E189" s="512"/>
      <c r="F189" s="512"/>
      <c r="G189" s="513"/>
      <c r="H189" s="514" t="s">
        <v>97</v>
      </c>
      <c r="I189" s="501" t="s">
        <v>98</v>
      </c>
      <c r="J189" s="71"/>
    </row>
    <row r="190" spans="1:11" ht="15" customHeight="1">
      <c r="A190" s="506"/>
      <c r="B190" s="508"/>
      <c r="C190" s="510"/>
      <c r="D190" s="73" t="s">
        <v>56</v>
      </c>
      <c r="E190" s="73" t="s">
        <v>60</v>
      </c>
      <c r="F190" s="224" t="s">
        <v>147</v>
      </c>
      <c r="G190" s="73" t="s">
        <v>99</v>
      </c>
      <c r="H190" s="515"/>
      <c r="I190" s="502"/>
      <c r="J190" s="503" t="s">
        <v>145</v>
      </c>
    </row>
    <row r="191" spans="1:11">
      <c r="A191" s="75"/>
      <c r="B191" s="76" t="s">
        <v>100</v>
      </c>
      <c r="C191" s="77"/>
      <c r="D191" s="77"/>
      <c r="E191" s="77"/>
      <c r="F191" s="77"/>
      <c r="G191" s="77"/>
      <c r="H191" s="77"/>
      <c r="I191" s="78"/>
      <c r="J191" s="504"/>
    </row>
    <row r="192" spans="1:11">
      <c r="A192" s="234" t="s">
        <v>146</v>
      </c>
      <c r="B192" s="239" t="s">
        <v>119</v>
      </c>
      <c r="C192" s="84">
        <v>-10750</v>
      </c>
      <c r="D192" s="83"/>
      <c r="E192" s="83">
        <v>170625</v>
      </c>
      <c r="F192" s="83">
        <v>301700</v>
      </c>
      <c r="G192" s="83"/>
      <c r="H192" s="115">
        <v>27000</v>
      </c>
      <c r="I192" s="84">
        <v>412375</v>
      </c>
      <c r="J192" s="82">
        <f>+SUM(C192:G192)-(H192+I192)</f>
        <v>22200</v>
      </c>
      <c r="K192" s="129"/>
    </row>
    <row r="193" spans="1:11">
      <c r="A193" s="234" t="s">
        <v>146</v>
      </c>
      <c r="B193" s="239" t="s">
        <v>88</v>
      </c>
      <c r="C193" s="84">
        <v>9060</v>
      </c>
      <c r="D193" s="83"/>
      <c r="E193" s="83">
        <v>0</v>
      </c>
      <c r="F193" s="83"/>
      <c r="G193" s="83"/>
      <c r="H193" s="115"/>
      <c r="I193" s="84">
        <v>6000</v>
      </c>
      <c r="J193" s="82">
        <f t="shared" ref="J193:J194" si="31">+SUM(C193:G193)-(H193+I193)</f>
        <v>3060</v>
      </c>
      <c r="K193" s="129"/>
    </row>
    <row r="194" spans="1:11">
      <c r="A194" s="234" t="s">
        <v>146</v>
      </c>
      <c r="B194" s="239" t="s">
        <v>67</v>
      </c>
      <c r="C194" s="84">
        <v>1195</v>
      </c>
      <c r="D194" s="83"/>
      <c r="E194" s="83">
        <v>75000</v>
      </c>
      <c r="F194" s="84"/>
      <c r="G194" s="84"/>
      <c r="H194" s="84"/>
      <c r="I194" s="84">
        <v>72400</v>
      </c>
      <c r="J194" s="183">
        <f t="shared" si="31"/>
        <v>3795</v>
      </c>
      <c r="K194" s="129"/>
    </row>
    <row r="195" spans="1:11">
      <c r="A195" s="234" t="s">
        <v>146</v>
      </c>
      <c r="B195" s="239" t="s">
        <v>120</v>
      </c>
      <c r="C195" s="84">
        <v>-8600</v>
      </c>
      <c r="D195" s="187"/>
      <c r="E195" s="83">
        <v>596900</v>
      </c>
      <c r="F195" s="84"/>
      <c r="G195" s="84"/>
      <c r="H195" s="84"/>
      <c r="I195" s="84">
        <v>586000</v>
      </c>
      <c r="J195" s="183">
        <f>+SUM(C195:G195)-(H195+I195)</f>
        <v>2300</v>
      </c>
      <c r="K195" s="129"/>
    </row>
    <row r="196" spans="1:11">
      <c r="A196" s="234" t="s">
        <v>146</v>
      </c>
      <c r="B196" s="239" t="s">
        <v>111</v>
      </c>
      <c r="C196" s="84">
        <v>8884</v>
      </c>
      <c r="D196" s="187"/>
      <c r="E196" s="83">
        <v>618600</v>
      </c>
      <c r="F196" s="84">
        <v>27000</v>
      </c>
      <c r="G196" s="84"/>
      <c r="H196" s="84">
        <v>301700</v>
      </c>
      <c r="I196" s="84">
        <v>367000</v>
      </c>
      <c r="J196" s="183">
        <f t="shared" ref="J196" si="32">+SUM(C196:G196)-(H196+I196)</f>
        <v>-14216</v>
      </c>
      <c r="K196" s="129"/>
    </row>
    <row r="197" spans="1:11">
      <c r="A197" s="231" t="s">
        <v>146</v>
      </c>
      <c r="B197" s="240" t="s">
        <v>66</v>
      </c>
      <c r="C197" s="111">
        <v>191600</v>
      </c>
      <c r="D197" s="231"/>
      <c r="E197" s="231">
        <v>777000</v>
      </c>
      <c r="F197" s="111"/>
      <c r="G197" s="111"/>
      <c r="H197" s="111"/>
      <c r="I197" s="111">
        <v>825300</v>
      </c>
      <c r="J197" s="236">
        <f>+SUM(C197:G197)-(H197+I197)</f>
        <v>143300</v>
      </c>
      <c r="K197" s="129"/>
    </row>
    <row r="198" spans="1:11">
      <c r="A198" s="235" t="s">
        <v>146</v>
      </c>
      <c r="B198" s="241" t="s">
        <v>127</v>
      </c>
      <c r="C198" s="232">
        <v>233614</v>
      </c>
      <c r="D198" s="235"/>
      <c r="E198" s="235"/>
      <c r="F198" s="235"/>
      <c r="G198" s="235"/>
      <c r="H198" s="232"/>
      <c r="I198" s="232"/>
      <c r="J198" s="233">
        <f>+SUM(C198:G198)-(H198+I198)</f>
        <v>233614</v>
      </c>
      <c r="K198" s="129"/>
    </row>
    <row r="199" spans="1:11">
      <c r="A199" s="235" t="s">
        <v>146</v>
      </c>
      <c r="B199" s="241" t="s">
        <v>126</v>
      </c>
      <c r="C199" s="232">
        <v>249769</v>
      </c>
      <c r="D199" s="235"/>
      <c r="E199" s="235"/>
      <c r="F199" s="235"/>
      <c r="G199" s="235"/>
      <c r="H199" s="232"/>
      <c r="I199" s="232"/>
      <c r="J199" s="233">
        <f t="shared" ref="J199:J204" si="33">+SUM(C199:G199)-(H199+I199)</f>
        <v>249769</v>
      </c>
      <c r="K199" s="129"/>
    </row>
    <row r="200" spans="1:11">
      <c r="A200" s="234" t="s">
        <v>146</v>
      </c>
      <c r="B200" s="239" t="s">
        <v>74</v>
      </c>
      <c r="C200" s="84">
        <v>-3510</v>
      </c>
      <c r="D200" s="83"/>
      <c r="E200" s="83">
        <v>240100</v>
      </c>
      <c r="F200" s="83"/>
      <c r="G200" s="83"/>
      <c r="H200" s="84"/>
      <c r="I200" s="84">
        <v>181500</v>
      </c>
      <c r="J200" s="82">
        <f t="shared" si="33"/>
        <v>55090</v>
      </c>
      <c r="K200" s="129"/>
    </row>
    <row r="201" spans="1:11">
      <c r="A201" s="234" t="s">
        <v>146</v>
      </c>
      <c r="B201" s="239" t="s">
        <v>138</v>
      </c>
      <c r="C201" s="84">
        <v>0</v>
      </c>
      <c r="D201" s="83"/>
      <c r="E201" s="83">
        <v>5000</v>
      </c>
      <c r="F201" s="83"/>
      <c r="G201" s="83"/>
      <c r="H201" s="84"/>
      <c r="I201" s="84">
        <v>5000</v>
      </c>
      <c r="J201" s="82">
        <f t="shared" si="33"/>
        <v>0</v>
      </c>
      <c r="K201" s="129"/>
    </row>
    <row r="202" spans="1:11">
      <c r="A202" s="234" t="s">
        <v>146</v>
      </c>
      <c r="B202" s="239" t="s">
        <v>65</v>
      </c>
      <c r="C202" s="84">
        <v>111200</v>
      </c>
      <c r="D202" s="83"/>
      <c r="E202" s="83">
        <v>704000</v>
      </c>
      <c r="F202" s="83"/>
      <c r="G202" s="83"/>
      <c r="H202" s="84"/>
      <c r="I202" s="84">
        <v>704500</v>
      </c>
      <c r="J202" s="82">
        <f t="shared" si="33"/>
        <v>110700</v>
      </c>
      <c r="K202" s="129"/>
    </row>
    <row r="203" spans="1:11">
      <c r="A203" s="234" t="s">
        <v>146</v>
      </c>
      <c r="B203" s="239" t="s">
        <v>142</v>
      </c>
      <c r="C203" s="84">
        <v>-32081</v>
      </c>
      <c r="D203" s="83"/>
      <c r="E203" s="83">
        <v>0</v>
      </c>
      <c r="F203" s="83"/>
      <c r="G203" s="83"/>
      <c r="H203" s="84"/>
      <c r="I203" s="84">
        <v>0</v>
      </c>
      <c r="J203" s="82">
        <f t="shared" si="33"/>
        <v>-32081</v>
      </c>
      <c r="K203" s="129"/>
    </row>
    <row r="204" spans="1:11">
      <c r="A204" s="234" t="s">
        <v>146</v>
      </c>
      <c r="B204" s="240" t="s">
        <v>68</v>
      </c>
      <c r="C204" s="111">
        <v>5300</v>
      </c>
      <c r="D204" s="231"/>
      <c r="E204" s="231">
        <v>10000</v>
      </c>
      <c r="F204" s="231"/>
      <c r="G204" s="242"/>
      <c r="H204" s="111"/>
      <c r="I204" s="111">
        <v>8000</v>
      </c>
      <c r="J204" s="82">
        <f t="shared" si="33"/>
        <v>7300</v>
      </c>
      <c r="K204" s="129"/>
    </row>
    <row r="205" spans="1:11">
      <c r="A205" s="86" t="s">
        <v>101</v>
      </c>
      <c r="B205" s="87"/>
      <c r="C205" s="87"/>
      <c r="D205" s="87"/>
      <c r="E205" s="87"/>
      <c r="F205" s="87"/>
      <c r="G205" s="87"/>
      <c r="H205" s="87"/>
      <c r="I205" s="87"/>
      <c r="J205" s="88"/>
      <c r="K205" s="129"/>
    </row>
    <row r="206" spans="1:11">
      <c r="A206" s="79" t="s">
        <v>146</v>
      </c>
      <c r="B206" s="89" t="s">
        <v>102</v>
      </c>
      <c r="C206" s="90">
        <v>733034</v>
      </c>
      <c r="D206" s="91">
        <v>4293000</v>
      </c>
      <c r="E206" s="91"/>
      <c r="F206" s="91"/>
      <c r="G206" s="237"/>
      <c r="H206" s="243">
        <v>3197225</v>
      </c>
      <c r="I206" s="238">
        <v>1011040</v>
      </c>
      <c r="J206" s="97">
        <f>+SUM(C206:G206)-(H206+I206)</f>
        <v>817769</v>
      </c>
      <c r="K206" s="129"/>
    </row>
    <row r="207" spans="1:11">
      <c r="A207" s="95" t="s">
        <v>103</v>
      </c>
      <c r="B207" s="76"/>
      <c r="C207" s="87"/>
      <c r="D207" s="76"/>
      <c r="E207" s="76"/>
      <c r="F207" s="76"/>
      <c r="G207" s="76"/>
      <c r="H207" s="76"/>
      <c r="I207" s="76"/>
      <c r="J207" s="88"/>
    </row>
    <row r="208" spans="1:11">
      <c r="A208" s="79" t="s">
        <v>146</v>
      </c>
      <c r="B208" s="89" t="s">
        <v>104</v>
      </c>
      <c r="C208" s="237">
        <v>19184971</v>
      </c>
      <c r="D208" s="244"/>
      <c r="E208" s="109"/>
      <c r="F208" s="109"/>
      <c r="G208" s="109"/>
      <c r="H208" s="111">
        <v>4000000</v>
      </c>
      <c r="I208" s="113">
        <v>472051</v>
      </c>
      <c r="J208" s="97">
        <f>+SUM(C208:G208)-(H208+I208)</f>
        <v>14712920</v>
      </c>
      <c r="K208" s="129"/>
    </row>
    <row r="209" spans="1:11">
      <c r="A209" s="79" t="s">
        <v>146</v>
      </c>
      <c r="B209" s="89" t="s">
        <v>105</v>
      </c>
      <c r="C209" s="237">
        <v>14419055</v>
      </c>
      <c r="D209" s="109"/>
      <c r="E209" s="108"/>
      <c r="F209" s="108"/>
      <c r="G209" s="108"/>
      <c r="H209" s="84">
        <v>293000</v>
      </c>
      <c r="I209" s="110">
        <v>5764972</v>
      </c>
      <c r="J209" s="97">
        <f>SUM(C209:G209)-(H209+I209)</f>
        <v>8361083</v>
      </c>
      <c r="K209" s="129"/>
    </row>
    <row r="210" spans="1:11" ht="15.75">
      <c r="C210" s="60"/>
      <c r="I210" s="60"/>
      <c r="J210" s="188">
        <f>+SUM(J192:J209)</f>
        <v>24676603</v>
      </c>
    </row>
    <row r="211" spans="1:11" ht="16.5">
      <c r="A211" s="61"/>
      <c r="B211" s="62"/>
      <c r="C211" s="63"/>
      <c r="D211" s="63"/>
      <c r="E211" s="63"/>
      <c r="F211" s="63"/>
      <c r="G211" s="63"/>
      <c r="H211" s="63"/>
      <c r="I211" s="63"/>
      <c r="J211" s="245"/>
    </row>
    <row r="212" spans="1:11">
      <c r="A212" s="67" t="s">
        <v>93</v>
      </c>
      <c r="B212" s="67"/>
      <c r="C212" s="67"/>
      <c r="D212" s="68"/>
      <c r="E212" s="68"/>
      <c r="F212" s="68"/>
      <c r="G212" s="68"/>
      <c r="H212" s="68"/>
      <c r="I212" s="68"/>
    </row>
    <row r="213" spans="1:11">
      <c r="A213" s="69" t="s">
        <v>132</v>
      </c>
      <c r="B213" s="69"/>
      <c r="C213" s="69"/>
      <c r="D213" s="69"/>
      <c r="E213" s="69"/>
      <c r="F213" s="69"/>
      <c r="G213" s="69"/>
      <c r="H213" s="69"/>
      <c r="I213" s="69"/>
      <c r="J213" s="68"/>
    </row>
    <row r="214" spans="1:11" ht="15" customHeight="1">
      <c r="A214" s="70"/>
      <c r="B214" s="71"/>
      <c r="C214" s="72"/>
      <c r="D214" s="72"/>
      <c r="E214" s="72"/>
      <c r="F214" s="72"/>
      <c r="G214" s="72"/>
      <c r="H214" s="71"/>
      <c r="I214" s="71"/>
      <c r="J214" s="69"/>
    </row>
    <row r="215" spans="1:11" ht="15" customHeight="1">
      <c r="A215" s="505" t="s">
        <v>94</v>
      </c>
      <c r="B215" s="507" t="s">
        <v>95</v>
      </c>
      <c r="C215" s="509" t="s">
        <v>133</v>
      </c>
      <c r="D215" s="511" t="s">
        <v>96</v>
      </c>
      <c r="E215" s="512"/>
      <c r="F215" s="512"/>
      <c r="G215" s="513"/>
      <c r="H215" s="514" t="s">
        <v>97</v>
      </c>
      <c r="I215" s="501" t="s">
        <v>98</v>
      </c>
      <c r="J215" s="71"/>
    </row>
    <row r="216" spans="1:11" ht="15" customHeight="1">
      <c r="A216" s="506"/>
      <c r="B216" s="508"/>
      <c r="C216" s="510"/>
      <c r="D216" s="73" t="s">
        <v>56</v>
      </c>
      <c r="E216" s="73" t="s">
        <v>60</v>
      </c>
      <c r="F216" s="210" t="s">
        <v>136</v>
      </c>
      <c r="G216" s="73" t="s">
        <v>99</v>
      </c>
      <c r="H216" s="515"/>
      <c r="I216" s="502"/>
      <c r="J216" s="503" t="s">
        <v>134</v>
      </c>
    </row>
    <row r="217" spans="1:11">
      <c r="A217" s="75"/>
      <c r="B217" s="76" t="s">
        <v>100</v>
      </c>
      <c r="C217" s="77"/>
      <c r="D217" s="77"/>
      <c r="E217" s="77"/>
      <c r="F217" s="77"/>
      <c r="G217" s="77"/>
      <c r="H217" s="77"/>
      <c r="I217" s="78"/>
      <c r="J217" s="504"/>
    </row>
    <row r="218" spans="1:11" ht="16.5">
      <c r="A218" s="79" t="s">
        <v>135</v>
      </c>
      <c r="B218" s="59" t="s">
        <v>119</v>
      </c>
      <c r="C218" s="80">
        <f t="shared" ref="C218:C227" si="34">+C6</f>
        <v>40050</v>
      </c>
      <c r="D218" s="81"/>
      <c r="E218" s="81">
        <v>271100</v>
      </c>
      <c r="F218" s="81">
        <f>112800+126500</f>
        <v>239300</v>
      </c>
      <c r="G218" s="81"/>
      <c r="H218" s="115"/>
      <c r="I218" s="85">
        <v>521950</v>
      </c>
      <c r="J218" s="82">
        <f>+SUM(C218:G218)-(H218+I218)</f>
        <v>28500</v>
      </c>
    </row>
    <row r="219" spans="1:11" ht="16.5">
      <c r="A219" s="79" t="s">
        <v>135</v>
      </c>
      <c r="B219" s="59" t="s">
        <v>88</v>
      </c>
      <c r="C219" s="80">
        <f t="shared" si="34"/>
        <v>38845</v>
      </c>
      <c r="D219" s="81"/>
      <c r="E219" s="81">
        <v>625000</v>
      </c>
      <c r="F219" s="81"/>
      <c r="G219" s="81"/>
      <c r="H219" s="115">
        <v>247500</v>
      </c>
      <c r="I219" s="85">
        <v>371500</v>
      </c>
      <c r="J219" s="82">
        <f t="shared" ref="J219:J220" si="35">+SUM(C219:G219)-(H219+I219)</f>
        <v>44845</v>
      </c>
    </row>
    <row r="220" spans="1:11" ht="16.5">
      <c r="A220" s="79" t="s">
        <v>135</v>
      </c>
      <c r="B220" s="59" t="s">
        <v>67</v>
      </c>
      <c r="C220" s="80">
        <f t="shared" si="34"/>
        <v>6895</v>
      </c>
      <c r="D220" s="81"/>
      <c r="E220" s="81">
        <v>60000</v>
      </c>
      <c r="F220" s="182"/>
      <c r="G220" s="182"/>
      <c r="H220" s="84"/>
      <c r="I220" s="114">
        <v>67200</v>
      </c>
      <c r="J220" s="183">
        <f t="shared" si="35"/>
        <v>-305</v>
      </c>
    </row>
    <row r="221" spans="1:11" ht="15.75" customHeight="1">
      <c r="A221" s="79" t="s">
        <v>135</v>
      </c>
      <c r="B221" s="59" t="s">
        <v>120</v>
      </c>
      <c r="C221" s="80">
        <f t="shared" si="34"/>
        <v>28540</v>
      </c>
      <c r="D221" s="116"/>
      <c r="E221" s="81">
        <v>140000</v>
      </c>
      <c r="F221" s="182">
        <v>270500</v>
      </c>
      <c r="G221" s="182"/>
      <c r="H221" s="84"/>
      <c r="I221" s="84">
        <v>417300</v>
      </c>
      <c r="J221" s="183">
        <f>+SUM(C221:G221)-(H221+I221)</f>
        <v>21740</v>
      </c>
    </row>
    <row r="222" spans="1:11" ht="16.5">
      <c r="A222" s="79" t="s">
        <v>135</v>
      </c>
      <c r="B222" s="59" t="s">
        <v>111</v>
      </c>
      <c r="C222" s="80">
        <f t="shared" si="34"/>
        <v>184</v>
      </c>
      <c r="D222" s="116"/>
      <c r="E222" s="81">
        <v>256400</v>
      </c>
      <c r="F222" s="182"/>
      <c r="G222" s="182"/>
      <c r="H222" s="84"/>
      <c r="I222" s="85">
        <v>263500</v>
      </c>
      <c r="J222" s="183">
        <f t="shared" ref="J222" si="36">+SUM(C222:G222)-(H222+I222)</f>
        <v>-6916</v>
      </c>
    </row>
    <row r="223" spans="1:11" ht="16.5">
      <c r="A223" s="79" t="s">
        <v>135</v>
      </c>
      <c r="B223" s="59" t="s">
        <v>66</v>
      </c>
      <c r="C223" s="80">
        <f t="shared" si="34"/>
        <v>68200</v>
      </c>
      <c r="D223" s="81"/>
      <c r="E223" s="81">
        <v>858500</v>
      </c>
      <c r="F223" s="182"/>
      <c r="G223" s="182"/>
      <c r="H223" s="84"/>
      <c r="I223" s="85">
        <v>645000</v>
      </c>
      <c r="J223" s="183">
        <f>+SUM(C223:G223)-(H223+I223)</f>
        <v>281700</v>
      </c>
    </row>
    <row r="224" spans="1:11" ht="16.5">
      <c r="A224" s="79" t="s">
        <v>135</v>
      </c>
      <c r="B224" s="59" t="s">
        <v>74</v>
      </c>
      <c r="C224" s="80">
        <f t="shared" si="34"/>
        <v>233614</v>
      </c>
      <c r="D224" s="81"/>
      <c r="E224" s="81">
        <v>800700</v>
      </c>
      <c r="F224" s="81"/>
      <c r="G224" s="81"/>
      <c r="H224" s="84">
        <v>262300</v>
      </c>
      <c r="I224" s="85">
        <v>543600</v>
      </c>
      <c r="J224" s="82">
        <f>+SUM(C224:G224)-(H224+I224)</f>
        <v>228414</v>
      </c>
    </row>
    <row r="225" spans="1:11" ht="16.5">
      <c r="A225" s="79" t="s">
        <v>135</v>
      </c>
      <c r="B225" s="59" t="s">
        <v>65</v>
      </c>
      <c r="C225" s="80">
        <f t="shared" si="34"/>
        <v>249769</v>
      </c>
      <c r="D225" s="81"/>
      <c r="E225" s="81">
        <v>971600</v>
      </c>
      <c r="F225" s="81"/>
      <c r="G225" s="81"/>
      <c r="H225" s="84">
        <v>200000</v>
      </c>
      <c r="I225" s="85">
        <v>639450</v>
      </c>
      <c r="J225" s="82">
        <f t="shared" ref="J225:J226" si="37">+SUM(C225:G225)-(H225+I225)</f>
        <v>381919</v>
      </c>
    </row>
    <row r="226" spans="1:11" ht="16.5">
      <c r="A226" s="79" t="s">
        <v>135</v>
      </c>
      <c r="B226" s="59" t="s">
        <v>34</v>
      </c>
      <c r="C226" s="80">
        <f t="shared" si="34"/>
        <v>-4675</v>
      </c>
      <c r="D226" s="81"/>
      <c r="E226" s="81"/>
      <c r="F226" s="81"/>
      <c r="G226" s="81"/>
      <c r="H226" s="84"/>
      <c r="I226" s="114">
        <v>23000</v>
      </c>
      <c r="J226" s="82">
        <f t="shared" si="37"/>
        <v>-27675</v>
      </c>
    </row>
    <row r="227" spans="1:11" ht="16.5">
      <c r="A227" s="79" t="s">
        <v>135</v>
      </c>
      <c r="B227" s="59" t="s">
        <v>68</v>
      </c>
      <c r="C227" s="80">
        <f t="shared" si="34"/>
        <v>5000</v>
      </c>
      <c r="D227" s="81"/>
      <c r="E227" s="81"/>
      <c r="F227" s="81"/>
      <c r="G227" s="81"/>
      <c r="H227" s="84"/>
      <c r="I227" s="85">
        <v>0</v>
      </c>
      <c r="J227" s="82">
        <f>+SUM(C227:G227)-(H227+I227)</f>
        <v>5000</v>
      </c>
    </row>
    <row r="228" spans="1:11" ht="16.5">
      <c r="A228" s="213" t="s">
        <v>135</v>
      </c>
      <c r="B228" s="214" t="s">
        <v>137</v>
      </c>
      <c r="C228" s="215">
        <v>3721074</v>
      </c>
      <c r="D228" s="216"/>
      <c r="E228" s="217"/>
      <c r="F228" s="216"/>
      <c r="G228" s="218"/>
      <c r="H228" s="215">
        <v>3721074</v>
      </c>
      <c r="I228" s="219"/>
      <c r="J228" s="220">
        <f>+SUM(C228:G228)-(H228+I228)</f>
        <v>0</v>
      </c>
    </row>
    <row r="229" spans="1:11">
      <c r="A229" s="86" t="s">
        <v>101</v>
      </c>
      <c r="B229" s="87"/>
      <c r="C229" s="87"/>
      <c r="D229" s="87"/>
      <c r="E229" s="87"/>
      <c r="F229" s="87"/>
      <c r="G229" s="87"/>
      <c r="H229" s="87"/>
      <c r="I229" s="87"/>
      <c r="J229" s="88"/>
    </row>
    <row r="230" spans="1:11">
      <c r="A230" s="79" t="s">
        <v>135</v>
      </c>
      <c r="B230" s="89" t="s">
        <v>102</v>
      </c>
      <c r="C230" s="90">
        <f>+C5</f>
        <v>467929</v>
      </c>
      <c r="D230" s="91">
        <v>5000000</v>
      </c>
      <c r="E230" s="91"/>
      <c r="F230" s="91"/>
      <c r="G230" s="92">
        <v>200000</v>
      </c>
      <c r="H230" s="107">
        <v>3983300</v>
      </c>
      <c r="I230" s="93">
        <v>776245</v>
      </c>
      <c r="J230" s="94">
        <f>+SUM(C230:G230)-(H230+I230)</f>
        <v>908384</v>
      </c>
    </row>
    <row r="231" spans="1:11">
      <c r="A231" s="95" t="s">
        <v>103</v>
      </c>
      <c r="B231" s="76"/>
      <c r="C231" s="87"/>
      <c r="D231" s="76"/>
      <c r="E231" s="76"/>
      <c r="F231" s="76"/>
      <c r="G231" s="76"/>
      <c r="H231" s="76"/>
      <c r="I231" s="76"/>
      <c r="J231" s="88"/>
    </row>
    <row r="232" spans="1:11">
      <c r="A232" s="79" t="s">
        <v>135</v>
      </c>
      <c r="B232" s="89" t="s">
        <v>104</v>
      </c>
      <c r="C232" s="96">
        <f>+C3</f>
        <v>7405927</v>
      </c>
      <c r="D232" s="112">
        <v>19826114</v>
      </c>
      <c r="E232" s="109"/>
      <c r="F232" s="109"/>
      <c r="G232" s="109"/>
      <c r="H232" s="111">
        <v>5000000</v>
      </c>
      <c r="I232" s="113">
        <v>455737</v>
      </c>
      <c r="J232" s="97">
        <f>+SUM(C232:G232)-(H232+I232)</f>
        <v>21776304</v>
      </c>
    </row>
    <row r="233" spans="1:11">
      <c r="A233" s="79" t="s">
        <v>135</v>
      </c>
      <c r="B233" s="89" t="s">
        <v>105</v>
      </c>
      <c r="C233" s="96">
        <f>+C4</f>
        <v>22972065</v>
      </c>
      <c r="D233" s="109">
        <v>13119140</v>
      </c>
      <c r="E233" s="108"/>
      <c r="F233" s="108"/>
      <c r="G233" s="108"/>
      <c r="H233" s="84"/>
      <c r="I233" s="110">
        <v>3445919</v>
      </c>
      <c r="J233" s="97">
        <f>SUM(C233:G233)-(H233+I233)</f>
        <v>32645286</v>
      </c>
    </row>
    <row r="234" spans="1:11">
      <c r="A234" s="357" t="s">
        <v>135</v>
      </c>
      <c r="B234" s="353" t="s">
        <v>126</v>
      </c>
      <c r="C234" s="358">
        <v>249769</v>
      </c>
      <c r="D234" s="109"/>
      <c r="E234" s="109"/>
      <c r="F234" s="109"/>
      <c r="G234" s="109"/>
      <c r="H234" s="84"/>
      <c r="I234" s="110"/>
      <c r="J234" s="359">
        <f>SUM(C234:G234)-(H234+I234)</f>
        <v>249769</v>
      </c>
    </row>
    <row r="235" spans="1:11">
      <c r="A235" s="357" t="s">
        <v>135</v>
      </c>
      <c r="B235" s="355" t="s">
        <v>127</v>
      </c>
      <c r="C235" s="358">
        <v>233614</v>
      </c>
      <c r="D235" s="109"/>
      <c r="E235" s="109"/>
      <c r="F235" s="109"/>
      <c r="G235" s="109"/>
      <c r="H235" s="84"/>
      <c r="I235" s="110"/>
      <c r="J235" s="359">
        <f>SUM(C235:G235)-(H235+I235)</f>
        <v>233614</v>
      </c>
    </row>
    <row r="236" spans="1:11">
      <c r="A236" s="357" t="s">
        <v>135</v>
      </c>
      <c r="B236" s="356" t="s">
        <v>128</v>
      </c>
      <c r="C236" s="358">
        <v>330169</v>
      </c>
      <c r="D236" s="360"/>
      <c r="E236" s="360"/>
      <c r="F236" s="360"/>
      <c r="G236" s="360"/>
      <c r="H236" s="360"/>
      <c r="I236" s="360"/>
      <c r="J236" s="359">
        <f>SUM(C236:G236)-(H236+I236)</f>
        <v>330169</v>
      </c>
    </row>
    <row r="237" spans="1:11" ht="15.75">
      <c r="C237" s="60"/>
      <c r="I237" s="60"/>
      <c r="J237" s="188">
        <f>+SUM(J218:J236)</f>
        <v>57100748</v>
      </c>
      <c r="K237" s="211">
        <f>+J237-I19</f>
        <v>35748005</v>
      </c>
    </row>
    <row r="239" spans="1:11">
      <c r="A239" s="67" t="s">
        <v>93</v>
      </c>
      <c r="B239" s="67"/>
      <c r="C239" s="67"/>
      <c r="D239" s="68"/>
      <c r="E239" s="68"/>
      <c r="F239" s="68"/>
      <c r="G239" s="68"/>
      <c r="H239" s="68"/>
      <c r="I239" s="68"/>
    </row>
    <row r="240" spans="1:11">
      <c r="A240" s="69" t="s">
        <v>121</v>
      </c>
      <c r="B240" s="69"/>
      <c r="C240" s="69"/>
      <c r="D240" s="69"/>
      <c r="E240" s="69"/>
      <c r="F240" s="69"/>
      <c r="G240" s="69"/>
      <c r="H240" s="69"/>
      <c r="I240" s="69"/>
      <c r="J240" s="68"/>
    </row>
    <row r="241" spans="1:10">
      <c r="A241" s="70"/>
      <c r="B241" s="71"/>
      <c r="C241" s="72"/>
      <c r="D241" s="72"/>
      <c r="E241" s="72"/>
      <c r="F241" s="72"/>
      <c r="G241" s="72"/>
      <c r="H241" s="71"/>
      <c r="I241" s="71"/>
      <c r="J241" s="69"/>
    </row>
    <row r="242" spans="1:10">
      <c r="A242" s="505" t="s">
        <v>94</v>
      </c>
      <c r="B242" s="507" t="s">
        <v>95</v>
      </c>
      <c r="C242" s="509" t="s">
        <v>123</v>
      </c>
      <c r="D242" s="511" t="s">
        <v>96</v>
      </c>
      <c r="E242" s="512"/>
      <c r="F242" s="512"/>
      <c r="G242" s="513"/>
      <c r="H242" s="514" t="s">
        <v>97</v>
      </c>
      <c r="I242" s="501" t="s">
        <v>98</v>
      </c>
      <c r="J242" s="71"/>
    </row>
    <row r="243" spans="1:10" ht="36.75" customHeight="1">
      <c r="A243" s="506"/>
      <c r="B243" s="508"/>
      <c r="C243" s="510"/>
      <c r="D243" s="73" t="s">
        <v>56</v>
      </c>
      <c r="E243" s="73" t="s">
        <v>60</v>
      </c>
      <c r="F243" s="74" t="s">
        <v>111</v>
      </c>
      <c r="G243" s="73" t="s">
        <v>99</v>
      </c>
      <c r="H243" s="515"/>
      <c r="I243" s="502"/>
      <c r="J243" s="503" t="s">
        <v>129</v>
      </c>
    </row>
    <row r="244" spans="1:10">
      <c r="A244" s="75"/>
      <c r="B244" s="76" t="s">
        <v>100</v>
      </c>
      <c r="C244" s="77"/>
      <c r="D244" s="77"/>
      <c r="E244" s="77"/>
      <c r="F244" s="77"/>
      <c r="G244" s="77"/>
      <c r="H244" s="77"/>
      <c r="I244" s="78"/>
      <c r="J244" s="504"/>
    </row>
    <row r="245" spans="1:10" ht="16.5">
      <c r="A245" s="79" t="s">
        <v>122</v>
      </c>
      <c r="B245" s="59" t="s">
        <v>119</v>
      </c>
      <c r="C245" s="80">
        <v>0</v>
      </c>
      <c r="D245" s="81"/>
      <c r="E245" s="81">
        <v>40000</v>
      </c>
      <c r="F245" s="81"/>
      <c r="G245" s="81"/>
      <c r="H245" s="115"/>
      <c r="I245" s="85">
        <v>39200</v>
      </c>
      <c r="J245" s="82">
        <f>+SUM(C245:G245)-(H245+I245)</f>
        <v>800</v>
      </c>
    </row>
    <row r="246" spans="1:10" ht="16.5">
      <c r="A246" s="79" t="s">
        <v>122</v>
      </c>
      <c r="B246" s="59" t="str">
        <f t="shared" ref="B246:B253" si="38">+A7</f>
        <v>Crépin</v>
      </c>
      <c r="C246" s="80">
        <v>19060</v>
      </c>
      <c r="D246" s="81"/>
      <c r="E246" s="81">
        <v>20000</v>
      </c>
      <c r="F246" s="81"/>
      <c r="G246" s="81"/>
      <c r="H246" s="115"/>
      <c r="I246" s="85">
        <v>36000</v>
      </c>
      <c r="J246" s="82">
        <f t="shared" ref="J246:J253" si="39">+SUM(C246:G246)-(H246+I246)</f>
        <v>3060</v>
      </c>
    </row>
    <row r="247" spans="1:10" ht="16.5">
      <c r="A247" s="79" t="s">
        <v>122</v>
      </c>
      <c r="B247" s="59" t="str">
        <f t="shared" si="38"/>
        <v>Evariste</v>
      </c>
      <c r="C247" s="80">
        <v>8395</v>
      </c>
      <c r="D247" s="81"/>
      <c r="E247" s="81">
        <v>20000</v>
      </c>
      <c r="F247" s="182"/>
      <c r="G247" s="182"/>
      <c r="H247" s="84"/>
      <c r="I247" s="114">
        <v>20000</v>
      </c>
      <c r="J247" s="183">
        <f t="shared" si="39"/>
        <v>8395</v>
      </c>
    </row>
    <row r="248" spans="1:10" ht="16.5">
      <c r="A248" s="79" t="s">
        <v>122</v>
      </c>
      <c r="B248" s="59" t="str">
        <f t="shared" si="38"/>
        <v>Geisner</v>
      </c>
      <c r="C248" s="80">
        <v>0</v>
      </c>
      <c r="D248" s="116"/>
      <c r="E248" s="81">
        <v>100000</v>
      </c>
      <c r="F248" s="182">
        <v>102200</v>
      </c>
      <c r="G248" s="182"/>
      <c r="H248" s="84"/>
      <c r="I248" s="84">
        <v>204000</v>
      </c>
      <c r="J248" s="183">
        <f>+SUM(C248:G248)-(H248+I248)</f>
        <v>-1800</v>
      </c>
    </row>
    <row r="249" spans="1:10" ht="16.5">
      <c r="A249" s="79" t="s">
        <v>122</v>
      </c>
      <c r="B249" s="59" t="str">
        <f t="shared" si="38"/>
        <v>Herick</v>
      </c>
      <c r="C249" s="80">
        <v>7559</v>
      </c>
      <c r="D249" s="116"/>
      <c r="E249" s="81">
        <v>866200</v>
      </c>
      <c r="F249" s="182"/>
      <c r="G249" s="182"/>
      <c r="H249" s="84">
        <v>252200</v>
      </c>
      <c r="I249" s="85">
        <v>605575</v>
      </c>
      <c r="J249" s="183">
        <f t="shared" si="39"/>
        <v>15984</v>
      </c>
    </row>
    <row r="250" spans="1:10" ht="16.5">
      <c r="A250" s="79" t="s">
        <v>122</v>
      </c>
      <c r="B250" s="59" t="str">
        <f t="shared" si="38"/>
        <v>I23C</v>
      </c>
      <c r="C250" s="80">
        <v>214000</v>
      </c>
      <c r="D250" s="81"/>
      <c r="E250" s="81">
        <v>724100</v>
      </c>
      <c r="F250" s="182"/>
      <c r="G250" s="182"/>
      <c r="H250" s="84"/>
      <c r="I250" s="85">
        <v>960000</v>
      </c>
      <c r="J250" s="183">
        <f>+SUM(C250:G250)-(H250+I250)</f>
        <v>-21900</v>
      </c>
    </row>
    <row r="251" spans="1:10" ht="16.5">
      <c r="A251" s="79" t="s">
        <v>122</v>
      </c>
      <c r="B251" s="59" t="str">
        <f t="shared" si="38"/>
        <v>I55S</v>
      </c>
      <c r="C251" s="80">
        <v>-13805</v>
      </c>
      <c r="D251" s="81"/>
      <c r="E251" s="81">
        <v>333400</v>
      </c>
      <c r="F251" s="81">
        <v>150000</v>
      </c>
      <c r="G251" s="81"/>
      <c r="H251" s="84">
        <v>129000</v>
      </c>
      <c r="I251" s="85">
        <v>338905</v>
      </c>
      <c r="J251" s="82">
        <f>+SUM(C251:G251)-(H251+I251)</f>
        <v>1690</v>
      </c>
    </row>
    <row r="252" spans="1:10" ht="16.5">
      <c r="A252" s="79" t="s">
        <v>122</v>
      </c>
      <c r="B252" s="59" t="str">
        <f t="shared" si="38"/>
        <v>I73X</v>
      </c>
      <c r="C252" s="80">
        <v>84350</v>
      </c>
      <c r="D252" s="81"/>
      <c r="E252" s="81">
        <v>669400</v>
      </c>
      <c r="F252" s="81"/>
      <c r="G252" s="81"/>
      <c r="H252" s="84">
        <v>100000</v>
      </c>
      <c r="I252" s="85">
        <v>674700</v>
      </c>
      <c r="J252" s="82">
        <f>+SUM(C252:G252)-(H252+I252)</f>
        <v>-20950</v>
      </c>
    </row>
    <row r="253" spans="1:10" ht="16.5">
      <c r="A253" s="79" t="s">
        <v>122</v>
      </c>
      <c r="B253" s="59" t="str">
        <f t="shared" si="38"/>
        <v>Jack-Bénisson</v>
      </c>
      <c r="C253" s="80">
        <v>-216251</v>
      </c>
      <c r="D253" s="81"/>
      <c r="E253" s="81">
        <v>242000</v>
      </c>
      <c r="F253" s="81"/>
      <c r="G253" s="81"/>
      <c r="H253" s="84"/>
      <c r="I253" s="114">
        <v>34830</v>
      </c>
      <c r="J253" s="82">
        <f t="shared" si="39"/>
        <v>-9081</v>
      </c>
    </row>
    <row r="254" spans="1:10" ht="16.5">
      <c r="A254" s="79" t="s">
        <v>122</v>
      </c>
      <c r="B254" s="59" t="s">
        <v>69</v>
      </c>
      <c r="C254" s="80">
        <v>2025</v>
      </c>
      <c r="D254" s="81"/>
      <c r="E254" s="81">
        <v>25000</v>
      </c>
      <c r="F254" s="81"/>
      <c r="G254" s="81"/>
      <c r="H254" s="84">
        <v>3025</v>
      </c>
      <c r="I254" s="85">
        <v>24000</v>
      </c>
      <c r="J254" s="82">
        <f>+SUM(C254:G254)-(H254+I254)</f>
        <v>0</v>
      </c>
    </row>
    <row r="255" spans="1:10" ht="16.5">
      <c r="A255" s="79" t="s">
        <v>122</v>
      </c>
      <c r="B255" s="59" t="s">
        <v>68</v>
      </c>
      <c r="C255" s="80">
        <v>10000</v>
      </c>
      <c r="D255" s="83"/>
      <c r="E255" s="81">
        <v>0</v>
      </c>
      <c r="F255" s="83"/>
      <c r="G255" s="83"/>
      <c r="H255" s="84"/>
      <c r="I255" s="85">
        <v>4700</v>
      </c>
      <c r="J255" s="82">
        <f>+SUM(C255:G255)-(H255+I255)</f>
        <v>5300</v>
      </c>
    </row>
    <row r="256" spans="1:10">
      <c r="A256" s="86" t="s">
        <v>101</v>
      </c>
      <c r="B256" s="87"/>
      <c r="C256" s="87"/>
      <c r="D256" s="87"/>
      <c r="E256" s="87"/>
      <c r="F256" s="87"/>
      <c r="G256" s="87"/>
      <c r="H256" s="87"/>
      <c r="I256" s="87"/>
      <c r="J256" s="88"/>
    </row>
    <row r="257" spans="1:15">
      <c r="A257" s="79" t="s">
        <v>122</v>
      </c>
      <c r="B257" s="89" t="s">
        <v>102</v>
      </c>
      <c r="C257" s="90">
        <v>791675</v>
      </c>
      <c r="D257" s="91">
        <v>3185100</v>
      </c>
      <c r="E257" s="91"/>
      <c r="F257" s="91"/>
      <c r="G257" s="92">
        <v>237025</v>
      </c>
      <c r="H257" s="107">
        <v>3045100</v>
      </c>
      <c r="I257" s="93">
        <v>876121</v>
      </c>
      <c r="J257" s="94">
        <f>+SUM(C257:G257)-(H257+I257)</f>
        <v>292579</v>
      </c>
    </row>
    <row r="258" spans="1:15">
      <c r="A258" s="95" t="s">
        <v>103</v>
      </c>
      <c r="B258" s="76"/>
      <c r="C258" s="87"/>
      <c r="D258" s="76"/>
      <c r="E258" s="76"/>
      <c r="F258" s="76"/>
      <c r="G258" s="76"/>
      <c r="H258" s="76"/>
      <c r="I258" s="76"/>
      <c r="J258" s="88"/>
    </row>
    <row r="259" spans="1:15">
      <c r="A259" s="79" t="s">
        <v>122</v>
      </c>
      <c r="B259" s="89" t="s">
        <v>104</v>
      </c>
      <c r="C259" s="96">
        <v>8039273</v>
      </c>
      <c r="D259" s="112">
        <v>0</v>
      </c>
      <c r="E259" s="109"/>
      <c r="F259" s="109"/>
      <c r="G259" s="109"/>
      <c r="H259" s="111">
        <v>3000000</v>
      </c>
      <c r="I259" s="113">
        <v>224679</v>
      </c>
      <c r="J259" s="97">
        <f>+SUM(C259:G259)-(H259+I259)</f>
        <v>4814594</v>
      </c>
    </row>
    <row r="260" spans="1:15">
      <c r="A260" s="79" t="s">
        <v>122</v>
      </c>
      <c r="B260" s="89" t="s">
        <v>105</v>
      </c>
      <c r="C260" s="96">
        <v>13283340</v>
      </c>
      <c r="D260" s="109">
        <v>0</v>
      </c>
      <c r="E260" s="108"/>
      <c r="F260" s="108"/>
      <c r="G260" s="108"/>
      <c r="H260" s="84">
        <v>185100</v>
      </c>
      <c r="I260" s="110">
        <v>8352406</v>
      </c>
      <c r="J260" s="97">
        <f>SUM(C260:G260)-(H260+I260)</f>
        <v>4745834</v>
      </c>
    </row>
    <row r="261" spans="1:15">
      <c r="A261" s="352" t="s">
        <v>122</v>
      </c>
      <c r="B261" s="353" t="s">
        <v>125</v>
      </c>
      <c r="C261" s="96">
        <v>3721074</v>
      </c>
      <c r="D261" s="352"/>
      <c r="E261" s="352"/>
      <c r="F261" s="352"/>
      <c r="G261" s="352"/>
      <c r="H261" s="352"/>
      <c r="I261" s="352"/>
      <c r="J261" s="354">
        <f>SUM(C261:G261)-(H261+I261)</f>
        <v>3721074</v>
      </c>
    </row>
    <row r="262" spans="1:15">
      <c r="A262" s="352" t="s">
        <v>122</v>
      </c>
      <c r="B262" s="353" t="s">
        <v>126</v>
      </c>
      <c r="C262" s="96">
        <v>249769</v>
      </c>
      <c r="D262" s="109"/>
      <c r="E262" s="109"/>
      <c r="F262" s="109"/>
      <c r="G262" s="109"/>
      <c r="H262" s="84"/>
      <c r="I262" s="110"/>
      <c r="J262" s="354">
        <f>SUM(C262:G262)-(H262+I262)</f>
        <v>249769</v>
      </c>
    </row>
    <row r="263" spans="1:15">
      <c r="A263" s="352" t="s">
        <v>122</v>
      </c>
      <c r="B263" s="355" t="s">
        <v>127</v>
      </c>
      <c r="C263" s="96">
        <v>233614</v>
      </c>
      <c r="D263" s="109"/>
      <c r="E263" s="109"/>
      <c r="F263" s="109"/>
      <c r="G263" s="109"/>
      <c r="H263" s="84"/>
      <c r="I263" s="110"/>
      <c r="J263" s="354">
        <f>SUM(C263:G263)-(H263+I263)</f>
        <v>233614</v>
      </c>
    </row>
    <row r="264" spans="1:15">
      <c r="A264" s="352" t="s">
        <v>122</v>
      </c>
      <c r="B264" s="356" t="s">
        <v>128</v>
      </c>
      <c r="C264" s="96">
        <v>330169</v>
      </c>
      <c r="D264" s="352"/>
      <c r="E264" s="352"/>
      <c r="F264" s="352"/>
      <c r="G264" s="352"/>
      <c r="H264" s="352"/>
      <c r="I264" s="352"/>
      <c r="J264" s="354">
        <f>SUM(C264:G264)-(H264+I264)</f>
        <v>330169</v>
      </c>
    </row>
    <row r="265" spans="1:15" ht="15.75">
      <c r="C265" s="60"/>
      <c r="I265" s="60"/>
      <c r="J265" s="188">
        <f>+SUM(J245:J264)</f>
        <v>14369131</v>
      </c>
    </row>
    <row r="266" spans="1:15">
      <c r="C266" s="60"/>
      <c r="I266" s="60"/>
      <c r="J266" s="60"/>
    </row>
    <row r="267" spans="1:15" s="150" customFormat="1">
      <c r="A267" s="148" t="s">
        <v>107</v>
      </c>
      <c r="B267" s="148"/>
      <c r="C267" s="148"/>
      <c r="D267" s="148"/>
      <c r="E267" s="148"/>
      <c r="F267" s="148"/>
      <c r="G267" s="148"/>
      <c r="H267" s="148"/>
      <c r="I267" s="148"/>
      <c r="J267" s="149"/>
      <c r="L267" s="151"/>
      <c r="M267" s="151"/>
      <c r="N267" s="151"/>
      <c r="O267" s="151"/>
    </row>
    <row r="268" spans="1:15" s="150" customFormat="1">
      <c r="A268" s="152"/>
      <c r="B268" s="149"/>
      <c r="C268" s="153"/>
      <c r="D268" s="153"/>
      <c r="E268" s="153"/>
      <c r="F268" s="153"/>
      <c r="G268" s="153"/>
      <c r="H268" s="149"/>
      <c r="I268" s="149"/>
      <c r="J268" s="148"/>
      <c r="L268" s="151"/>
      <c r="M268" s="151"/>
      <c r="N268" s="151"/>
      <c r="O268" s="151"/>
    </row>
    <row r="269" spans="1:15" s="150" customFormat="1">
      <c r="A269" s="505" t="s">
        <v>94</v>
      </c>
      <c r="B269" s="507" t="s">
        <v>95</v>
      </c>
      <c r="C269" s="509" t="s">
        <v>109</v>
      </c>
      <c r="D269" s="528" t="s">
        <v>96</v>
      </c>
      <c r="E269" s="529"/>
      <c r="F269" s="529"/>
      <c r="G269" s="530"/>
      <c r="H269" s="531" t="s">
        <v>97</v>
      </c>
      <c r="I269" s="533" t="s">
        <v>98</v>
      </c>
      <c r="J269" s="149"/>
      <c r="L269" s="151"/>
      <c r="M269" s="151"/>
      <c r="N269" s="151"/>
      <c r="O269" s="151"/>
    </row>
    <row r="270" spans="1:15" s="150" customFormat="1">
      <c r="A270" s="506"/>
      <c r="B270" s="508"/>
      <c r="C270" s="510"/>
      <c r="D270" s="73" t="s">
        <v>56</v>
      </c>
      <c r="E270" s="73" t="s">
        <v>60</v>
      </c>
      <c r="F270" s="130" t="s">
        <v>111</v>
      </c>
      <c r="G270" s="73" t="s">
        <v>99</v>
      </c>
      <c r="H270" s="532"/>
      <c r="I270" s="534"/>
      <c r="J270" s="503" t="s">
        <v>110</v>
      </c>
      <c r="L270" s="151"/>
      <c r="M270" s="151"/>
      <c r="N270" s="151"/>
      <c r="O270" s="151"/>
    </row>
    <row r="271" spans="1:15" s="150" customFormat="1">
      <c r="A271" s="154"/>
      <c r="B271" s="155" t="s">
        <v>100</v>
      </c>
      <c r="C271" s="156"/>
      <c r="D271" s="156"/>
      <c r="E271" s="156"/>
      <c r="F271" s="156"/>
      <c r="G271" s="156"/>
      <c r="H271" s="156"/>
      <c r="I271" s="157"/>
      <c r="J271" s="504"/>
      <c r="L271" s="151"/>
      <c r="M271" s="151"/>
      <c r="N271" s="151"/>
      <c r="O271" s="151"/>
    </row>
    <row r="272" spans="1:15" s="150" customFormat="1" ht="16.5">
      <c r="A272" s="158" t="s">
        <v>108</v>
      </c>
      <c r="B272" s="59" t="s">
        <v>88</v>
      </c>
      <c r="C272" s="159">
        <v>40560</v>
      </c>
      <c r="D272" s="81"/>
      <c r="E272" s="81">
        <v>0</v>
      </c>
      <c r="F272" s="81"/>
      <c r="G272" s="81"/>
      <c r="H272" s="160"/>
      <c r="I272" s="161">
        <f>+SUM([12]COMPTA_CREPIN!$F$3050:$F$3066)</f>
        <v>21500</v>
      </c>
      <c r="J272" s="82">
        <f>+SUM(C272:G272)-(H272+I272)</f>
        <v>19060</v>
      </c>
      <c r="L272" s="151"/>
      <c r="M272" s="151"/>
      <c r="N272" s="151"/>
      <c r="O272" s="151"/>
    </row>
    <row r="273" spans="1:15" s="150" customFormat="1" ht="16.5">
      <c r="A273" s="158" t="s">
        <v>108</v>
      </c>
      <c r="B273" s="59" t="s">
        <v>64</v>
      </c>
      <c r="C273" s="159">
        <v>227975</v>
      </c>
      <c r="D273" s="81"/>
      <c r="E273" s="81">
        <f>+'[13]Compta Dalia (2)'!$E$1908+'[13]Compta Dalia (2)'!$E$1909+'[13]Compta Dalia (2)'!$E$1911+'[13]Compta Dalia (2)'!$E$1917</f>
        <v>119600</v>
      </c>
      <c r="F273" s="81"/>
      <c r="G273" s="81"/>
      <c r="H273" s="160">
        <f>+'[13]Compta Dalia (2)'!$F$1919</f>
        <v>1635</v>
      </c>
      <c r="I273" s="161">
        <v>345940</v>
      </c>
      <c r="J273" s="82">
        <f t="shared" ref="J273:J280" si="40">+SUM(C273:G273)-(H273+I273)</f>
        <v>0</v>
      </c>
      <c r="L273" s="151"/>
      <c r="M273" s="151"/>
      <c r="N273" s="151"/>
      <c r="O273" s="151"/>
    </row>
    <row r="274" spans="1:15" s="150" customFormat="1" ht="16.5">
      <c r="A274" s="158" t="s">
        <v>108</v>
      </c>
      <c r="B274" s="59" t="s">
        <v>67</v>
      </c>
      <c r="C274" s="159">
        <v>-605</v>
      </c>
      <c r="D274" s="81"/>
      <c r="E274" s="81">
        <f>+'[14]compta (3)'!$E$2556+'[14]compta (3)'!$E$2557+'[14]compta (3)'!$E$2558</f>
        <v>30000</v>
      </c>
      <c r="F274" s="81"/>
      <c r="G274" s="81"/>
      <c r="H274" s="162"/>
      <c r="I274" s="163">
        <f>'[14]compta (3)'!$F$2559</f>
        <v>21000</v>
      </c>
      <c r="J274" s="82">
        <f t="shared" si="40"/>
        <v>8395</v>
      </c>
      <c r="L274" s="151"/>
      <c r="M274" s="151"/>
      <c r="N274" s="151"/>
      <c r="O274" s="151"/>
    </row>
    <row r="275" spans="1:15" s="150" customFormat="1" ht="16.5">
      <c r="A275" s="158" t="s">
        <v>108</v>
      </c>
      <c r="B275" s="181" t="s">
        <v>62</v>
      </c>
      <c r="C275" s="159">
        <v>264659</v>
      </c>
      <c r="D275" s="182"/>
      <c r="E275" s="182">
        <f>+'[15]compta (2)'!$E$2521+'[15]compta (2)'!$E$2525+'[15]compta (2)'!$E$2527+'[15]compta (2)'!$E$2529</f>
        <v>325000</v>
      </c>
      <c r="F275" s="182"/>
      <c r="G275" s="182"/>
      <c r="H275" s="84">
        <f>'[15]compta (2)'!$F$2528+60000</f>
        <v>75000</v>
      </c>
      <c r="I275" s="84">
        <f>'[15]compta (2)'!$F$2522+'[15]compta (2)'!$F$2523+'[15]compta (2)'!$F$2524+'[15]compta (2)'!$F$2526+'[15]compta (2)'!$F$2530+'[15]compta (2)'!$F$2532+'[15]compta (2)'!$F$2533+'[15]compta (2)'!$F$2534</f>
        <v>507100</v>
      </c>
      <c r="J275" s="183">
        <f t="shared" si="40"/>
        <v>7559</v>
      </c>
      <c r="L275" s="151"/>
      <c r="M275" s="151"/>
      <c r="N275" s="151"/>
      <c r="O275" s="151"/>
    </row>
    <row r="276" spans="1:15" s="150" customFormat="1" ht="16.5">
      <c r="A276" s="158" t="s">
        <v>108</v>
      </c>
      <c r="B276" s="181" t="s">
        <v>89</v>
      </c>
      <c r="C276" s="159">
        <v>272500</v>
      </c>
      <c r="D276" s="182"/>
      <c r="E276" s="182">
        <f>+'[16]COMPTA_I23C (2)'!$E$4171+'[16]COMPTA_I23C (2)'!$E$4172+'[16]COMPTA_I23C (2)'!$E$4174+'[16]COMPTA_I23C (2)'!$E$4178+'[16]COMPTA_I23C (2)'!$E$4180+'[16]COMPTA_I23C (2)'!$E$4181</f>
        <v>695000</v>
      </c>
      <c r="F276" s="182"/>
      <c r="G276" s="182"/>
      <c r="H276" s="84"/>
      <c r="I276" s="159">
        <v>753500</v>
      </c>
      <c r="J276" s="183">
        <f t="shared" si="40"/>
        <v>214000</v>
      </c>
      <c r="L276" s="151"/>
      <c r="M276" s="151"/>
      <c r="N276" s="151"/>
      <c r="O276" s="151"/>
    </row>
    <row r="277" spans="1:15" s="150" customFormat="1" ht="16.5">
      <c r="A277" s="158" t="s">
        <v>108</v>
      </c>
      <c r="B277" s="59" t="s">
        <v>74</v>
      </c>
      <c r="C277" s="159">
        <v>284595</v>
      </c>
      <c r="D277" s="81"/>
      <c r="E277" s="81">
        <f>+'[17]Feuil1 (2)'!$E$2684+'[17]Feuil1 (2)'!$E$2689+'[17]Feuil1 (2)'!$E$2691</f>
        <v>275000</v>
      </c>
      <c r="F277" s="81">
        <f>'[15]compta (2)'!$F$2531</f>
        <v>60000</v>
      </c>
      <c r="G277" s="81"/>
      <c r="H277" s="162"/>
      <c r="I277" s="161">
        <v>633400</v>
      </c>
      <c r="J277" s="82">
        <f t="shared" si="40"/>
        <v>-13805</v>
      </c>
      <c r="L277" s="151"/>
      <c r="M277" s="151"/>
      <c r="N277" s="151"/>
      <c r="O277" s="151"/>
    </row>
    <row r="278" spans="1:15" s="150" customFormat="1" ht="16.5">
      <c r="A278" s="158" t="s">
        <v>108</v>
      </c>
      <c r="B278" s="59" t="s">
        <v>63</v>
      </c>
      <c r="C278" s="159">
        <v>-1750</v>
      </c>
      <c r="D278" s="81"/>
      <c r="E278" s="81">
        <f>+'[18]Compta Jospin (2)'!$E$1583+'[18]Compta Jospin (2)'!$E$1584+'[18]Compta Jospin (2)'!$E$1587</f>
        <v>96400</v>
      </c>
      <c r="F278" s="81"/>
      <c r="G278" s="81"/>
      <c r="H278" s="162">
        <f>+'[18]Compta Jospin (2)'!$F$1592</f>
        <v>950</v>
      </c>
      <c r="I278" s="161">
        <v>93700</v>
      </c>
      <c r="J278" s="82">
        <f t="shared" si="40"/>
        <v>0</v>
      </c>
      <c r="L278" s="151"/>
      <c r="M278" s="151"/>
      <c r="N278" s="151"/>
      <c r="O278" s="151"/>
    </row>
    <row r="279" spans="1:15" s="150" customFormat="1" ht="16.5">
      <c r="A279" s="158" t="s">
        <v>108</v>
      </c>
      <c r="B279" s="59" t="s">
        <v>65</v>
      </c>
      <c r="C279" s="159">
        <v>265600</v>
      </c>
      <c r="D279" s="81"/>
      <c r="E279" s="81">
        <f>+'[19]COMPT-P29 (2)'!$E$190+'[19]COMPT-P29 (2)'!$E$191+'[19]COMPT-P29 (2)'!$E$196+'[19]COMPT-P29 (2)'!$E$201+'[19]COMPT-P29 (2)'!$E$202+'[19]COMPT-P29 (2)'!$E$204+'[19]COMPT-P29 (2)'!$E$207+'[19]COMPT-P29 (2)'!$E$215</f>
        <v>855600</v>
      </c>
      <c r="F279" s="81"/>
      <c r="G279" s="81"/>
      <c r="H279" s="162"/>
      <c r="I279" s="161">
        <v>1036850</v>
      </c>
      <c r="J279" s="82">
        <f t="shared" si="40"/>
        <v>84350</v>
      </c>
      <c r="L279" s="151"/>
      <c r="M279" s="151"/>
      <c r="N279" s="151"/>
      <c r="O279" s="151"/>
    </row>
    <row r="280" spans="1:15" s="150" customFormat="1" ht="16.5">
      <c r="A280" s="158" t="s">
        <v>108</v>
      </c>
      <c r="B280" s="59" t="s">
        <v>90</v>
      </c>
      <c r="C280" s="159">
        <f t="shared" ref="C280" si="41">+C253</f>
        <v>-216251</v>
      </c>
      <c r="D280" s="81"/>
      <c r="E280" s="81">
        <v>0</v>
      </c>
      <c r="F280" s="81"/>
      <c r="G280" s="81"/>
      <c r="H280" s="162"/>
      <c r="I280" s="163">
        <v>0</v>
      </c>
      <c r="J280" s="82">
        <f t="shared" si="40"/>
        <v>-216251</v>
      </c>
      <c r="L280" s="151"/>
      <c r="M280" s="151"/>
      <c r="N280" s="151"/>
      <c r="O280" s="151"/>
    </row>
    <row r="281" spans="1:15" s="150" customFormat="1" ht="16.5">
      <c r="A281" s="158" t="s">
        <v>108</v>
      </c>
      <c r="B281" s="59" t="s">
        <v>69</v>
      </c>
      <c r="C281" s="159">
        <v>1025</v>
      </c>
      <c r="D281" s="81"/>
      <c r="E281" s="81">
        <f>+'[20]compta shely'!$E$90+'[20]compta shely'!$E$97+'[20]compta shely'!$E$100</f>
        <v>25000</v>
      </c>
      <c r="F281" s="81"/>
      <c r="G281" s="81"/>
      <c r="H281" s="162"/>
      <c r="I281" s="161">
        <v>24000</v>
      </c>
      <c r="J281" s="82">
        <f>+SUM(C281:G281)-(H281+I281)</f>
        <v>2025</v>
      </c>
      <c r="L281" s="151"/>
      <c r="M281" s="151"/>
      <c r="N281" s="151"/>
      <c r="O281" s="151"/>
    </row>
    <row r="282" spans="1:15" s="150" customFormat="1" ht="16.5">
      <c r="A282" s="83" t="s">
        <v>108</v>
      </c>
      <c r="B282" s="59" t="s">
        <v>68</v>
      </c>
      <c r="C282" s="159">
        <v>0</v>
      </c>
      <c r="D282" s="83"/>
      <c r="E282" s="83">
        <f>+'[21]compta ted'!$E$11</f>
        <v>10000</v>
      </c>
      <c r="F282" s="83"/>
      <c r="G282" s="83"/>
      <c r="H282" s="162"/>
      <c r="I282" s="161">
        <v>0</v>
      </c>
      <c r="J282" s="82">
        <f>+SUM(C282:G282)-(H282+I282)</f>
        <v>10000</v>
      </c>
      <c r="L282" s="151"/>
      <c r="M282" s="151"/>
      <c r="N282" s="151"/>
      <c r="O282" s="151"/>
    </row>
    <row r="283" spans="1:15" s="150" customFormat="1">
      <c r="A283" s="164" t="s">
        <v>101</v>
      </c>
      <c r="B283" s="165"/>
      <c r="C283" s="165"/>
      <c r="D283" s="165"/>
      <c r="E283" s="165"/>
      <c r="F283" s="165"/>
      <c r="G283" s="165"/>
      <c r="H283" s="165"/>
      <c r="I283" s="165"/>
      <c r="J283" s="166"/>
      <c r="L283" s="151"/>
      <c r="M283" s="151"/>
      <c r="N283" s="151"/>
      <c r="O283" s="151"/>
    </row>
    <row r="284" spans="1:15" s="150" customFormat="1">
      <c r="A284" s="83" t="s">
        <v>108</v>
      </c>
      <c r="B284" s="89" t="s">
        <v>102</v>
      </c>
      <c r="C284" s="90">
        <v>954796</v>
      </c>
      <c r="D284" s="81">
        <v>3000000</v>
      </c>
      <c r="E284" s="81"/>
      <c r="F284" s="81"/>
      <c r="G284" s="167">
        <v>17585</v>
      </c>
      <c r="H284" s="168">
        <v>2431600</v>
      </c>
      <c r="I284" s="169">
        <v>749106</v>
      </c>
      <c r="J284" s="170">
        <f>+SUM(C284:G284)-(H284+I284)</f>
        <v>791675</v>
      </c>
      <c r="L284" s="151"/>
      <c r="M284" s="151"/>
      <c r="N284" s="151"/>
      <c r="O284" s="151"/>
    </row>
    <row r="285" spans="1:15" s="150" customFormat="1">
      <c r="A285" s="171" t="s">
        <v>103</v>
      </c>
      <c r="B285" s="155"/>
      <c r="C285" s="165"/>
      <c r="D285" s="155"/>
      <c r="E285" s="155"/>
      <c r="F285" s="155"/>
      <c r="G285" s="155"/>
      <c r="H285" s="155"/>
      <c r="I285" s="155"/>
      <c r="J285" s="166"/>
      <c r="L285" s="151"/>
      <c r="M285" s="151"/>
      <c r="N285" s="151"/>
      <c r="O285" s="151"/>
    </row>
    <row r="286" spans="1:15" s="150" customFormat="1">
      <c r="A286" s="83" t="s">
        <v>108</v>
      </c>
      <c r="B286" s="89" t="s">
        <v>104</v>
      </c>
      <c r="C286" s="159">
        <v>705838</v>
      </c>
      <c r="D286" s="172">
        <v>10801800</v>
      </c>
      <c r="E286" s="173"/>
      <c r="F286" s="173"/>
      <c r="G286" s="173"/>
      <c r="H286" s="174">
        <v>3000000</v>
      </c>
      <c r="I286" s="175">
        <v>468365</v>
      </c>
      <c r="J286" s="82">
        <f>+SUM(C286:G286)-(H286+I286)</f>
        <v>8039273</v>
      </c>
      <c r="L286" s="151"/>
      <c r="M286" s="151"/>
      <c r="N286" s="151"/>
      <c r="O286" s="151"/>
    </row>
    <row r="287" spans="1:15" s="150" customFormat="1">
      <c r="A287" s="83" t="s">
        <v>108</v>
      </c>
      <c r="B287" s="89" t="s">
        <v>105</v>
      </c>
      <c r="C287" s="159">
        <v>14874402</v>
      </c>
      <c r="D287" s="173">
        <v>3279785</v>
      </c>
      <c r="E287" s="176"/>
      <c r="F287" s="176"/>
      <c r="G287" s="176"/>
      <c r="H287" s="177"/>
      <c r="I287" s="178">
        <v>4870847</v>
      </c>
      <c r="J287" s="82">
        <f>SUM(C287:G287)-(H287+I287)</f>
        <v>13283340</v>
      </c>
      <c r="L287" s="151"/>
      <c r="M287" s="151"/>
      <c r="N287" s="151"/>
      <c r="O287" s="151"/>
    </row>
    <row r="288" spans="1:15" s="150" customFormat="1">
      <c r="L288" s="151"/>
      <c r="M288" s="151"/>
      <c r="N288" s="151"/>
      <c r="O288" s="151"/>
    </row>
    <row r="289" spans="1:15" s="150" customFormat="1">
      <c r="C289" s="179">
        <f>+SUM(C272:C287)</f>
        <v>17673344</v>
      </c>
      <c r="I289" s="179">
        <f>SUM(I272:I287)</f>
        <v>9525308</v>
      </c>
      <c r="J289" s="179">
        <f>+SUM(J272:J287)</f>
        <v>22229621</v>
      </c>
      <c r="L289" s="151"/>
      <c r="M289" s="151"/>
      <c r="N289" s="151"/>
      <c r="O289" s="151"/>
    </row>
    <row r="290" spans="1:15">
      <c r="C290" s="60"/>
      <c r="I290" s="60"/>
      <c r="J290" s="60"/>
    </row>
    <row r="291" spans="1:15">
      <c r="A291" s="122" t="s">
        <v>112</v>
      </c>
      <c r="B291" s="122"/>
    </row>
    <row r="292" spans="1:15">
      <c r="A292" s="123" t="s">
        <v>113</v>
      </c>
      <c r="B292" s="123"/>
      <c r="C292" s="123"/>
      <c r="D292" s="123"/>
      <c r="E292" s="123"/>
      <c r="F292" s="123"/>
      <c r="G292" s="123"/>
      <c r="H292" s="123"/>
      <c r="I292" s="123"/>
      <c r="J292" s="123"/>
    </row>
    <row r="294" spans="1:15">
      <c r="A294" s="516" t="s">
        <v>94</v>
      </c>
      <c r="B294" s="516" t="s">
        <v>95</v>
      </c>
      <c r="C294" s="527" t="s">
        <v>115</v>
      </c>
      <c r="D294" s="522" t="s">
        <v>96</v>
      </c>
      <c r="E294" s="522"/>
      <c r="F294" s="522"/>
      <c r="G294" s="522"/>
      <c r="H294" s="523" t="s">
        <v>97</v>
      </c>
      <c r="I294" s="525" t="s">
        <v>98</v>
      </c>
      <c r="J294" s="518" t="s">
        <v>116</v>
      </c>
      <c r="K294" s="519"/>
    </row>
    <row r="295" spans="1:15" ht="28.5" customHeight="1">
      <c r="A295" s="517"/>
      <c r="B295" s="517"/>
      <c r="C295" s="517"/>
      <c r="D295" s="127" t="s">
        <v>56</v>
      </c>
      <c r="E295" s="124" t="s">
        <v>60</v>
      </c>
      <c r="F295" s="124" t="s">
        <v>63</v>
      </c>
      <c r="G295" s="124" t="s">
        <v>99</v>
      </c>
      <c r="H295" s="524"/>
      <c r="I295" s="526"/>
      <c r="J295" s="520"/>
      <c r="K295" s="521"/>
    </row>
    <row r="296" spans="1:15">
      <c r="A296" s="105"/>
      <c r="B296" s="105" t="s">
        <v>100</v>
      </c>
      <c r="C296" s="107"/>
      <c r="D296" s="107"/>
      <c r="E296" s="107"/>
      <c r="F296" s="107"/>
      <c r="G296" s="107"/>
      <c r="H296" s="107"/>
      <c r="I296" s="107"/>
      <c r="J296" s="107"/>
      <c r="K296" s="105"/>
    </row>
    <row r="297" spans="1:15">
      <c r="A297" s="105" t="s">
        <v>114</v>
      </c>
      <c r="B297" s="105" t="s">
        <v>88</v>
      </c>
      <c r="C297" s="107">
        <v>89360</v>
      </c>
      <c r="D297" s="107"/>
      <c r="E297" s="107">
        <v>13000</v>
      </c>
      <c r="F297" s="107"/>
      <c r="G297" s="107"/>
      <c r="H297" s="107"/>
      <c r="I297" s="107">
        <v>61800</v>
      </c>
      <c r="J297" s="107">
        <v>40560</v>
      </c>
      <c r="K297" s="105"/>
    </row>
    <row r="298" spans="1:15">
      <c r="A298" s="105" t="s">
        <v>114</v>
      </c>
      <c r="B298" s="105" t="s">
        <v>64</v>
      </c>
      <c r="C298" s="107">
        <v>-1025</v>
      </c>
      <c r="D298" s="107"/>
      <c r="E298" s="107">
        <v>684500</v>
      </c>
      <c r="F298" s="107"/>
      <c r="G298" s="107"/>
      <c r="H298" s="107"/>
      <c r="I298" s="107">
        <v>455500</v>
      </c>
      <c r="J298" s="107">
        <v>227975</v>
      </c>
      <c r="K298" s="105"/>
    </row>
    <row r="299" spans="1:15">
      <c r="A299" s="105" t="s">
        <v>114</v>
      </c>
      <c r="B299" s="105" t="s">
        <v>67</v>
      </c>
      <c r="C299" s="107">
        <v>14395</v>
      </c>
      <c r="D299" s="107"/>
      <c r="E299" s="107">
        <v>40000</v>
      </c>
      <c r="F299" s="107"/>
      <c r="G299" s="107"/>
      <c r="H299" s="107"/>
      <c r="I299" s="107">
        <v>55000</v>
      </c>
      <c r="J299" s="107">
        <v>-605</v>
      </c>
      <c r="K299" s="105"/>
    </row>
    <row r="300" spans="1:15">
      <c r="A300" s="105" t="s">
        <v>114</v>
      </c>
      <c r="B300" s="105" t="s">
        <v>62</v>
      </c>
      <c r="C300" s="107">
        <v>8559</v>
      </c>
      <c r="D300" s="107"/>
      <c r="E300" s="107">
        <v>428750</v>
      </c>
      <c r="F300" s="107">
        <v>280200</v>
      </c>
      <c r="G300" s="107"/>
      <c r="H300" s="107"/>
      <c r="I300" s="107">
        <v>452850</v>
      </c>
      <c r="J300" s="107">
        <v>264659</v>
      </c>
      <c r="K300" s="105"/>
    </row>
    <row r="301" spans="1:15">
      <c r="A301" s="105" t="s">
        <v>114</v>
      </c>
      <c r="B301" s="105" t="s">
        <v>89</v>
      </c>
      <c r="C301" s="107">
        <v>-5750</v>
      </c>
      <c r="D301" s="107"/>
      <c r="E301" s="107">
        <v>1161750</v>
      </c>
      <c r="F301" s="107"/>
      <c r="G301" s="107"/>
      <c r="H301" s="107">
        <v>124000</v>
      </c>
      <c r="I301" s="107">
        <v>759500</v>
      </c>
      <c r="J301" s="107">
        <v>272500</v>
      </c>
      <c r="K301" s="105"/>
    </row>
    <row r="302" spans="1:15">
      <c r="A302" s="105" t="s">
        <v>114</v>
      </c>
      <c r="B302" s="105" t="s">
        <v>74</v>
      </c>
      <c r="C302" s="107">
        <v>12995</v>
      </c>
      <c r="D302" s="107"/>
      <c r="E302" s="107">
        <v>726000</v>
      </c>
      <c r="F302" s="107"/>
      <c r="G302" s="107"/>
      <c r="H302" s="107"/>
      <c r="I302" s="107">
        <v>454400</v>
      </c>
      <c r="J302" s="107">
        <v>284595</v>
      </c>
      <c r="K302" s="105"/>
    </row>
    <row r="303" spans="1:15">
      <c r="A303" s="105" t="s">
        <v>114</v>
      </c>
      <c r="B303" s="105" t="s">
        <v>63</v>
      </c>
      <c r="C303" s="107">
        <v>6050</v>
      </c>
      <c r="D303" s="107"/>
      <c r="E303" s="107">
        <v>736300</v>
      </c>
      <c r="F303" s="107"/>
      <c r="G303" s="107"/>
      <c r="H303" s="107">
        <v>405200</v>
      </c>
      <c r="I303" s="107">
        <v>338900</v>
      </c>
      <c r="J303" s="107">
        <v>-1750</v>
      </c>
      <c r="K303" s="105"/>
    </row>
    <row r="304" spans="1:15">
      <c r="A304" s="105" t="s">
        <v>114</v>
      </c>
      <c r="B304" s="105" t="s">
        <v>65</v>
      </c>
      <c r="C304" s="107">
        <v>142400</v>
      </c>
      <c r="D304" s="107"/>
      <c r="E304" s="107">
        <v>1014000</v>
      </c>
      <c r="F304" s="107"/>
      <c r="G304" s="107"/>
      <c r="H304" s="107">
        <v>100000</v>
      </c>
      <c r="I304" s="107">
        <v>790800</v>
      </c>
      <c r="J304" s="107">
        <v>265600</v>
      </c>
      <c r="K304" s="105"/>
    </row>
    <row r="305" spans="1:11">
      <c r="A305" s="105" t="s">
        <v>114</v>
      </c>
      <c r="B305" s="105" t="s">
        <v>90</v>
      </c>
      <c r="C305" s="107">
        <v>-221251.00072999997</v>
      </c>
      <c r="D305" s="107"/>
      <c r="E305" s="107">
        <v>485000</v>
      </c>
      <c r="F305" s="107"/>
      <c r="G305" s="107"/>
      <c r="H305" s="107">
        <v>5000</v>
      </c>
      <c r="I305" s="107">
        <v>475000</v>
      </c>
      <c r="J305" s="107">
        <v>-216251.00072999997</v>
      </c>
      <c r="K305" s="105"/>
    </row>
    <row r="306" spans="1:11">
      <c r="A306" s="105" t="s">
        <v>114</v>
      </c>
      <c r="B306" s="105" t="s">
        <v>69</v>
      </c>
      <c r="C306" s="107">
        <v>14225</v>
      </c>
      <c r="D306" s="107"/>
      <c r="E306" s="107">
        <v>30000</v>
      </c>
      <c r="F306" s="107"/>
      <c r="G306" s="107"/>
      <c r="H306" s="107"/>
      <c r="I306" s="107">
        <v>43200</v>
      </c>
      <c r="J306" s="107">
        <v>1025</v>
      </c>
      <c r="K306" s="105"/>
    </row>
    <row r="307" spans="1:11">
      <c r="A307" s="125" t="s">
        <v>101</v>
      </c>
      <c r="B307" s="125"/>
      <c r="C307" s="126"/>
      <c r="D307" s="126"/>
      <c r="E307" s="126"/>
      <c r="F307" s="126"/>
      <c r="G307" s="126"/>
      <c r="H307" s="126"/>
      <c r="I307" s="126"/>
      <c r="J307" s="126"/>
      <c r="K307" s="125"/>
    </row>
    <row r="308" spans="1:11">
      <c r="A308" s="105" t="s">
        <v>114</v>
      </c>
      <c r="B308" s="105" t="s">
        <v>102</v>
      </c>
      <c r="C308" s="107">
        <v>494738</v>
      </c>
      <c r="D308" s="107">
        <v>6000000</v>
      </c>
      <c r="E308" s="107"/>
      <c r="F308" s="107"/>
      <c r="G308" s="107">
        <v>105000</v>
      </c>
      <c r="H308" s="107">
        <v>5070300</v>
      </c>
      <c r="I308" s="107">
        <v>574642</v>
      </c>
      <c r="J308" s="107">
        <v>954796</v>
      </c>
      <c r="K308" s="105"/>
    </row>
    <row r="309" spans="1:11">
      <c r="A309" s="125" t="s">
        <v>103</v>
      </c>
      <c r="B309" s="125"/>
      <c r="C309" s="126"/>
      <c r="D309" s="126"/>
      <c r="E309" s="126"/>
      <c r="F309" s="126"/>
      <c r="G309" s="126"/>
      <c r="H309" s="126"/>
      <c r="I309" s="126"/>
      <c r="J309" s="126"/>
      <c r="K309" s="125"/>
    </row>
    <row r="310" spans="1:11">
      <c r="A310" s="105" t="s">
        <v>114</v>
      </c>
      <c r="B310" s="105" t="s">
        <v>104</v>
      </c>
      <c r="C310" s="107">
        <v>11363703</v>
      </c>
      <c r="D310" s="107"/>
      <c r="E310" s="107"/>
      <c r="F310" s="107"/>
      <c r="G310" s="107"/>
      <c r="H310" s="107">
        <v>10000000</v>
      </c>
      <c r="I310" s="107">
        <v>657865</v>
      </c>
      <c r="J310" s="107">
        <v>705838</v>
      </c>
      <c r="K310" s="105"/>
    </row>
    <row r="311" spans="1:11">
      <c r="A311" s="105" t="s">
        <v>114</v>
      </c>
      <c r="B311" s="105" t="s">
        <v>105</v>
      </c>
      <c r="C311" s="107">
        <v>4902843</v>
      </c>
      <c r="D311" s="107">
        <v>17119140</v>
      </c>
      <c r="E311" s="107"/>
      <c r="F311" s="107"/>
      <c r="G311" s="107"/>
      <c r="H311" s="107"/>
      <c r="I311" s="107">
        <v>7147581</v>
      </c>
      <c r="J311" s="107">
        <v>14874402</v>
      </c>
      <c r="K311" s="105"/>
    </row>
    <row r="312" spans="1:11">
      <c r="A312" s="105"/>
      <c r="B312" s="105"/>
      <c r="C312" s="107"/>
      <c r="D312" s="107"/>
      <c r="E312" s="107"/>
      <c r="F312" s="107"/>
      <c r="G312" s="107"/>
      <c r="H312" s="107"/>
      <c r="I312" s="107"/>
      <c r="J312" s="107"/>
      <c r="K312" s="105"/>
    </row>
    <row r="313" spans="1:11">
      <c r="A313" s="105"/>
      <c r="B313" s="105"/>
      <c r="C313" s="107"/>
      <c r="D313" s="107"/>
      <c r="E313" s="107"/>
      <c r="F313" s="107"/>
      <c r="G313" s="107"/>
      <c r="H313" s="107"/>
      <c r="I313" s="107">
        <v>12267038</v>
      </c>
      <c r="J313" s="107">
        <v>17673343.99927</v>
      </c>
      <c r="K313" s="105" t="b">
        <v>1</v>
      </c>
    </row>
    <row r="314" spans="1:11">
      <c r="J314" s="129" t="b">
        <f>J313=[22]TABLEAU!$I$16</f>
        <v>1</v>
      </c>
    </row>
  </sheetData>
  <mergeCells count="77">
    <mergeCell ref="I27:I28"/>
    <mergeCell ref="J28:J29"/>
    <mergeCell ref="A27:A28"/>
    <mergeCell ref="B27:B28"/>
    <mergeCell ref="C27:C28"/>
    <mergeCell ref="D27:G27"/>
    <mergeCell ref="H27:H28"/>
    <mergeCell ref="I53:I54"/>
    <mergeCell ref="J54:J55"/>
    <mergeCell ref="A53:A54"/>
    <mergeCell ref="B53:B54"/>
    <mergeCell ref="C53:C54"/>
    <mergeCell ref="D53:G53"/>
    <mergeCell ref="H53:H54"/>
    <mergeCell ref="I162:I163"/>
    <mergeCell ref="J163:J164"/>
    <mergeCell ref="A162:A163"/>
    <mergeCell ref="B162:B163"/>
    <mergeCell ref="C162:C163"/>
    <mergeCell ref="D162:G162"/>
    <mergeCell ref="H162:H163"/>
    <mergeCell ref="I215:I216"/>
    <mergeCell ref="J216:J217"/>
    <mergeCell ref="A215:A216"/>
    <mergeCell ref="B215:B216"/>
    <mergeCell ref="C215:C216"/>
    <mergeCell ref="D215:G215"/>
    <mergeCell ref="H215:H216"/>
    <mergeCell ref="A269:A270"/>
    <mergeCell ref="D269:G269"/>
    <mergeCell ref="H269:H270"/>
    <mergeCell ref="J270:J271"/>
    <mergeCell ref="I269:I270"/>
    <mergeCell ref="A294:A295"/>
    <mergeCell ref="J243:J244"/>
    <mergeCell ref="A242:A243"/>
    <mergeCell ref="B242:B243"/>
    <mergeCell ref="C242:C243"/>
    <mergeCell ref="D242:G242"/>
    <mergeCell ref="H242:H243"/>
    <mergeCell ref="I242:I243"/>
    <mergeCell ref="B294:B295"/>
    <mergeCell ref="J294:K295"/>
    <mergeCell ref="D294:G294"/>
    <mergeCell ref="H294:H295"/>
    <mergeCell ref="I294:I295"/>
    <mergeCell ref="C294:C295"/>
    <mergeCell ref="B269:B270"/>
    <mergeCell ref="C269:C270"/>
    <mergeCell ref="I189:I190"/>
    <mergeCell ref="J190:J191"/>
    <mergeCell ref="A189:A190"/>
    <mergeCell ref="B189:B190"/>
    <mergeCell ref="C189:C190"/>
    <mergeCell ref="D189:G189"/>
    <mergeCell ref="H189:H190"/>
    <mergeCell ref="I134:I135"/>
    <mergeCell ref="J135:J136"/>
    <mergeCell ref="A134:A135"/>
    <mergeCell ref="B134:B135"/>
    <mergeCell ref="C134:C135"/>
    <mergeCell ref="D134:G134"/>
    <mergeCell ref="H134:H135"/>
    <mergeCell ref="I106:I107"/>
    <mergeCell ref="J107:J108"/>
    <mergeCell ref="A106:A107"/>
    <mergeCell ref="B106:B107"/>
    <mergeCell ref="C106:C107"/>
    <mergeCell ref="D106:G106"/>
    <mergeCell ref="H106:H107"/>
    <mergeCell ref="I79:I80"/>
    <mergeCell ref="J80:J81"/>
    <mergeCell ref="A79:A80"/>
    <mergeCell ref="B79:B80"/>
    <mergeCell ref="C79:C80"/>
    <mergeCell ref="D79:G79"/>
    <mergeCell ref="H79:H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B7"/>
  <sheetViews>
    <sheetView workbookViewId="0">
      <selection activeCell="C6" sqref="C6"/>
    </sheetView>
  </sheetViews>
  <sheetFormatPr baseColWidth="10" defaultRowHeight="15"/>
  <cols>
    <col min="1" max="1" width="21" bestFit="1" customWidth="1"/>
    <col min="2" max="2" width="16.140625" bestFit="1" customWidth="1"/>
  </cols>
  <sheetData>
    <row r="3" spans="1:2">
      <c r="A3" s="52" t="s">
        <v>231</v>
      </c>
      <c r="B3" t="s">
        <v>388</v>
      </c>
    </row>
    <row r="4" spans="1:2">
      <c r="A4" s="53" t="s">
        <v>200</v>
      </c>
      <c r="B4" s="54">
        <v>3033814</v>
      </c>
    </row>
    <row r="5" spans="1:2">
      <c r="A5" s="53" t="s">
        <v>151</v>
      </c>
      <c r="B5" s="54">
        <v>6765486</v>
      </c>
    </row>
    <row r="6" spans="1:2">
      <c r="A6" s="53" t="s">
        <v>501</v>
      </c>
      <c r="B6" s="54">
        <v>560000</v>
      </c>
    </row>
    <row r="7" spans="1:2">
      <c r="A7" s="53" t="s">
        <v>232</v>
      </c>
      <c r="B7" s="54">
        <v>10359300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U22"/>
  <sheetViews>
    <sheetView workbookViewId="0">
      <pane xSplit="1" topLeftCell="AL1" activePane="topRight" state="frozen"/>
      <selection pane="topRight" activeCell="AQ5" sqref="AQ5:AU22"/>
    </sheetView>
  </sheetViews>
  <sheetFormatPr baseColWidth="10" defaultRowHeight="15"/>
  <cols>
    <col min="1" max="1" width="21" bestFit="1" customWidth="1"/>
    <col min="2" max="2" width="23.85546875" bestFit="1" customWidth="1"/>
    <col min="3" max="3" width="16.140625" bestFit="1" customWidth="1"/>
    <col min="4" max="4" width="19.140625" bestFit="1" customWidth="1"/>
    <col min="5" max="5" width="16.140625" bestFit="1" customWidth="1"/>
    <col min="6" max="6" width="19.140625" bestFit="1" customWidth="1"/>
    <col min="7" max="7" width="16.140625" bestFit="1" customWidth="1"/>
    <col min="8" max="8" width="19.140625" bestFit="1" customWidth="1"/>
    <col min="9" max="9" width="16.140625" bestFit="1" customWidth="1"/>
    <col min="10" max="10" width="19.140625" bestFit="1" customWidth="1"/>
    <col min="11" max="11" width="16.140625" bestFit="1" customWidth="1"/>
    <col min="12" max="12" width="19.140625" bestFit="1" customWidth="1"/>
    <col min="13" max="13" width="16.140625" bestFit="1" customWidth="1"/>
    <col min="14" max="14" width="19.140625" bestFit="1" customWidth="1"/>
    <col min="15" max="15" width="16.140625" bestFit="1" customWidth="1"/>
    <col min="16" max="16" width="19.140625" bestFit="1" customWidth="1"/>
    <col min="17" max="17" width="16.140625" bestFit="1" customWidth="1"/>
    <col min="18" max="18" width="19.140625" bestFit="1" customWidth="1"/>
    <col min="19" max="19" width="16.140625" bestFit="1" customWidth="1"/>
    <col min="20" max="20" width="19.140625" bestFit="1" customWidth="1"/>
    <col min="21" max="21" width="16.140625" bestFit="1" customWidth="1"/>
    <col min="22" max="22" width="19.140625" bestFit="1" customWidth="1"/>
    <col min="23" max="23" width="16.140625" bestFit="1" customWidth="1"/>
    <col min="24" max="24" width="19.140625" bestFit="1" customWidth="1"/>
    <col min="25" max="25" width="16.140625" bestFit="1" customWidth="1"/>
    <col min="26" max="26" width="19.140625" bestFit="1" customWidth="1"/>
    <col min="27" max="27" width="16.140625" bestFit="1" customWidth="1"/>
    <col min="28" max="28" width="19.140625" bestFit="1" customWidth="1"/>
    <col min="29" max="29" width="16.140625" bestFit="1" customWidth="1"/>
    <col min="30" max="30" width="19.140625" bestFit="1" customWidth="1"/>
    <col min="31" max="31" width="16.140625" bestFit="1" customWidth="1"/>
    <col min="32" max="32" width="19.140625" bestFit="1" customWidth="1"/>
    <col min="33" max="33" width="16.140625" bestFit="1" customWidth="1"/>
    <col min="34" max="34" width="19.140625" bestFit="1" customWidth="1"/>
    <col min="35" max="35" width="16.140625" bestFit="1" customWidth="1"/>
    <col min="36" max="36" width="19.140625" bestFit="1" customWidth="1"/>
    <col min="37" max="37" width="16.140625" bestFit="1" customWidth="1"/>
    <col min="38" max="38" width="19.140625" bestFit="1" customWidth="1"/>
    <col min="39" max="39" width="16.140625" bestFit="1" customWidth="1"/>
    <col min="40" max="40" width="24.140625" bestFit="1" customWidth="1"/>
    <col min="41" max="41" width="21" bestFit="1" customWidth="1"/>
    <col min="42" max="42" width="5.42578125" customWidth="1"/>
    <col min="43" max="43" width="16.42578125" customWidth="1"/>
    <col min="44" max="44" width="16.7109375" customWidth="1"/>
    <col min="45" max="45" width="16.5703125" customWidth="1"/>
  </cols>
  <sheetData>
    <row r="3" spans="1:47">
      <c r="B3" s="52" t="s">
        <v>233</v>
      </c>
    </row>
    <row r="4" spans="1:47">
      <c r="B4" t="s">
        <v>26</v>
      </c>
      <c r="D4" t="s">
        <v>311</v>
      </c>
      <c r="F4" t="s">
        <v>234</v>
      </c>
      <c r="H4" t="s">
        <v>71</v>
      </c>
      <c r="J4" t="s">
        <v>58</v>
      </c>
      <c r="L4" t="s">
        <v>72</v>
      </c>
      <c r="N4" t="s">
        <v>15</v>
      </c>
      <c r="P4" t="s">
        <v>17</v>
      </c>
      <c r="R4" t="s">
        <v>28</v>
      </c>
      <c r="T4" t="s">
        <v>20</v>
      </c>
      <c r="V4" t="s">
        <v>61</v>
      </c>
      <c r="X4" t="s">
        <v>70</v>
      </c>
      <c r="Z4" t="s">
        <v>150</v>
      </c>
      <c r="AB4" t="s">
        <v>307</v>
      </c>
      <c r="AD4" t="s">
        <v>117</v>
      </c>
      <c r="AF4" t="s">
        <v>396</v>
      </c>
      <c r="AH4" t="s">
        <v>543</v>
      </c>
      <c r="AJ4" t="s">
        <v>549</v>
      </c>
      <c r="AL4" t="s">
        <v>550</v>
      </c>
      <c r="AN4" t="s">
        <v>389</v>
      </c>
      <c r="AO4" t="s">
        <v>391</v>
      </c>
    </row>
    <row r="5" spans="1:47">
      <c r="A5" s="52" t="s">
        <v>231</v>
      </c>
      <c r="B5" t="s">
        <v>390</v>
      </c>
      <c r="C5" t="s">
        <v>388</v>
      </c>
      <c r="D5" t="s">
        <v>390</v>
      </c>
      <c r="E5" t="s">
        <v>388</v>
      </c>
      <c r="F5" t="s">
        <v>390</v>
      </c>
      <c r="G5" t="s">
        <v>388</v>
      </c>
      <c r="H5" t="s">
        <v>390</v>
      </c>
      <c r="I5" t="s">
        <v>388</v>
      </c>
      <c r="J5" t="s">
        <v>390</v>
      </c>
      <c r="K5" t="s">
        <v>388</v>
      </c>
      <c r="L5" t="s">
        <v>390</v>
      </c>
      <c r="M5" t="s">
        <v>388</v>
      </c>
      <c r="N5" t="s">
        <v>390</v>
      </c>
      <c r="O5" t="s">
        <v>388</v>
      </c>
      <c r="P5" t="s">
        <v>390</v>
      </c>
      <c r="Q5" t="s">
        <v>388</v>
      </c>
      <c r="R5" t="s">
        <v>390</v>
      </c>
      <c r="S5" t="s">
        <v>388</v>
      </c>
      <c r="T5" t="s">
        <v>390</v>
      </c>
      <c r="U5" t="s">
        <v>388</v>
      </c>
      <c r="V5" t="s">
        <v>390</v>
      </c>
      <c r="W5" t="s">
        <v>388</v>
      </c>
      <c r="X5" t="s">
        <v>390</v>
      </c>
      <c r="Y5" t="s">
        <v>388</v>
      </c>
      <c r="Z5" t="s">
        <v>390</v>
      </c>
      <c r="AA5" t="s">
        <v>388</v>
      </c>
      <c r="AB5" t="s">
        <v>390</v>
      </c>
      <c r="AC5" t="s">
        <v>388</v>
      </c>
      <c r="AD5" t="s">
        <v>390</v>
      </c>
      <c r="AE5" t="s">
        <v>388</v>
      </c>
      <c r="AF5" t="s">
        <v>390</v>
      </c>
      <c r="AG5" t="s">
        <v>388</v>
      </c>
      <c r="AH5" t="s">
        <v>390</v>
      </c>
      <c r="AI5" t="s">
        <v>388</v>
      </c>
      <c r="AJ5" t="s">
        <v>390</v>
      </c>
      <c r="AK5" t="s">
        <v>388</v>
      </c>
      <c r="AL5" t="s">
        <v>390</v>
      </c>
      <c r="AM5" t="s">
        <v>388</v>
      </c>
      <c r="AQ5" s="25"/>
      <c r="AR5" s="25" t="s">
        <v>81</v>
      </c>
      <c r="AS5" s="105" t="s">
        <v>82</v>
      </c>
      <c r="AT5" s="105" t="s">
        <v>83</v>
      </c>
      <c r="AU5" s="25" t="s">
        <v>84</v>
      </c>
    </row>
    <row r="6" spans="1:47">
      <c r="A6" s="53" t="s">
        <v>56</v>
      </c>
      <c r="B6" s="54"/>
      <c r="C6" s="54"/>
      <c r="D6" s="54"/>
      <c r="E6" s="54"/>
      <c r="F6" s="54"/>
      <c r="G6" s="54"/>
      <c r="H6" s="54"/>
      <c r="I6" s="54"/>
      <c r="J6" s="54"/>
      <c r="K6" s="54">
        <v>245000</v>
      </c>
      <c r="L6" s="54"/>
      <c r="M6" s="54"/>
      <c r="N6" s="54"/>
      <c r="O6" s="54">
        <v>1181177</v>
      </c>
      <c r="P6" s="54"/>
      <c r="Q6" s="54"/>
      <c r="R6" s="54"/>
      <c r="S6" s="54">
        <v>260000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>
        <v>2000000</v>
      </c>
      <c r="AF6" s="54"/>
      <c r="AG6" s="54">
        <v>24055</v>
      </c>
      <c r="AH6" s="54"/>
      <c r="AI6" s="54"/>
      <c r="AJ6" s="54"/>
      <c r="AK6" s="54"/>
      <c r="AL6" s="54"/>
      <c r="AM6" s="54"/>
      <c r="AN6" s="54"/>
      <c r="AO6" s="54">
        <v>3710232</v>
      </c>
      <c r="AP6" s="54"/>
      <c r="AQ6" s="104" t="s">
        <v>86</v>
      </c>
      <c r="AR6" s="104">
        <f>+AD6</f>
        <v>0</v>
      </c>
      <c r="AS6" s="107">
        <f>+AE6</f>
        <v>2000000</v>
      </c>
      <c r="AT6" s="107">
        <f>+AO6-AS6</f>
        <v>1710232</v>
      </c>
      <c r="AU6" s="25"/>
    </row>
    <row r="7" spans="1:47">
      <c r="A7" s="53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>
        <v>2547700</v>
      </c>
      <c r="P7" s="54"/>
      <c r="Q7" s="54">
        <v>500000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>
        <v>4310000</v>
      </c>
      <c r="AF7" s="54"/>
      <c r="AG7" s="54">
        <v>7811</v>
      </c>
      <c r="AH7" s="54"/>
      <c r="AI7" s="54"/>
      <c r="AJ7" s="54"/>
      <c r="AK7" s="54"/>
      <c r="AL7" s="54"/>
      <c r="AM7" s="54"/>
      <c r="AN7" s="54"/>
      <c r="AO7" s="54">
        <v>7365511</v>
      </c>
      <c r="AP7" s="54"/>
      <c r="AQ7" s="104" t="s">
        <v>87</v>
      </c>
      <c r="AR7" s="104">
        <f t="shared" ref="AR7:AR22" si="0">+AD7</f>
        <v>0</v>
      </c>
      <c r="AS7" s="107">
        <f t="shared" ref="AS7:AS22" si="1">+AE7</f>
        <v>4310000</v>
      </c>
      <c r="AT7" s="107">
        <f t="shared" ref="AT7:AT22" si="2">+AO7-AS7</f>
        <v>3055511</v>
      </c>
      <c r="AU7" s="25"/>
    </row>
    <row r="8" spans="1:47">
      <c r="A8" s="53" t="s">
        <v>60</v>
      </c>
      <c r="B8" s="54"/>
      <c r="C8" s="54">
        <v>283000</v>
      </c>
      <c r="D8" s="54"/>
      <c r="E8" s="54"/>
      <c r="F8" s="54"/>
      <c r="G8" s="54"/>
      <c r="H8" s="54"/>
      <c r="I8" s="54"/>
      <c r="J8" s="54"/>
      <c r="K8" s="54">
        <v>113000</v>
      </c>
      <c r="L8" s="54"/>
      <c r="M8" s="54">
        <v>14000</v>
      </c>
      <c r="N8" s="54"/>
      <c r="O8" s="54">
        <v>335165</v>
      </c>
      <c r="P8" s="54"/>
      <c r="Q8" s="54">
        <v>111234</v>
      </c>
      <c r="R8" s="54"/>
      <c r="S8" s="54">
        <v>75625</v>
      </c>
      <c r="T8" s="54"/>
      <c r="U8" s="54">
        <v>320000</v>
      </c>
      <c r="V8" s="54"/>
      <c r="W8" s="54">
        <v>83941</v>
      </c>
      <c r="X8" s="54"/>
      <c r="Y8" s="54"/>
      <c r="Z8" s="54"/>
      <c r="AA8" s="54"/>
      <c r="AB8" s="54"/>
      <c r="AC8" s="54"/>
      <c r="AD8" s="54">
        <v>6384184</v>
      </c>
      <c r="AE8" s="54">
        <v>4180000</v>
      </c>
      <c r="AF8" s="54"/>
      <c r="AG8" s="54"/>
      <c r="AH8" s="54"/>
      <c r="AI8" s="54"/>
      <c r="AJ8" s="54"/>
      <c r="AK8" s="54">
        <v>25000</v>
      </c>
      <c r="AL8" s="54"/>
      <c r="AM8" s="54">
        <v>350000</v>
      </c>
      <c r="AN8" s="54">
        <v>6384184</v>
      </c>
      <c r="AO8" s="54">
        <v>5890965</v>
      </c>
      <c r="AP8" s="54"/>
      <c r="AQ8" s="104" t="s">
        <v>60</v>
      </c>
      <c r="AR8" s="104">
        <f t="shared" si="0"/>
        <v>6384184</v>
      </c>
      <c r="AS8" s="107">
        <f t="shared" si="1"/>
        <v>4180000</v>
      </c>
      <c r="AT8" s="107">
        <f t="shared" si="2"/>
        <v>1710965</v>
      </c>
      <c r="AU8" s="25"/>
    </row>
    <row r="9" spans="1:47">
      <c r="A9" s="53" t="s">
        <v>119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>
        <v>51000</v>
      </c>
      <c r="Z9" s="54"/>
      <c r="AA9" s="54">
        <v>30000</v>
      </c>
      <c r="AB9" s="54"/>
      <c r="AC9" s="54"/>
      <c r="AD9" s="54">
        <v>104000</v>
      </c>
      <c r="AE9" s="54">
        <v>54000</v>
      </c>
      <c r="AF9" s="54"/>
      <c r="AG9" s="54"/>
      <c r="AH9" s="54"/>
      <c r="AI9" s="54"/>
      <c r="AJ9" s="54"/>
      <c r="AK9" s="54"/>
      <c r="AL9" s="54"/>
      <c r="AM9" s="54"/>
      <c r="AN9" s="54">
        <v>104000</v>
      </c>
      <c r="AO9" s="54">
        <v>135000</v>
      </c>
      <c r="AP9" s="54"/>
      <c r="AQ9" s="104" t="s">
        <v>119</v>
      </c>
      <c r="AR9" s="104">
        <f t="shared" si="0"/>
        <v>104000</v>
      </c>
      <c r="AS9" s="107">
        <f t="shared" si="1"/>
        <v>54000</v>
      </c>
      <c r="AT9" s="107">
        <f t="shared" si="2"/>
        <v>81000</v>
      </c>
      <c r="AU9" s="25"/>
    </row>
    <row r="10" spans="1:47">
      <c r="A10" s="53" t="s">
        <v>88</v>
      </c>
      <c r="B10" s="54"/>
      <c r="C10" s="54">
        <v>290000</v>
      </c>
      <c r="D10" s="54"/>
      <c r="E10" s="54"/>
      <c r="F10" s="54"/>
      <c r="G10" s="54">
        <v>80000</v>
      </c>
      <c r="H10" s="54"/>
      <c r="I10" s="54">
        <v>20000</v>
      </c>
      <c r="J10" s="54"/>
      <c r="K10" s="54"/>
      <c r="L10" s="54"/>
      <c r="M10" s="54">
        <v>67400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>
        <v>156000</v>
      </c>
      <c r="Z10" s="54"/>
      <c r="AA10" s="54">
        <v>404000</v>
      </c>
      <c r="AB10" s="54"/>
      <c r="AC10" s="54"/>
      <c r="AD10" s="54">
        <v>1550000</v>
      </c>
      <c r="AE10" s="54">
        <v>311000</v>
      </c>
      <c r="AF10" s="54"/>
      <c r="AG10" s="54"/>
      <c r="AH10" s="54"/>
      <c r="AI10" s="54"/>
      <c r="AJ10" s="54"/>
      <c r="AK10" s="54"/>
      <c r="AL10" s="54"/>
      <c r="AM10" s="54"/>
      <c r="AN10" s="54">
        <v>1550000</v>
      </c>
      <c r="AO10" s="54">
        <v>1328400</v>
      </c>
      <c r="AP10" s="54"/>
      <c r="AQ10" s="104" t="s">
        <v>88</v>
      </c>
      <c r="AR10" s="104">
        <f t="shared" si="0"/>
        <v>1550000</v>
      </c>
      <c r="AS10" s="107">
        <f t="shared" si="1"/>
        <v>311000</v>
      </c>
      <c r="AT10" s="107">
        <f t="shared" si="2"/>
        <v>1017400</v>
      </c>
      <c r="AU10" s="25"/>
    </row>
    <row r="11" spans="1:47">
      <c r="A11" s="53" t="s">
        <v>67</v>
      </c>
      <c r="B11" s="54"/>
      <c r="C11" s="54">
        <v>50000</v>
      </c>
      <c r="D11" s="54"/>
      <c r="E11" s="54">
        <v>150000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>
        <v>113900</v>
      </c>
      <c r="Z11" s="54"/>
      <c r="AA11" s="54">
        <v>185000</v>
      </c>
      <c r="AB11" s="54"/>
      <c r="AC11" s="54"/>
      <c r="AD11" s="54">
        <v>581000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>
        <v>581000</v>
      </c>
      <c r="AO11" s="54">
        <v>498900</v>
      </c>
      <c r="AP11" s="54"/>
      <c r="AQ11" s="104" t="s">
        <v>67</v>
      </c>
      <c r="AR11" s="104">
        <f t="shared" si="0"/>
        <v>581000</v>
      </c>
      <c r="AS11" s="107">
        <f t="shared" si="1"/>
        <v>0</v>
      </c>
      <c r="AT11" s="107">
        <f t="shared" si="2"/>
        <v>498900</v>
      </c>
      <c r="AU11" s="25"/>
    </row>
    <row r="12" spans="1:47">
      <c r="A12" s="53" t="s">
        <v>120</v>
      </c>
      <c r="B12" s="54"/>
      <c r="C12" s="54"/>
      <c r="D12" s="54"/>
      <c r="E12" s="54"/>
      <c r="F12" s="54"/>
      <c r="G12" s="54"/>
      <c r="H12" s="54"/>
      <c r="I12" s="54">
        <v>28350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>
        <v>129500</v>
      </c>
      <c r="Z12" s="54"/>
      <c r="AA12" s="54">
        <v>145000</v>
      </c>
      <c r="AB12" s="54"/>
      <c r="AC12" s="54"/>
      <c r="AD12" s="54">
        <v>342000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>
        <v>342000</v>
      </c>
      <c r="AO12" s="54">
        <v>302850</v>
      </c>
      <c r="AP12" s="54"/>
      <c r="AQ12" s="104" t="s">
        <v>120</v>
      </c>
      <c r="AR12" s="104">
        <f t="shared" si="0"/>
        <v>342000</v>
      </c>
      <c r="AS12" s="107">
        <f t="shared" si="1"/>
        <v>0</v>
      </c>
      <c r="AT12" s="107">
        <f t="shared" si="2"/>
        <v>302850</v>
      </c>
      <c r="AU12" s="25"/>
    </row>
    <row r="13" spans="1:47">
      <c r="A13" s="53" t="s">
        <v>111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v>184</v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>
        <v>184</v>
      </c>
      <c r="AP13" s="54"/>
      <c r="AQ13" s="104" t="s">
        <v>62</v>
      </c>
      <c r="AR13" s="104">
        <f t="shared" si="0"/>
        <v>0</v>
      </c>
      <c r="AS13" s="107">
        <f t="shared" si="1"/>
        <v>184</v>
      </c>
      <c r="AT13" s="107">
        <f t="shared" si="2"/>
        <v>0</v>
      </c>
      <c r="AU13" s="25"/>
    </row>
    <row r="14" spans="1:47">
      <c r="A14" s="53" t="s">
        <v>66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>
        <v>44585</v>
      </c>
      <c r="P14" s="54"/>
      <c r="Q14" s="54"/>
      <c r="R14" s="54"/>
      <c r="S14" s="54"/>
      <c r="T14" s="54"/>
      <c r="U14" s="54">
        <v>5000</v>
      </c>
      <c r="V14" s="54"/>
      <c r="W14" s="54"/>
      <c r="X14" s="54"/>
      <c r="Y14" s="54">
        <v>211300</v>
      </c>
      <c r="Z14" s="54"/>
      <c r="AA14" s="54">
        <v>495000</v>
      </c>
      <c r="AB14" s="54"/>
      <c r="AC14" s="54">
        <v>31500</v>
      </c>
      <c r="AD14" s="54">
        <v>683000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>
        <v>683000</v>
      </c>
      <c r="AO14" s="54">
        <v>787385</v>
      </c>
      <c r="AP14" s="54"/>
      <c r="AQ14" s="104" t="s">
        <v>66</v>
      </c>
      <c r="AR14" s="104">
        <f t="shared" si="0"/>
        <v>683000</v>
      </c>
      <c r="AS14" s="107">
        <f t="shared" si="1"/>
        <v>0</v>
      </c>
      <c r="AT14" s="107">
        <f t="shared" si="2"/>
        <v>787385</v>
      </c>
      <c r="AU14" s="25"/>
    </row>
    <row r="15" spans="1:47">
      <c r="A15" s="53" t="s">
        <v>127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v>0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>
        <v>0</v>
      </c>
      <c r="AP15" s="54"/>
      <c r="AQ15" s="104" t="s">
        <v>127</v>
      </c>
      <c r="AR15" s="104">
        <f t="shared" si="0"/>
        <v>0</v>
      </c>
      <c r="AS15" s="107">
        <f t="shared" si="1"/>
        <v>0</v>
      </c>
      <c r="AT15" s="107">
        <f t="shared" si="2"/>
        <v>0</v>
      </c>
      <c r="AU15" s="25"/>
    </row>
    <row r="16" spans="1:47">
      <c r="A16" s="53" t="s">
        <v>126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>
        <v>0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>
        <v>0</v>
      </c>
      <c r="AP16" s="54"/>
      <c r="AQ16" s="104" t="s">
        <v>126</v>
      </c>
      <c r="AR16" s="104">
        <f t="shared" si="0"/>
        <v>0</v>
      </c>
      <c r="AS16" s="107">
        <f t="shared" si="1"/>
        <v>0</v>
      </c>
      <c r="AT16" s="107">
        <f t="shared" si="2"/>
        <v>0</v>
      </c>
      <c r="AU16" s="25"/>
    </row>
    <row r="17" spans="1:47">
      <c r="A17" s="53" t="s">
        <v>74</v>
      </c>
      <c r="B17" s="54"/>
      <c r="C17" s="54"/>
      <c r="D17" s="54"/>
      <c r="E17" s="54"/>
      <c r="F17" s="54"/>
      <c r="G17" s="54"/>
      <c r="H17" s="54"/>
      <c r="I17" s="54">
        <v>301750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>
        <v>135500</v>
      </c>
      <c r="Z17" s="54"/>
      <c r="AA17" s="54">
        <v>170000</v>
      </c>
      <c r="AB17" s="54"/>
      <c r="AC17" s="54"/>
      <c r="AD17" s="54">
        <v>750000</v>
      </c>
      <c r="AE17" s="54">
        <v>6500</v>
      </c>
      <c r="AF17" s="54"/>
      <c r="AG17" s="54"/>
      <c r="AH17" s="54"/>
      <c r="AI17" s="54"/>
      <c r="AJ17" s="54"/>
      <c r="AK17" s="54"/>
      <c r="AL17" s="54"/>
      <c r="AM17" s="54"/>
      <c r="AN17" s="54">
        <v>750000</v>
      </c>
      <c r="AO17" s="54">
        <v>613750</v>
      </c>
      <c r="AP17" s="54"/>
      <c r="AQ17" s="104" t="s">
        <v>74</v>
      </c>
      <c r="AR17" s="104">
        <f t="shared" si="0"/>
        <v>750000</v>
      </c>
      <c r="AS17" s="107">
        <f t="shared" si="1"/>
        <v>6500</v>
      </c>
      <c r="AT17" s="107">
        <f t="shared" si="2"/>
        <v>607250</v>
      </c>
      <c r="AU17" s="25"/>
    </row>
    <row r="18" spans="1:47">
      <c r="A18" s="53" t="s">
        <v>138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>
        <v>29500</v>
      </c>
      <c r="Z18" s="54"/>
      <c r="AA18" s="54"/>
      <c r="AB18" s="54"/>
      <c r="AC18" s="54"/>
      <c r="AD18" s="54">
        <v>30000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>
        <v>30000</v>
      </c>
      <c r="AO18" s="54">
        <v>29500</v>
      </c>
      <c r="AP18" s="54"/>
      <c r="AQ18" s="104" t="s">
        <v>138</v>
      </c>
      <c r="AR18" s="104">
        <f t="shared" si="0"/>
        <v>30000</v>
      </c>
      <c r="AS18" s="107">
        <f t="shared" si="1"/>
        <v>0</v>
      </c>
      <c r="AT18" s="107">
        <f t="shared" si="2"/>
        <v>29500</v>
      </c>
      <c r="AU18" s="25"/>
    </row>
    <row r="19" spans="1:47">
      <c r="A19" s="53" t="s">
        <v>65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v>25000</v>
      </c>
      <c r="V19" s="54"/>
      <c r="W19" s="54"/>
      <c r="X19" s="54"/>
      <c r="Y19" s="54">
        <v>124100</v>
      </c>
      <c r="Z19" s="54"/>
      <c r="AA19" s="54">
        <v>335000</v>
      </c>
      <c r="AB19" s="54"/>
      <c r="AC19" s="54">
        <v>28500</v>
      </c>
      <c r="AD19" s="54">
        <v>446000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>
        <v>446000</v>
      </c>
      <c r="AO19" s="54">
        <v>512600</v>
      </c>
      <c r="AP19" s="54"/>
      <c r="AQ19" s="104" t="s">
        <v>65</v>
      </c>
      <c r="AR19" s="104">
        <f t="shared" si="0"/>
        <v>446000</v>
      </c>
      <c r="AS19" s="107">
        <f t="shared" si="1"/>
        <v>0</v>
      </c>
      <c r="AT19" s="107">
        <f t="shared" si="2"/>
        <v>512600</v>
      </c>
      <c r="AU19" s="25"/>
    </row>
    <row r="20" spans="1:47">
      <c r="A20" s="53" t="s">
        <v>68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>
        <v>8000</v>
      </c>
      <c r="Z20" s="54"/>
      <c r="AA20" s="54"/>
      <c r="AB20" s="54"/>
      <c r="AC20" s="54"/>
      <c r="AD20" s="54">
        <v>11500</v>
      </c>
      <c r="AE20" s="54">
        <v>20000</v>
      </c>
      <c r="AF20" s="54"/>
      <c r="AG20" s="54"/>
      <c r="AH20" s="54"/>
      <c r="AI20" s="54"/>
      <c r="AJ20" s="54"/>
      <c r="AK20" s="54"/>
      <c r="AL20" s="54"/>
      <c r="AM20" s="54"/>
      <c r="AN20" s="54">
        <v>11500</v>
      </c>
      <c r="AO20" s="54">
        <v>28000</v>
      </c>
      <c r="AP20" s="54"/>
      <c r="AQ20" s="104" t="s">
        <v>68</v>
      </c>
      <c r="AR20" s="104">
        <f t="shared" si="0"/>
        <v>11500</v>
      </c>
      <c r="AS20" s="107">
        <f t="shared" si="1"/>
        <v>20000</v>
      </c>
      <c r="AT20" s="107">
        <f t="shared" si="2"/>
        <v>8000</v>
      </c>
      <c r="AU20" s="25"/>
    </row>
    <row r="21" spans="1:47">
      <c r="A21" s="53" t="s">
        <v>167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>
        <v>10000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>
        <v>27707</v>
      </c>
      <c r="AJ21" s="54"/>
      <c r="AK21" s="54"/>
      <c r="AL21" s="54"/>
      <c r="AM21" s="54"/>
      <c r="AN21" s="54"/>
      <c r="AO21" s="54">
        <v>37707</v>
      </c>
      <c r="AP21" s="54"/>
      <c r="AQ21" s="104" t="s">
        <v>167</v>
      </c>
      <c r="AR21" s="104">
        <f t="shared" si="0"/>
        <v>0</v>
      </c>
      <c r="AS21" s="107">
        <f t="shared" si="1"/>
        <v>0</v>
      </c>
      <c r="AT21" s="107">
        <f t="shared" si="2"/>
        <v>37707</v>
      </c>
      <c r="AU21" s="25"/>
    </row>
    <row r="22" spans="1:47">
      <c r="A22" s="53" t="s">
        <v>232</v>
      </c>
      <c r="B22" s="54"/>
      <c r="C22" s="54">
        <v>623000</v>
      </c>
      <c r="D22" s="54"/>
      <c r="E22" s="54">
        <v>150000</v>
      </c>
      <c r="F22" s="54"/>
      <c r="G22" s="54">
        <v>80000</v>
      </c>
      <c r="H22" s="54"/>
      <c r="I22" s="54">
        <v>350100</v>
      </c>
      <c r="J22" s="54"/>
      <c r="K22" s="54">
        <v>358000</v>
      </c>
      <c r="L22" s="54"/>
      <c r="M22" s="54">
        <v>81400</v>
      </c>
      <c r="N22" s="54"/>
      <c r="O22" s="54">
        <v>4108627</v>
      </c>
      <c r="P22" s="54"/>
      <c r="Q22" s="54">
        <v>611234</v>
      </c>
      <c r="R22" s="54"/>
      <c r="S22" s="54">
        <v>335625</v>
      </c>
      <c r="T22" s="54"/>
      <c r="U22" s="54">
        <v>350000</v>
      </c>
      <c r="V22" s="54"/>
      <c r="W22" s="54">
        <v>83941</v>
      </c>
      <c r="X22" s="54"/>
      <c r="Y22" s="54">
        <v>968800</v>
      </c>
      <c r="Z22" s="54"/>
      <c r="AA22" s="54">
        <v>1764000</v>
      </c>
      <c r="AB22" s="54"/>
      <c r="AC22" s="54">
        <v>60000</v>
      </c>
      <c r="AD22" s="54">
        <v>10881684</v>
      </c>
      <c r="AE22" s="54">
        <v>10881684</v>
      </c>
      <c r="AF22" s="54"/>
      <c r="AG22" s="54">
        <v>31866</v>
      </c>
      <c r="AH22" s="54"/>
      <c r="AI22" s="54">
        <v>27707</v>
      </c>
      <c r="AJ22" s="54"/>
      <c r="AK22" s="54">
        <v>25000</v>
      </c>
      <c r="AL22" s="54"/>
      <c r="AM22" s="54">
        <v>350000</v>
      </c>
      <c r="AN22" s="54">
        <v>10881684</v>
      </c>
      <c r="AO22" s="54">
        <v>21240984</v>
      </c>
      <c r="AP22" s="54"/>
      <c r="AQ22" s="104"/>
      <c r="AR22" s="104">
        <f t="shared" si="0"/>
        <v>10881684</v>
      </c>
      <c r="AS22" s="107">
        <f t="shared" si="1"/>
        <v>10881684</v>
      </c>
      <c r="AT22" s="107">
        <f t="shared" si="2"/>
        <v>10359300</v>
      </c>
      <c r="AU22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L285"/>
  <sheetViews>
    <sheetView tabSelected="1" zoomScale="78" zoomScaleNormal="78" workbookViewId="0">
      <selection activeCell="H6" sqref="H6"/>
    </sheetView>
  </sheetViews>
  <sheetFormatPr baseColWidth="10" defaultColWidth="11.42578125" defaultRowHeight="15"/>
  <cols>
    <col min="1" max="1" width="12.140625" style="47" customWidth="1"/>
    <col min="2" max="2" width="77.42578125" style="47" customWidth="1"/>
    <col min="3" max="3" width="21.42578125" style="47" customWidth="1"/>
    <col min="4" max="4" width="14" style="47" customWidth="1"/>
    <col min="5" max="5" width="13.5703125" style="204" customWidth="1"/>
    <col min="6" max="6" width="13.140625" style="325" customWidth="1"/>
    <col min="7" max="7" width="17.85546875" style="48" customWidth="1"/>
    <col min="8" max="8" width="16.28515625" style="47" customWidth="1"/>
    <col min="9" max="9" width="16.5703125" style="207" customWidth="1"/>
    <col min="10" max="10" width="14.7109375" style="47" customWidth="1"/>
    <col min="11" max="11" width="8.42578125" style="47" customWidth="1"/>
    <col min="12" max="12" width="10" style="47" customWidth="1"/>
    <col min="13" max="13" width="15.85546875" style="47" customWidth="1"/>
    <col min="14" max="14" width="11.42578125" style="47"/>
    <col min="15" max="15" width="12" style="47" customWidth="1"/>
    <col min="16" max="16384" width="11.42578125" style="47"/>
  </cols>
  <sheetData>
    <row r="1" spans="1:15" s="198" customFormat="1" ht="26.25" customHeight="1">
      <c r="A1" s="535" t="s">
        <v>235</v>
      </c>
      <c r="B1" s="535"/>
      <c r="C1" s="535"/>
      <c r="D1" s="535"/>
      <c r="E1" s="535"/>
      <c r="F1" s="536"/>
      <c r="G1" s="535"/>
      <c r="H1" s="535"/>
      <c r="I1" s="535"/>
      <c r="J1" s="535"/>
      <c r="K1" s="535"/>
      <c r="L1" s="535"/>
      <c r="M1" s="535"/>
      <c r="N1" s="535"/>
      <c r="O1" s="535"/>
    </row>
    <row r="2" spans="1:15">
      <c r="B2" s="221" t="s">
        <v>236</v>
      </c>
      <c r="C2" s="222">
        <f>+[2]Récapitulatif!$I$19</f>
        <v>31712043</v>
      </c>
    </row>
    <row r="4" spans="1:15" ht="15.75">
      <c r="B4" s="203" t="s">
        <v>38</v>
      </c>
      <c r="C4" s="203" t="s">
        <v>39</v>
      </c>
    </row>
    <row r="5" spans="1:15">
      <c r="B5" s="49" t="s">
        <v>40</v>
      </c>
      <c r="C5" s="50">
        <f>SUM(E13:E1133)</f>
        <v>10881684</v>
      </c>
      <c r="E5" s="204" t="s">
        <v>148</v>
      </c>
      <c r="H5" s="51"/>
      <c r="I5" s="259"/>
    </row>
    <row r="6" spans="1:15" ht="16.5">
      <c r="B6" s="49" t="s">
        <v>41</v>
      </c>
      <c r="C6" s="50">
        <f>SUM(F13:F1134)</f>
        <v>21240984</v>
      </c>
      <c r="E6" s="246">
        <f>+C7-Récapitulatif!I19</f>
        <v>0</v>
      </c>
      <c r="J6" s="51"/>
      <c r="K6" s="257"/>
      <c r="N6" s="128"/>
    </row>
    <row r="7" spans="1:15" ht="16.5">
      <c r="B7" s="49" t="s">
        <v>42</v>
      </c>
      <c r="C7" s="50">
        <f>C2+C5-C6</f>
        <v>21352743</v>
      </c>
      <c r="D7" s="347">
        <f>C7-Récapitulatif!I19</f>
        <v>0</v>
      </c>
      <c r="K7" s="257"/>
      <c r="N7" s="128"/>
    </row>
    <row r="9" spans="1:15" ht="16.5">
      <c r="B9" s="147"/>
    </row>
    <row r="11" spans="1:15" ht="15.75">
      <c r="A11" s="195" t="s">
        <v>4</v>
      </c>
      <c r="B11" s="196" t="s">
        <v>43</v>
      </c>
      <c r="C11" s="196" t="s">
        <v>44</v>
      </c>
      <c r="D11" s="196" t="s">
        <v>45</v>
      </c>
      <c r="E11" s="206" t="s">
        <v>46</v>
      </c>
      <c r="F11" s="326" t="s">
        <v>47</v>
      </c>
      <c r="G11" s="197" t="s">
        <v>48</v>
      </c>
      <c r="H11" s="196" t="s">
        <v>49</v>
      </c>
      <c r="I11" s="208" t="s">
        <v>50</v>
      </c>
      <c r="J11" s="196" t="s">
        <v>51</v>
      </c>
      <c r="K11" s="196" t="s">
        <v>52</v>
      </c>
      <c r="L11" s="196" t="s">
        <v>53</v>
      </c>
      <c r="M11" s="196" t="s">
        <v>124</v>
      </c>
      <c r="N11" s="196" t="s">
        <v>55</v>
      </c>
      <c r="O11" s="196" t="s">
        <v>54</v>
      </c>
    </row>
    <row r="12" spans="1:15" s="185" customFormat="1" ht="15.75">
      <c r="A12" s="390">
        <v>44317</v>
      </c>
      <c r="B12" s="267" t="s">
        <v>236</v>
      </c>
      <c r="C12" s="267"/>
      <c r="D12" s="267"/>
      <c r="E12" s="330"/>
      <c r="F12" s="331"/>
      <c r="G12" s="332">
        <f>+C2</f>
        <v>31712043</v>
      </c>
      <c r="H12" s="267"/>
      <c r="I12" s="269"/>
      <c r="J12" s="267"/>
      <c r="K12" s="267"/>
      <c r="L12" s="267"/>
      <c r="M12" s="267"/>
      <c r="N12" s="267"/>
      <c r="O12" s="267"/>
    </row>
    <row r="13" spans="1:15" s="185" customFormat="1" ht="15.75">
      <c r="A13" s="390">
        <v>44317</v>
      </c>
      <c r="B13" s="266" t="s">
        <v>344</v>
      </c>
      <c r="C13" s="376" t="s">
        <v>70</v>
      </c>
      <c r="D13" s="388" t="s">
        <v>320</v>
      </c>
      <c r="E13" s="470"/>
      <c r="F13" s="470">
        <v>5000</v>
      </c>
      <c r="G13" s="372">
        <f t="shared" ref="G13:G76" si="0">+G12+E13-F13</f>
        <v>31707043</v>
      </c>
      <c r="H13" s="266" t="s">
        <v>65</v>
      </c>
      <c r="I13" s="328" t="s">
        <v>73</v>
      </c>
      <c r="J13" s="328" t="s">
        <v>200</v>
      </c>
      <c r="K13" s="266" t="s">
        <v>201</v>
      </c>
      <c r="L13" s="266" t="s">
        <v>208</v>
      </c>
      <c r="M13" s="269"/>
      <c r="N13" s="336"/>
      <c r="O13" s="267"/>
    </row>
    <row r="14" spans="1:15" s="498" customFormat="1" ht="15" customHeight="1">
      <c r="A14" s="390">
        <v>44317</v>
      </c>
      <c r="B14" s="456" t="s">
        <v>354</v>
      </c>
      <c r="C14" s="546" t="s">
        <v>543</v>
      </c>
      <c r="D14" s="547" t="s">
        <v>19</v>
      </c>
      <c r="E14" s="449"/>
      <c r="F14" s="548">
        <v>27707</v>
      </c>
      <c r="G14" s="372">
        <f t="shared" si="0"/>
        <v>31679336</v>
      </c>
      <c r="H14" s="378" t="s">
        <v>167</v>
      </c>
      <c r="I14" s="269" t="s">
        <v>73</v>
      </c>
      <c r="J14" s="328" t="s">
        <v>200</v>
      </c>
      <c r="K14" s="266" t="s">
        <v>201</v>
      </c>
      <c r="L14" s="266" t="s">
        <v>208</v>
      </c>
      <c r="M14" s="269"/>
      <c r="N14" s="336"/>
      <c r="O14" s="267"/>
    </row>
    <row r="15" spans="1:15" s="498" customFormat="1" ht="15" customHeight="1">
      <c r="A15" s="390">
        <v>44317</v>
      </c>
      <c r="B15" s="268" t="s">
        <v>511</v>
      </c>
      <c r="C15" s="371" t="s">
        <v>150</v>
      </c>
      <c r="D15" s="549" t="s">
        <v>118</v>
      </c>
      <c r="E15" s="550"/>
      <c r="F15" s="471">
        <v>30000</v>
      </c>
      <c r="G15" s="372">
        <f t="shared" si="0"/>
        <v>31649336</v>
      </c>
      <c r="H15" s="268" t="s">
        <v>119</v>
      </c>
      <c r="I15" s="269" t="s">
        <v>73</v>
      </c>
      <c r="J15" s="328" t="s">
        <v>151</v>
      </c>
      <c r="K15" s="266" t="s">
        <v>202</v>
      </c>
      <c r="L15" s="266" t="s">
        <v>208</v>
      </c>
      <c r="M15" s="269" t="s">
        <v>416</v>
      </c>
      <c r="N15" s="336" t="s">
        <v>213</v>
      </c>
      <c r="O15" s="267"/>
    </row>
    <row r="16" spans="1:15" s="498" customFormat="1" ht="15" customHeight="1">
      <c r="A16" s="390">
        <v>44317</v>
      </c>
      <c r="B16" s="266" t="s">
        <v>520</v>
      </c>
      <c r="C16" s="349" t="s">
        <v>224</v>
      </c>
      <c r="D16" s="267" t="s">
        <v>320</v>
      </c>
      <c r="E16" s="375"/>
      <c r="F16" s="470">
        <v>30000</v>
      </c>
      <c r="G16" s="372">
        <f t="shared" si="0"/>
        <v>31619336</v>
      </c>
      <c r="H16" s="266" t="s">
        <v>65</v>
      </c>
      <c r="I16" s="328" t="s">
        <v>73</v>
      </c>
      <c r="J16" s="328" t="s">
        <v>151</v>
      </c>
      <c r="K16" s="266" t="s">
        <v>202</v>
      </c>
      <c r="L16" s="266" t="s">
        <v>208</v>
      </c>
      <c r="M16" s="269" t="s">
        <v>417</v>
      </c>
      <c r="N16" s="336" t="s">
        <v>213</v>
      </c>
      <c r="O16" s="267"/>
    </row>
    <row r="17" spans="1:15" s="498" customFormat="1" ht="15" customHeight="1">
      <c r="A17" s="390">
        <v>44317</v>
      </c>
      <c r="B17" s="268" t="s">
        <v>292</v>
      </c>
      <c r="C17" s="349" t="s">
        <v>70</v>
      </c>
      <c r="D17" s="268" t="s">
        <v>118</v>
      </c>
      <c r="E17" s="366"/>
      <c r="F17" s="471">
        <v>6000</v>
      </c>
      <c r="G17" s="372">
        <f t="shared" si="0"/>
        <v>31613336</v>
      </c>
      <c r="H17" s="268" t="s">
        <v>119</v>
      </c>
      <c r="I17" s="269" t="s">
        <v>73</v>
      </c>
      <c r="J17" s="328" t="s">
        <v>151</v>
      </c>
      <c r="K17" s="266" t="s">
        <v>202</v>
      </c>
      <c r="L17" s="266" t="s">
        <v>208</v>
      </c>
      <c r="M17" s="269" t="s">
        <v>414</v>
      </c>
      <c r="N17" s="336" t="s">
        <v>212</v>
      </c>
      <c r="O17" s="266"/>
    </row>
    <row r="18" spans="1:15" s="498" customFormat="1" ht="15" customHeight="1">
      <c r="A18" s="390">
        <v>44317</v>
      </c>
      <c r="B18" s="268" t="s">
        <v>551</v>
      </c>
      <c r="C18" s="268" t="s">
        <v>70</v>
      </c>
      <c r="D18" s="268" t="s">
        <v>118</v>
      </c>
      <c r="E18" s="366"/>
      <c r="F18" s="471">
        <v>8000</v>
      </c>
      <c r="G18" s="372">
        <f t="shared" si="0"/>
        <v>31605336</v>
      </c>
      <c r="H18" s="268" t="s">
        <v>119</v>
      </c>
      <c r="I18" s="551" t="s">
        <v>73</v>
      </c>
      <c r="J18" s="328" t="s">
        <v>151</v>
      </c>
      <c r="K18" s="266" t="s">
        <v>202</v>
      </c>
      <c r="L18" s="266" t="s">
        <v>208</v>
      </c>
      <c r="M18" s="269" t="s">
        <v>415</v>
      </c>
      <c r="N18" s="336" t="s">
        <v>212</v>
      </c>
      <c r="O18" s="267"/>
    </row>
    <row r="19" spans="1:15" s="185" customFormat="1" ht="15" customHeight="1">
      <c r="A19" s="390">
        <v>44319</v>
      </c>
      <c r="B19" s="266" t="s">
        <v>345</v>
      </c>
      <c r="C19" s="266" t="s">
        <v>70</v>
      </c>
      <c r="D19" s="464" t="s">
        <v>320</v>
      </c>
      <c r="E19" s="470"/>
      <c r="F19" s="375">
        <v>8000</v>
      </c>
      <c r="G19" s="372">
        <f t="shared" si="0"/>
        <v>31597336</v>
      </c>
      <c r="H19" s="266" t="s">
        <v>65</v>
      </c>
      <c r="I19" s="335" t="s">
        <v>73</v>
      </c>
      <c r="J19" s="328" t="s">
        <v>200</v>
      </c>
      <c r="K19" s="266" t="s">
        <v>201</v>
      </c>
      <c r="L19" s="266" t="s">
        <v>208</v>
      </c>
      <c r="M19" s="267"/>
      <c r="N19" s="336"/>
      <c r="O19" s="267"/>
    </row>
    <row r="20" spans="1:15" s="498" customFormat="1" ht="15" customHeight="1">
      <c r="A20" s="390">
        <v>44319</v>
      </c>
      <c r="B20" s="266" t="s">
        <v>513</v>
      </c>
      <c r="C20" s="349" t="s">
        <v>224</v>
      </c>
      <c r="D20" s="464" t="s">
        <v>320</v>
      </c>
      <c r="E20" s="375"/>
      <c r="F20" s="375">
        <v>45000</v>
      </c>
      <c r="G20" s="372">
        <f t="shared" si="0"/>
        <v>31552336</v>
      </c>
      <c r="H20" s="267" t="s">
        <v>66</v>
      </c>
      <c r="I20" s="335" t="s">
        <v>73</v>
      </c>
      <c r="J20" s="328" t="s">
        <v>151</v>
      </c>
      <c r="K20" s="266" t="s">
        <v>202</v>
      </c>
      <c r="L20" s="266" t="s">
        <v>208</v>
      </c>
      <c r="M20" s="269" t="s">
        <v>418</v>
      </c>
      <c r="N20" s="336" t="s">
        <v>213</v>
      </c>
      <c r="O20" s="267"/>
    </row>
    <row r="21" spans="1:15" s="498" customFormat="1" ht="15" customHeight="1">
      <c r="A21" s="390">
        <v>44319</v>
      </c>
      <c r="B21" s="266" t="s">
        <v>521</v>
      </c>
      <c r="C21" s="349" t="s">
        <v>224</v>
      </c>
      <c r="D21" s="464" t="s">
        <v>320</v>
      </c>
      <c r="E21" s="470"/>
      <c r="F21" s="375">
        <v>30000</v>
      </c>
      <c r="G21" s="372">
        <f t="shared" si="0"/>
        <v>31522336</v>
      </c>
      <c r="H21" s="266" t="s">
        <v>65</v>
      </c>
      <c r="I21" s="335" t="s">
        <v>73</v>
      </c>
      <c r="J21" s="328" t="s">
        <v>151</v>
      </c>
      <c r="K21" s="266" t="s">
        <v>202</v>
      </c>
      <c r="L21" s="266" t="s">
        <v>208</v>
      </c>
      <c r="M21" s="269" t="s">
        <v>420</v>
      </c>
      <c r="N21" s="269" t="s">
        <v>213</v>
      </c>
      <c r="O21" s="267"/>
    </row>
    <row r="22" spans="1:15" s="498" customFormat="1" ht="15" customHeight="1">
      <c r="A22" s="390">
        <v>44319</v>
      </c>
      <c r="B22" s="376" t="s">
        <v>321</v>
      </c>
      <c r="C22" s="376" t="s">
        <v>70</v>
      </c>
      <c r="D22" s="464" t="s">
        <v>320</v>
      </c>
      <c r="E22" s="470"/>
      <c r="F22" s="375">
        <v>9000</v>
      </c>
      <c r="G22" s="372">
        <f t="shared" si="0"/>
        <v>31513336</v>
      </c>
      <c r="H22" s="267" t="s">
        <v>66</v>
      </c>
      <c r="I22" s="335" t="s">
        <v>73</v>
      </c>
      <c r="J22" s="328" t="s">
        <v>151</v>
      </c>
      <c r="K22" s="266" t="s">
        <v>202</v>
      </c>
      <c r="L22" s="266" t="s">
        <v>208</v>
      </c>
      <c r="M22" s="269" t="s">
        <v>419</v>
      </c>
      <c r="N22" s="336" t="s">
        <v>212</v>
      </c>
      <c r="O22" s="267"/>
    </row>
    <row r="23" spans="1:15" s="185" customFormat="1" ht="15" customHeight="1">
      <c r="A23" s="390">
        <v>44320</v>
      </c>
      <c r="B23" s="459" t="s">
        <v>241</v>
      </c>
      <c r="C23" s="349" t="s">
        <v>28</v>
      </c>
      <c r="D23" s="463" t="s">
        <v>21</v>
      </c>
      <c r="E23" s="437"/>
      <c r="F23" s="432">
        <v>260000</v>
      </c>
      <c r="G23" s="372">
        <f t="shared" si="0"/>
        <v>31253336</v>
      </c>
      <c r="H23" s="266" t="s">
        <v>56</v>
      </c>
      <c r="I23" s="476" t="s">
        <v>130</v>
      </c>
      <c r="J23" s="328" t="s">
        <v>200</v>
      </c>
      <c r="K23" s="266" t="s">
        <v>201</v>
      </c>
      <c r="L23" s="266" t="s">
        <v>208</v>
      </c>
      <c r="M23" s="269"/>
      <c r="N23" s="336"/>
      <c r="O23" s="267"/>
    </row>
    <row r="24" spans="1:15" s="185" customFormat="1" ht="15" customHeight="1">
      <c r="A24" s="390">
        <v>44320</v>
      </c>
      <c r="B24" s="424" t="s">
        <v>237</v>
      </c>
      <c r="C24" s="268" t="s">
        <v>117</v>
      </c>
      <c r="D24" s="424"/>
      <c r="E24" s="472"/>
      <c r="F24" s="432">
        <v>1000000</v>
      </c>
      <c r="G24" s="372">
        <f t="shared" si="0"/>
        <v>30253336</v>
      </c>
      <c r="H24" s="266" t="s">
        <v>56</v>
      </c>
      <c r="I24" s="476">
        <v>3654444</v>
      </c>
      <c r="J24" s="328"/>
      <c r="K24" s="266"/>
      <c r="L24" s="266"/>
      <c r="M24" s="267"/>
      <c r="N24" s="336"/>
      <c r="O24" s="269"/>
    </row>
    <row r="25" spans="1:15" s="185" customFormat="1" ht="15" customHeight="1">
      <c r="A25" s="390">
        <v>44320</v>
      </c>
      <c r="B25" s="416" t="s">
        <v>257</v>
      </c>
      <c r="C25" s="416" t="s">
        <v>15</v>
      </c>
      <c r="D25" s="416" t="s">
        <v>19</v>
      </c>
      <c r="E25" s="437"/>
      <c r="F25" s="366">
        <v>204665</v>
      </c>
      <c r="G25" s="372">
        <f t="shared" si="0"/>
        <v>30048671</v>
      </c>
      <c r="H25" s="268" t="s">
        <v>60</v>
      </c>
      <c r="I25" s="476" t="s">
        <v>73</v>
      </c>
      <c r="J25" s="328" t="s">
        <v>200</v>
      </c>
      <c r="K25" s="266" t="s">
        <v>201</v>
      </c>
      <c r="L25" s="266" t="s">
        <v>208</v>
      </c>
      <c r="M25" s="269"/>
      <c r="N25" s="336"/>
      <c r="O25" s="267"/>
    </row>
    <row r="26" spans="1:15" s="185" customFormat="1" ht="15" customHeight="1">
      <c r="A26" s="390">
        <v>44320</v>
      </c>
      <c r="B26" s="416" t="s">
        <v>56</v>
      </c>
      <c r="C26" s="349" t="s">
        <v>117</v>
      </c>
      <c r="D26" s="480"/>
      <c r="E26" s="437">
        <v>1000000</v>
      </c>
      <c r="F26" s="366"/>
      <c r="G26" s="372">
        <f t="shared" si="0"/>
        <v>31048671</v>
      </c>
      <c r="H26" s="268" t="s">
        <v>60</v>
      </c>
      <c r="I26" s="476"/>
      <c r="J26" s="269"/>
      <c r="K26" s="266"/>
      <c r="L26" s="266"/>
      <c r="M26" s="269"/>
      <c r="N26" s="336"/>
      <c r="O26" s="267"/>
    </row>
    <row r="27" spans="1:15" s="498" customFormat="1" ht="15" customHeight="1">
      <c r="A27" s="390">
        <v>44320</v>
      </c>
      <c r="B27" s="416" t="s">
        <v>259</v>
      </c>
      <c r="C27" s="374" t="s">
        <v>72</v>
      </c>
      <c r="D27" s="374" t="s">
        <v>21</v>
      </c>
      <c r="E27" s="437"/>
      <c r="F27" s="366">
        <v>4000</v>
      </c>
      <c r="G27" s="372">
        <f t="shared" si="0"/>
        <v>31044671</v>
      </c>
      <c r="H27" s="268" t="s">
        <v>60</v>
      </c>
      <c r="I27" s="476" t="s">
        <v>73</v>
      </c>
      <c r="J27" s="269" t="s">
        <v>151</v>
      </c>
      <c r="K27" s="266" t="s">
        <v>202</v>
      </c>
      <c r="L27" s="266" t="s">
        <v>208</v>
      </c>
      <c r="M27" s="269" t="s">
        <v>421</v>
      </c>
      <c r="N27" s="336" t="s">
        <v>211</v>
      </c>
      <c r="O27" s="267"/>
    </row>
    <row r="28" spans="1:15" s="185" customFormat="1" ht="15" customHeight="1">
      <c r="A28" s="390">
        <v>44321</v>
      </c>
      <c r="B28" s="481" t="s">
        <v>364</v>
      </c>
      <c r="C28" s="417" t="s">
        <v>15</v>
      </c>
      <c r="D28" s="417" t="s">
        <v>363</v>
      </c>
      <c r="E28" s="472"/>
      <c r="F28" s="366">
        <v>130500</v>
      </c>
      <c r="G28" s="372">
        <f t="shared" si="0"/>
        <v>30914171</v>
      </c>
      <c r="H28" s="268" t="s">
        <v>60</v>
      </c>
      <c r="I28" s="476" t="s">
        <v>73</v>
      </c>
      <c r="J28" s="328" t="s">
        <v>200</v>
      </c>
      <c r="K28" s="266" t="s">
        <v>201</v>
      </c>
      <c r="L28" s="266" t="s">
        <v>208</v>
      </c>
      <c r="M28" s="269"/>
      <c r="N28" s="336"/>
      <c r="O28" s="267"/>
    </row>
    <row r="29" spans="1:15" s="185" customFormat="1" ht="15" customHeight="1">
      <c r="A29" s="390">
        <v>44321</v>
      </c>
      <c r="B29" s="266" t="s">
        <v>322</v>
      </c>
      <c r="C29" s="268" t="s">
        <v>117</v>
      </c>
      <c r="D29" s="465"/>
      <c r="E29" s="470">
        <v>10000</v>
      </c>
      <c r="F29" s="470"/>
      <c r="G29" s="372">
        <f t="shared" si="0"/>
        <v>30924171</v>
      </c>
      <c r="H29" s="267" t="s">
        <v>66</v>
      </c>
      <c r="I29" s="335"/>
      <c r="J29" s="328"/>
      <c r="K29" s="266"/>
      <c r="L29" s="266"/>
      <c r="M29" s="269"/>
      <c r="N29" s="336"/>
      <c r="O29" s="267"/>
    </row>
    <row r="30" spans="1:15" s="185" customFormat="1" ht="15" customHeight="1">
      <c r="A30" s="390">
        <v>44322</v>
      </c>
      <c r="B30" s="424" t="s">
        <v>544</v>
      </c>
      <c r="C30" s="268" t="s">
        <v>58</v>
      </c>
      <c r="D30" s="385" t="s">
        <v>118</v>
      </c>
      <c r="E30" s="438"/>
      <c r="F30" s="432">
        <v>245000</v>
      </c>
      <c r="G30" s="372">
        <f t="shared" si="0"/>
        <v>30679171</v>
      </c>
      <c r="H30" s="266" t="s">
        <v>56</v>
      </c>
      <c r="I30" s="476">
        <v>3654445</v>
      </c>
      <c r="J30" s="328" t="s">
        <v>200</v>
      </c>
      <c r="K30" s="266" t="s">
        <v>201</v>
      </c>
      <c r="L30" s="266" t="s">
        <v>208</v>
      </c>
      <c r="M30" s="267"/>
      <c r="N30" s="336"/>
      <c r="O30" s="267"/>
    </row>
    <row r="31" spans="1:15" s="447" customFormat="1" ht="15" customHeight="1">
      <c r="A31" s="390">
        <v>44322</v>
      </c>
      <c r="B31" s="481" t="s">
        <v>65</v>
      </c>
      <c r="C31" s="349" t="s">
        <v>117</v>
      </c>
      <c r="D31" s="419"/>
      <c r="E31" s="432"/>
      <c r="F31" s="366">
        <v>100000</v>
      </c>
      <c r="G31" s="372">
        <f t="shared" si="0"/>
        <v>30579171</v>
      </c>
      <c r="H31" s="268" t="s">
        <v>60</v>
      </c>
      <c r="I31" s="476"/>
      <c r="J31" s="328"/>
      <c r="K31" s="377"/>
      <c r="L31" s="266"/>
      <c r="M31" s="269"/>
      <c r="N31" s="336"/>
      <c r="O31" s="267"/>
    </row>
    <row r="32" spans="1:15" s="185" customFormat="1" ht="15" customHeight="1">
      <c r="A32" s="390">
        <v>44322</v>
      </c>
      <c r="B32" s="416" t="s">
        <v>66</v>
      </c>
      <c r="C32" s="349" t="s">
        <v>117</v>
      </c>
      <c r="D32" s="419"/>
      <c r="E32" s="437"/>
      <c r="F32" s="366">
        <v>100000</v>
      </c>
      <c r="G32" s="372">
        <f t="shared" si="0"/>
        <v>30479171</v>
      </c>
      <c r="H32" s="268" t="s">
        <v>60</v>
      </c>
      <c r="I32" s="476"/>
      <c r="J32" s="328"/>
      <c r="K32" s="377"/>
      <c r="L32" s="266"/>
      <c r="M32" s="269"/>
      <c r="N32" s="336"/>
      <c r="O32" s="267"/>
    </row>
    <row r="33" spans="1:15" s="185" customFormat="1" ht="15" customHeight="1">
      <c r="A33" s="390">
        <v>44322</v>
      </c>
      <c r="B33" s="416" t="s">
        <v>65</v>
      </c>
      <c r="C33" s="349" t="s">
        <v>117</v>
      </c>
      <c r="D33" s="419"/>
      <c r="E33" s="437"/>
      <c r="F33" s="366">
        <v>20000</v>
      </c>
      <c r="G33" s="372">
        <f t="shared" si="0"/>
        <v>30459171</v>
      </c>
      <c r="H33" s="268" t="s">
        <v>60</v>
      </c>
      <c r="I33" s="476"/>
      <c r="J33" s="328"/>
      <c r="K33" s="266"/>
      <c r="L33" s="266"/>
      <c r="M33" s="269"/>
      <c r="N33" s="336"/>
      <c r="O33" s="267"/>
    </row>
    <row r="34" spans="1:15" s="185" customFormat="1" ht="15" customHeight="1">
      <c r="A34" s="390">
        <v>44322</v>
      </c>
      <c r="B34" s="416" t="s">
        <v>66</v>
      </c>
      <c r="C34" s="349" t="s">
        <v>117</v>
      </c>
      <c r="D34" s="419"/>
      <c r="E34" s="437"/>
      <c r="F34" s="366">
        <v>10000</v>
      </c>
      <c r="G34" s="372">
        <f t="shared" si="0"/>
        <v>30449171</v>
      </c>
      <c r="H34" s="268" t="s">
        <v>60</v>
      </c>
      <c r="I34" s="476"/>
      <c r="J34" s="329"/>
      <c r="K34" s="266"/>
      <c r="L34" s="266"/>
      <c r="M34" s="269"/>
      <c r="N34" s="336"/>
      <c r="O34" s="267"/>
    </row>
    <row r="35" spans="1:15" s="185" customFormat="1" ht="15" customHeight="1">
      <c r="A35" s="390">
        <v>44322</v>
      </c>
      <c r="B35" s="266" t="s">
        <v>322</v>
      </c>
      <c r="C35" s="268" t="s">
        <v>117</v>
      </c>
      <c r="D35" s="379"/>
      <c r="E35" s="470">
        <v>100000</v>
      </c>
      <c r="F35" s="375"/>
      <c r="G35" s="372">
        <f t="shared" si="0"/>
        <v>30549171</v>
      </c>
      <c r="H35" s="267" t="s">
        <v>66</v>
      </c>
      <c r="I35" s="335"/>
      <c r="J35" s="328"/>
      <c r="K35" s="266"/>
      <c r="L35" s="266"/>
      <c r="M35" s="269"/>
      <c r="N35" s="336"/>
      <c r="O35" s="267"/>
    </row>
    <row r="36" spans="1:15" s="185" customFormat="1" ht="15.75">
      <c r="A36" s="390">
        <v>44322</v>
      </c>
      <c r="B36" s="266" t="s">
        <v>215</v>
      </c>
      <c r="C36" s="268" t="s">
        <v>117</v>
      </c>
      <c r="D36" s="388"/>
      <c r="E36" s="375">
        <v>120000</v>
      </c>
      <c r="F36" s="375"/>
      <c r="G36" s="372">
        <f t="shared" si="0"/>
        <v>30669171</v>
      </c>
      <c r="H36" s="266" t="s">
        <v>65</v>
      </c>
      <c r="I36" s="328"/>
      <c r="J36" s="329"/>
      <c r="K36" s="266"/>
      <c r="L36" s="266"/>
      <c r="M36" s="267"/>
      <c r="N36" s="336"/>
      <c r="O36" s="267"/>
    </row>
    <row r="37" spans="1:15" s="498" customFormat="1" ht="15" customHeight="1">
      <c r="A37" s="390">
        <v>44322</v>
      </c>
      <c r="B37" s="266" t="s">
        <v>323</v>
      </c>
      <c r="C37" s="266" t="s">
        <v>70</v>
      </c>
      <c r="D37" s="379" t="s">
        <v>320</v>
      </c>
      <c r="E37" s="375"/>
      <c r="F37" s="375">
        <v>10000</v>
      </c>
      <c r="G37" s="372">
        <f t="shared" si="0"/>
        <v>30659171</v>
      </c>
      <c r="H37" s="267" t="s">
        <v>66</v>
      </c>
      <c r="I37" s="328" t="s">
        <v>73</v>
      </c>
      <c r="J37" s="328" t="s">
        <v>151</v>
      </c>
      <c r="K37" s="266" t="s">
        <v>202</v>
      </c>
      <c r="L37" s="266" t="s">
        <v>208</v>
      </c>
      <c r="M37" s="269" t="s">
        <v>422</v>
      </c>
      <c r="N37" s="336" t="s">
        <v>212</v>
      </c>
      <c r="O37" s="267"/>
    </row>
    <row r="38" spans="1:15" s="498" customFormat="1" ht="15.75">
      <c r="A38" s="390">
        <v>44322</v>
      </c>
      <c r="B38" s="413" t="s">
        <v>346</v>
      </c>
      <c r="C38" s="266" t="s">
        <v>70</v>
      </c>
      <c r="D38" s="464" t="s">
        <v>320</v>
      </c>
      <c r="E38" s="375"/>
      <c r="F38" s="375">
        <v>15000</v>
      </c>
      <c r="G38" s="372">
        <f t="shared" si="0"/>
        <v>30644171</v>
      </c>
      <c r="H38" s="266" t="s">
        <v>65</v>
      </c>
      <c r="I38" s="552" t="s">
        <v>73</v>
      </c>
      <c r="J38" s="328" t="s">
        <v>151</v>
      </c>
      <c r="K38" s="266" t="s">
        <v>202</v>
      </c>
      <c r="L38" s="266" t="s">
        <v>208</v>
      </c>
      <c r="M38" s="269" t="s">
        <v>423</v>
      </c>
      <c r="N38" s="336" t="s">
        <v>212</v>
      </c>
      <c r="O38" s="267"/>
    </row>
    <row r="39" spans="1:15" s="185" customFormat="1" ht="15.75">
      <c r="A39" s="390">
        <v>44323</v>
      </c>
      <c r="B39" s="459" t="s">
        <v>239</v>
      </c>
      <c r="C39" s="424" t="s">
        <v>15</v>
      </c>
      <c r="D39" s="466" t="s">
        <v>118</v>
      </c>
      <c r="E39" s="472"/>
      <c r="F39" s="432">
        <v>1181177</v>
      </c>
      <c r="G39" s="372">
        <f t="shared" si="0"/>
        <v>29462994</v>
      </c>
      <c r="H39" s="266" t="s">
        <v>56</v>
      </c>
      <c r="I39" s="414" t="s">
        <v>130</v>
      </c>
      <c r="J39" s="328" t="s">
        <v>200</v>
      </c>
      <c r="K39" s="266" t="s">
        <v>201</v>
      </c>
      <c r="L39" s="266" t="s">
        <v>208</v>
      </c>
      <c r="M39" s="269"/>
      <c r="N39" s="336"/>
      <c r="O39" s="267"/>
    </row>
    <row r="40" spans="1:15" s="185" customFormat="1" ht="15.75">
      <c r="A40" s="390">
        <v>44323</v>
      </c>
      <c r="B40" s="419" t="s">
        <v>260</v>
      </c>
      <c r="C40" s="373" t="s">
        <v>72</v>
      </c>
      <c r="D40" s="374" t="s">
        <v>21</v>
      </c>
      <c r="E40" s="432"/>
      <c r="F40" s="366">
        <v>9600</v>
      </c>
      <c r="G40" s="372">
        <f t="shared" si="0"/>
        <v>29453394</v>
      </c>
      <c r="H40" s="268" t="s">
        <v>60</v>
      </c>
      <c r="I40" s="414" t="s">
        <v>73</v>
      </c>
      <c r="J40" s="328" t="s">
        <v>200</v>
      </c>
      <c r="K40" s="266" t="s">
        <v>201</v>
      </c>
      <c r="L40" s="266" t="s">
        <v>208</v>
      </c>
      <c r="M40" s="269"/>
      <c r="N40" s="336"/>
      <c r="O40" s="267"/>
    </row>
    <row r="41" spans="1:15" s="185" customFormat="1" ht="15.75">
      <c r="A41" s="390">
        <v>44323</v>
      </c>
      <c r="B41" s="416" t="s">
        <v>119</v>
      </c>
      <c r="C41" s="349" t="s">
        <v>117</v>
      </c>
      <c r="D41" s="416"/>
      <c r="E41" s="432"/>
      <c r="F41" s="366">
        <v>15000</v>
      </c>
      <c r="G41" s="372">
        <f t="shared" si="0"/>
        <v>29438394</v>
      </c>
      <c r="H41" s="268" t="s">
        <v>60</v>
      </c>
      <c r="I41" s="414"/>
      <c r="J41" s="269"/>
      <c r="K41" s="266"/>
      <c r="L41" s="266"/>
      <c r="M41" s="269"/>
      <c r="N41" s="336"/>
      <c r="O41" s="267"/>
    </row>
    <row r="42" spans="1:15" s="185" customFormat="1" ht="15.75">
      <c r="A42" s="390">
        <v>44323</v>
      </c>
      <c r="B42" s="416" t="s">
        <v>138</v>
      </c>
      <c r="C42" s="349" t="s">
        <v>117</v>
      </c>
      <c r="D42" s="416"/>
      <c r="E42" s="432"/>
      <c r="F42" s="366">
        <v>10000</v>
      </c>
      <c r="G42" s="372">
        <f t="shared" si="0"/>
        <v>29428394</v>
      </c>
      <c r="H42" s="371" t="s">
        <v>60</v>
      </c>
      <c r="I42" s="414"/>
      <c r="J42" s="269"/>
      <c r="K42" s="266"/>
      <c r="L42" s="266"/>
      <c r="M42" s="269"/>
      <c r="N42" s="336"/>
      <c r="O42" s="266"/>
    </row>
    <row r="43" spans="1:15" s="185" customFormat="1" ht="15.75">
      <c r="A43" s="390">
        <v>44323</v>
      </c>
      <c r="B43" s="416" t="s">
        <v>68</v>
      </c>
      <c r="C43" s="349" t="s">
        <v>117</v>
      </c>
      <c r="D43" s="416"/>
      <c r="E43" s="432"/>
      <c r="F43" s="366">
        <v>5000</v>
      </c>
      <c r="G43" s="372">
        <f t="shared" si="0"/>
        <v>29423394</v>
      </c>
      <c r="H43" s="268" t="s">
        <v>60</v>
      </c>
      <c r="I43" s="414"/>
      <c r="J43" s="269"/>
      <c r="K43" s="266"/>
      <c r="L43" s="266"/>
      <c r="M43" s="269"/>
      <c r="N43" s="336"/>
      <c r="O43" s="267"/>
    </row>
    <row r="44" spans="1:15" s="185" customFormat="1" ht="15.75">
      <c r="A44" s="390">
        <v>44323</v>
      </c>
      <c r="B44" s="416" t="s">
        <v>120</v>
      </c>
      <c r="C44" s="268" t="s">
        <v>117</v>
      </c>
      <c r="D44" s="349"/>
      <c r="E44" s="432"/>
      <c r="F44" s="366">
        <v>10000</v>
      </c>
      <c r="G44" s="372">
        <f t="shared" si="0"/>
        <v>29413394</v>
      </c>
      <c r="H44" s="268" t="s">
        <v>60</v>
      </c>
      <c r="I44" s="414"/>
      <c r="J44" s="329"/>
      <c r="K44" s="266"/>
      <c r="L44" s="266"/>
      <c r="M44" s="267"/>
      <c r="N44" s="336"/>
      <c r="O44" s="267"/>
    </row>
    <row r="45" spans="1:15" s="185" customFormat="1" ht="15.75">
      <c r="A45" s="390">
        <v>44323</v>
      </c>
      <c r="B45" s="268" t="s">
        <v>159</v>
      </c>
      <c r="C45" s="349" t="s">
        <v>117</v>
      </c>
      <c r="D45" s="268"/>
      <c r="E45" s="366">
        <v>15000</v>
      </c>
      <c r="F45" s="366"/>
      <c r="G45" s="372">
        <f t="shared" si="0"/>
        <v>29428394</v>
      </c>
      <c r="H45" s="268" t="s">
        <v>119</v>
      </c>
      <c r="I45" s="269"/>
      <c r="J45" s="269"/>
      <c r="K45" s="377"/>
      <c r="L45" s="266"/>
      <c r="M45" s="269"/>
      <c r="N45" s="336"/>
      <c r="O45" s="267"/>
    </row>
    <row r="46" spans="1:15" s="185" customFormat="1" ht="15" customHeight="1">
      <c r="A46" s="390">
        <v>44323</v>
      </c>
      <c r="B46" s="268" t="s">
        <v>313</v>
      </c>
      <c r="C46" s="349" t="s">
        <v>117</v>
      </c>
      <c r="D46" s="268"/>
      <c r="E46" s="366">
        <v>10000</v>
      </c>
      <c r="F46" s="366"/>
      <c r="G46" s="372">
        <f t="shared" si="0"/>
        <v>29438394</v>
      </c>
      <c r="H46" s="268" t="s">
        <v>120</v>
      </c>
      <c r="I46" s="269"/>
      <c r="J46" s="328"/>
      <c r="K46" s="266"/>
      <c r="L46" s="266"/>
      <c r="M46" s="269"/>
      <c r="N46" s="336"/>
      <c r="O46" s="267"/>
    </row>
    <row r="47" spans="1:15" s="185" customFormat="1" ht="15" customHeight="1">
      <c r="A47" s="390">
        <v>44323</v>
      </c>
      <c r="B47" s="424" t="s">
        <v>214</v>
      </c>
      <c r="C47" s="349" t="s">
        <v>117</v>
      </c>
      <c r="D47" s="416"/>
      <c r="E47" s="432">
        <v>10000</v>
      </c>
      <c r="F47" s="432"/>
      <c r="G47" s="372">
        <f t="shared" si="0"/>
        <v>29448394</v>
      </c>
      <c r="H47" s="267" t="s">
        <v>138</v>
      </c>
      <c r="I47" s="427"/>
      <c r="J47" s="328"/>
      <c r="K47" s="377"/>
      <c r="L47" s="266"/>
      <c r="M47" s="269"/>
      <c r="N47" s="336"/>
      <c r="O47" s="267"/>
    </row>
    <row r="48" spans="1:15" s="185" customFormat="1" ht="15" customHeight="1">
      <c r="A48" s="390">
        <v>44323</v>
      </c>
      <c r="B48" s="424" t="s">
        <v>168</v>
      </c>
      <c r="C48" s="349" t="s">
        <v>117</v>
      </c>
      <c r="D48" s="416"/>
      <c r="E48" s="432">
        <v>5000</v>
      </c>
      <c r="F48" s="432"/>
      <c r="G48" s="372">
        <f t="shared" si="0"/>
        <v>29453394</v>
      </c>
      <c r="H48" s="267" t="s">
        <v>68</v>
      </c>
      <c r="I48" s="269"/>
      <c r="J48" s="328"/>
      <c r="K48" s="266"/>
      <c r="L48" s="266"/>
      <c r="M48" s="269"/>
      <c r="N48" s="336"/>
      <c r="O48" s="267"/>
    </row>
    <row r="49" spans="1:15" s="185" customFormat="1" ht="15" customHeight="1">
      <c r="A49" s="390">
        <v>44323</v>
      </c>
      <c r="B49" s="456" t="s">
        <v>355</v>
      </c>
      <c r="C49" s="456" t="s">
        <v>70</v>
      </c>
      <c r="D49" s="482" t="s">
        <v>19</v>
      </c>
      <c r="E49" s="449"/>
      <c r="F49" s="449">
        <v>10000</v>
      </c>
      <c r="G49" s="372">
        <f t="shared" si="0"/>
        <v>29443394</v>
      </c>
      <c r="H49" s="378" t="s">
        <v>167</v>
      </c>
      <c r="I49" s="269" t="s">
        <v>131</v>
      </c>
      <c r="J49" s="328" t="s">
        <v>151</v>
      </c>
      <c r="K49" s="266" t="s">
        <v>202</v>
      </c>
      <c r="L49" s="266" t="s">
        <v>208</v>
      </c>
      <c r="M49" s="269" t="s">
        <v>425</v>
      </c>
      <c r="N49" s="336" t="s">
        <v>212</v>
      </c>
      <c r="O49" s="267"/>
    </row>
    <row r="50" spans="1:15" s="498" customFormat="1" ht="15" customHeight="1">
      <c r="A50" s="390">
        <v>44323</v>
      </c>
      <c r="B50" s="416" t="s">
        <v>261</v>
      </c>
      <c r="C50" s="459" t="s">
        <v>17</v>
      </c>
      <c r="D50" s="374" t="s">
        <v>21</v>
      </c>
      <c r="E50" s="432"/>
      <c r="F50" s="366">
        <v>93234</v>
      </c>
      <c r="G50" s="372">
        <f t="shared" si="0"/>
        <v>29350160</v>
      </c>
      <c r="H50" s="268" t="s">
        <v>60</v>
      </c>
      <c r="I50" s="414" t="s">
        <v>73</v>
      </c>
      <c r="J50" s="328" t="s">
        <v>151</v>
      </c>
      <c r="K50" s="377" t="s">
        <v>202</v>
      </c>
      <c r="L50" s="266" t="s">
        <v>208</v>
      </c>
      <c r="M50" s="269" t="s">
        <v>424</v>
      </c>
      <c r="N50" s="336" t="s">
        <v>504</v>
      </c>
      <c r="O50" s="267"/>
    </row>
    <row r="51" spans="1:15" s="185" customFormat="1" ht="15" customHeight="1">
      <c r="A51" s="390">
        <v>44326</v>
      </c>
      <c r="B51" s="416" t="s">
        <v>221</v>
      </c>
      <c r="C51" s="349" t="s">
        <v>117</v>
      </c>
      <c r="D51" s="416"/>
      <c r="E51" s="432"/>
      <c r="F51" s="366">
        <v>10000</v>
      </c>
      <c r="G51" s="372">
        <f t="shared" si="0"/>
        <v>29340160</v>
      </c>
      <c r="H51" s="268" t="s">
        <v>60</v>
      </c>
      <c r="I51" s="414"/>
      <c r="J51" s="329"/>
      <c r="K51" s="266"/>
      <c r="L51" s="266"/>
      <c r="M51" s="267"/>
      <c r="N51" s="336"/>
      <c r="O51" s="267"/>
    </row>
    <row r="52" spans="1:15" s="498" customFormat="1" ht="15" customHeight="1">
      <c r="A52" s="390">
        <v>44326</v>
      </c>
      <c r="B52" s="266" t="s">
        <v>514</v>
      </c>
      <c r="C52" s="268" t="s">
        <v>224</v>
      </c>
      <c r="D52" s="379" t="s">
        <v>320</v>
      </c>
      <c r="E52" s="375"/>
      <c r="F52" s="375">
        <v>70000</v>
      </c>
      <c r="G52" s="372">
        <f t="shared" si="0"/>
        <v>29270160</v>
      </c>
      <c r="H52" s="475" t="s">
        <v>66</v>
      </c>
      <c r="I52" s="328" t="s">
        <v>131</v>
      </c>
      <c r="J52" s="328" t="s">
        <v>151</v>
      </c>
      <c r="K52" s="266" t="s">
        <v>202</v>
      </c>
      <c r="L52" s="266" t="s">
        <v>208</v>
      </c>
      <c r="M52" s="269" t="s">
        <v>427</v>
      </c>
      <c r="N52" s="336" t="s">
        <v>213</v>
      </c>
      <c r="O52" s="267"/>
    </row>
    <row r="53" spans="1:15" s="185" customFormat="1" ht="15" customHeight="1">
      <c r="A53" s="390">
        <v>44326</v>
      </c>
      <c r="B53" s="266" t="s">
        <v>522</v>
      </c>
      <c r="C53" s="349" t="s">
        <v>224</v>
      </c>
      <c r="D53" s="464" t="s">
        <v>320</v>
      </c>
      <c r="E53" s="375"/>
      <c r="F53" s="375">
        <v>110000</v>
      </c>
      <c r="G53" s="372">
        <f t="shared" si="0"/>
        <v>29160160</v>
      </c>
      <c r="H53" s="266" t="s">
        <v>65</v>
      </c>
      <c r="I53" s="269" t="s">
        <v>131</v>
      </c>
      <c r="J53" s="328" t="s">
        <v>151</v>
      </c>
      <c r="K53" s="266" t="s">
        <v>202</v>
      </c>
      <c r="L53" s="266" t="s">
        <v>208</v>
      </c>
      <c r="M53" s="269" t="s">
        <v>429</v>
      </c>
      <c r="N53" s="336" t="s">
        <v>213</v>
      </c>
      <c r="O53" s="267"/>
    </row>
    <row r="54" spans="1:15" s="185" customFormat="1" ht="15" customHeight="1">
      <c r="A54" s="390">
        <v>44326</v>
      </c>
      <c r="B54" s="424" t="s">
        <v>225</v>
      </c>
      <c r="C54" s="349" t="s">
        <v>117</v>
      </c>
      <c r="D54" s="459"/>
      <c r="E54" s="429">
        <v>10000</v>
      </c>
      <c r="F54" s="429"/>
      <c r="G54" s="372">
        <f t="shared" si="0"/>
        <v>29170160</v>
      </c>
      <c r="H54" s="266" t="s">
        <v>74</v>
      </c>
      <c r="I54" s="427"/>
      <c r="J54" s="328"/>
      <c r="K54" s="266"/>
      <c r="L54" s="266"/>
      <c r="M54" s="269"/>
      <c r="N54" s="336"/>
      <c r="O54" s="267"/>
    </row>
    <row r="55" spans="1:15" s="498" customFormat="1" ht="15" customHeight="1">
      <c r="A55" s="390">
        <v>44326</v>
      </c>
      <c r="B55" s="266" t="s">
        <v>324</v>
      </c>
      <c r="C55" s="376" t="s">
        <v>70</v>
      </c>
      <c r="D55" s="379" t="s">
        <v>320</v>
      </c>
      <c r="E55" s="375"/>
      <c r="F55" s="375">
        <v>4000</v>
      </c>
      <c r="G55" s="372">
        <f t="shared" si="0"/>
        <v>29166160</v>
      </c>
      <c r="H55" s="267" t="s">
        <v>66</v>
      </c>
      <c r="I55" s="328" t="s">
        <v>73</v>
      </c>
      <c r="J55" s="328" t="s">
        <v>151</v>
      </c>
      <c r="K55" s="266" t="s">
        <v>202</v>
      </c>
      <c r="L55" s="266" t="s">
        <v>208</v>
      </c>
      <c r="M55" s="269" t="s">
        <v>428</v>
      </c>
      <c r="N55" s="336" t="s">
        <v>212</v>
      </c>
      <c r="O55" s="267"/>
    </row>
    <row r="56" spans="1:15" s="498" customFormat="1" ht="15" customHeight="1">
      <c r="A56" s="390">
        <v>44326</v>
      </c>
      <c r="B56" s="481" t="s">
        <v>255</v>
      </c>
      <c r="C56" s="386" t="s">
        <v>17</v>
      </c>
      <c r="D56" s="349" t="s">
        <v>21</v>
      </c>
      <c r="E56" s="448"/>
      <c r="F56" s="429">
        <v>500000</v>
      </c>
      <c r="G56" s="372">
        <f t="shared" si="0"/>
        <v>28666160</v>
      </c>
      <c r="H56" s="266" t="s">
        <v>57</v>
      </c>
      <c r="I56" s="483" t="s">
        <v>130</v>
      </c>
      <c r="J56" s="328" t="s">
        <v>151</v>
      </c>
      <c r="K56" s="266" t="s">
        <v>202</v>
      </c>
      <c r="L56" s="266" t="s">
        <v>208</v>
      </c>
      <c r="M56" s="269" t="s">
        <v>426</v>
      </c>
      <c r="N56" s="383" t="s">
        <v>207</v>
      </c>
      <c r="O56" s="267"/>
    </row>
    <row r="57" spans="1:15" s="185" customFormat="1" ht="15" customHeight="1">
      <c r="A57" s="390">
        <v>44327</v>
      </c>
      <c r="B57" s="416" t="s">
        <v>67</v>
      </c>
      <c r="C57" s="268" t="s">
        <v>117</v>
      </c>
      <c r="D57" s="416"/>
      <c r="E57" s="432"/>
      <c r="F57" s="366">
        <v>5000</v>
      </c>
      <c r="G57" s="372">
        <f t="shared" si="0"/>
        <v>28661160</v>
      </c>
      <c r="H57" s="268" t="s">
        <v>60</v>
      </c>
      <c r="I57" s="414"/>
      <c r="J57" s="269"/>
      <c r="K57" s="266"/>
      <c r="L57" s="266"/>
      <c r="M57" s="269"/>
      <c r="N57" s="383"/>
      <c r="O57" s="267"/>
    </row>
    <row r="58" spans="1:15" s="185" customFormat="1" ht="15" customHeight="1">
      <c r="A58" s="390">
        <v>44327</v>
      </c>
      <c r="B58" s="268" t="s">
        <v>308</v>
      </c>
      <c r="C58" s="268" t="s">
        <v>117</v>
      </c>
      <c r="D58" s="268"/>
      <c r="E58" s="366">
        <v>5000</v>
      </c>
      <c r="F58" s="366"/>
      <c r="G58" s="372">
        <f t="shared" si="0"/>
        <v>28666160</v>
      </c>
      <c r="H58" s="268" t="s">
        <v>67</v>
      </c>
      <c r="I58" s="269"/>
      <c r="J58" s="328"/>
      <c r="K58" s="377"/>
      <c r="L58" s="266"/>
      <c r="M58" s="269"/>
      <c r="N58" s="383"/>
      <c r="O58" s="267"/>
    </row>
    <row r="59" spans="1:15" s="185" customFormat="1" ht="15" customHeight="1">
      <c r="A59" s="390">
        <v>44328</v>
      </c>
      <c r="B59" s="416" t="s">
        <v>65</v>
      </c>
      <c r="C59" s="268" t="s">
        <v>117</v>
      </c>
      <c r="D59" s="416"/>
      <c r="E59" s="432"/>
      <c r="F59" s="366">
        <v>226000</v>
      </c>
      <c r="G59" s="372">
        <f t="shared" si="0"/>
        <v>28440160</v>
      </c>
      <c r="H59" s="268" t="s">
        <v>60</v>
      </c>
      <c r="I59" s="414"/>
      <c r="J59" s="328"/>
      <c r="K59" s="266"/>
      <c r="L59" s="266"/>
      <c r="M59" s="269"/>
      <c r="N59" s="383"/>
      <c r="O59" s="266"/>
    </row>
    <row r="60" spans="1:15" s="185" customFormat="1" ht="15" customHeight="1">
      <c r="A60" s="390">
        <v>44328</v>
      </c>
      <c r="B60" s="416" t="s">
        <v>66</v>
      </c>
      <c r="C60" s="268" t="s">
        <v>117</v>
      </c>
      <c r="D60" s="416"/>
      <c r="E60" s="432"/>
      <c r="F60" s="366">
        <v>223000</v>
      </c>
      <c r="G60" s="372">
        <f t="shared" si="0"/>
        <v>28217160</v>
      </c>
      <c r="H60" s="268" t="s">
        <v>60</v>
      </c>
      <c r="I60" s="414"/>
      <c r="J60" s="328"/>
      <c r="K60" s="266"/>
      <c r="L60" s="266"/>
      <c r="M60" s="267"/>
      <c r="N60" s="383"/>
      <c r="O60" s="267"/>
    </row>
    <row r="61" spans="1:15" s="185" customFormat="1" ht="15" customHeight="1">
      <c r="A61" s="390">
        <v>44328</v>
      </c>
      <c r="B61" s="416" t="s">
        <v>119</v>
      </c>
      <c r="C61" s="268" t="s">
        <v>117</v>
      </c>
      <c r="D61" s="416"/>
      <c r="E61" s="432"/>
      <c r="F61" s="366">
        <v>84000</v>
      </c>
      <c r="G61" s="372">
        <f t="shared" si="0"/>
        <v>28133160</v>
      </c>
      <c r="H61" s="268" t="s">
        <v>60</v>
      </c>
      <c r="I61" s="414"/>
      <c r="J61" s="328"/>
      <c r="K61" s="266"/>
      <c r="L61" s="266"/>
      <c r="M61" s="267"/>
      <c r="N61" s="383"/>
      <c r="O61" s="267"/>
    </row>
    <row r="62" spans="1:15" s="185" customFormat="1" ht="15" customHeight="1">
      <c r="A62" s="390">
        <v>44328</v>
      </c>
      <c r="B62" s="416" t="s">
        <v>56</v>
      </c>
      <c r="C62" s="268" t="s">
        <v>117</v>
      </c>
      <c r="D62" s="416"/>
      <c r="E62" s="432">
        <v>1000000</v>
      </c>
      <c r="F62" s="366"/>
      <c r="G62" s="372">
        <f t="shared" si="0"/>
        <v>29133160</v>
      </c>
      <c r="H62" s="371" t="s">
        <v>60</v>
      </c>
      <c r="I62" s="414"/>
      <c r="J62" s="329"/>
      <c r="K62" s="266"/>
      <c r="L62" s="266"/>
      <c r="M62" s="269"/>
      <c r="N62" s="383"/>
      <c r="O62" s="267"/>
    </row>
    <row r="63" spans="1:15" s="185" customFormat="1" ht="15" customHeight="1">
      <c r="A63" s="390">
        <v>44328</v>
      </c>
      <c r="B63" s="416" t="s">
        <v>67</v>
      </c>
      <c r="C63" s="349" t="s">
        <v>117</v>
      </c>
      <c r="D63" s="416"/>
      <c r="E63" s="432"/>
      <c r="F63" s="366">
        <v>9000</v>
      </c>
      <c r="G63" s="372">
        <f t="shared" si="0"/>
        <v>29124160</v>
      </c>
      <c r="H63" s="268" t="s">
        <v>60</v>
      </c>
      <c r="I63" s="414"/>
      <c r="J63" s="328"/>
      <c r="K63" s="266"/>
      <c r="L63" s="266"/>
      <c r="M63" s="267"/>
      <c r="N63" s="336"/>
      <c r="O63" s="267"/>
    </row>
    <row r="64" spans="1:15" s="185" customFormat="1" ht="15" customHeight="1">
      <c r="A64" s="390">
        <v>44328</v>
      </c>
      <c r="B64" s="268" t="s">
        <v>159</v>
      </c>
      <c r="C64" s="349" t="s">
        <v>117</v>
      </c>
      <c r="D64" s="268"/>
      <c r="E64" s="366">
        <v>84000</v>
      </c>
      <c r="F64" s="366"/>
      <c r="G64" s="372">
        <f t="shared" si="0"/>
        <v>29208160</v>
      </c>
      <c r="H64" s="268" t="s">
        <v>119</v>
      </c>
      <c r="I64" s="269"/>
      <c r="J64" s="328"/>
      <c r="K64" s="266"/>
      <c r="L64" s="266"/>
      <c r="M64" s="269"/>
      <c r="N64" s="336"/>
      <c r="O64" s="267"/>
    </row>
    <row r="65" spans="1:64" s="185" customFormat="1" ht="15" customHeight="1">
      <c r="A65" s="390">
        <v>44328</v>
      </c>
      <c r="B65" s="266" t="s">
        <v>322</v>
      </c>
      <c r="C65" s="268" t="s">
        <v>117</v>
      </c>
      <c r="D65" s="379"/>
      <c r="E65" s="375">
        <v>223000</v>
      </c>
      <c r="F65" s="375"/>
      <c r="G65" s="372">
        <f t="shared" si="0"/>
        <v>29431160</v>
      </c>
      <c r="H65" s="267" t="s">
        <v>66</v>
      </c>
      <c r="I65" s="328"/>
      <c r="J65" s="269"/>
      <c r="K65" s="266"/>
      <c r="L65" s="266"/>
      <c r="M65" s="267"/>
      <c r="N65" s="336"/>
      <c r="O65" s="267"/>
    </row>
    <row r="66" spans="1:64" s="185" customFormat="1" ht="15" customHeight="1">
      <c r="A66" s="390">
        <v>44328</v>
      </c>
      <c r="B66" s="266" t="s">
        <v>215</v>
      </c>
      <c r="C66" s="349" t="s">
        <v>117</v>
      </c>
      <c r="D66" s="267"/>
      <c r="E66" s="375">
        <v>226000</v>
      </c>
      <c r="F66" s="375"/>
      <c r="G66" s="372">
        <f t="shared" si="0"/>
        <v>29657160</v>
      </c>
      <c r="H66" s="266" t="s">
        <v>65</v>
      </c>
      <c r="I66" s="328"/>
      <c r="J66" s="329"/>
      <c r="K66" s="266"/>
      <c r="L66" s="266"/>
      <c r="M66" s="267"/>
      <c r="N66" s="336"/>
      <c r="O66" s="267"/>
    </row>
    <row r="67" spans="1:64" s="498" customFormat="1" ht="15" customHeight="1">
      <c r="A67" s="390">
        <v>44328</v>
      </c>
      <c r="B67" s="268" t="s">
        <v>223</v>
      </c>
      <c r="C67" s="268" t="s">
        <v>70</v>
      </c>
      <c r="D67" s="349" t="s">
        <v>118</v>
      </c>
      <c r="E67" s="366"/>
      <c r="F67" s="366">
        <v>10000</v>
      </c>
      <c r="G67" s="372">
        <f t="shared" si="0"/>
        <v>29647160</v>
      </c>
      <c r="H67" s="268" t="s">
        <v>119</v>
      </c>
      <c r="I67" s="269" t="s">
        <v>73</v>
      </c>
      <c r="J67" s="328" t="s">
        <v>151</v>
      </c>
      <c r="K67" s="266" t="s">
        <v>202</v>
      </c>
      <c r="L67" s="266" t="s">
        <v>208</v>
      </c>
      <c r="M67" s="269" t="s">
        <v>431</v>
      </c>
      <c r="N67" s="336" t="s">
        <v>212</v>
      </c>
      <c r="O67" s="269"/>
    </row>
    <row r="68" spans="1:64" s="498" customFormat="1" ht="15" customHeight="1">
      <c r="A68" s="390">
        <v>44328</v>
      </c>
      <c r="B68" s="416" t="s">
        <v>270</v>
      </c>
      <c r="C68" s="419" t="s">
        <v>26</v>
      </c>
      <c r="D68" s="416" t="s">
        <v>59</v>
      </c>
      <c r="E68" s="432"/>
      <c r="F68" s="432">
        <v>33000</v>
      </c>
      <c r="G68" s="489">
        <f t="shared" si="0"/>
        <v>29614160</v>
      </c>
      <c r="H68" s="416" t="s">
        <v>60</v>
      </c>
      <c r="I68" s="414" t="s">
        <v>131</v>
      </c>
      <c r="J68" s="483" t="s">
        <v>200</v>
      </c>
      <c r="K68" s="266" t="s">
        <v>201</v>
      </c>
      <c r="L68" s="266" t="s">
        <v>208</v>
      </c>
      <c r="M68" s="269"/>
      <c r="N68" s="336"/>
      <c r="O68" s="267"/>
    </row>
    <row r="69" spans="1:64" s="498" customFormat="1" ht="15" customHeight="1">
      <c r="A69" s="390">
        <v>44328</v>
      </c>
      <c r="B69" s="416" t="s">
        <v>262</v>
      </c>
      <c r="C69" s="373" t="s">
        <v>61</v>
      </c>
      <c r="D69" s="374" t="s">
        <v>21</v>
      </c>
      <c r="E69" s="366"/>
      <c r="F69" s="366">
        <v>13470</v>
      </c>
      <c r="G69" s="372">
        <f t="shared" si="0"/>
        <v>29600690</v>
      </c>
      <c r="H69" s="268" t="s">
        <v>60</v>
      </c>
      <c r="I69" s="414" t="s">
        <v>73</v>
      </c>
      <c r="J69" s="328" t="s">
        <v>151</v>
      </c>
      <c r="K69" s="377" t="s">
        <v>202</v>
      </c>
      <c r="L69" s="266" t="s">
        <v>208</v>
      </c>
      <c r="M69" s="269" t="s">
        <v>430</v>
      </c>
      <c r="N69" s="269" t="s">
        <v>203</v>
      </c>
      <c r="O69" s="267"/>
    </row>
    <row r="70" spans="1:64" s="498" customFormat="1" ht="15" customHeight="1">
      <c r="A70" s="390">
        <v>44329</v>
      </c>
      <c r="B70" s="266" t="s">
        <v>515</v>
      </c>
      <c r="C70" s="349" t="s">
        <v>224</v>
      </c>
      <c r="D70" s="379" t="s">
        <v>320</v>
      </c>
      <c r="E70" s="375"/>
      <c r="F70" s="375">
        <v>45000</v>
      </c>
      <c r="G70" s="372">
        <f t="shared" si="0"/>
        <v>29555690</v>
      </c>
      <c r="H70" s="267" t="s">
        <v>66</v>
      </c>
      <c r="I70" s="328" t="s">
        <v>73</v>
      </c>
      <c r="J70" s="328" t="s">
        <v>151</v>
      </c>
      <c r="K70" s="266" t="s">
        <v>202</v>
      </c>
      <c r="L70" s="266" t="s">
        <v>208</v>
      </c>
      <c r="M70" s="269" t="s">
        <v>433</v>
      </c>
      <c r="N70" s="336" t="s">
        <v>213</v>
      </c>
      <c r="O70" s="267"/>
    </row>
    <row r="71" spans="1:64" s="498" customFormat="1" ht="15" customHeight="1">
      <c r="A71" s="390">
        <v>44329</v>
      </c>
      <c r="B71" s="268" t="s">
        <v>293</v>
      </c>
      <c r="C71" s="349" t="s">
        <v>70</v>
      </c>
      <c r="D71" s="349" t="s">
        <v>118</v>
      </c>
      <c r="E71" s="366"/>
      <c r="F71" s="366">
        <v>8000</v>
      </c>
      <c r="G71" s="372">
        <f t="shared" si="0"/>
        <v>29547690</v>
      </c>
      <c r="H71" s="268" t="s">
        <v>119</v>
      </c>
      <c r="I71" s="269" t="s">
        <v>73</v>
      </c>
      <c r="J71" s="328" t="s">
        <v>151</v>
      </c>
      <c r="K71" s="266" t="s">
        <v>202</v>
      </c>
      <c r="L71" s="266" t="s">
        <v>208</v>
      </c>
      <c r="M71" s="269" t="s">
        <v>432</v>
      </c>
      <c r="N71" s="336" t="s">
        <v>212</v>
      </c>
      <c r="O71" s="267"/>
    </row>
    <row r="72" spans="1:64" s="498" customFormat="1" ht="15" customHeight="1">
      <c r="A72" s="390">
        <v>44329</v>
      </c>
      <c r="B72" s="266" t="s">
        <v>325</v>
      </c>
      <c r="C72" s="376" t="s">
        <v>70</v>
      </c>
      <c r="D72" s="464" t="s">
        <v>320</v>
      </c>
      <c r="E72" s="375"/>
      <c r="F72" s="375">
        <v>7000</v>
      </c>
      <c r="G72" s="372">
        <f t="shared" si="0"/>
        <v>29540690</v>
      </c>
      <c r="H72" s="475" t="s">
        <v>66</v>
      </c>
      <c r="I72" s="328" t="s">
        <v>73</v>
      </c>
      <c r="J72" s="328" t="s">
        <v>151</v>
      </c>
      <c r="K72" s="266" t="s">
        <v>202</v>
      </c>
      <c r="L72" s="266" t="s">
        <v>208</v>
      </c>
      <c r="M72" s="269" t="s">
        <v>434</v>
      </c>
      <c r="N72" s="336" t="s">
        <v>212</v>
      </c>
      <c r="O72" s="267"/>
    </row>
    <row r="73" spans="1:64" s="185" customFormat="1" ht="15" customHeight="1">
      <c r="A73" s="390">
        <v>44330</v>
      </c>
      <c r="B73" s="266" t="s">
        <v>326</v>
      </c>
      <c r="C73" s="376" t="s">
        <v>20</v>
      </c>
      <c r="D73" s="464" t="s">
        <v>320</v>
      </c>
      <c r="E73" s="375"/>
      <c r="F73" s="375">
        <v>5000</v>
      </c>
      <c r="G73" s="372">
        <f t="shared" si="0"/>
        <v>29535690</v>
      </c>
      <c r="H73" s="267" t="s">
        <v>66</v>
      </c>
      <c r="I73" s="328" t="s">
        <v>73</v>
      </c>
      <c r="J73" s="328" t="s">
        <v>200</v>
      </c>
      <c r="K73" s="380" t="s">
        <v>201</v>
      </c>
      <c r="L73" s="266" t="s">
        <v>208</v>
      </c>
      <c r="M73" s="269"/>
      <c r="N73" s="381"/>
      <c r="O73" s="267"/>
    </row>
    <row r="74" spans="1:64" s="498" customFormat="1" ht="15" customHeight="1">
      <c r="A74" s="390">
        <v>44333</v>
      </c>
      <c r="B74" s="266" t="s">
        <v>516</v>
      </c>
      <c r="C74" s="349" t="s">
        <v>224</v>
      </c>
      <c r="D74" s="379" t="s">
        <v>320</v>
      </c>
      <c r="E74" s="375"/>
      <c r="F74" s="375">
        <v>60000</v>
      </c>
      <c r="G74" s="372">
        <f t="shared" si="0"/>
        <v>29475690</v>
      </c>
      <c r="H74" s="267" t="s">
        <v>66</v>
      </c>
      <c r="I74" s="328" t="s">
        <v>73</v>
      </c>
      <c r="J74" s="328" t="s">
        <v>151</v>
      </c>
      <c r="K74" s="266" t="s">
        <v>202</v>
      </c>
      <c r="L74" s="266" t="s">
        <v>208</v>
      </c>
      <c r="M74" s="269" t="s">
        <v>446</v>
      </c>
      <c r="N74" s="336" t="s">
        <v>213</v>
      </c>
      <c r="O74" s="267"/>
    </row>
    <row r="75" spans="1:64" s="185" customFormat="1" ht="15" customHeight="1">
      <c r="A75" s="390">
        <v>44333</v>
      </c>
      <c r="B75" s="266" t="s">
        <v>347</v>
      </c>
      <c r="C75" s="376" t="s">
        <v>20</v>
      </c>
      <c r="D75" s="379" t="s">
        <v>320</v>
      </c>
      <c r="E75" s="375"/>
      <c r="F75" s="375">
        <v>5000</v>
      </c>
      <c r="G75" s="372">
        <f t="shared" si="0"/>
        <v>29470690</v>
      </c>
      <c r="H75" s="266" t="s">
        <v>65</v>
      </c>
      <c r="I75" s="269" t="s">
        <v>131</v>
      </c>
      <c r="J75" s="328" t="s">
        <v>200</v>
      </c>
      <c r="K75" s="266" t="s">
        <v>201</v>
      </c>
      <c r="L75" s="266" t="s">
        <v>208</v>
      </c>
      <c r="M75" s="267"/>
      <c r="N75" s="336"/>
      <c r="O75" s="267"/>
    </row>
    <row r="76" spans="1:64" s="185" customFormat="1" ht="15" customHeight="1">
      <c r="A76" s="390">
        <v>44333</v>
      </c>
      <c r="B76" s="424" t="s">
        <v>240</v>
      </c>
      <c r="C76" s="349" t="s">
        <v>117</v>
      </c>
      <c r="D76" s="424"/>
      <c r="E76" s="435"/>
      <c r="F76" s="432">
        <v>1000000</v>
      </c>
      <c r="G76" s="372">
        <f t="shared" si="0"/>
        <v>28470690</v>
      </c>
      <c r="H76" s="266" t="s">
        <v>56</v>
      </c>
      <c r="I76" s="414">
        <v>3654446</v>
      </c>
      <c r="J76" s="329"/>
      <c r="K76" s="266"/>
      <c r="L76" s="266"/>
      <c r="M76" s="267"/>
      <c r="N76" s="336"/>
      <c r="O76" s="267"/>
    </row>
    <row r="77" spans="1:64" s="185" customFormat="1" ht="15" customHeight="1">
      <c r="A77" s="390">
        <v>44333</v>
      </c>
      <c r="B77" s="416" t="s">
        <v>120</v>
      </c>
      <c r="C77" s="461" t="s">
        <v>117</v>
      </c>
      <c r="D77" s="467"/>
      <c r="E77" s="432"/>
      <c r="F77" s="366">
        <v>121000</v>
      </c>
      <c r="G77" s="372">
        <f t="shared" ref="G77:G140" si="1">+G76+E77-F77</f>
        <v>28349690</v>
      </c>
      <c r="H77" s="268" t="s">
        <v>60</v>
      </c>
      <c r="I77" s="414"/>
      <c r="J77" s="269"/>
      <c r="K77" s="266"/>
      <c r="L77" s="266"/>
      <c r="M77" s="269"/>
      <c r="N77" s="336"/>
      <c r="O77" s="267"/>
    </row>
    <row r="78" spans="1:64" s="365" customFormat="1" ht="15" customHeight="1">
      <c r="A78" s="390">
        <v>44333</v>
      </c>
      <c r="B78" s="416" t="s">
        <v>88</v>
      </c>
      <c r="C78" s="268" t="s">
        <v>117</v>
      </c>
      <c r="D78" s="419"/>
      <c r="E78" s="432"/>
      <c r="F78" s="366">
        <v>165000</v>
      </c>
      <c r="G78" s="372">
        <f t="shared" si="1"/>
        <v>28184690</v>
      </c>
      <c r="H78" s="268" t="s">
        <v>60</v>
      </c>
      <c r="I78" s="414"/>
      <c r="J78" s="328"/>
      <c r="K78" s="266"/>
      <c r="L78" s="266"/>
      <c r="M78" s="267"/>
      <c r="N78" s="336"/>
      <c r="O78" s="267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</row>
    <row r="79" spans="1:64" s="185" customFormat="1" ht="15" customHeight="1">
      <c r="A79" s="390">
        <v>44333</v>
      </c>
      <c r="B79" s="416" t="s">
        <v>67</v>
      </c>
      <c r="C79" s="268" t="s">
        <v>117</v>
      </c>
      <c r="D79" s="416"/>
      <c r="E79" s="432"/>
      <c r="F79" s="366">
        <v>121000</v>
      </c>
      <c r="G79" s="372">
        <f t="shared" si="1"/>
        <v>28063690</v>
      </c>
      <c r="H79" s="268" t="s">
        <v>60</v>
      </c>
      <c r="I79" s="414"/>
      <c r="J79" s="269"/>
      <c r="K79" s="266"/>
      <c r="L79" s="266"/>
      <c r="M79" s="267"/>
      <c r="N79" s="336"/>
      <c r="O79" s="267"/>
    </row>
    <row r="80" spans="1:64" s="185" customFormat="1" ht="15" customHeight="1">
      <c r="A80" s="390">
        <v>44333</v>
      </c>
      <c r="B80" s="268" t="s">
        <v>221</v>
      </c>
      <c r="C80" s="268" t="s">
        <v>117</v>
      </c>
      <c r="D80" s="349"/>
      <c r="E80" s="366"/>
      <c r="F80" s="366">
        <v>121000</v>
      </c>
      <c r="G80" s="372">
        <f t="shared" si="1"/>
        <v>27942690</v>
      </c>
      <c r="H80" s="268" t="s">
        <v>60</v>
      </c>
      <c r="I80" s="414"/>
      <c r="J80" s="328"/>
      <c r="K80" s="266"/>
      <c r="L80" s="266"/>
      <c r="M80" s="267"/>
      <c r="N80" s="336"/>
      <c r="O80" s="267"/>
    </row>
    <row r="81" spans="1:64" s="185" customFormat="1" ht="15" customHeight="1">
      <c r="A81" s="390">
        <v>44333</v>
      </c>
      <c r="B81" s="268" t="s">
        <v>88</v>
      </c>
      <c r="C81" s="349" t="s">
        <v>117</v>
      </c>
      <c r="D81" s="349"/>
      <c r="E81" s="366"/>
      <c r="F81" s="366">
        <v>121000</v>
      </c>
      <c r="G81" s="372">
        <f t="shared" si="1"/>
        <v>27821690</v>
      </c>
      <c r="H81" s="268" t="s">
        <v>60</v>
      </c>
      <c r="I81" s="414"/>
      <c r="J81" s="328"/>
      <c r="K81" s="266"/>
      <c r="L81" s="266"/>
      <c r="M81" s="269"/>
      <c r="N81" s="336"/>
      <c r="O81" s="267"/>
    </row>
    <row r="82" spans="1:64" s="185" customFormat="1" ht="15" customHeight="1">
      <c r="A82" s="390">
        <v>44333</v>
      </c>
      <c r="B82" s="416" t="s">
        <v>88</v>
      </c>
      <c r="C82" s="349" t="s">
        <v>117</v>
      </c>
      <c r="D82" s="416"/>
      <c r="E82" s="366"/>
      <c r="F82" s="366">
        <v>273000</v>
      </c>
      <c r="G82" s="372">
        <f t="shared" si="1"/>
        <v>27548690</v>
      </c>
      <c r="H82" s="371" t="s">
        <v>60</v>
      </c>
      <c r="I82" s="414"/>
      <c r="J82" s="328"/>
      <c r="K82" s="266"/>
      <c r="L82" s="266"/>
      <c r="M82" s="267"/>
      <c r="N82" s="336"/>
      <c r="O82" s="267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</row>
    <row r="83" spans="1:64" s="185" customFormat="1" ht="15" customHeight="1">
      <c r="A83" s="390">
        <v>44333</v>
      </c>
      <c r="B83" s="268" t="s">
        <v>66</v>
      </c>
      <c r="C83" s="349" t="s">
        <v>117</v>
      </c>
      <c r="D83" s="268"/>
      <c r="E83" s="471"/>
      <c r="F83" s="366">
        <v>49000</v>
      </c>
      <c r="G83" s="372">
        <f t="shared" si="1"/>
        <v>27499690</v>
      </c>
      <c r="H83" s="268" t="s">
        <v>60</v>
      </c>
      <c r="I83" s="414"/>
      <c r="J83" s="328"/>
      <c r="K83" s="266"/>
      <c r="L83" s="266"/>
      <c r="M83" s="269"/>
      <c r="N83" s="336"/>
      <c r="O83" s="267"/>
    </row>
    <row r="84" spans="1:64" s="185" customFormat="1" ht="15" customHeight="1">
      <c r="A84" s="390">
        <v>44333</v>
      </c>
      <c r="B84" s="266" t="s">
        <v>166</v>
      </c>
      <c r="C84" s="349" t="s">
        <v>117</v>
      </c>
      <c r="D84" s="266"/>
      <c r="E84" s="470">
        <v>165000</v>
      </c>
      <c r="F84" s="375"/>
      <c r="G84" s="372">
        <f t="shared" si="1"/>
        <v>27664690</v>
      </c>
      <c r="H84" s="266" t="s">
        <v>88</v>
      </c>
      <c r="I84" s="328"/>
      <c r="J84" s="328"/>
      <c r="K84" s="266"/>
      <c r="L84" s="266"/>
      <c r="M84" s="269"/>
      <c r="N84" s="336"/>
      <c r="O84" s="267"/>
    </row>
    <row r="85" spans="1:64" s="185" customFormat="1" ht="15" customHeight="1">
      <c r="A85" s="390">
        <v>44333</v>
      </c>
      <c r="B85" s="266" t="s">
        <v>166</v>
      </c>
      <c r="C85" s="349" t="s">
        <v>117</v>
      </c>
      <c r="D85" s="266"/>
      <c r="E85" s="470">
        <v>273000</v>
      </c>
      <c r="F85" s="375"/>
      <c r="G85" s="372">
        <f t="shared" si="1"/>
        <v>27937690</v>
      </c>
      <c r="H85" s="266" t="s">
        <v>88</v>
      </c>
      <c r="I85" s="328"/>
      <c r="J85" s="328"/>
      <c r="K85" s="377"/>
      <c r="L85" s="266"/>
      <c r="M85" s="269"/>
      <c r="N85" s="336"/>
      <c r="O85" s="267"/>
    </row>
    <row r="86" spans="1:64" s="185" customFormat="1" ht="15" customHeight="1">
      <c r="A86" s="390">
        <v>44333</v>
      </c>
      <c r="B86" s="266" t="s">
        <v>166</v>
      </c>
      <c r="C86" s="268" t="s">
        <v>117</v>
      </c>
      <c r="D86" s="266"/>
      <c r="E86" s="470">
        <v>121000</v>
      </c>
      <c r="F86" s="375"/>
      <c r="G86" s="372">
        <f t="shared" si="1"/>
        <v>28058690</v>
      </c>
      <c r="H86" s="266" t="s">
        <v>88</v>
      </c>
      <c r="I86" s="328"/>
      <c r="J86" s="328"/>
      <c r="K86" s="266"/>
      <c r="L86" s="266"/>
      <c r="M86" s="269"/>
      <c r="N86" s="336"/>
      <c r="O86" s="267"/>
    </row>
    <row r="87" spans="1:64" s="185" customFormat="1" ht="15" customHeight="1">
      <c r="A87" s="390">
        <v>44333</v>
      </c>
      <c r="B87" s="268" t="s">
        <v>308</v>
      </c>
      <c r="C87" s="349" t="s">
        <v>117</v>
      </c>
      <c r="D87" s="268"/>
      <c r="E87" s="471">
        <v>9000</v>
      </c>
      <c r="F87" s="366"/>
      <c r="G87" s="372">
        <f t="shared" si="1"/>
        <v>28067690</v>
      </c>
      <c r="H87" s="268" t="s">
        <v>67</v>
      </c>
      <c r="I87" s="269"/>
      <c r="J87" s="328"/>
      <c r="K87" s="266"/>
      <c r="L87" s="266"/>
      <c r="M87" s="269"/>
      <c r="N87" s="336"/>
      <c r="O87" s="267"/>
    </row>
    <row r="88" spans="1:64" s="365" customFormat="1" ht="15" customHeight="1">
      <c r="A88" s="390">
        <v>44333</v>
      </c>
      <c r="B88" s="268" t="s">
        <v>308</v>
      </c>
      <c r="C88" s="349" t="s">
        <v>117</v>
      </c>
      <c r="D88" s="268"/>
      <c r="E88" s="471">
        <v>121000</v>
      </c>
      <c r="F88" s="366"/>
      <c r="G88" s="372">
        <f t="shared" si="1"/>
        <v>28188690</v>
      </c>
      <c r="H88" s="268" t="s">
        <v>67</v>
      </c>
      <c r="I88" s="269"/>
      <c r="J88" s="269"/>
      <c r="K88" s="266"/>
      <c r="L88" s="266"/>
      <c r="M88" s="269"/>
      <c r="N88" s="336"/>
      <c r="O88" s="267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</row>
    <row r="89" spans="1:64" s="185" customFormat="1" ht="15" customHeight="1">
      <c r="A89" s="390">
        <v>44333</v>
      </c>
      <c r="B89" s="268" t="s">
        <v>313</v>
      </c>
      <c r="C89" s="268" t="s">
        <v>117</v>
      </c>
      <c r="D89" s="349"/>
      <c r="E89" s="471">
        <v>121000</v>
      </c>
      <c r="F89" s="366"/>
      <c r="G89" s="372">
        <f t="shared" si="1"/>
        <v>28309690</v>
      </c>
      <c r="H89" s="268" t="s">
        <v>120</v>
      </c>
      <c r="I89" s="426"/>
      <c r="J89" s="328"/>
      <c r="K89" s="266"/>
      <c r="L89" s="266"/>
      <c r="M89" s="269"/>
      <c r="N89" s="336"/>
      <c r="O89" s="267"/>
    </row>
    <row r="90" spans="1:64" s="185" customFormat="1" ht="15" customHeight="1">
      <c r="A90" s="390">
        <v>44333</v>
      </c>
      <c r="B90" s="424" t="s">
        <v>225</v>
      </c>
      <c r="C90" s="268" t="s">
        <v>117</v>
      </c>
      <c r="D90" s="424"/>
      <c r="E90" s="438">
        <v>121000</v>
      </c>
      <c r="F90" s="429"/>
      <c r="G90" s="372">
        <f t="shared" si="1"/>
        <v>28430690</v>
      </c>
      <c r="H90" s="266" t="s">
        <v>74</v>
      </c>
      <c r="I90" s="427"/>
      <c r="J90" s="328"/>
      <c r="K90" s="266"/>
      <c r="L90" s="266"/>
      <c r="M90" s="269"/>
      <c r="N90" s="336"/>
      <c r="O90" s="267"/>
    </row>
    <row r="91" spans="1:64" s="185" customFormat="1" ht="15" customHeight="1">
      <c r="A91" s="390">
        <v>44333</v>
      </c>
      <c r="B91" s="266" t="s">
        <v>348</v>
      </c>
      <c r="C91" s="376" t="s">
        <v>20</v>
      </c>
      <c r="D91" s="379" t="s">
        <v>320</v>
      </c>
      <c r="E91" s="470"/>
      <c r="F91" s="375">
        <v>20000</v>
      </c>
      <c r="G91" s="372">
        <f t="shared" si="1"/>
        <v>28410690</v>
      </c>
      <c r="H91" s="266" t="s">
        <v>65</v>
      </c>
      <c r="I91" s="328" t="s">
        <v>73</v>
      </c>
      <c r="J91" s="328" t="s">
        <v>200</v>
      </c>
      <c r="K91" s="266" t="s">
        <v>201</v>
      </c>
      <c r="L91" s="266" t="s">
        <v>208</v>
      </c>
      <c r="M91" s="267"/>
      <c r="N91" s="336"/>
      <c r="O91" s="267"/>
    </row>
    <row r="92" spans="1:64" s="498" customFormat="1" ht="15" customHeight="1">
      <c r="A92" s="390">
        <v>44333</v>
      </c>
      <c r="B92" s="266" t="s">
        <v>296</v>
      </c>
      <c r="C92" s="376" t="s">
        <v>70</v>
      </c>
      <c r="D92" s="267" t="s">
        <v>290</v>
      </c>
      <c r="E92" s="375"/>
      <c r="F92" s="375">
        <v>15000</v>
      </c>
      <c r="G92" s="372">
        <f t="shared" si="1"/>
        <v>28395690</v>
      </c>
      <c r="H92" s="474" t="s">
        <v>88</v>
      </c>
      <c r="I92" s="328" t="s">
        <v>73</v>
      </c>
      <c r="J92" s="328" t="s">
        <v>151</v>
      </c>
      <c r="K92" s="266" t="s">
        <v>202</v>
      </c>
      <c r="L92" s="266" t="s">
        <v>208</v>
      </c>
      <c r="M92" s="269" t="s">
        <v>443</v>
      </c>
      <c r="N92" s="336" t="s">
        <v>212</v>
      </c>
      <c r="O92" s="267"/>
      <c r="P92" s="499"/>
      <c r="Q92" s="499"/>
      <c r="R92" s="499"/>
      <c r="S92" s="499"/>
      <c r="T92" s="499"/>
      <c r="U92" s="499"/>
      <c r="V92" s="499"/>
      <c r="W92" s="499"/>
      <c r="X92" s="499"/>
      <c r="Y92" s="499"/>
      <c r="Z92" s="499"/>
      <c r="AA92" s="499"/>
      <c r="AB92" s="499"/>
      <c r="AC92" s="499"/>
      <c r="AD92" s="499"/>
      <c r="AE92" s="499"/>
      <c r="AF92" s="499"/>
      <c r="AG92" s="499"/>
      <c r="AH92" s="499"/>
      <c r="AI92" s="499"/>
      <c r="AJ92" s="499"/>
      <c r="AK92" s="499"/>
      <c r="AL92" s="499"/>
      <c r="AM92" s="499"/>
      <c r="AN92" s="499"/>
      <c r="AO92" s="499"/>
      <c r="AP92" s="499"/>
      <c r="AQ92" s="499"/>
      <c r="AR92" s="499"/>
      <c r="AS92" s="499"/>
      <c r="AT92" s="499"/>
      <c r="AU92" s="499"/>
      <c r="AV92" s="499"/>
      <c r="AW92" s="499"/>
      <c r="AX92" s="499"/>
      <c r="AY92" s="499"/>
      <c r="AZ92" s="499"/>
      <c r="BA92" s="499"/>
      <c r="BB92" s="499"/>
      <c r="BC92" s="499"/>
      <c r="BD92" s="499"/>
      <c r="BE92" s="499"/>
      <c r="BF92" s="499"/>
      <c r="BG92" s="499"/>
      <c r="BH92" s="499"/>
      <c r="BI92" s="499"/>
      <c r="BJ92" s="499"/>
      <c r="BK92" s="499"/>
      <c r="BL92" s="499"/>
    </row>
    <row r="93" spans="1:64" s="499" customFormat="1" ht="15" customHeight="1">
      <c r="A93" s="390">
        <v>44333</v>
      </c>
      <c r="B93" s="268" t="s">
        <v>309</v>
      </c>
      <c r="C93" s="268" t="s">
        <v>70</v>
      </c>
      <c r="D93" s="388" t="s">
        <v>290</v>
      </c>
      <c r="E93" s="471"/>
      <c r="F93" s="366">
        <v>15000</v>
      </c>
      <c r="G93" s="372">
        <f t="shared" si="1"/>
        <v>28380690</v>
      </c>
      <c r="H93" s="268" t="s">
        <v>67</v>
      </c>
      <c r="I93" s="269" t="s">
        <v>73</v>
      </c>
      <c r="J93" s="328" t="s">
        <v>151</v>
      </c>
      <c r="K93" s="266" t="s">
        <v>202</v>
      </c>
      <c r="L93" s="266" t="s">
        <v>208</v>
      </c>
      <c r="M93" s="269" t="s">
        <v>444</v>
      </c>
      <c r="N93" s="336" t="s">
        <v>212</v>
      </c>
      <c r="O93" s="267"/>
      <c r="P93" s="498"/>
      <c r="Q93" s="498"/>
      <c r="R93" s="498"/>
      <c r="S93" s="498"/>
      <c r="T93" s="498"/>
      <c r="U93" s="498"/>
      <c r="V93" s="498"/>
      <c r="W93" s="498"/>
      <c r="X93" s="498"/>
      <c r="Y93" s="498"/>
      <c r="Z93" s="498"/>
      <c r="AA93" s="498"/>
      <c r="AB93" s="498"/>
      <c r="AC93" s="498"/>
      <c r="AD93" s="498"/>
      <c r="AE93" s="498"/>
      <c r="AF93" s="498"/>
      <c r="AG93" s="498"/>
      <c r="AH93" s="498"/>
      <c r="AI93" s="498"/>
      <c r="AJ93" s="498"/>
      <c r="AK93" s="498"/>
      <c r="AL93" s="498"/>
      <c r="AM93" s="498"/>
      <c r="AN93" s="498"/>
      <c r="AO93" s="498"/>
      <c r="AP93" s="498"/>
      <c r="AQ93" s="498"/>
      <c r="AR93" s="498"/>
      <c r="AS93" s="498"/>
      <c r="AT93" s="498"/>
      <c r="AU93" s="498"/>
      <c r="AV93" s="498"/>
      <c r="AW93" s="498"/>
      <c r="AX93" s="498"/>
      <c r="AY93" s="498"/>
      <c r="AZ93" s="498"/>
      <c r="BA93" s="498"/>
      <c r="BB93" s="498"/>
      <c r="BC93" s="498"/>
      <c r="BD93" s="498"/>
      <c r="BE93" s="498"/>
      <c r="BF93" s="498"/>
      <c r="BG93" s="498"/>
      <c r="BH93" s="498"/>
      <c r="BI93" s="498"/>
      <c r="BJ93" s="498"/>
      <c r="BK93" s="498"/>
      <c r="BL93" s="498"/>
    </row>
    <row r="94" spans="1:64" s="498" customFormat="1" ht="15" customHeight="1">
      <c r="A94" s="390">
        <v>44333</v>
      </c>
      <c r="B94" s="268" t="s">
        <v>314</v>
      </c>
      <c r="C94" s="349" t="s">
        <v>70</v>
      </c>
      <c r="D94" s="267" t="s">
        <v>290</v>
      </c>
      <c r="E94" s="471"/>
      <c r="F94" s="366">
        <v>15000</v>
      </c>
      <c r="G94" s="372">
        <f t="shared" si="1"/>
        <v>28365690</v>
      </c>
      <c r="H94" s="268" t="s">
        <v>120</v>
      </c>
      <c r="I94" s="426" t="s">
        <v>73</v>
      </c>
      <c r="J94" s="328" t="s">
        <v>151</v>
      </c>
      <c r="K94" s="266" t="s">
        <v>202</v>
      </c>
      <c r="L94" s="266" t="s">
        <v>208</v>
      </c>
      <c r="M94" s="269" t="s">
        <v>445</v>
      </c>
      <c r="N94" s="336" t="s">
        <v>212</v>
      </c>
      <c r="O94" s="267"/>
    </row>
    <row r="95" spans="1:64" s="498" customFormat="1" ht="15" customHeight="1">
      <c r="A95" s="390">
        <v>44333</v>
      </c>
      <c r="B95" s="266" t="s">
        <v>327</v>
      </c>
      <c r="C95" s="376" t="s">
        <v>70</v>
      </c>
      <c r="D95" s="379" t="s">
        <v>320</v>
      </c>
      <c r="E95" s="470"/>
      <c r="F95" s="375">
        <v>9000</v>
      </c>
      <c r="G95" s="372">
        <f t="shared" si="1"/>
        <v>28356690</v>
      </c>
      <c r="H95" s="267" t="s">
        <v>66</v>
      </c>
      <c r="I95" s="328" t="s">
        <v>73</v>
      </c>
      <c r="J95" s="328" t="s">
        <v>151</v>
      </c>
      <c r="K95" s="266" t="s">
        <v>202</v>
      </c>
      <c r="L95" s="266" t="s">
        <v>208</v>
      </c>
      <c r="M95" s="269" t="s">
        <v>447</v>
      </c>
      <c r="N95" s="336" t="s">
        <v>212</v>
      </c>
      <c r="O95" s="267"/>
    </row>
    <row r="96" spans="1:64" s="498" customFormat="1" ht="15" customHeight="1">
      <c r="A96" s="390">
        <v>44333</v>
      </c>
      <c r="B96" s="424" t="s">
        <v>506</v>
      </c>
      <c r="C96" s="459" t="s">
        <v>70</v>
      </c>
      <c r="D96" s="388" t="s">
        <v>290</v>
      </c>
      <c r="E96" s="438"/>
      <c r="F96" s="429">
        <v>15000</v>
      </c>
      <c r="G96" s="372">
        <f t="shared" si="1"/>
        <v>28341690</v>
      </c>
      <c r="H96" s="266" t="s">
        <v>74</v>
      </c>
      <c r="I96" s="427" t="s">
        <v>73</v>
      </c>
      <c r="J96" s="328" t="s">
        <v>151</v>
      </c>
      <c r="K96" s="266" t="s">
        <v>202</v>
      </c>
      <c r="L96" s="266" t="s">
        <v>208</v>
      </c>
      <c r="M96" s="269" t="s">
        <v>448</v>
      </c>
      <c r="N96" s="336" t="s">
        <v>212</v>
      </c>
      <c r="O96" s="267"/>
    </row>
    <row r="97" spans="1:64" s="498" customFormat="1" ht="15" customHeight="1">
      <c r="A97" s="390">
        <v>44333</v>
      </c>
      <c r="B97" s="416" t="s">
        <v>361</v>
      </c>
      <c r="C97" s="374" t="s">
        <v>549</v>
      </c>
      <c r="D97" s="374" t="s">
        <v>21</v>
      </c>
      <c r="E97" s="437"/>
      <c r="F97" s="366">
        <v>25000</v>
      </c>
      <c r="G97" s="372">
        <f t="shared" si="1"/>
        <v>28316690</v>
      </c>
      <c r="H97" s="268" t="s">
        <v>60</v>
      </c>
      <c r="I97" s="414" t="s">
        <v>73</v>
      </c>
      <c r="J97" s="269" t="s">
        <v>151</v>
      </c>
      <c r="K97" s="266" t="s">
        <v>202</v>
      </c>
      <c r="L97" s="266" t="s">
        <v>208</v>
      </c>
      <c r="M97" s="269" t="s">
        <v>442</v>
      </c>
      <c r="N97" s="336" t="s">
        <v>211</v>
      </c>
      <c r="O97" s="267"/>
    </row>
    <row r="98" spans="1:64" s="498" customFormat="1" ht="15" customHeight="1">
      <c r="A98" s="390">
        <v>44333</v>
      </c>
      <c r="B98" s="416" t="s">
        <v>263</v>
      </c>
      <c r="C98" s="457" t="s">
        <v>20</v>
      </c>
      <c r="D98" s="419" t="s">
        <v>19</v>
      </c>
      <c r="E98" s="437"/>
      <c r="F98" s="366">
        <v>25000</v>
      </c>
      <c r="G98" s="372">
        <f t="shared" si="1"/>
        <v>28291690</v>
      </c>
      <c r="H98" s="268" t="s">
        <v>60</v>
      </c>
      <c r="I98" s="414" t="s">
        <v>73</v>
      </c>
      <c r="J98" s="328" t="s">
        <v>151</v>
      </c>
      <c r="K98" s="377" t="s">
        <v>202</v>
      </c>
      <c r="L98" s="266" t="s">
        <v>208</v>
      </c>
      <c r="M98" s="269" t="s">
        <v>435</v>
      </c>
      <c r="N98" s="336" t="s">
        <v>210</v>
      </c>
      <c r="O98" s="267"/>
    </row>
    <row r="99" spans="1:64" s="498" customFormat="1" ht="15" customHeight="1">
      <c r="A99" s="390">
        <v>44333</v>
      </c>
      <c r="B99" s="416" t="s">
        <v>264</v>
      </c>
      <c r="C99" s="457" t="s">
        <v>20</v>
      </c>
      <c r="D99" s="419" t="s">
        <v>118</v>
      </c>
      <c r="E99" s="437"/>
      <c r="F99" s="366">
        <v>20000</v>
      </c>
      <c r="G99" s="372">
        <f t="shared" si="1"/>
        <v>28271690</v>
      </c>
      <c r="H99" s="268" t="s">
        <v>60</v>
      </c>
      <c r="I99" s="414" t="s">
        <v>73</v>
      </c>
      <c r="J99" s="328" t="s">
        <v>151</v>
      </c>
      <c r="K99" s="377" t="s">
        <v>202</v>
      </c>
      <c r="L99" s="266" t="s">
        <v>208</v>
      </c>
      <c r="M99" s="269" t="s">
        <v>436</v>
      </c>
      <c r="N99" s="336" t="s">
        <v>210</v>
      </c>
      <c r="O99" s="267"/>
    </row>
    <row r="100" spans="1:64" s="498" customFormat="1" ht="15" customHeight="1">
      <c r="A100" s="390">
        <v>44333</v>
      </c>
      <c r="B100" s="416" t="s">
        <v>265</v>
      </c>
      <c r="C100" s="457" t="s">
        <v>20</v>
      </c>
      <c r="D100" s="419" t="s">
        <v>59</v>
      </c>
      <c r="E100" s="437"/>
      <c r="F100" s="366">
        <v>5000</v>
      </c>
      <c r="G100" s="372">
        <f t="shared" si="1"/>
        <v>28266690</v>
      </c>
      <c r="H100" s="268" t="s">
        <v>60</v>
      </c>
      <c r="I100" s="414" t="s">
        <v>73</v>
      </c>
      <c r="J100" s="328" t="s">
        <v>151</v>
      </c>
      <c r="K100" s="377" t="s">
        <v>202</v>
      </c>
      <c r="L100" s="266" t="s">
        <v>208</v>
      </c>
      <c r="M100" s="269" t="s">
        <v>437</v>
      </c>
      <c r="N100" s="336" t="s">
        <v>210</v>
      </c>
      <c r="O100" s="266"/>
    </row>
    <row r="101" spans="1:64" s="498" customFormat="1" ht="15" customHeight="1">
      <c r="A101" s="390">
        <v>44333</v>
      </c>
      <c r="B101" s="416" t="s">
        <v>266</v>
      </c>
      <c r="C101" s="457" t="s">
        <v>20</v>
      </c>
      <c r="D101" s="379" t="s">
        <v>320</v>
      </c>
      <c r="E101" s="432"/>
      <c r="F101" s="366">
        <v>20000</v>
      </c>
      <c r="G101" s="372">
        <f t="shared" si="1"/>
        <v>28246690</v>
      </c>
      <c r="H101" s="268" t="s">
        <v>60</v>
      </c>
      <c r="I101" s="414" t="s">
        <v>73</v>
      </c>
      <c r="J101" s="328" t="s">
        <v>151</v>
      </c>
      <c r="K101" s="377" t="s">
        <v>202</v>
      </c>
      <c r="L101" s="266" t="s">
        <v>208</v>
      </c>
      <c r="M101" s="269" t="s">
        <v>438</v>
      </c>
      <c r="N101" s="336" t="s">
        <v>210</v>
      </c>
      <c r="O101" s="266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99"/>
      <c r="AD101" s="499"/>
      <c r="AE101" s="499"/>
      <c r="AF101" s="499"/>
      <c r="AG101" s="499"/>
      <c r="AH101" s="499"/>
      <c r="AI101" s="499"/>
      <c r="AJ101" s="499"/>
      <c r="AK101" s="499"/>
      <c r="AL101" s="499"/>
      <c r="AM101" s="499"/>
      <c r="AN101" s="499"/>
      <c r="AO101" s="499"/>
      <c r="AP101" s="499"/>
      <c r="AQ101" s="499"/>
      <c r="AR101" s="499"/>
      <c r="AS101" s="499"/>
      <c r="AT101" s="499"/>
      <c r="AU101" s="499"/>
      <c r="AV101" s="499"/>
      <c r="AW101" s="499"/>
      <c r="AX101" s="499"/>
      <c r="AY101" s="499"/>
      <c r="AZ101" s="499"/>
      <c r="BA101" s="499"/>
      <c r="BB101" s="499"/>
      <c r="BC101" s="499"/>
      <c r="BD101" s="499"/>
      <c r="BE101" s="499"/>
      <c r="BF101" s="499"/>
      <c r="BG101" s="499"/>
      <c r="BH101" s="499"/>
      <c r="BI101" s="499"/>
      <c r="BJ101" s="499"/>
      <c r="BK101" s="499"/>
      <c r="BL101" s="499"/>
    </row>
    <row r="102" spans="1:64" s="498" customFormat="1" ht="15" customHeight="1">
      <c r="A102" s="390">
        <v>44333</v>
      </c>
      <c r="B102" s="416" t="s">
        <v>267</v>
      </c>
      <c r="C102" s="457" t="s">
        <v>20</v>
      </c>
      <c r="D102" s="419" t="s">
        <v>118</v>
      </c>
      <c r="E102" s="437"/>
      <c r="F102" s="366">
        <v>20000</v>
      </c>
      <c r="G102" s="372">
        <f t="shared" si="1"/>
        <v>28226690</v>
      </c>
      <c r="H102" s="371" t="s">
        <v>60</v>
      </c>
      <c r="I102" s="414" t="s">
        <v>73</v>
      </c>
      <c r="J102" s="328" t="s">
        <v>151</v>
      </c>
      <c r="K102" s="377" t="s">
        <v>202</v>
      </c>
      <c r="L102" s="266" t="s">
        <v>208</v>
      </c>
      <c r="M102" s="269" t="s">
        <v>439</v>
      </c>
      <c r="N102" s="336" t="s">
        <v>210</v>
      </c>
      <c r="O102" s="267"/>
    </row>
    <row r="103" spans="1:64" s="498" customFormat="1" ht="15" customHeight="1">
      <c r="A103" s="390">
        <v>44333</v>
      </c>
      <c r="B103" s="416" t="s">
        <v>268</v>
      </c>
      <c r="C103" s="457" t="s">
        <v>20</v>
      </c>
      <c r="D103" s="419" t="s">
        <v>19</v>
      </c>
      <c r="E103" s="437"/>
      <c r="F103" s="366">
        <v>10000</v>
      </c>
      <c r="G103" s="372">
        <f t="shared" si="1"/>
        <v>28216690</v>
      </c>
      <c r="H103" s="268" t="s">
        <v>60</v>
      </c>
      <c r="I103" s="414" t="s">
        <v>73</v>
      </c>
      <c r="J103" s="328" t="s">
        <v>151</v>
      </c>
      <c r="K103" s="377" t="s">
        <v>202</v>
      </c>
      <c r="L103" s="266" t="s">
        <v>208</v>
      </c>
      <c r="M103" s="269" t="s">
        <v>440</v>
      </c>
      <c r="N103" s="336" t="s">
        <v>210</v>
      </c>
      <c r="O103" s="269"/>
    </row>
    <row r="104" spans="1:64" s="498" customFormat="1" ht="15" customHeight="1">
      <c r="A104" s="390">
        <v>44333</v>
      </c>
      <c r="B104" s="416" t="s">
        <v>269</v>
      </c>
      <c r="C104" s="457" t="s">
        <v>20</v>
      </c>
      <c r="D104" s="464" t="s">
        <v>320</v>
      </c>
      <c r="E104" s="437"/>
      <c r="F104" s="366">
        <v>5000</v>
      </c>
      <c r="G104" s="372">
        <f t="shared" si="1"/>
        <v>28211690</v>
      </c>
      <c r="H104" s="268" t="s">
        <v>60</v>
      </c>
      <c r="I104" s="414" t="s">
        <v>73</v>
      </c>
      <c r="J104" s="328" t="s">
        <v>151</v>
      </c>
      <c r="K104" s="377" t="s">
        <v>202</v>
      </c>
      <c r="L104" s="266" t="s">
        <v>208</v>
      </c>
      <c r="M104" s="269" t="s">
        <v>441</v>
      </c>
      <c r="N104" s="336" t="s">
        <v>210</v>
      </c>
      <c r="O104" s="267"/>
    </row>
    <row r="105" spans="1:64" s="185" customFormat="1" ht="15" customHeight="1">
      <c r="A105" s="390">
        <v>44334</v>
      </c>
      <c r="B105" s="266" t="s">
        <v>525</v>
      </c>
      <c r="C105" s="266" t="s">
        <v>224</v>
      </c>
      <c r="D105" s="267" t="s">
        <v>290</v>
      </c>
      <c r="E105" s="375"/>
      <c r="F105" s="375">
        <v>180000</v>
      </c>
      <c r="G105" s="372">
        <f t="shared" si="1"/>
        <v>28031690</v>
      </c>
      <c r="H105" s="266" t="s">
        <v>88</v>
      </c>
      <c r="I105" s="328" t="s">
        <v>131</v>
      </c>
      <c r="J105" s="328" t="s">
        <v>151</v>
      </c>
      <c r="K105" s="266" t="s">
        <v>202</v>
      </c>
      <c r="L105" s="266" t="s">
        <v>208</v>
      </c>
      <c r="M105" s="269" t="s">
        <v>452</v>
      </c>
      <c r="N105" s="381" t="s">
        <v>213</v>
      </c>
      <c r="O105" s="267"/>
    </row>
    <row r="106" spans="1:64" s="498" customFormat="1" ht="15" customHeight="1">
      <c r="A106" s="390">
        <v>44334</v>
      </c>
      <c r="B106" s="268" t="s">
        <v>526</v>
      </c>
      <c r="C106" s="268" t="s">
        <v>224</v>
      </c>
      <c r="D106" s="267" t="s">
        <v>290</v>
      </c>
      <c r="E106" s="366"/>
      <c r="F106" s="366">
        <v>50000</v>
      </c>
      <c r="G106" s="372">
        <f t="shared" si="1"/>
        <v>27981690</v>
      </c>
      <c r="H106" s="268" t="s">
        <v>67</v>
      </c>
      <c r="I106" s="269" t="s">
        <v>131</v>
      </c>
      <c r="J106" s="328" t="s">
        <v>151</v>
      </c>
      <c r="K106" s="266" t="s">
        <v>202</v>
      </c>
      <c r="L106" s="266" t="s">
        <v>208</v>
      </c>
      <c r="M106" s="269" t="s">
        <v>545</v>
      </c>
      <c r="N106" s="383" t="s">
        <v>213</v>
      </c>
      <c r="O106" s="267"/>
    </row>
    <row r="107" spans="1:64" s="498" customFormat="1" ht="15" customHeight="1">
      <c r="A107" s="390">
        <v>44334</v>
      </c>
      <c r="B107" s="268" t="s">
        <v>529</v>
      </c>
      <c r="C107" s="268" t="s">
        <v>224</v>
      </c>
      <c r="D107" s="267" t="s">
        <v>290</v>
      </c>
      <c r="E107" s="366"/>
      <c r="F107" s="366">
        <v>30000</v>
      </c>
      <c r="G107" s="372">
        <f t="shared" si="1"/>
        <v>27951690</v>
      </c>
      <c r="H107" s="268" t="s">
        <v>120</v>
      </c>
      <c r="I107" s="426" t="s">
        <v>131</v>
      </c>
      <c r="J107" s="328" t="s">
        <v>151</v>
      </c>
      <c r="K107" s="266" t="s">
        <v>202</v>
      </c>
      <c r="L107" s="266" t="s">
        <v>208</v>
      </c>
      <c r="M107" s="269" t="s">
        <v>453</v>
      </c>
      <c r="N107" s="383" t="s">
        <v>213</v>
      </c>
      <c r="O107" s="267"/>
    </row>
    <row r="108" spans="1:64" s="498" customFormat="1" ht="15" customHeight="1">
      <c r="A108" s="390">
        <v>44334</v>
      </c>
      <c r="B108" s="266" t="s">
        <v>532</v>
      </c>
      <c r="C108" s="268" t="s">
        <v>224</v>
      </c>
      <c r="D108" s="379" t="s">
        <v>320</v>
      </c>
      <c r="E108" s="375"/>
      <c r="F108" s="375">
        <v>110000</v>
      </c>
      <c r="G108" s="372">
        <f t="shared" si="1"/>
        <v>27841690</v>
      </c>
      <c r="H108" s="267" t="s">
        <v>66</v>
      </c>
      <c r="I108" s="328" t="s">
        <v>131</v>
      </c>
      <c r="J108" s="328" t="s">
        <v>151</v>
      </c>
      <c r="K108" s="266" t="s">
        <v>202</v>
      </c>
      <c r="L108" s="266" t="s">
        <v>208</v>
      </c>
      <c r="M108" s="269" t="s">
        <v>546</v>
      </c>
      <c r="N108" s="383" t="s">
        <v>213</v>
      </c>
      <c r="O108" s="267"/>
    </row>
    <row r="109" spans="1:64" s="498" customFormat="1" ht="15" customHeight="1">
      <c r="A109" s="390">
        <v>44334</v>
      </c>
      <c r="B109" s="424" t="s">
        <v>519</v>
      </c>
      <c r="C109" s="268" t="s">
        <v>224</v>
      </c>
      <c r="D109" s="267" t="s">
        <v>290</v>
      </c>
      <c r="E109" s="429"/>
      <c r="F109" s="429">
        <v>160000</v>
      </c>
      <c r="G109" s="372">
        <f t="shared" si="1"/>
        <v>27681690</v>
      </c>
      <c r="H109" s="266" t="s">
        <v>74</v>
      </c>
      <c r="I109" s="427" t="s">
        <v>131</v>
      </c>
      <c r="J109" s="328" t="s">
        <v>151</v>
      </c>
      <c r="K109" s="266" t="s">
        <v>202</v>
      </c>
      <c r="L109" s="266" t="s">
        <v>208</v>
      </c>
      <c r="M109" s="269" t="s">
        <v>455</v>
      </c>
      <c r="N109" s="383" t="s">
        <v>213</v>
      </c>
      <c r="O109" s="267"/>
    </row>
    <row r="110" spans="1:64" s="185" customFormat="1" ht="15" customHeight="1">
      <c r="A110" s="390">
        <v>44334</v>
      </c>
      <c r="B110" s="481" t="s">
        <v>242</v>
      </c>
      <c r="C110" s="268" t="s">
        <v>117</v>
      </c>
      <c r="D110" s="484"/>
      <c r="E110" s="448"/>
      <c r="F110" s="429">
        <v>1000000</v>
      </c>
      <c r="G110" s="372">
        <f t="shared" si="1"/>
        <v>26681690</v>
      </c>
      <c r="H110" s="266" t="s">
        <v>57</v>
      </c>
      <c r="I110" s="477">
        <v>3643457</v>
      </c>
      <c r="J110" s="329"/>
      <c r="K110" s="266"/>
      <c r="L110" s="266"/>
      <c r="M110" s="269"/>
      <c r="N110" s="383"/>
      <c r="O110" s="267"/>
    </row>
    <row r="111" spans="1:64" s="185" customFormat="1" ht="15" customHeight="1">
      <c r="A111" s="390">
        <v>44334</v>
      </c>
      <c r="B111" s="268" t="s">
        <v>119</v>
      </c>
      <c r="C111" s="268" t="s">
        <v>117</v>
      </c>
      <c r="D111" s="268"/>
      <c r="E111" s="471">
        <v>54000</v>
      </c>
      <c r="F111" s="366"/>
      <c r="G111" s="372">
        <f t="shared" si="1"/>
        <v>26735690</v>
      </c>
      <c r="H111" s="268" t="s">
        <v>60</v>
      </c>
      <c r="I111" s="414"/>
      <c r="J111" s="328"/>
      <c r="K111" s="266"/>
      <c r="L111" s="266"/>
      <c r="M111" s="269"/>
      <c r="N111" s="383"/>
      <c r="O111" s="267"/>
    </row>
    <row r="112" spans="1:64" s="185" customFormat="1" ht="15" customHeight="1">
      <c r="A112" s="390">
        <v>44334</v>
      </c>
      <c r="B112" s="268" t="s">
        <v>56</v>
      </c>
      <c r="C112" s="268" t="s">
        <v>117</v>
      </c>
      <c r="D112" s="268"/>
      <c r="E112" s="471">
        <v>1000000</v>
      </c>
      <c r="F112" s="366"/>
      <c r="G112" s="372">
        <f t="shared" si="1"/>
        <v>27735690</v>
      </c>
      <c r="H112" s="371" t="s">
        <v>60</v>
      </c>
      <c r="I112" s="414"/>
      <c r="J112" s="329"/>
      <c r="K112" s="266"/>
      <c r="L112" s="266"/>
      <c r="M112" s="269"/>
      <c r="N112" s="383"/>
      <c r="O112" s="267"/>
    </row>
    <row r="113" spans="1:15" s="185" customFormat="1" ht="15" customHeight="1">
      <c r="A113" s="390">
        <v>44334</v>
      </c>
      <c r="B113" s="416" t="s">
        <v>65</v>
      </c>
      <c r="C113" s="268" t="s">
        <v>117</v>
      </c>
      <c r="D113" s="419"/>
      <c r="E113" s="437"/>
      <c r="F113" s="366">
        <v>100000</v>
      </c>
      <c r="G113" s="372">
        <f t="shared" si="1"/>
        <v>27635690</v>
      </c>
      <c r="H113" s="268" t="s">
        <v>60</v>
      </c>
      <c r="I113" s="414"/>
      <c r="J113" s="328"/>
      <c r="K113" s="266"/>
      <c r="L113" s="266"/>
      <c r="M113" s="267"/>
      <c r="N113" s="383"/>
      <c r="O113" s="267"/>
    </row>
    <row r="114" spans="1:15" s="185" customFormat="1" ht="15" customHeight="1">
      <c r="A114" s="390">
        <v>44334</v>
      </c>
      <c r="B114" s="268" t="s">
        <v>295</v>
      </c>
      <c r="C114" s="268" t="s">
        <v>117</v>
      </c>
      <c r="D114" s="349"/>
      <c r="E114" s="471"/>
      <c r="F114" s="366">
        <v>54000</v>
      </c>
      <c r="G114" s="372">
        <f t="shared" si="1"/>
        <v>27581690</v>
      </c>
      <c r="H114" s="268" t="s">
        <v>119</v>
      </c>
      <c r="I114" s="269"/>
      <c r="J114" s="329"/>
      <c r="K114" s="266"/>
      <c r="L114" s="266"/>
      <c r="M114" s="267"/>
      <c r="N114" s="336"/>
      <c r="O114" s="267"/>
    </row>
    <row r="115" spans="1:15" s="185" customFormat="1" ht="15" customHeight="1">
      <c r="A115" s="390">
        <v>44334</v>
      </c>
      <c r="B115" s="266" t="s">
        <v>215</v>
      </c>
      <c r="C115" s="268" t="s">
        <v>117</v>
      </c>
      <c r="D115" s="388"/>
      <c r="E115" s="470">
        <v>100000</v>
      </c>
      <c r="F115" s="375"/>
      <c r="G115" s="372">
        <f t="shared" si="1"/>
        <v>27681690</v>
      </c>
      <c r="H115" s="266" t="s">
        <v>65</v>
      </c>
      <c r="I115" s="328"/>
      <c r="J115" s="329"/>
      <c r="K115" s="266"/>
      <c r="L115" s="266"/>
      <c r="M115" s="267"/>
      <c r="N115" s="336"/>
      <c r="O115" s="267"/>
    </row>
    <row r="116" spans="1:15" s="498" customFormat="1" ht="15" customHeight="1">
      <c r="A116" s="390">
        <v>44334</v>
      </c>
      <c r="B116" s="266" t="s">
        <v>328</v>
      </c>
      <c r="C116" s="376" t="s">
        <v>70</v>
      </c>
      <c r="D116" s="464" t="s">
        <v>320</v>
      </c>
      <c r="E116" s="470"/>
      <c r="F116" s="375">
        <v>15000</v>
      </c>
      <c r="G116" s="372">
        <f t="shared" si="1"/>
        <v>27666690</v>
      </c>
      <c r="H116" s="267" t="s">
        <v>66</v>
      </c>
      <c r="I116" s="328" t="s">
        <v>73</v>
      </c>
      <c r="J116" s="328" t="s">
        <v>151</v>
      </c>
      <c r="K116" s="266" t="s">
        <v>202</v>
      </c>
      <c r="L116" s="266" t="s">
        <v>208</v>
      </c>
      <c r="M116" s="269" t="s">
        <v>454</v>
      </c>
      <c r="N116" s="336" t="s">
        <v>212</v>
      </c>
      <c r="O116" s="267"/>
    </row>
    <row r="117" spans="1:15" s="498" customFormat="1" ht="15" customHeight="1">
      <c r="A117" s="390">
        <v>44334</v>
      </c>
      <c r="B117" s="416" t="s">
        <v>272</v>
      </c>
      <c r="C117" s="373" t="s">
        <v>61</v>
      </c>
      <c r="D117" s="373" t="s">
        <v>21</v>
      </c>
      <c r="E117" s="437"/>
      <c r="F117" s="366">
        <v>3000</v>
      </c>
      <c r="G117" s="372">
        <f t="shared" si="1"/>
        <v>27663690</v>
      </c>
      <c r="H117" s="268" t="s">
        <v>60</v>
      </c>
      <c r="I117" s="414" t="s">
        <v>73</v>
      </c>
      <c r="J117" s="328" t="s">
        <v>151</v>
      </c>
      <c r="K117" s="377" t="s">
        <v>202</v>
      </c>
      <c r="L117" s="266" t="s">
        <v>208</v>
      </c>
      <c r="M117" s="269" t="s">
        <v>450</v>
      </c>
      <c r="N117" s="336" t="s">
        <v>203</v>
      </c>
      <c r="O117" s="267"/>
    </row>
    <row r="118" spans="1:15" s="498" customFormat="1" ht="15" customHeight="1">
      <c r="A118" s="390">
        <v>44334</v>
      </c>
      <c r="B118" s="416" t="s">
        <v>273</v>
      </c>
      <c r="C118" s="373" t="s">
        <v>61</v>
      </c>
      <c r="D118" s="373" t="s">
        <v>21</v>
      </c>
      <c r="E118" s="437"/>
      <c r="F118" s="471">
        <v>22771</v>
      </c>
      <c r="G118" s="372">
        <f t="shared" si="1"/>
        <v>27640919</v>
      </c>
      <c r="H118" s="268" t="s">
        <v>60</v>
      </c>
      <c r="I118" s="414" t="s">
        <v>73</v>
      </c>
      <c r="J118" s="328" t="s">
        <v>151</v>
      </c>
      <c r="K118" s="377" t="s">
        <v>202</v>
      </c>
      <c r="L118" s="266" t="s">
        <v>208</v>
      </c>
      <c r="M118" s="269" t="s">
        <v>451</v>
      </c>
      <c r="N118" s="269" t="s">
        <v>203</v>
      </c>
      <c r="O118" s="267"/>
    </row>
    <row r="119" spans="1:15" s="498" customFormat="1" ht="15" customHeight="1">
      <c r="A119" s="390">
        <v>44334</v>
      </c>
      <c r="B119" s="268" t="s">
        <v>271</v>
      </c>
      <c r="C119" s="553" t="s">
        <v>550</v>
      </c>
      <c r="D119" s="413" t="s">
        <v>21</v>
      </c>
      <c r="E119" s="366"/>
      <c r="F119" s="366">
        <v>350000</v>
      </c>
      <c r="G119" s="372">
        <f t="shared" si="1"/>
        <v>27290919</v>
      </c>
      <c r="H119" s="268" t="s">
        <v>60</v>
      </c>
      <c r="I119" s="414" t="s">
        <v>73</v>
      </c>
      <c r="J119" s="554" t="s">
        <v>151</v>
      </c>
      <c r="K119" s="555" t="s">
        <v>202</v>
      </c>
      <c r="L119" s="266" t="s">
        <v>208</v>
      </c>
      <c r="M119" s="269" t="s">
        <v>449</v>
      </c>
      <c r="N119" s="381" t="s">
        <v>505</v>
      </c>
      <c r="O119" s="267"/>
    </row>
    <row r="120" spans="1:15" s="185" customFormat="1" ht="15" customHeight="1">
      <c r="A120" s="390">
        <v>44335</v>
      </c>
      <c r="B120" s="266" t="s">
        <v>322</v>
      </c>
      <c r="C120" s="268" t="s">
        <v>117</v>
      </c>
      <c r="D120" s="379"/>
      <c r="E120" s="375">
        <v>49000</v>
      </c>
      <c r="F120" s="375"/>
      <c r="G120" s="372">
        <f t="shared" si="1"/>
        <v>27339919</v>
      </c>
      <c r="H120" s="267" t="s">
        <v>66</v>
      </c>
      <c r="I120" s="328"/>
      <c r="J120" s="328"/>
      <c r="K120" s="266"/>
      <c r="L120" s="266"/>
      <c r="M120" s="267"/>
      <c r="N120" s="336"/>
      <c r="O120" s="267"/>
    </row>
    <row r="121" spans="1:15" s="498" customFormat="1" ht="15" customHeight="1">
      <c r="A121" s="390">
        <v>44336</v>
      </c>
      <c r="B121" s="268" t="s">
        <v>530</v>
      </c>
      <c r="C121" s="349" t="s">
        <v>224</v>
      </c>
      <c r="D121" s="267" t="s">
        <v>290</v>
      </c>
      <c r="E121" s="366"/>
      <c r="F121" s="366">
        <v>45000</v>
      </c>
      <c r="G121" s="372">
        <f t="shared" si="1"/>
        <v>27294919</v>
      </c>
      <c r="H121" s="268" t="s">
        <v>120</v>
      </c>
      <c r="I121" s="426" t="s">
        <v>73</v>
      </c>
      <c r="J121" s="328" t="s">
        <v>151</v>
      </c>
      <c r="K121" s="266" t="s">
        <v>202</v>
      </c>
      <c r="L121" s="266" t="s">
        <v>208</v>
      </c>
      <c r="M121" s="269" t="s">
        <v>457</v>
      </c>
      <c r="N121" s="336" t="s">
        <v>213</v>
      </c>
      <c r="O121" s="267"/>
    </row>
    <row r="122" spans="1:15" s="498" customFormat="1" ht="15" customHeight="1">
      <c r="A122" s="390">
        <v>44336</v>
      </c>
      <c r="B122" s="266" t="s">
        <v>523</v>
      </c>
      <c r="C122" s="349" t="s">
        <v>224</v>
      </c>
      <c r="D122" s="379" t="s">
        <v>320</v>
      </c>
      <c r="E122" s="375"/>
      <c r="F122" s="375">
        <v>150000</v>
      </c>
      <c r="G122" s="372">
        <f t="shared" si="1"/>
        <v>27144919</v>
      </c>
      <c r="H122" s="474" t="s">
        <v>65</v>
      </c>
      <c r="I122" s="328" t="s">
        <v>73</v>
      </c>
      <c r="J122" s="328" t="s">
        <v>151</v>
      </c>
      <c r="K122" s="266" t="s">
        <v>202</v>
      </c>
      <c r="L122" s="266" t="s">
        <v>208</v>
      </c>
      <c r="M122" s="269" t="s">
        <v>458</v>
      </c>
      <c r="N122" s="336" t="s">
        <v>213</v>
      </c>
      <c r="O122" s="267"/>
    </row>
    <row r="123" spans="1:15" s="185" customFormat="1" ht="15" customHeight="1">
      <c r="A123" s="390">
        <v>44336</v>
      </c>
      <c r="B123" s="416" t="s">
        <v>362</v>
      </c>
      <c r="C123" s="374" t="s">
        <v>72</v>
      </c>
      <c r="D123" s="373" t="s">
        <v>21</v>
      </c>
      <c r="E123" s="432"/>
      <c r="F123" s="366">
        <v>400</v>
      </c>
      <c r="G123" s="372">
        <f t="shared" si="1"/>
        <v>27144519</v>
      </c>
      <c r="H123" s="371" t="s">
        <v>60</v>
      </c>
      <c r="I123" s="414" t="s">
        <v>73</v>
      </c>
      <c r="J123" s="328" t="s">
        <v>200</v>
      </c>
      <c r="K123" s="266" t="s">
        <v>201</v>
      </c>
      <c r="L123" s="266" t="s">
        <v>208</v>
      </c>
      <c r="M123" s="269"/>
      <c r="N123" s="336"/>
      <c r="O123" s="267"/>
    </row>
    <row r="124" spans="1:15" s="185" customFormat="1" ht="15" customHeight="1">
      <c r="A124" s="390">
        <v>44336</v>
      </c>
      <c r="B124" s="266" t="s">
        <v>349</v>
      </c>
      <c r="C124" s="412" t="s">
        <v>307</v>
      </c>
      <c r="D124" s="379" t="s">
        <v>320</v>
      </c>
      <c r="E124" s="375"/>
      <c r="F124" s="375">
        <v>28500</v>
      </c>
      <c r="G124" s="372">
        <f t="shared" si="1"/>
        <v>27116019</v>
      </c>
      <c r="H124" s="474" t="s">
        <v>65</v>
      </c>
      <c r="I124" s="269" t="s">
        <v>131</v>
      </c>
      <c r="J124" s="328" t="s">
        <v>200</v>
      </c>
      <c r="K124" s="266" t="s">
        <v>201</v>
      </c>
      <c r="L124" s="266" t="s">
        <v>208</v>
      </c>
      <c r="M124" s="267"/>
      <c r="N124" s="336"/>
      <c r="O124" s="267"/>
    </row>
    <row r="125" spans="1:15" s="185" customFormat="1" ht="15" customHeight="1">
      <c r="A125" s="390">
        <v>44336</v>
      </c>
      <c r="B125" s="266" t="s">
        <v>375</v>
      </c>
      <c r="C125" s="349" t="s">
        <v>117</v>
      </c>
      <c r="D125" s="388"/>
      <c r="E125" s="375"/>
      <c r="F125" s="375">
        <v>10000</v>
      </c>
      <c r="G125" s="372">
        <f t="shared" si="1"/>
        <v>27106019</v>
      </c>
      <c r="H125" s="474" t="s">
        <v>88</v>
      </c>
      <c r="I125" s="328"/>
      <c r="J125" s="364"/>
      <c r="K125" s="376"/>
      <c r="L125" s="266"/>
      <c r="M125" s="269"/>
      <c r="N125" s="383"/>
      <c r="O125" s="267"/>
    </row>
    <row r="126" spans="1:15" s="185" customFormat="1" ht="15" customHeight="1">
      <c r="A126" s="390">
        <v>44336</v>
      </c>
      <c r="B126" s="268" t="s">
        <v>316</v>
      </c>
      <c r="C126" s="268" t="s">
        <v>117</v>
      </c>
      <c r="D126" s="349"/>
      <c r="E126" s="366">
        <v>10000</v>
      </c>
      <c r="F126" s="366"/>
      <c r="G126" s="372">
        <f t="shared" si="1"/>
        <v>27116019</v>
      </c>
      <c r="H126" s="268" t="s">
        <v>120</v>
      </c>
      <c r="I126" s="426"/>
      <c r="J126" s="364"/>
      <c r="K126" s="384"/>
      <c r="L126" s="266"/>
      <c r="M126" s="269"/>
      <c r="N126" s="383"/>
      <c r="O126" s="267"/>
    </row>
    <row r="127" spans="1:15" s="185" customFormat="1" ht="15" customHeight="1">
      <c r="A127" s="390">
        <v>44336</v>
      </c>
      <c r="B127" s="266" t="s">
        <v>536</v>
      </c>
      <c r="C127" s="266" t="s">
        <v>70</v>
      </c>
      <c r="D127" s="388" t="s">
        <v>290</v>
      </c>
      <c r="E127" s="375"/>
      <c r="F127" s="375">
        <v>5000</v>
      </c>
      <c r="G127" s="372">
        <f t="shared" si="1"/>
        <v>27111019</v>
      </c>
      <c r="H127" s="266" t="s">
        <v>65</v>
      </c>
      <c r="I127" s="328" t="s">
        <v>131</v>
      </c>
      <c r="J127" s="364" t="s">
        <v>200</v>
      </c>
      <c r="K127" s="376" t="s">
        <v>201</v>
      </c>
      <c r="L127" s="266" t="s">
        <v>208</v>
      </c>
      <c r="M127" s="267"/>
      <c r="N127" s="383"/>
      <c r="O127" s="267"/>
    </row>
    <row r="128" spans="1:15" s="498" customFormat="1" ht="15" customHeight="1">
      <c r="A128" s="390">
        <v>44336</v>
      </c>
      <c r="B128" s="268" t="s">
        <v>315</v>
      </c>
      <c r="C128" s="268" t="s">
        <v>70</v>
      </c>
      <c r="D128" s="388" t="s">
        <v>290</v>
      </c>
      <c r="E128" s="366"/>
      <c r="F128" s="366">
        <v>15000</v>
      </c>
      <c r="G128" s="372">
        <f t="shared" si="1"/>
        <v>27096019</v>
      </c>
      <c r="H128" s="268" t="s">
        <v>120</v>
      </c>
      <c r="I128" s="426" t="s">
        <v>73</v>
      </c>
      <c r="J128" s="328" t="s">
        <v>151</v>
      </c>
      <c r="K128" s="266" t="s">
        <v>202</v>
      </c>
      <c r="L128" s="266" t="s">
        <v>208</v>
      </c>
      <c r="M128" s="269" t="s">
        <v>456</v>
      </c>
      <c r="N128" s="336" t="s">
        <v>212</v>
      </c>
      <c r="O128" s="267"/>
    </row>
    <row r="129" spans="1:64" s="500" customFormat="1" ht="15" customHeight="1">
      <c r="A129" s="390">
        <v>44337</v>
      </c>
      <c r="B129" s="266" t="s">
        <v>524</v>
      </c>
      <c r="C129" s="349" t="s">
        <v>224</v>
      </c>
      <c r="D129" s="267" t="s">
        <v>290</v>
      </c>
      <c r="E129" s="375"/>
      <c r="F129" s="375">
        <v>15000</v>
      </c>
      <c r="G129" s="372">
        <f t="shared" si="1"/>
        <v>27081019</v>
      </c>
      <c r="H129" s="266" t="s">
        <v>65</v>
      </c>
      <c r="I129" s="328" t="s">
        <v>73</v>
      </c>
      <c r="J129" s="328" t="s">
        <v>151</v>
      </c>
      <c r="K129" s="266" t="s">
        <v>202</v>
      </c>
      <c r="L129" s="266" t="s">
        <v>208</v>
      </c>
      <c r="M129" s="269" t="s">
        <v>460</v>
      </c>
      <c r="N129" s="336" t="s">
        <v>213</v>
      </c>
      <c r="O129" s="267"/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499"/>
      <c r="AC129" s="499"/>
      <c r="AD129" s="499"/>
      <c r="AE129" s="499"/>
      <c r="AF129" s="499"/>
      <c r="AG129" s="499"/>
      <c r="AH129" s="499"/>
      <c r="AI129" s="499"/>
      <c r="AJ129" s="499"/>
      <c r="AK129" s="499"/>
      <c r="AL129" s="499"/>
      <c r="AM129" s="499"/>
      <c r="AN129" s="499"/>
      <c r="AO129" s="499"/>
      <c r="AP129" s="499"/>
      <c r="AQ129" s="499"/>
      <c r="AR129" s="499"/>
      <c r="AS129" s="499"/>
      <c r="AT129" s="499"/>
      <c r="AU129" s="499"/>
      <c r="AV129" s="499"/>
      <c r="AW129" s="499"/>
      <c r="AX129" s="499"/>
      <c r="AY129" s="499"/>
      <c r="AZ129" s="499"/>
      <c r="BA129" s="499"/>
      <c r="BB129" s="499"/>
      <c r="BC129" s="499"/>
      <c r="BD129" s="499"/>
      <c r="BE129" s="499"/>
      <c r="BF129" s="499"/>
      <c r="BG129" s="499"/>
      <c r="BH129" s="499"/>
      <c r="BI129" s="499"/>
      <c r="BJ129" s="499"/>
      <c r="BK129" s="499"/>
      <c r="BL129" s="499"/>
    </row>
    <row r="130" spans="1:64" s="185" customFormat="1" ht="15" customHeight="1">
      <c r="A130" s="390">
        <v>44337</v>
      </c>
      <c r="B130" s="481" t="s">
        <v>243</v>
      </c>
      <c r="C130" s="349" t="s">
        <v>117</v>
      </c>
      <c r="D130" s="484"/>
      <c r="E130" s="448"/>
      <c r="F130" s="429">
        <v>1000000</v>
      </c>
      <c r="G130" s="372">
        <f t="shared" si="1"/>
        <v>26081019</v>
      </c>
      <c r="H130" s="266" t="s">
        <v>57</v>
      </c>
      <c r="I130" s="477">
        <v>3643458</v>
      </c>
      <c r="J130" s="328"/>
      <c r="K130" s="266"/>
      <c r="L130" s="266"/>
      <c r="M130" s="267"/>
      <c r="N130" s="336"/>
      <c r="O130" s="267"/>
    </row>
    <row r="131" spans="1:64" s="185" customFormat="1" ht="15" customHeight="1">
      <c r="A131" s="390">
        <v>44337</v>
      </c>
      <c r="B131" s="268" t="s">
        <v>56</v>
      </c>
      <c r="C131" s="268" t="s">
        <v>117</v>
      </c>
      <c r="D131" s="268"/>
      <c r="E131" s="432">
        <v>1000000</v>
      </c>
      <c r="F131" s="366"/>
      <c r="G131" s="372">
        <f t="shared" si="1"/>
        <v>27081019</v>
      </c>
      <c r="H131" s="268" t="s">
        <v>60</v>
      </c>
      <c r="I131" s="414"/>
      <c r="J131" s="364"/>
      <c r="K131" s="376"/>
      <c r="L131" s="266"/>
      <c r="M131" s="269"/>
      <c r="N131" s="383"/>
      <c r="O131" s="267"/>
    </row>
    <row r="132" spans="1:64" s="365" customFormat="1" ht="15" customHeight="1">
      <c r="A132" s="390">
        <v>44337</v>
      </c>
      <c r="B132" s="416" t="s">
        <v>88</v>
      </c>
      <c r="C132" s="268" t="s">
        <v>117</v>
      </c>
      <c r="D132" s="416"/>
      <c r="E132" s="432"/>
      <c r="F132" s="366">
        <v>226000</v>
      </c>
      <c r="G132" s="372">
        <f t="shared" si="1"/>
        <v>26855019</v>
      </c>
      <c r="H132" s="268" t="s">
        <v>60</v>
      </c>
      <c r="I132" s="414"/>
      <c r="J132" s="364"/>
      <c r="K132" s="376"/>
      <c r="L132" s="266"/>
      <c r="M132" s="267"/>
      <c r="N132" s="383"/>
      <c r="O132" s="267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</row>
    <row r="133" spans="1:64" s="185" customFormat="1" ht="15" customHeight="1">
      <c r="A133" s="390">
        <v>44337</v>
      </c>
      <c r="B133" s="416" t="s">
        <v>221</v>
      </c>
      <c r="C133" s="349" t="s">
        <v>117</v>
      </c>
      <c r="D133" s="416"/>
      <c r="E133" s="432"/>
      <c r="F133" s="366">
        <v>169000</v>
      </c>
      <c r="G133" s="372">
        <f t="shared" si="1"/>
        <v>26686019</v>
      </c>
      <c r="H133" s="268" t="s">
        <v>60</v>
      </c>
      <c r="I133" s="414"/>
      <c r="J133" s="328"/>
      <c r="K133" s="266"/>
      <c r="L133" s="266"/>
      <c r="M133" s="267"/>
      <c r="N133" s="336"/>
      <c r="O133" s="267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5"/>
      <c r="AE133" s="365"/>
      <c r="AF133" s="365"/>
      <c r="AG133" s="365"/>
      <c r="AH133" s="365"/>
      <c r="AI133" s="365"/>
      <c r="AJ133" s="365"/>
      <c r="AK133" s="365"/>
      <c r="AL133" s="365"/>
      <c r="AM133" s="365"/>
      <c r="AN133" s="365"/>
      <c r="AO133" s="365"/>
      <c r="AP133" s="365"/>
      <c r="AQ133" s="365"/>
      <c r="AR133" s="365"/>
      <c r="AS133" s="365"/>
      <c r="AT133" s="365"/>
      <c r="AU133" s="365"/>
      <c r="AV133" s="365"/>
      <c r="AW133" s="365"/>
      <c r="AX133" s="365"/>
      <c r="AY133" s="365"/>
      <c r="AZ133" s="365"/>
      <c r="BA133" s="365"/>
      <c r="BB133" s="365"/>
      <c r="BC133" s="365"/>
      <c r="BD133" s="365"/>
      <c r="BE133" s="365"/>
      <c r="BF133" s="365"/>
      <c r="BG133" s="365"/>
      <c r="BH133" s="365"/>
      <c r="BI133" s="365"/>
      <c r="BJ133" s="365"/>
      <c r="BK133" s="365"/>
      <c r="BL133" s="365"/>
    </row>
    <row r="134" spans="1:64" s="185" customFormat="1" ht="15" customHeight="1">
      <c r="A134" s="390">
        <v>44337</v>
      </c>
      <c r="B134" s="416" t="s">
        <v>67</v>
      </c>
      <c r="C134" s="349" t="s">
        <v>117</v>
      </c>
      <c r="D134" s="416"/>
      <c r="E134" s="432"/>
      <c r="F134" s="366">
        <v>183000</v>
      </c>
      <c r="G134" s="372">
        <f t="shared" si="1"/>
        <v>26503019</v>
      </c>
      <c r="H134" s="268" t="s">
        <v>60</v>
      </c>
      <c r="I134" s="414"/>
      <c r="J134" s="328"/>
      <c r="K134" s="266"/>
      <c r="L134" s="266"/>
      <c r="M134" s="267"/>
      <c r="N134" s="382"/>
      <c r="O134" s="267"/>
    </row>
    <row r="135" spans="1:64" s="185" customFormat="1" ht="15" customHeight="1">
      <c r="A135" s="390">
        <v>44337</v>
      </c>
      <c r="B135" s="416" t="s">
        <v>66</v>
      </c>
      <c r="C135" s="268" t="s">
        <v>117</v>
      </c>
      <c r="D135" s="416"/>
      <c r="E135" s="432"/>
      <c r="F135" s="366">
        <v>159000</v>
      </c>
      <c r="G135" s="372">
        <f t="shared" si="1"/>
        <v>26344019</v>
      </c>
      <c r="H135" s="268" t="s">
        <v>60</v>
      </c>
      <c r="I135" s="414"/>
      <c r="J135" s="364"/>
      <c r="K135" s="376"/>
      <c r="L135" s="266"/>
      <c r="M135" s="267"/>
      <c r="N135" s="383"/>
      <c r="O135" s="267"/>
    </row>
    <row r="136" spans="1:64" s="185" customFormat="1" ht="15" customHeight="1">
      <c r="A136" s="390">
        <v>44337</v>
      </c>
      <c r="B136" s="268" t="s">
        <v>119</v>
      </c>
      <c r="C136" s="349" t="s">
        <v>117</v>
      </c>
      <c r="D136" s="416"/>
      <c r="E136" s="432"/>
      <c r="F136" s="366">
        <v>5000</v>
      </c>
      <c r="G136" s="372">
        <f t="shared" si="1"/>
        <v>26339019</v>
      </c>
      <c r="H136" s="268" t="s">
        <v>60</v>
      </c>
      <c r="I136" s="414"/>
      <c r="J136" s="329"/>
      <c r="K136" s="266"/>
      <c r="L136" s="266"/>
      <c r="M136" s="267"/>
      <c r="N136" s="383"/>
      <c r="O136" s="267"/>
    </row>
    <row r="137" spans="1:64" s="185" customFormat="1" ht="15" customHeight="1">
      <c r="A137" s="390">
        <v>44337</v>
      </c>
      <c r="B137" s="416" t="s">
        <v>138</v>
      </c>
      <c r="C137" s="349" t="s">
        <v>117</v>
      </c>
      <c r="D137" s="416"/>
      <c r="E137" s="432"/>
      <c r="F137" s="366">
        <v>10000</v>
      </c>
      <c r="G137" s="372">
        <f t="shared" si="1"/>
        <v>26329019</v>
      </c>
      <c r="H137" s="268" t="s">
        <v>60</v>
      </c>
      <c r="I137" s="414"/>
      <c r="J137" s="329"/>
      <c r="K137" s="266"/>
      <c r="L137" s="266"/>
      <c r="M137" s="269"/>
      <c r="N137" s="336"/>
      <c r="O137" s="267"/>
    </row>
    <row r="138" spans="1:64" s="498" customFormat="1" ht="15" customHeight="1">
      <c r="A138" s="390">
        <v>44337</v>
      </c>
      <c r="B138" s="266" t="s">
        <v>350</v>
      </c>
      <c r="C138" s="376" t="s">
        <v>70</v>
      </c>
      <c r="D138" s="379" t="s">
        <v>320</v>
      </c>
      <c r="E138" s="375"/>
      <c r="F138" s="375">
        <v>10000</v>
      </c>
      <c r="G138" s="372">
        <f t="shared" si="1"/>
        <v>26319019</v>
      </c>
      <c r="H138" s="266" t="s">
        <v>65</v>
      </c>
      <c r="I138" s="328" t="s">
        <v>73</v>
      </c>
      <c r="J138" s="335" t="s">
        <v>151</v>
      </c>
      <c r="K138" s="376" t="s">
        <v>202</v>
      </c>
      <c r="L138" s="266" t="s">
        <v>208</v>
      </c>
      <c r="M138" s="269" t="s">
        <v>461</v>
      </c>
      <c r="N138" s="383" t="s">
        <v>212</v>
      </c>
      <c r="O138" s="267"/>
    </row>
    <row r="139" spans="1:64" s="185" customFormat="1" ht="15" customHeight="1">
      <c r="A139" s="390">
        <v>44337</v>
      </c>
      <c r="B139" s="268" t="s">
        <v>159</v>
      </c>
      <c r="C139" s="268" t="s">
        <v>117</v>
      </c>
      <c r="D139" s="268"/>
      <c r="E139" s="366">
        <v>5000</v>
      </c>
      <c r="F139" s="366"/>
      <c r="G139" s="372">
        <f t="shared" si="1"/>
        <v>26324019</v>
      </c>
      <c r="H139" s="268" t="s">
        <v>119</v>
      </c>
      <c r="I139" s="269"/>
      <c r="J139" s="478"/>
      <c r="K139" s="376"/>
      <c r="L139" s="266"/>
      <c r="M139" s="267"/>
      <c r="N139" s="383"/>
      <c r="O139" s="267"/>
    </row>
    <row r="140" spans="1:64" s="185" customFormat="1" ht="15" customHeight="1">
      <c r="A140" s="390">
        <v>44337</v>
      </c>
      <c r="B140" s="424" t="s">
        <v>225</v>
      </c>
      <c r="C140" s="349" t="s">
        <v>117</v>
      </c>
      <c r="D140" s="459"/>
      <c r="E140" s="429">
        <v>169000</v>
      </c>
      <c r="F140" s="429"/>
      <c r="G140" s="372">
        <f t="shared" si="1"/>
        <v>26493019</v>
      </c>
      <c r="H140" s="266" t="s">
        <v>74</v>
      </c>
      <c r="I140" s="427"/>
      <c r="J140" s="328"/>
      <c r="K140" s="376"/>
      <c r="L140" s="266"/>
      <c r="M140" s="269"/>
      <c r="N140" s="383"/>
      <c r="O140" s="267"/>
    </row>
    <row r="141" spans="1:64" s="185" customFormat="1" ht="15" customHeight="1">
      <c r="A141" s="390">
        <v>44337</v>
      </c>
      <c r="B141" s="424" t="s">
        <v>214</v>
      </c>
      <c r="C141" s="268" t="s">
        <v>117</v>
      </c>
      <c r="D141" s="416"/>
      <c r="E141" s="432">
        <v>10000</v>
      </c>
      <c r="F141" s="432"/>
      <c r="G141" s="372">
        <f t="shared" ref="G141:G204" si="2">+G140+E141-F141</f>
        <v>26503019</v>
      </c>
      <c r="H141" s="267" t="s">
        <v>138</v>
      </c>
      <c r="I141" s="269"/>
      <c r="J141" s="328"/>
      <c r="K141" s="377"/>
      <c r="L141" s="266"/>
      <c r="M141" s="269"/>
      <c r="N141" s="336"/>
      <c r="O141" s="267"/>
    </row>
    <row r="142" spans="1:64" s="498" customFormat="1" ht="15" customHeight="1">
      <c r="A142" s="390">
        <v>44337</v>
      </c>
      <c r="B142" s="416" t="s">
        <v>392</v>
      </c>
      <c r="C142" s="349" t="s">
        <v>58</v>
      </c>
      <c r="D142" s="268" t="s">
        <v>118</v>
      </c>
      <c r="E142" s="432"/>
      <c r="F142" s="366">
        <v>86000</v>
      </c>
      <c r="G142" s="372">
        <f t="shared" si="2"/>
        <v>26417019</v>
      </c>
      <c r="H142" s="268" t="s">
        <v>60</v>
      </c>
      <c r="I142" s="414" t="s">
        <v>73</v>
      </c>
      <c r="J142" s="269" t="s">
        <v>151</v>
      </c>
      <c r="K142" s="266" t="s">
        <v>202</v>
      </c>
      <c r="L142" s="266" t="s">
        <v>208</v>
      </c>
      <c r="M142" s="269" t="s">
        <v>459</v>
      </c>
      <c r="N142" s="269" t="s">
        <v>209</v>
      </c>
      <c r="O142" s="267"/>
    </row>
    <row r="143" spans="1:64" s="185" customFormat="1" ht="15" customHeight="1">
      <c r="A143" s="390">
        <v>44337</v>
      </c>
      <c r="B143" s="407" t="s">
        <v>297</v>
      </c>
      <c r="C143" s="490" t="s">
        <v>26</v>
      </c>
      <c r="D143" s="388" t="s">
        <v>290</v>
      </c>
      <c r="E143" s="375"/>
      <c r="F143" s="375">
        <v>20000</v>
      </c>
      <c r="G143" s="372">
        <f t="shared" si="2"/>
        <v>26397019</v>
      </c>
      <c r="H143" s="266" t="s">
        <v>88</v>
      </c>
      <c r="I143" s="328" t="s">
        <v>131</v>
      </c>
      <c r="J143" s="328" t="s">
        <v>200</v>
      </c>
      <c r="K143" s="266" t="s">
        <v>201</v>
      </c>
      <c r="L143" s="266" t="s">
        <v>208</v>
      </c>
      <c r="M143" s="269"/>
      <c r="N143" s="269"/>
      <c r="O143" s="267"/>
    </row>
    <row r="144" spans="1:64" s="185" customFormat="1" ht="15" customHeight="1">
      <c r="A144" s="390">
        <v>44337</v>
      </c>
      <c r="B144" s="416" t="s">
        <v>274</v>
      </c>
      <c r="C144" s="374" t="s">
        <v>61</v>
      </c>
      <c r="D144" s="373" t="s">
        <v>21</v>
      </c>
      <c r="E144" s="432"/>
      <c r="F144" s="366">
        <f>22110</f>
        <v>22110</v>
      </c>
      <c r="G144" s="372">
        <f t="shared" si="2"/>
        <v>26374909</v>
      </c>
      <c r="H144" s="268" t="s">
        <v>60</v>
      </c>
      <c r="I144" s="414" t="s">
        <v>73</v>
      </c>
      <c r="J144" s="328" t="s">
        <v>151</v>
      </c>
      <c r="K144" s="377" t="s">
        <v>202</v>
      </c>
      <c r="L144" s="266" t="s">
        <v>208</v>
      </c>
      <c r="M144" s="269" t="s">
        <v>547</v>
      </c>
      <c r="N144" s="269" t="s">
        <v>203</v>
      </c>
      <c r="O144" s="267"/>
    </row>
    <row r="145" spans="1:15" s="498" customFormat="1" ht="15" customHeight="1">
      <c r="A145" s="390">
        <v>44338</v>
      </c>
      <c r="B145" s="268" t="s">
        <v>527</v>
      </c>
      <c r="C145" s="268" t="s">
        <v>224</v>
      </c>
      <c r="D145" s="267" t="s">
        <v>290</v>
      </c>
      <c r="E145" s="366"/>
      <c r="F145" s="366">
        <v>75000</v>
      </c>
      <c r="G145" s="372">
        <f t="shared" si="2"/>
        <v>26299909</v>
      </c>
      <c r="H145" s="268" t="s">
        <v>67</v>
      </c>
      <c r="I145" s="269" t="s">
        <v>73</v>
      </c>
      <c r="J145" s="328" t="s">
        <v>151</v>
      </c>
      <c r="K145" s="266" t="s">
        <v>202</v>
      </c>
      <c r="L145" s="266" t="s">
        <v>208</v>
      </c>
      <c r="M145" s="269" t="s">
        <v>463</v>
      </c>
      <c r="N145" s="269" t="s">
        <v>213</v>
      </c>
      <c r="O145" s="267"/>
    </row>
    <row r="146" spans="1:15" s="185" customFormat="1" ht="15" customHeight="1">
      <c r="A146" s="390">
        <v>44338</v>
      </c>
      <c r="B146" s="424" t="s">
        <v>336</v>
      </c>
      <c r="C146" s="417" t="s">
        <v>71</v>
      </c>
      <c r="D146" s="417" t="s">
        <v>118</v>
      </c>
      <c r="E146" s="429"/>
      <c r="F146" s="429">
        <v>6800</v>
      </c>
      <c r="G146" s="372">
        <f t="shared" si="2"/>
        <v>26293109</v>
      </c>
      <c r="H146" s="266" t="s">
        <v>74</v>
      </c>
      <c r="I146" s="427" t="s">
        <v>73</v>
      </c>
      <c r="J146" s="328" t="s">
        <v>200</v>
      </c>
      <c r="K146" s="266" t="s">
        <v>201</v>
      </c>
      <c r="L146" s="266" t="s">
        <v>208</v>
      </c>
      <c r="M146" s="269"/>
      <c r="N146" s="269"/>
      <c r="O146" s="267"/>
    </row>
    <row r="147" spans="1:15" s="185" customFormat="1" ht="15" customHeight="1">
      <c r="A147" s="390">
        <v>44338</v>
      </c>
      <c r="B147" s="424" t="s">
        <v>337</v>
      </c>
      <c r="C147" s="417" t="s">
        <v>71</v>
      </c>
      <c r="D147" s="458" t="s">
        <v>118</v>
      </c>
      <c r="E147" s="429"/>
      <c r="F147" s="429">
        <f>16365+5475</f>
        <v>21840</v>
      </c>
      <c r="G147" s="372">
        <f t="shared" si="2"/>
        <v>26271269</v>
      </c>
      <c r="H147" s="266" t="s">
        <v>74</v>
      </c>
      <c r="I147" s="427" t="s">
        <v>73</v>
      </c>
      <c r="J147" s="328" t="s">
        <v>200</v>
      </c>
      <c r="K147" s="266" t="s">
        <v>201</v>
      </c>
      <c r="L147" s="266" t="s">
        <v>208</v>
      </c>
      <c r="M147" s="269"/>
      <c r="N147" s="269"/>
      <c r="O147" s="267"/>
    </row>
    <row r="148" spans="1:15" s="498" customFormat="1" ht="15" customHeight="1">
      <c r="A148" s="390">
        <v>44338</v>
      </c>
      <c r="B148" s="268" t="s">
        <v>310</v>
      </c>
      <c r="C148" s="349" t="s">
        <v>70</v>
      </c>
      <c r="D148" s="267" t="s">
        <v>290</v>
      </c>
      <c r="E148" s="366"/>
      <c r="F148" s="366">
        <v>15000</v>
      </c>
      <c r="G148" s="372">
        <f t="shared" si="2"/>
        <v>26256269</v>
      </c>
      <c r="H148" s="268" t="s">
        <v>67</v>
      </c>
      <c r="I148" s="269" t="s">
        <v>73</v>
      </c>
      <c r="J148" s="328" t="s">
        <v>151</v>
      </c>
      <c r="K148" s="266" t="s">
        <v>202</v>
      </c>
      <c r="L148" s="266" t="s">
        <v>208</v>
      </c>
      <c r="M148" s="269" t="s">
        <v>464</v>
      </c>
      <c r="N148" s="269" t="s">
        <v>212</v>
      </c>
      <c r="O148" s="267"/>
    </row>
    <row r="149" spans="1:15" s="185" customFormat="1" ht="15" customHeight="1">
      <c r="A149" s="390">
        <v>44338</v>
      </c>
      <c r="B149" s="266" t="s">
        <v>166</v>
      </c>
      <c r="C149" s="268" t="s">
        <v>117</v>
      </c>
      <c r="D149" s="376"/>
      <c r="E149" s="375">
        <v>226000</v>
      </c>
      <c r="F149" s="375"/>
      <c r="G149" s="372">
        <f t="shared" si="2"/>
        <v>26482269</v>
      </c>
      <c r="H149" s="266" t="s">
        <v>88</v>
      </c>
      <c r="I149" s="328"/>
      <c r="J149" s="328"/>
      <c r="K149" s="266"/>
      <c r="L149" s="266"/>
      <c r="M149" s="269"/>
      <c r="N149" s="269"/>
      <c r="O149" s="267"/>
    </row>
    <row r="150" spans="1:15" s="185" customFormat="1" ht="15" customHeight="1">
      <c r="A150" s="390">
        <v>44338</v>
      </c>
      <c r="B150" s="268" t="s">
        <v>308</v>
      </c>
      <c r="C150" s="268" t="s">
        <v>117</v>
      </c>
      <c r="D150" s="268"/>
      <c r="E150" s="366">
        <v>183000</v>
      </c>
      <c r="F150" s="366"/>
      <c r="G150" s="372">
        <f t="shared" si="2"/>
        <v>26665269</v>
      </c>
      <c r="H150" s="268" t="s">
        <v>67</v>
      </c>
      <c r="I150" s="269"/>
      <c r="J150" s="328"/>
      <c r="K150" s="266"/>
      <c r="L150" s="266"/>
      <c r="M150" s="269"/>
      <c r="N150" s="269"/>
      <c r="O150" s="267"/>
    </row>
    <row r="151" spans="1:15" s="185" customFormat="1" ht="15" customHeight="1">
      <c r="A151" s="390">
        <v>44338</v>
      </c>
      <c r="B151" s="424" t="s">
        <v>533</v>
      </c>
      <c r="C151" s="417" t="s">
        <v>117</v>
      </c>
      <c r="D151" s="417"/>
      <c r="E151" s="429"/>
      <c r="F151" s="429">
        <v>6500</v>
      </c>
      <c r="G151" s="372">
        <f t="shared" si="2"/>
        <v>26658769</v>
      </c>
      <c r="H151" s="266" t="s">
        <v>74</v>
      </c>
      <c r="I151" s="427"/>
      <c r="J151" s="328"/>
      <c r="K151" s="266"/>
      <c r="L151" s="266"/>
      <c r="M151" s="269"/>
      <c r="N151" s="269"/>
      <c r="O151" s="267"/>
    </row>
    <row r="152" spans="1:15" s="185" customFormat="1" ht="15" customHeight="1">
      <c r="A152" s="390">
        <v>44338</v>
      </c>
      <c r="B152" s="424" t="s">
        <v>534</v>
      </c>
      <c r="C152" s="349" t="s">
        <v>117</v>
      </c>
      <c r="D152" s="416"/>
      <c r="E152" s="432">
        <v>6500</v>
      </c>
      <c r="F152" s="432"/>
      <c r="G152" s="372">
        <f t="shared" si="2"/>
        <v>26665269</v>
      </c>
      <c r="H152" s="267" t="s">
        <v>68</v>
      </c>
      <c r="I152" s="269"/>
      <c r="J152" s="328"/>
      <c r="K152" s="266"/>
      <c r="L152" s="266"/>
      <c r="M152" s="269"/>
      <c r="N152" s="269"/>
      <c r="O152" s="267"/>
    </row>
    <row r="153" spans="1:15" s="185" customFormat="1" ht="15" customHeight="1">
      <c r="A153" s="390">
        <v>44338</v>
      </c>
      <c r="B153" s="268" t="s">
        <v>502</v>
      </c>
      <c r="C153" s="349" t="s">
        <v>26</v>
      </c>
      <c r="D153" s="374" t="s">
        <v>59</v>
      </c>
      <c r="E153" s="366"/>
      <c r="F153" s="366">
        <v>50000</v>
      </c>
      <c r="G153" s="372">
        <f t="shared" si="2"/>
        <v>26615269</v>
      </c>
      <c r="H153" s="268" t="s">
        <v>67</v>
      </c>
      <c r="I153" s="328" t="s">
        <v>131</v>
      </c>
      <c r="J153" s="328" t="s">
        <v>501</v>
      </c>
      <c r="K153" s="266" t="s">
        <v>201</v>
      </c>
      <c r="L153" s="266" t="s">
        <v>208</v>
      </c>
      <c r="M153" s="269"/>
      <c r="N153" s="269"/>
      <c r="O153" s="267"/>
    </row>
    <row r="154" spans="1:15" s="185" customFormat="1" ht="15" customHeight="1">
      <c r="A154" s="390">
        <v>44338</v>
      </c>
      <c r="B154" s="416" t="s">
        <v>276</v>
      </c>
      <c r="C154" s="373" t="s">
        <v>61</v>
      </c>
      <c r="D154" s="374" t="s">
        <v>21</v>
      </c>
      <c r="E154" s="432"/>
      <c r="F154" s="366">
        <v>900</v>
      </c>
      <c r="G154" s="372">
        <f t="shared" si="2"/>
        <v>26614369</v>
      </c>
      <c r="H154" s="268" t="s">
        <v>60</v>
      </c>
      <c r="I154" s="414" t="s">
        <v>73</v>
      </c>
      <c r="J154" s="328" t="s">
        <v>151</v>
      </c>
      <c r="K154" s="377" t="s">
        <v>202</v>
      </c>
      <c r="L154" s="266" t="s">
        <v>208</v>
      </c>
      <c r="M154" s="269" t="s">
        <v>462</v>
      </c>
      <c r="N154" s="269" t="s">
        <v>203</v>
      </c>
      <c r="O154" s="267"/>
    </row>
    <row r="155" spans="1:15" s="185" customFormat="1" ht="15" customHeight="1">
      <c r="A155" s="390">
        <v>44339</v>
      </c>
      <c r="B155" s="424" t="s">
        <v>535</v>
      </c>
      <c r="C155" s="458" t="s">
        <v>71</v>
      </c>
      <c r="D155" s="417" t="s">
        <v>118</v>
      </c>
      <c r="E155" s="429"/>
      <c r="F155" s="429">
        <v>20000</v>
      </c>
      <c r="G155" s="372">
        <f t="shared" si="2"/>
        <v>26594369</v>
      </c>
      <c r="H155" s="266" t="s">
        <v>74</v>
      </c>
      <c r="I155" s="269" t="s">
        <v>73</v>
      </c>
      <c r="J155" s="328" t="s">
        <v>200</v>
      </c>
      <c r="K155" s="266" t="s">
        <v>201</v>
      </c>
      <c r="L155" s="266" t="s">
        <v>208</v>
      </c>
      <c r="M155" s="269"/>
      <c r="N155" s="269"/>
      <c r="O155" s="267"/>
    </row>
    <row r="156" spans="1:15" s="185" customFormat="1" ht="15" customHeight="1">
      <c r="A156" s="390">
        <v>44339</v>
      </c>
      <c r="B156" s="424" t="s">
        <v>337</v>
      </c>
      <c r="C156" s="458" t="s">
        <v>71</v>
      </c>
      <c r="D156" s="417" t="s">
        <v>118</v>
      </c>
      <c r="E156" s="429"/>
      <c r="F156" s="429">
        <v>12240</v>
      </c>
      <c r="G156" s="372">
        <f t="shared" si="2"/>
        <v>26582129</v>
      </c>
      <c r="H156" s="266" t="s">
        <v>74</v>
      </c>
      <c r="I156" s="427" t="s">
        <v>73</v>
      </c>
      <c r="J156" s="328" t="s">
        <v>200</v>
      </c>
      <c r="K156" s="266" t="s">
        <v>201</v>
      </c>
      <c r="L156" s="266" t="s">
        <v>208</v>
      </c>
      <c r="M156" s="269"/>
      <c r="N156" s="269"/>
      <c r="O156" s="267"/>
    </row>
    <row r="157" spans="1:15" s="185" customFormat="1" ht="15" customHeight="1">
      <c r="A157" s="390">
        <v>44339</v>
      </c>
      <c r="B157" s="266" t="s">
        <v>322</v>
      </c>
      <c r="C157" s="349" t="s">
        <v>117</v>
      </c>
      <c r="D157" s="379"/>
      <c r="E157" s="375">
        <v>159000</v>
      </c>
      <c r="F157" s="375"/>
      <c r="G157" s="372">
        <f t="shared" si="2"/>
        <v>26741129</v>
      </c>
      <c r="H157" s="267" t="s">
        <v>66</v>
      </c>
      <c r="I157" s="328"/>
      <c r="J157" s="328"/>
      <c r="K157" s="268"/>
      <c r="L157" s="266"/>
      <c r="M157" s="267"/>
      <c r="N157" s="269"/>
      <c r="O157" s="267"/>
    </row>
    <row r="158" spans="1:15" s="498" customFormat="1" ht="15" customHeight="1">
      <c r="A158" s="390">
        <v>44340</v>
      </c>
      <c r="B158" s="481" t="s">
        <v>251</v>
      </c>
      <c r="C158" s="556" t="s">
        <v>15</v>
      </c>
      <c r="D158" s="386" t="s">
        <v>59</v>
      </c>
      <c r="E158" s="448"/>
      <c r="F158" s="429">
        <v>230000</v>
      </c>
      <c r="G158" s="372">
        <f t="shared" si="2"/>
        <v>26511129</v>
      </c>
      <c r="H158" s="266" t="s">
        <v>57</v>
      </c>
      <c r="I158" s="483">
        <v>3643467</v>
      </c>
      <c r="J158" s="328" t="s">
        <v>151</v>
      </c>
      <c r="K158" s="266" t="s">
        <v>202</v>
      </c>
      <c r="L158" s="266" t="s">
        <v>208</v>
      </c>
      <c r="M158" s="269" t="s">
        <v>473</v>
      </c>
      <c r="N158" s="269" t="s">
        <v>205</v>
      </c>
      <c r="O158" s="266"/>
    </row>
    <row r="159" spans="1:15" s="498" customFormat="1" ht="15" customHeight="1">
      <c r="A159" s="390">
        <v>44340</v>
      </c>
      <c r="B159" s="481" t="s">
        <v>244</v>
      </c>
      <c r="C159" s="419" t="s">
        <v>15</v>
      </c>
      <c r="D159" s="385" t="s">
        <v>118</v>
      </c>
      <c r="E159" s="448"/>
      <c r="F159" s="429">
        <v>193600</v>
      </c>
      <c r="G159" s="372">
        <f t="shared" si="2"/>
        <v>26317529</v>
      </c>
      <c r="H159" s="266" t="s">
        <v>57</v>
      </c>
      <c r="I159" s="483">
        <v>3643459</v>
      </c>
      <c r="J159" s="328" t="s">
        <v>151</v>
      </c>
      <c r="K159" s="266" t="s">
        <v>202</v>
      </c>
      <c r="L159" s="266" t="s">
        <v>208</v>
      </c>
      <c r="M159" s="269" t="s">
        <v>465</v>
      </c>
      <c r="N159" s="269" t="s">
        <v>204</v>
      </c>
      <c r="O159" s="267"/>
    </row>
    <row r="160" spans="1:15" s="498" customFormat="1" ht="15" customHeight="1">
      <c r="A160" s="390">
        <v>44340</v>
      </c>
      <c r="B160" s="481" t="s">
        <v>245</v>
      </c>
      <c r="C160" s="419" t="s">
        <v>15</v>
      </c>
      <c r="D160" s="557" t="s">
        <v>118</v>
      </c>
      <c r="E160" s="448"/>
      <c r="F160" s="429">
        <v>193600</v>
      </c>
      <c r="G160" s="372">
        <f t="shared" si="2"/>
        <v>26123929</v>
      </c>
      <c r="H160" s="266" t="s">
        <v>57</v>
      </c>
      <c r="I160" s="483">
        <v>3643460</v>
      </c>
      <c r="J160" s="328" t="s">
        <v>151</v>
      </c>
      <c r="K160" s="266" t="s">
        <v>202</v>
      </c>
      <c r="L160" s="266" t="s">
        <v>208</v>
      </c>
      <c r="M160" s="269" t="s">
        <v>466</v>
      </c>
      <c r="N160" s="269" t="s">
        <v>204</v>
      </c>
      <c r="O160" s="267"/>
    </row>
    <row r="161" spans="1:64" s="498" customFormat="1" ht="15" customHeight="1">
      <c r="A161" s="390">
        <v>44340</v>
      </c>
      <c r="B161" s="481" t="s">
        <v>248</v>
      </c>
      <c r="C161" s="558" t="s">
        <v>15</v>
      </c>
      <c r="D161" s="385" t="s">
        <v>118</v>
      </c>
      <c r="E161" s="448"/>
      <c r="F161" s="429">
        <v>356500</v>
      </c>
      <c r="G161" s="372">
        <f t="shared" si="2"/>
        <v>25767429</v>
      </c>
      <c r="H161" s="266" t="s">
        <v>57</v>
      </c>
      <c r="I161" s="483">
        <v>3643463</v>
      </c>
      <c r="J161" s="328" t="s">
        <v>151</v>
      </c>
      <c r="K161" s="266" t="s">
        <v>202</v>
      </c>
      <c r="L161" s="266" t="s">
        <v>208</v>
      </c>
      <c r="M161" s="269" t="s">
        <v>469</v>
      </c>
      <c r="N161" s="269" t="s">
        <v>204</v>
      </c>
      <c r="O161" s="267"/>
    </row>
    <row r="162" spans="1:64" s="498" customFormat="1" ht="15" customHeight="1">
      <c r="A162" s="390">
        <v>44340</v>
      </c>
      <c r="B162" s="481" t="s">
        <v>250</v>
      </c>
      <c r="C162" s="386" t="s">
        <v>15</v>
      </c>
      <c r="D162" s="557" t="s">
        <v>118</v>
      </c>
      <c r="E162" s="448"/>
      <c r="F162" s="429">
        <v>308000</v>
      </c>
      <c r="G162" s="372">
        <f t="shared" si="2"/>
        <v>25459429</v>
      </c>
      <c r="H162" s="266" t="s">
        <v>57</v>
      </c>
      <c r="I162" s="483">
        <v>3643466</v>
      </c>
      <c r="J162" s="328" t="s">
        <v>151</v>
      </c>
      <c r="K162" s="266" t="s">
        <v>202</v>
      </c>
      <c r="L162" s="266" t="s">
        <v>208</v>
      </c>
      <c r="M162" s="269" t="s">
        <v>472</v>
      </c>
      <c r="N162" s="269" t="s">
        <v>204</v>
      </c>
      <c r="O162" s="267"/>
    </row>
    <row r="163" spans="1:64" s="498" customFormat="1" ht="15" customHeight="1">
      <c r="A163" s="390">
        <v>44340</v>
      </c>
      <c r="B163" s="481" t="s">
        <v>247</v>
      </c>
      <c r="C163" s="556" t="s">
        <v>15</v>
      </c>
      <c r="D163" s="379" t="s">
        <v>320</v>
      </c>
      <c r="E163" s="448"/>
      <c r="F163" s="429">
        <v>191000</v>
      </c>
      <c r="G163" s="372">
        <f t="shared" si="2"/>
        <v>25268429</v>
      </c>
      <c r="H163" s="266" t="s">
        <v>57</v>
      </c>
      <c r="I163" s="483">
        <v>3643462</v>
      </c>
      <c r="J163" s="328" t="s">
        <v>151</v>
      </c>
      <c r="K163" s="266" t="s">
        <v>202</v>
      </c>
      <c r="L163" s="266" t="s">
        <v>208</v>
      </c>
      <c r="M163" s="269" t="s">
        <v>468</v>
      </c>
      <c r="N163" s="269" t="s">
        <v>206</v>
      </c>
      <c r="O163" s="267"/>
    </row>
    <row r="164" spans="1:64" s="498" customFormat="1" ht="15" customHeight="1">
      <c r="A164" s="390">
        <v>44340</v>
      </c>
      <c r="B164" s="481" t="s">
        <v>249</v>
      </c>
      <c r="C164" s="556" t="s">
        <v>15</v>
      </c>
      <c r="D164" s="379" t="s">
        <v>320</v>
      </c>
      <c r="E164" s="448"/>
      <c r="F164" s="429">
        <v>400000</v>
      </c>
      <c r="G164" s="372">
        <f t="shared" si="2"/>
        <v>24868429</v>
      </c>
      <c r="H164" s="266" t="s">
        <v>57</v>
      </c>
      <c r="I164" s="483">
        <v>3643464</v>
      </c>
      <c r="J164" s="328" t="s">
        <v>151</v>
      </c>
      <c r="K164" s="266" t="s">
        <v>202</v>
      </c>
      <c r="L164" s="266" t="s">
        <v>208</v>
      </c>
      <c r="M164" s="269" t="s">
        <v>470</v>
      </c>
      <c r="N164" s="269" t="s">
        <v>206</v>
      </c>
      <c r="O164" s="267"/>
    </row>
    <row r="165" spans="1:64" s="498" customFormat="1" ht="15" customHeight="1">
      <c r="A165" s="390">
        <v>44340</v>
      </c>
      <c r="B165" s="481" t="s">
        <v>246</v>
      </c>
      <c r="C165" s="386" t="s">
        <v>15</v>
      </c>
      <c r="D165" s="385" t="s">
        <v>19</v>
      </c>
      <c r="E165" s="448"/>
      <c r="F165" s="429">
        <v>275000</v>
      </c>
      <c r="G165" s="372">
        <f t="shared" si="2"/>
        <v>24593429</v>
      </c>
      <c r="H165" s="266" t="s">
        <v>57</v>
      </c>
      <c r="I165" s="483">
        <v>3643461</v>
      </c>
      <c r="J165" s="328" t="s">
        <v>151</v>
      </c>
      <c r="K165" s="266" t="s">
        <v>202</v>
      </c>
      <c r="L165" s="266" t="s">
        <v>208</v>
      </c>
      <c r="M165" s="269" t="s">
        <v>467</v>
      </c>
      <c r="N165" s="269" t="s">
        <v>503</v>
      </c>
      <c r="O165" s="267"/>
    </row>
    <row r="166" spans="1:64" s="498" customFormat="1" ht="15" customHeight="1">
      <c r="A166" s="390">
        <v>44340</v>
      </c>
      <c r="B166" s="481" t="s">
        <v>256</v>
      </c>
      <c r="C166" s="386" t="s">
        <v>15</v>
      </c>
      <c r="D166" s="385" t="s">
        <v>19</v>
      </c>
      <c r="E166" s="448"/>
      <c r="F166" s="429">
        <v>400000</v>
      </c>
      <c r="G166" s="372">
        <f t="shared" si="2"/>
        <v>24193429</v>
      </c>
      <c r="H166" s="266" t="s">
        <v>57</v>
      </c>
      <c r="I166" s="483">
        <v>3643465</v>
      </c>
      <c r="J166" s="328" t="s">
        <v>151</v>
      </c>
      <c r="K166" s="266" t="s">
        <v>202</v>
      </c>
      <c r="L166" s="266" t="s">
        <v>208</v>
      </c>
      <c r="M166" s="269" t="s">
        <v>471</v>
      </c>
      <c r="N166" s="269" t="s">
        <v>503</v>
      </c>
      <c r="O166" s="267"/>
    </row>
    <row r="167" spans="1:64" s="185" customFormat="1" ht="15" customHeight="1">
      <c r="A167" s="390">
        <v>44340</v>
      </c>
      <c r="B167" s="424" t="s">
        <v>542</v>
      </c>
      <c r="C167" s="458" t="s">
        <v>71</v>
      </c>
      <c r="D167" s="417" t="s">
        <v>118</v>
      </c>
      <c r="E167" s="375"/>
      <c r="F167" s="375">
        <v>20000</v>
      </c>
      <c r="G167" s="372">
        <f t="shared" si="2"/>
        <v>24173429</v>
      </c>
      <c r="H167" s="266" t="s">
        <v>88</v>
      </c>
      <c r="I167" s="328" t="s">
        <v>73</v>
      </c>
      <c r="J167" s="328" t="s">
        <v>200</v>
      </c>
      <c r="K167" s="266" t="s">
        <v>201</v>
      </c>
      <c r="L167" s="266" t="s">
        <v>208</v>
      </c>
      <c r="M167" s="269"/>
      <c r="N167" s="336"/>
      <c r="O167" s="267"/>
    </row>
    <row r="168" spans="1:64" s="185" customFormat="1" ht="15" customHeight="1">
      <c r="A168" s="390">
        <v>44340</v>
      </c>
      <c r="B168" s="424" t="s">
        <v>337</v>
      </c>
      <c r="C168" s="458" t="s">
        <v>71</v>
      </c>
      <c r="D168" s="417" t="s">
        <v>118</v>
      </c>
      <c r="E168" s="429"/>
      <c r="F168" s="429">
        <f>9665+17330+10500</f>
        <v>37495</v>
      </c>
      <c r="G168" s="372">
        <f t="shared" si="2"/>
        <v>24135934</v>
      </c>
      <c r="H168" s="266" t="s">
        <v>74</v>
      </c>
      <c r="I168" s="427" t="s">
        <v>73</v>
      </c>
      <c r="J168" s="335" t="s">
        <v>200</v>
      </c>
      <c r="K168" s="376" t="s">
        <v>201</v>
      </c>
      <c r="L168" s="266" t="s">
        <v>208</v>
      </c>
      <c r="M168" s="269"/>
      <c r="N168" s="383"/>
      <c r="O168" s="267"/>
    </row>
    <row r="169" spans="1:64" s="185" customFormat="1" ht="15" customHeight="1">
      <c r="A169" s="390">
        <v>44340</v>
      </c>
      <c r="B169" s="424" t="s">
        <v>358</v>
      </c>
      <c r="C169" s="458" t="s">
        <v>71</v>
      </c>
      <c r="D169" s="417" t="s">
        <v>118</v>
      </c>
      <c r="E169" s="429"/>
      <c r="F169" s="429">
        <v>800</v>
      </c>
      <c r="G169" s="372">
        <f t="shared" si="2"/>
        <v>24135134</v>
      </c>
      <c r="H169" s="266" t="s">
        <v>74</v>
      </c>
      <c r="I169" s="427" t="s">
        <v>131</v>
      </c>
      <c r="J169" s="328" t="s">
        <v>200</v>
      </c>
      <c r="K169" s="266" t="s">
        <v>201</v>
      </c>
      <c r="L169" s="266" t="s">
        <v>208</v>
      </c>
      <c r="M169" s="269"/>
      <c r="N169" s="336"/>
      <c r="O169" s="267"/>
    </row>
    <row r="170" spans="1:64" s="185" customFormat="1" ht="15" customHeight="1">
      <c r="A170" s="390">
        <v>44341</v>
      </c>
      <c r="B170" s="266" t="s">
        <v>298</v>
      </c>
      <c r="C170" s="266" t="s">
        <v>72</v>
      </c>
      <c r="D170" s="267" t="s">
        <v>118</v>
      </c>
      <c r="E170" s="375"/>
      <c r="F170" s="375">
        <v>3900</v>
      </c>
      <c r="G170" s="372">
        <f t="shared" si="2"/>
        <v>24131234</v>
      </c>
      <c r="H170" s="266" t="s">
        <v>88</v>
      </c>
      <c r="I170" s="328" t="s">
        <v>73</v>
      </c>
      <c r="J170" s="328" t="s">
        <v>200</v>
      </c>
      <c r="K170" s="266" t="s">
        <v>201</v>
      </c>
      <c r="L170" s="266" t="s">
        <v>208</v>
      </c>
      <c r="M170" s="269"/>
      <c r="N170" s="269"/>
      <c r="O170" s="267"/>
    </row>
    <row r="171" spans="1:64" s="185" customFormat="1" ht="15" customHeight="1">
      <c r="A171" s="390">
        <v>44341</v>
      </c>
      <c r="B171" s="266" t="s">
        <v>300</v>
      </c>
      <c r="C171" s="266" t="s">
        <v>70</v>
      </c>
      <c r="D171" s="388" t="s">
        <v>290</v>
      </c>
      <c r="E171" s="375"/>
      <c r="F171" s="375">
        <v>25000</v>
      </c>
      <c r="G171" s="372">
        <f t="shared" si="2"/>
        <v>24106234</v>
      </c>
      <c r="H171" s="266" t="s">
        <v>88</v>
      </c>
      <c r="I171" s="328" t="s">
        <v>73</v>
      </c>
      <c r="J171" s="328" t="s">
        <v>200</v>
      </c>
      <c r="K171" s="413" t="s">
        <v>201</v>
      </c>
      <c r="L171" s="413" t="s">
        <v>208</v>
      </c>
      <c r="M171" s="269"/>
      <c r="N171" s="414"/>
      <c r="O171" s="267"/>
    </row>
    <row r="172" spans="1:64" s="185" customFormat="1" ht="15" customHeight="1">
      <c r="A172" s="390">
        <v>44341</v>
      </c>
      <c r="B172" s="266" t="s">
        <v>301</v>
      </c>
      <c r="C172" s="266" t="s">
        <v>72</v>
      </c>
      <c r="D172" s="388" t="s">
        <v>118</v>
      </c>
      <c r="E172" s="375"/>
      <c r="F172" s="375">
        <v>63500</v>
      </c>
      <c r="G172" s="372">
        <f t="shared" si="2"/>
        <v>24042734</v>
      </c>
      <c r="H172" s="266" t="s">
        <v>88</v>
      </c>
      <c r="I172" s="328" t="s">
        <v>73</v>
      </c>
      <c r="J172" s="328" t="s">
        <v>200</v>
      </c>
      <c r="K172" s="413" t="s">
        <v>201</v>
      </c>
      <c r="L172" s="266" t="s">
        <v>208</v>
      </c>
      <c r="M172" s="269"/>
      <c r="N172" s="269"/>
      <c r="O172" s="267"/>
    </row>
    <row r="173" spans="1:64" s="185" customFormat="1" ht="15" customHeight="1">
      <c r="A173" s="390">
        <v>44341</v>
      </c>
      <c r="B173" s="416" t="s">
        <v>67</v>
      </c>
      <c r="C173" s="349" t="s">
        <v>117</v>
      </c>
      <c r="D173" s="419"/>
      <c r="E173" s="432"/>
      <c r="F173" s="366">
        <v>70000</v>
      </c>
      <c r="G173" s="372">
        <f t="shared" si="2"/>
        <v>23972734</v>
      </c>
      <c r="H173" s="268" t="s">
        <v>60</v>
      </c>
      <c r="I173" s="414"/>
      <c r="J173" s="329"/>
      <c r="K173" s="266"/>
      <c r="L173" s="266"/>
      <c r="M173" s="269"/>
      <c r="N173" s="336"/>
      <c r="O173" s="267"/>
    </row>
    <row r="174" spans="1:64" s="185" customFormat="1" ht="15" customHeight="1">
      <c r="A174" s="390">
        <v>44341</v>
      </c>
      <c r="B174" s="416" t="s">
        <v>67</v>
      </c>
      <c r="C174" s="268" t="s">
        <v>117</v>
      </c>
      <c r="D174" s="419"/>
      <c r="E174" s="432"/>
      <c r="F174" s="432">
        <v>10000</v>
      </c>
      <c r="G174" s="372">
        <f t="shared" si="2"/>
        <v>23962734</v>
      </c>
      <c r="H174" s="268" t="s">
        <v>60</v>
      </c>
      <c r="I174" s="414"/>
      <c r="J174" s="269"/>
      <c r="K174" s="266"/>
      <c r="L174" s="266"/>
      <c r="M174" s="269"/>
      <c r="N174" s="269"/>
      <c r="O174" s="266"/>
    </row>
    <row r="175" spans="1:64" s="185" customFormat="1" ht="14.25" customHeight="1">
      <c r="A175" s="390">
        <v>44341</v>
      </c>
      <c r="B175" s="424" t="s">
        <v>541</v>
      </c>
      <c r="C175" s="417" t="s">
        <v>71</v>
      </c>
      <c r="D175" s="417" t="s">
        <v>118</v>
      </c>
      <c r="E175" s="429"/>
      <c r="F175" s="429">
        <f>1500+5000+1500</f>
        <v>8000</v>
      </c>
      <c r="G175" s="372">
        <f t="shared" si="2"/>
        <v>23954734</v>
      </c>
      <c r="H175" s="266" t="s">
        <v>74</v>
      </c>
      <c r="I175" s="427" t="s">
        <v>73</v>
      </c>
      <c r="J175" s="328" t="s">
        <v>200</v>
      </c>
      <c r="K175" s="266" t="s">
        <v>201</v>
      </c>
      <c r="L175" s="266" t="s">
        <v>208</v>
      </c>
      <c r="M175" s="269"/>
      <c r="N175" s="336"/>
      <c r="O175" s="267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365"/>
      <c r="AA175" s="365"/>
      <c r="AB175" s="365"/>
      <c r="AC175" s="365"/>
      <c r="AD175" s="365"/>
      <c r="AE175" s="365"/>
      <c r="AF175" s="365"/>
      <c r="AG175" s="365"/>
      <c r="AH175" s="365"/>
      <c r="AI175" s="365"/>
      <c r="AJ175" s="365"/>
      <c r="AK175" s="365"/>
      <c r="AL175" s="365"/>
      <c r="AM175" s="365"/>
      <c r="AN175" s="365"/>
      <c r="AO175" s="365"/>
      <c r="AP175" s="365"/>
      <c r="AQ175" s="365"/>
      <c r="AR175" s="365"/>
      <c r="AS175" s="365"/>
      <c r="AT175" s="365"/>
      <c r="AU175" s="365"/>
      <c r="AV175" s="365"/>
      <c r="AW175" s="365"/>
      <c r="AX175" s="365"/>
      <c r="AY175" s="365"/>
      <c r="AZ175" s="365"/>
      <c r="BA175" s="365"/>
      <c r="BB175" s="365"/>
      <c r="BC175" s="365"/>
      <c r="BD175" s="365"/>
      <c r="BE175" s="365"/>
      <c r="BF175" s="365"/>
      <c r="BG175" s="365"/>
      <c r="BH175" s="365"/>
      <c r="BI175" s="365"/>
      <c r="BJ175" s="365"/>
      <c r="BK175" s="365"/>
      <c r="BL175" s="365"/>
    </row>
    <row r="176" spans="1:64" s="185" customFormat="1" ht="15" customHeight="1">
      <c r="A176" s="390">
        <v>44341</v>
      </c>
      <c r="B176" s="424" t="s">
        <v>359</v>
      </c>
      <c r="C176" s="458" t="s">
        <v>71</v>
      </c>
      <c r="D176" s="417" t="s">
        <v>118</v>
      </c>
      <c r="E176" s="429"/>
      <c r="F176" s="429">
        <v>2500</v>
      </c>
      <c r="G176" s="372">
        <f t="shared" si="2"/>
        <v>23952234</v>
      </c>
      <c r="H176" s="266" t="s">
        <v>74</v>
      </c>
      <c r="I176" s="427" t="s">
        <v>131</v>
      </c>
      <c r="J176" s="328" t="s">
        <v>200</v>
      </c>
      <c r="K176" s="266" t="s">
        <v>201</v>
      </c>
      <c r="L176" s="266" t="s">
        <v>208</v>
      </c>
      <c r="M176" s="269"/>
      <c r="N176" s="336"/>
      <c r="O176" s="267"/>
    </row>
    <row r="177" spans="1:64" s="185" customFormat="1" ht="15" customHeight="1">
      <c r="A177" s="390">
        <v>44341</v>
      </c>
      <c r="B177" s="424" t="s">
        <v>535</v>
      </c>
      <c r="C177" s="458" t="s">
        <v>71</v>
      </c>
      <c r="D177" s="417" t="s">
        <v>118</v>
      </c>
      <c r="E177" s="429"/>
      <c r="F177" s="429">
        <v>20000</v>
      </c>
      <c r="G177" s="372">
        <f t="shared" si="2"/>
        <v>23932234</v>
      </c>
      <c r="H177" s="266" t="s">
        <v>74</v>
      </c>
      <c r="I177" s="269" t="s">
        <v>73</v>
      </c>
      <c r="J177" s="328" t="s">
        <v>200</v>
      </c>
      <c r="K177" s="266" t="s">
        <v>201</v>
      </c>
      <c r="L177" s="266" t="s">
        <v>208</v>
      </c>
      <c r="M177" s="269"/>
      <c r="N177" s="336"/>
      <c r="O177" s="267"/>
    </row>
    <row r="178" spans="1:64" s="365" customFormat="1" ht="15" customHeight="1">
      <c r="A178" s="390">
        <v>44341</v>
      </c>
      <c r="B178" s="424" t="s">
        <v>337</v>
      </c>
      <c r="C178" s="417" t="s">
        <v>71</v>
      </c>
      <c r="D178" s="417" t="s">
        <v>118</v>
      </c>
      <c r="E178" s="429"/>
      <c r="F178" s="429">
        <v>30725</v>
      </c>
      <c r="G178" s="372">
        <f t="shared" si="2"/>
        <v>23901509</v>
      </c>
      <c r="H178" s="266" t="s">
        <v>74</v>
      </c>
      <c r="I178" s="427" t="s">
        <v>73</v>
      </c>
      <c r="J178" s="328" t="s">
        <v>200</v>
      </c>
      <c r="K178" s="266" t="s">
        <v>201</v>
      </c>
      <c r="L178" s="266" t="s">
        <v>208</v>
      </c>
      <c r="M178" s="269"/>
      <c r="N178" s="336"/>
      <c r="O178" s="267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</row>
    <row r="179" spans="1:64" s="185" customFormat="1" ht="15" customHeight="1">
      <c r="A179" s="390">
        <v>44341</v>
      </c>
      <c r="B179" s="266" t="s">
        <v>374</v>
      </c>
      <c r="C179" s="349" t="s">
        <v>117</v>
      </c>
      <c r="D179" s="266"/>
      <c r="E179" s="375"/>
      <c r="F179" s="375">
        <v>200000</v>
      </c>
      <c r="G179" s="372">
        <f t="shared" si="2"/>
        <v>23701509</v>
      </c>
      <c r="H179" s="266" t="s">
        <v>88</v>
      </c>
      <c r="I179" s="328"/>
      <c r="J179" s="328"/>
      <c r="K179" s="266"/>
      <c r="L179" s="266"/>
      <c r="M179" s="267"/>
      <c r="N179" s="336"/>
      <c r="O179" s="267"/>
    </row>
    <row r="180" spans="1:64" s="185" customFormat="1" ht="15" customHeight="1">
      <c r="A180" s="390">
        <v>44341</v>
      </c>
      <c r="B180" s="268" t="s">
        <v>308</v>
      </c>
      <c r="C180" s="268" t="s">
        <v>117</v>
      </c>
      <c r="D180" s="268"/>
      <c r="E180" s="366">
        <v>10000</v>
      </c>
      <c r="F180" s="366"/>
      <c r="G180" s="372">
        <f t="shared" si="2"/>
        <v>23711509</v>
      </c>
      <c r="H180" s="268" t="s">
        <v>67</v>
      </c>
      <c r="I180" s="269"/>
      <c r="J180" s="328"/>
      <c r="K180" s="266"/>
      <c r="L180" s="266"/>
      <c r="M180" s="267"/>
      <c r="N180" s="269"/>
      <c r="O180" s="267"/>
    </row>
    <row r="181" spans="1:64" s="185" customFormat="1" ht="15" customHeight="1">
      <c r="A181" s="390">
        <v>44341</v>
      </c>
      <c r="B181" s="268" t="s">
        <v>308</v>
      </c>
      <c r="C181" s="268" t="s">
        <v>117</v>
      </c>
      <c r="D181" s="268"/>
      <c r="E181" s="366">
        <v>70000</v>
      </c>
      <c r="F181" s="366"/>
      <c r="G181" s="372">
        <f t="shared" si="2"/>
        <v>23781509</v>
      </c>
      <c r="H181" s="268" t="s">
        <v>67</v>
      </c>
      <c r="I181" s="269"/>
      <c r="J181" s="329"/>
      <c r="K181" s="266"/>
      <c r="L181" s="266"/>
      <c r="M181" s="267"/>
      <c r="N181" s="269"/>
      <c r="O181" s="267"/>
    </row>
    <row r="182" spans="1:64" s="185" customFormat="1" ht="15" customHeight="1">
      <c r="A182" s="390">
        <v>44341</v>
      </c>
      <c r="B182" s="424" t="s">
        <v>338</v>
      </c>
      <c r="C182" s="349" t="s">
        <v>117</v>
      </c>
      <c r="D182" s="424"/>
      <c r="E182" s="429">
        <v>200000</v>
      </c>
      <c r="F182" s="429"/>
      <c r="G182" s="372">
        <f t="shared" si="2"/>
        <v>23981509</v>
      </c>
      <c r="H182" s="266" t="s">
        <v>74</v>
      </c>
      <c r="I182" s="427"/>
      <c r="J182" s="328"/>
      <c r="K182" s="266"/>
      <c r="L182" s="266"/>
      <c r="M182" s="269"/>
      <c r="N182" s="382"/>
      <c r="O182" s="267"/>
    </row>
    <row r="183" spans="1:64" s="185" customFormat="1" ht="15" customHeight="1">
      <c r="A183" s="390">
        <v>44341</v>
      </c>
      <c r="B183" s="266" t="s">
        <v>299</v>
      </c>
      <c r="C183" s="406" t="s">
        <v>26</v>
      </c>
      <c r="D183" s="267" t="s">
        <v>290</v>
      </c>
      <c r="E183" s="375"/>
      <c r="F183" s="375">
        <v>150000</v>
      </c>
      <c r="G183" s="372">
        <f t="shared" si="2"/>
        <v>23831509</v>
      </c>
      <c r="H183" s="266" t="s">
        <v>88</v>
      </c>
      <c r="I183" s="328" t="s">
        <v>131</v>
      </c>
      <c r="J183" s="328" t="s">
        <v>501</v>
      </c>
      <c r="K183" s="266" t="s">
        <v>201</v>
      </c>
      <c r="L183" s="266" t="s">
        <v>208</v>
      </c>
      <c r="M183" s="269"/>
      <c r="N183" s="269"/>
      <c r="O183" s="267"/>
    </row>
    <row r="184" spans="1:64" s="498" customFormat="1" ht="15" customHeight="1">
      <c r="A184" s="390">
        <v>44342</v>
      </c>
      <c r="B184" s="268" t="s">
        <v>294</v>
      </c>
      <c r="C184" s="349" t="s">
        <v>70</v>
      </c>
      <c r="D184" s="268" t="s">
        <v>118</v>
      </c>
      <c r="E184" s="366"/>
      <c r="F184" s="366">
        <v>19000</v>
      </c>
      <c r="G184" s="372">
        <f t="shared" si="2"/>
        <v>23812509</v>
      </c>
      <c r="H184" s="268" t="s">
        <v>119</v>
      </c>
      <c r="I184" s="269" t="s">
        <v>131</v>
      </c>
      <c r="J184" s="328" t="s">
        <v>151</v>
      </c>
      <c r="K184" s="266" t="s">
        <v>202</v>
      </c>
      <c r="L184" s="266" t="s">
        <v>208</v>
      </c>
      <c r="M184" s="269" t="s">
        <v>476</v>
      </c>
      <c r="N184" s="336" t="s">
        <v>212</v>
      </c>
      <c r="O184" s="267"/>
    </row>
    <row r="185" spans="1:64" s="498" customFormat="1" ht="15" customHeight="1">
      <c r="A185" s="390">
        <v>44342</v>
      </c>
      <c r="B185" s="266" t="s">
        <v>540</v>
      </c>
      <c r="C185" s="376" t="s">
        <v>234</v>
      </c>
      <c r="D185" s="266" t="s">
        <v>19</v>
      </c>
      <c r="E185" s="375"/>
      <c r="F185" s="375">
        <v>80000</v>
      </c>
      <c r="G185" s="372">
        <f t="shared" si="2"/>
        <v>23732509</v>
      </c>
      <c r="H185" s="266" t="s">
        <v>88</v>
      </c>
      <c r="I185" s="328" t="s">
        <v>73</v>
      </c>
      <c r="J185" s="364" t="s">
        <v>151</v>
      </c>
      <c r="K185" s="376" t="s">
        <v>202</v>
      </c>
      <c r="L185" s="266" t="s">
        <v>208</v>
      </c>
      <c r="M185" s="269" t="s">
        <v>477</v>
      </c>
      <c r="N185" s="383" t="s">
        <v>212</v>
      </c>
      <c r="O185" s="267"/>
    </row>
    <row r="186" spans="1:64" s="498" customFormat="1" ht="15" customHeight="1">
      <c r="A186" s="390">
        <v>44342</v>
      </c>
      <c r="B186" s="268" t="s">
        <v>309</v>
      </c>
      <c r="C186" s="268" t="s">
        <v>70</v>
      </c>
      <c r="D186" s="267" t="s">
        <v>290</v>
      </c>
      <c r="E186" s="366"/>
      <c r="F186" s="366">
        <v>15000</v>
      </c>
      <c r="G186" s="372">
        <f t="shared" si="2"/>
        <v>23717509</v>
      </c>
      <c r="H186" s="268" t="s">
        <v>67</v>
      </c>
      <c r="I186" s="269" t="s">
        <v>73</v>
      </c>
      <c r="J186" s="328" t="s">
        <v>151</v>
      </c>
      <c r="K186" s="266" t="s">
        <v>202</v>
      </c>
      <c r="L186" s="266" t="s">
        <v>208</v>
      </c>
      <c r="M186" s="269" t="s">
        <v>478</v>
      </c>
      <c r="N186" s="269" t="s">
        <v>212</v>
      </c>
      <c r="O186" s="267"/>
    </row>
    <row r="187" spans="1:64" s="185" customFormat="1" ht="15" customHeight="1">
      <c r="A187" s="390">
        <v>44342</v>
      </c>
      <c r="B187" s="268" t="s">
        <v>539</v>
      </c>
      <c r="C187" s="268" t="s">
        <v>70</v>
      </c>
      <c r="D187" s="267" t="s">
        <v>290</v>
      </c>
      <c r="E187" s="366"/>
      <c r="F187" s="366">
        <v>15000</v>
      </c>
      <c r="G187" s="372">
        <f t="shared" si="2"/>
        <v>23702509</v>
      </c>
      <c r="H187" s="268" t="s">
        <v>120</v>
      </c>
      <c r="I187" s="426" t="s">
        <v>73</v>
      </c>
      <c r="J187" s="328" t="s">
        <v>151</v>
      </c>
      <c r="K187" s="266" t="s">
        <v>202</v>
      </c>
      <c r="L187" s="266" t="s">
        <v>208</v>
      </c>
      <c r="M187" s="269" t="s">
        <v>479</v>
      </c>
      <c r="N187" s="269" t="s">
        <v>212</v>
      </c>
      <c r="O187" s="267"/>
    </row>
    <row r="188" spans="1:64" s="185" customFormat="1" ht="15" customHeight="1">
      <c r="A188" s="390">
        <v>44342</v>
      </c>
      <c r="B188" s="268" t="s">
        <v>502</v>
      </c>
      <c r="C188" s="268" t="s">
        <v>311</v>
      </c>
      <c r="D188" s="374" t="s">
        <v>59</v>
      </c>
      <c r="E188" s="366"/>
      <c r="F188" s="366">
        <v>150000</v>
      </c>
      <c r="G188" s="372">
        <f t="shared" si="2"/>
        <v>23552509</v>
      </c>
      <c r="H188" s="268" t="s">
        <v>67</v>
      </c>
      <c r="I188" s="269" t="s">
        <v>131</v>
      </c>
      <c r="J188" s="328" t="s">
        <v>200</v>
      </c>
      <c r="K188" s="266" t="s">
        <v>201</v>
      </c>
      <c r="L188" s="266" t="s">
        <v>208</v>
      </c>
      <c r="M188" s="269"/>
      <c r="N188" s="269"/>
      <c r="O188" s="267"/>
    </row>
    <row r="189" spans="1:64" s="185" customFormat="1" ht="15" customHeight="1">
      <c r="A189" s="390">
        <v>44342</v>
      </c>
      <c r="B189" s="424" t="s">
        <v>337</v>
      </c>
      <c r="C189" s="458" t="s">
        <v>71</v>
      </c>
      <c r="D189" s="417" t="s">
        <v>118</v>
      </c>
      <c r="E189" s="429"/>
      <c r="F189" s="429">
        <v>2600</v>
      </c>
      <c r="G189" s="372">
        <f t="shared" si="2"/>
        <v>23549909</v>
      </c>
      <c r="H189" s="266" t="s">
        <v>74</v>
      </c>
      <c r="I189" s="427" t="s">
        <v>73</v>
      </c>
      <c r="J189" s="335" t="s">
        <v>200</v>
      </c>
      <c r="K189" s="376" t="s">
        <v>201</v>
      </c>
      <c r="L189" s="266" t="s">
        <v>208</v>
      </c>
      <c r="M189" s="269"/>
      <c r="N189" s="383"/>
      <c r="O189" s="267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5"/>
      <c r="AE189" s="365"/>
      <c r="AF189" s="365"/>
      <c r="AG189" s="365"/>
      <c r="AH189" s="365"/>
      <c r="AI189" s="365"/>
      <c r="AJ189" s="365"/>
      <c r="AK189" s="365"/>
      <c r="AL189" s="365"/>
      <c r="AM189" s="365"/>
      <c r="AN189" s="365"/>
      <c r="AO189" s="365"/>
      <c r="AP189" s="365"/>
      <c r="AQ189" s="365"/>
      <c r="AR189" s="365"/>
      <c r="AS189" s="365"/>
      <c r="AT189" s="365"/>
      <c r="AU189" s="365"/>
      <c r="AV189" s="365"/>
      <c r="AW189" s="365"/>
      <c r="AX189" s="365"/>
      <c r="AY189" s="365"/>
      <c r="AZ189" s="365"/>
      <c r="BA189" s="365"/>
      <c r="BB189" s="365"/>
      <c r="BC189" s="365"/>
      <c r="BD189" s="365"/>
      <c r="BE189" s="365"/>
      <c r="BF189" s="365"/>
      <c r="BG189" s="365"/>
      <c r="BH189" s="365"/>
      <c r="BI189" s="365"/>
      <c r="BJ189" s="365"/>
      <c r="BK189" s="365"/>
      <c r="BL189" s="365"/>
    </row>
    <row r="190" spans="1:64" s="185" customFormat="1" ht="15" customHeight="1">
      <c r="A190" s="390">
        <v>44342</v>
      </c>
      <c r="B190" s="424" t="s">
        <v>535</v>
      </c>
      <c r="C190" s="417" t="s">
        <v>71</v>
      </c>
      <c r="D190" s="417" t="s">
        <v>118</v>
      </c>
      <c r="E190" s="429"/>
      <c r="F190" s="429">
        <v>20000</v>
      </c>
      <c r="G190" s="372">
        <f t="shared" si="2"/>
        <v>23529909</v>
      </c>
      <c r="H190" s="266" t="s">
        <v>74</v>
      </c>
      <c r="I190" s="269" t="s">
        <v>73</v>
      </c>
      <c r="J190" s="328" t="s">
        <v>200</v>
      </c>
      <c r="K190" s="266" t="s">
        <v>201</v>
      </c>
      <c r="L190" s="266" t="s">
        <v>208</v>
      </c>
      <c r="M190" s="269"/>
      <c r="N190" s="269"/>
      <c r="O190" s="267"/>
      <c r="P190" s="494"/>
    </row>
    <row r="191" spans="1:64" s="185" customFormat="1" ht="15" customHeight="1">
      <c r="A191" s="390">
        <v>44342</v>
      </c>
      <c r="B191" s="481" t="s">
        <v>252</v>
      </c>
      <c r="C191" s="349" t="s">
        <v>117</v>
      </c>
      <c r="D191" s="484"/>
      <c r="E191" s="448"/>
      <c r="F191" s="429">
        <v>167000</v>
      </c>
      <c r="G191" s="372">
        <f t="shared" si="2"/>
        <v>23362909</v>
      </c>
      <c r="H191" s="266" t="s">
        <v>57</v>
      </c>
      <c r="I191" s="477">
        <v>3643470</v>
      </c>
      <c r="J191" s="329"/>
      <c r="K191" s="266"/>
      <c r="L191" s="266"/>
      <c r="M191" s="267"/>
      <c r="N191" s="336"/>
      <c r="O191" s="267"/>
    </row>
    <row r="192" spans="1:64" s="185" customFormat="1" ht="15" customHeight="1">
      <c r="A192" s="390">
        <v>44342</v>
      </c>
      <c r="B192" s="481" t="s">
        <v>254</v>
      </c>
      <c r="C192" s="268" t="s">
        <v>117</v>
      </c>
      <c r="D192" s="484"/>
      <c r="E192" s="448"/>
      <c r="F192" s="429">
        <v>143000</v>
      </c>
      <c r="G192" s="372">
        <f t="shared" si="2"/>
        <v>23219909</v>
      </c>
      <c r="H192" s="266" t="s">
        <v>57</v>
      </c>
      <c r="I192" s="477">
        <v>3643468</v>
      </c>
      <c r="J192" s="269"/>
      <c r="K192" s="266"/>
      <c r="L192" s="266"/>
      <c r="M192" s="269"/>
      <c r="N192" s="269"/>
      <c r="O192" s="267"/>
    </row>
    <row r="193" spans="1:64" s="185" customFormat="1" ht="15" customHeight="1">
      <c r="A193" s="390">
        <v>44342</v>
      </c>
      <c r="B193" s="416" t="s">
        <v>88</v>
      </c>
      <c r="C193" s="268" t="s">
        <v>117</v>
      </c>
      <c r="D193" s="416"/>
      <c r="E193" s="432"/>
      <c r="F193" s="366">
        <v>141000</v>
      </c>
      <c r="G193" s="372">
        <f t="shared" si="2"/>
        <v>23078909</v>
      </c>
      <c r="H193" s="268" t="s">
        <v>60</v>
      </c>
      <c r="I193" s="414"/>
      <c r="J193" s="269"/>
      <c r="K193" s="266"/>
      <c r="L193" s="266"/>
      <c r="M193" s="269"/>
      <c r="N193" s="269"/>
      <c r="O193" s="267"/>
    </row>
    <row r="194" spans="1:64" s="185" customFormat="1" ht="15.75">
      <c r="A194" s="390">
        <v>44342</v>
      </c>
      <c r="B194" s="416" t="s">
        <v>221</v>
      </c>
      <c r="C194" s="268" t="s">
        <v>117</v>
      </c>
      <c r="D194" s="416"/>
      <c r="E194" s="432"/>
      <c r="F194" s="366">
        <v>103000</v>
      </c>
      <c r="G194" s="372">
        <f t="shared" si="2"/>
        <v>22975909</v>
      </c>
      <c r="H194" s="268" t="s">
        <v>60</v>
      </c>
      <c r="I194" s="414"/>
      <c r="J194" s="269"/>
      <c r="K194" s="266"/>
      <c r="L194" s="266"/>
      <c r="M194" s="267"/>
      <c r="N194" s="269"/>
      <c r="O194" s="267"/>
    </row>
    <row r="195" spans="1:64" s="185" customFormat="1" ht="15.75">
      <c r="A195" s="390">
        <v>44342</v>
      </c>
      <c r="B195" s="416" t="s">
        <v>66</v>
      </c>
      <c r="C195" s="349" t="s">
        <v>117</v>
      </c>
      <c r="D195" s="416"/>
      <c r="E195" s="432"/>
      <c r="F195" s="366">
        <v>97000</v>
      </c>
      <c r="G195" s="372">
        <f t="shared" si="2"/>
        <v>22878909</v>
      </c>
      <c r="H195" s="268" t="s">
        <v>60</v>
      </c>
      <c r="I195" s="414"/>
      <c r="J195" s="328"/>
      <c r="K195" s="377"/>
      <c r="L195" s="266"/>
      <c r="M195" s="269"/>
      <c r="N195" s="336"/>
      <c r="O195" s="267"/>
    </row>
    <row r="196" spans="1:64" s="185" customFormat="1" ht="15.75">
      <c r="A196" s="390">
        <v>44342</v>
      </c>
      <c r="B196" s="416" t="s">
        <v>67</v>
      </c>
      <c r="C196" s="268" t="s">
        <v>117</v>
      </c>
      <c r="D196" s="416"/>
      <c r="E196" s="432"/>
      <c r="F196" s="366">
        <v>92000</v>
      </c>
      <c r="G196" s="372">
        <f t="shared" si="2"/>
        <v>22786909</v>
      </c>
      <c r="H196" s="268" t="s">
        <v>60</v>
      </c>
      <c r="I196" s="414"/>
      <c r="J196" s="328"/>
      <c r="K196" s="266"/>
      <c r="L196" s="266"/>
      <c r="M196" s="267"/>
      <c r="N196" s="336"/>
      <c r="O196" s="267"/>
      <c r="P196" s="381"/>
    </row>
    <row r="197" spans="1:64" s="185" customFormat="1" ht="16.5" customHeight="1">
      <c r="A197" s="390">
        <v>44342</v>
      </c>
      <c r="B197" s="416" t="s">
        <v>120</v>
      </c>
      <c r="C197" s="268" t="s">
        <v>117</v>
      </c>
      <c r="D197" s="416"/>
      <c r="E197" s="432"/>
      <c r="F197" s="366">
        <v>92000</v>
      </c>
      <c r="G197" s="372">
        <f t="shared" si="2"/>
        <v>22694909</v>
      </c>
      <c r="H197" s="268" t="s">
        <v>60</v>
      </c>
      <c r="I197" s="414"/>
      <c r="J197" s="328"/>
      <c r="K197" s="266"/>
      <c r="L197" s="266"/>
      <c r="M197" s="267"/>
      <c r="N197" s="336"/>
      <c r="O197" s="267"/>
    </row>
    <row r="198" spans="1:64" s="185" customFormat="1" ht="15.75">
      <c r="A198" s="390">
        <v>44342</v>
      </c>
      <c r="B198" s="416" t="s">
        <v>278</v>
      </c>
      <c r="C198" s="268" t="s">
        <v>117</v>
      </c>
      <c r="D198" s="268"/>
      <c r="E198" s="432">
        <v>143000</v>
      </c>
      <c r="F198" s="366"/>
      <c r="G198" s="372">
        <f t="shared" si="2"/>
        <v>22837909</v>
      </c>
      <c r="H198" s="268" t="s">
        <v>60</v>
      </c>
      <c r="I198" s="414"/>
      <c r="J198" s="328"/>
      <c r="K198" s="266"/>
      <c r="L198" s="266"/>
      <c r="M198" s="269"/>
      <c r="N198" s="269"/>
      <c r="O198" s="267"/>
    </row>
    <row r="199" spans="1:64" s="185" customFormat="1" ht="15.75">
      <c r="A199" s="390">
        <v>44342</v>
      </c>
      <c r="B199" s="416" t="s">
        <v>278</v>
      </c>
      <c r="C199" s="268" t="s">
        <v>117</v>
      </c>
      <c r="D199" s="349"/>
      <c r="E199" s="432">
        <v>167000</v>
      </c>
      <c r="F199" s="366"/>
      <c r="G199" s="372">
        <f t="shared" si="2"/>
        <v>23004909</v>
      </c>
      <c r="H199" s="268" t="s">
        <v>60</v>
      </c>
      <c r="I199" s="414"/>
      <c r="J199" s="329"/>
      <c r="K199" s="266"/>
      <c r="L199" s="266"/>
      <c r="M199" s="267"/>
      <c r="N199" s="269"/>
      <c r="O199" s="269"/>
    </row>
    <row r="200" spans="1:64" s="185" customFormat="1" ht="15" customHeight="1">
      <c r="A200" s="390">
        <v>44342</v>
      </c>
      <c r="B200" s="266" t="s">
        <v>166</v>
      </c>
      <c r="C200" s="268" t="s">
        <v>117</v>
      </c>
      <c r="D200" s="266"/>
      <c r="E200" s="375">
        <v>141000</v>
      </c>
      <c r="F200" s="375"/>
      <c r="G200" s="372">
        <f t="shared" si="2"/>
        <v>23145909</v>
      </c>
      <c r="H200" s="266" t="s">
        <v>88</v>
      </c>
      <c r="I200" s="328"/>
      <c r="J200" s="328"/>
      <c r="K200" s="266"/>
      <c r="L200" s="266"/>
      <c r="M200" s="267"/>
      <c r="N200" s="269"/>
      <c r="O200" s="267"/>
    </row>
    <row r="201" spans="1:64" s="185" customFormat="1" ht="15" customHeight="1">
      <c r="A201" s="390">
        <v>44342</v>
      </c>
      <c r="B201" s="268" t="s">
        <v>308</v>
      </c>
      <c r="C201" s="349" t="s">
        <v>117</v>
      </c>
      <c r="D201" s="349"/>
      <c r="E201" s="366">
        <v>92000</v>
      </c>
      <c r="F201" s="366"/>
      <c r="G201" s="372">
        <f t="shared" si="2"/>
        <v>23237909</v>
      </c>
      <c r="H201" s="268" t="s">
        <v>67</v>
      </c>
      <c r="I201" s="269"/>
      <c r="J201" s="328"/>
      <c r="K201" s="266"/>
      <c r="L201" s="266"/>
      <c r="M201" s="267"/>
      <c r="N201" s="336"/>
      <c r="O201" s="267"/>
    </row>
    <row r="202" spans="1:64" s="185" customFormat="1" ht="15" customHeight="1">
      <c r="A202" s="390">
        <v>44342</v>
      </c>
      <c r="B202" s="268" t="s">
        <v>313</v>
      </c>
      <c r="C202" s="349" t="s">
        <v>117</v>
      </c>
      <c r="D202" s="268"/>
      <c r="E202" s="366">
        <v>92000</v>
      </c>
      <c r="F202" s="366"/>
      <c r="G202" s="372">
        <f t="shared" si="2"/>
        <v>23329909</v>
      </c>
      <c r="H202" s="268" t="s">
        <v>120</v>
      </c>
      <c r="I202" s="426"/>
      <c r="J202" s="328"/>
      <c r="K202" s="266"/>
      <c r="L202" s="266"/>
      <c r="M202" s="269"/>
      <c r="N202" s="336"/>
      <c r="O202" s="267"/>
    </row>
    <row r="203" spans="1:64" s="365" customFormat="1" ht="15" customHeight="1">
      <c r="A203" s="390">
        <v>44342</v>
      </c>
      <c r="B203" s="266" t="s">
        <v>322</v>
      </c>
      <c r="C203" s="268" t="s">
        <v>117</v>
      </c>
      <c r="D203" s="379"/>
      <c r="E203" s="375">
        <v>97000</v>
      </c>
      <c r="F203" s="375"/>
      <c r="G203" s="372">
        <f t="shared" si="2"/>
        <v>23426909</v>
      </c>
      <c r="H203" s="267" t="s">
        <v>66</v>
      </c>
      <c r="I203" s="328"/>
      <c r="J203" s="328"/>
      <c r="K203" s="266"/>
      <c r="L203" s="266"/>
      <c r="M203" s="267"/>
      <c r="N203" s="269"/>
      <c r="O203" s="266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5"/>
      <c r="AN203" s="185"/>
      <c r="AO203" s="185"/>
      <c r="AP203" s="185"/>
      <c r="AQ203" s="185"/>
      <c r="AR203" s="185"/>
      <c r="AS203" s="185"/>
      <c r="AT203" s="185"/>
      <c r="AU203" s="185"/>
      <c r="AV203" s="185"/>
      <c r="AW203" s="185"/>
      <c r="AX203" s="185"/>
      <c r="AY203" s="185"/>
      <c r="AZ203" s="185"/>
      <c r="BA203" s="185"/>
      <c r="BB203" s="185"/>
      <c r="BC203" s="185"/>
      <c r="BD203" s="185"/>
      <c r="BE203" s="185"/>
      <c r="BF203" s="185"/>
      <c r="BG203" s="185"/>
      <c r="BH203" s="185"/>
      <c r="BI203" s="185"/>
      <c r="BJ203" s="185"/>
      <c r="BK203" s="185"/>
      <c r="BL203" s="185"/>
    </row>
    <row r="204" spans="1:64" s="185" customFormat="1" ht="15" customHeight="1">
      <c r="A204" s="390">
        <v>44342</v>
      </c>
      <c r="B204" s="424" t="s">
        <v>225</v>
      </c>
      <c r="C204" s="268" t="s">
        <v>117</v>
      </c>
      <c r="D204" s="424"/>
      <c r="E204" s="429">
        <v>103000</v>
      </c>
      <c r="F204" s="429"/>
      <c r="G204" s="372">
        <f t="shared" si="2"/>
        <v>23529909</v>
      </c>
      <c r="H204" s="266" t="s">
        <v>74</v>
      </c>
      <c r="I204" s="427"/>
      <c r="J204" s="328"/>
      <c r="K204" s="377"/>
      <c r="L204" s="266"/>
      <c r="M204" s="269"/>
      <c r="N204" s="269"/>
      <c r="O204" s="267"/>
    </row>
    <row r="205" spans="1:64" s="185" customFormat="1" ht="15" customHeight="1">
      <c r="A205" s="390">
        <v>44342</v>
      </c>
      <c r="B205" s="416" t="s">
        <v>393</v>
      </c>
      <c r="C205" s="268" t="s">
        <v>58</v>
      </c>
      <c r="D205" s="268" t="s">
        <v>118</v>
      </c>
      <c r="E205" s="432"/>
      <c r="F205" s="432">
        <v>27000</v>
      </c>
      <c r="G205" s="372">
        <f t="shared" ref="G205:G268" si="3">+G204+E205-F205</f>
        <v>23502909</v>
      </c>
      <c r="H205" s="268" t="s">
        <v>60</v>
      </c>
      <c r="I205" s="414" t="s">
        <v>73</v>
      </c>
      <c r="J205" s="269" t="s">
        <v>151</v>
      </c>
      <c r="K205" s="266" t="s">
        <v>202</v>
      </c>
      <c r="L205" s="266" t="s">
        <v>208</v>
      </c>
      <c r="M205" s="269" t="s">
        <v>474</v>
      </c>
      <c r="N205" s="269" t="s">
        <v>209</v>
      </c>
      <c r="O205" s="267"/>
    </row>
    <row r="206" spans="1:64" s="185" customFormat="1" ht="15" customHeight="1">
      <c r="A206" s="390">
        <v>44342</v>
      </c>
      <c r="B206" s="416" t="s">
        <v>274</v>
      </c>
      <c r="C206" s="373" t="s">
        <v>61</v>
      </c>
      <c r="D206" s="374" t="s">
        <v>21</v>
      </c>
      <c r="E206" s="432"/>
      <c r="F206" s="366">
        <v>10230</v>
      </c>
      <c r="G206" s="372">
        <f t="shared" si="3"/>
        <v>23492679</v>
      </c>
      <c r="H206" s="268" t="s">
        <v>60</v>
      </c>
      <c r="I206" s="414" t="s">
        <v>73</v>
      </c>
      <c r="J206" s="328" t="s">
        <v>151</v>
      </c>
      <c r="K206" s="377" t="s">
        <v>202</v>
      </c>
      <c r="L206" s="266" t="s">
        <v>208</v>
      </c>
      <c r="M206" s="269" t="s">
        <v>475</v>
      </c>
      <c r="N206" s="336" t="s">
        <v>203</v>
      </c>
      <c r="O206" s="267"/>
    </row>
    <row r="207" spans="1:64" s="498" customFormat="1" ht="15" customHeight="1">
      <c r="A207" s="390">
        <v>44343</v>
      </c>
      <c r="B207" s="268" t="s">
        <v>528</v>
      </c>
      <c r="C207" s="268" t="s">
        <v>224</v>
      </c>
      <c r="D207" s="267" t="s">
        <v>290</v>
      </c>
      <c r="E207" s="366"/>
      <c r="F207" s="366">
        <v>60000</v>
      </c>
      <c r="G207" s="372">
        <f t="shared" si="3"/>
        <v>23432679</v>
      </c>
      <c r="H207" s="268" t="s">
        <v>67</v>
      </c>
      <c r="I207" s="269" t="s">
        <v>131</v>
      </c>
      <c r="J207" s="328" t="s">
        <v>151</v>
      </c>
      <c r="K207" s="266" t="s">
        <v>202</v>
      </c>
      <c r="L207" s="266" t="s">
        <v>208</v>
      </c>
      <c r="M207" s="269" t="s">
        <v>480</v>
      </c>
      <c r="N207" s="269" t="s">
        <v>213</v>
      </c>
      <c r="O207" s="267"/>
    </row>
    <row r="208" spans="1:64" s="185" customFormat="1" ht="15" customHeight="1">
      <c r="A208" s="390">
        <v>44343</v>
      </c>
      <c r="B208" s="268" t="s">
        <v>531</v>
      </c>
      <c r="C208" s="268" t="s">
        <v>224</v>
      </c>
      <c r="D208" s="267" t="s">
        <v>290</v>
      </c>
      <c r="E208" s="366"/>
      <c r="F208" s="366">
        <v>70000</v>
      </c>
      <c r="G208" s="372">
        <f t="shared" si="3"/>
        <v>23362679</v>
      </c>
      <c r="H208" s="268" t="s">
        <v>120</v>
      </c>
      <c r="I208" s="426" t="s">
        <v>131</v>
      </c>
      <c r="J208" s="328" t="s">
        <v>151</v>
      </c>
      <c r="K208" s="266" t="s">
        <v>202</v>
      </c>
      <c r="L208" s="266" t="s">
        <v>208</v>
      </c>
      <c r="M208" s="269" t="s">
        <v>481</v>
      </c>
      <c r="N208" s="269" t="s">
        <v>213</v>
      </c>
      <c r="O208" s="267"/>
    </row>
    <row r="209" spans="1:64" s="185" customFormat="1" ht="15" customHeight="1">
      <c r="A209" s="390">
        <v>44343</v>
      </c>
      <c r="B209" s="268" t="s">
        <v>291</v>
      </c>
      <c r="C209" s="268" t="s">
        <v>17</v>
      </c>
      <c r="D209" s="374" t="s">
        <v>21</v>
      </c>
      <c r="E209" s="366"/>
      <c r="F209" s="366">
        <v>18000</v>
      </c>
      <c r="G209" s="372">
        <f t="shared" si="3"/>
        <v>23344679</v>
      </c>
      <c r="H209" s="268" t="s">
        <v>60</v>
      </c>
      <c r="I209" s="414" t="s">
        <v>73</v>
      </c>
      <c r="J209" s="328" t="s">
        <v>200</v>
      </c>
      <c r="K209" s="266" t="s">
        <v>201</v>
      </c>
      <c r="L209" s="266" t="s">
        <v>208</v>
      </c>
      <c r="M209" s="269"/>
      <c r="N209" s="336"/>
      <c r="O209" s="267"/>
    </row>
    <row r="210" spans="1:64" s="185" customFormat="1" ht="15" customHeight="1">
      <c r="A210" s="390">
        <v>44343</v>
      </c>
      <c r="B210" s="266" t="s">
        <v>329</v>
      </c>
      <c r="C210" s="424" t="s">
        <v>15</v>
      </c>
      <c r="D210" s="268" t="s">
        <v>363</v>
      </c>
      <c r="E210" s="375"/>
      <c r="F210" s="375">
        <v>10000</v>
      </c>
      <c r="G210" s="372">
        <f t="shared" si="3"/>
        <v>23334679</v>
      </c>
      <c r="H210" s="267" t="s">
        <v>66</v>
      </c>
      <c r="I210" s="328" t="s">
        <v>73</v>
      </c>
      <c r="J210" s="328" t="s">
        <v>200</v>
      </c>
      <c r="K210" s="266" t="s">
        <v>201</v>
      </c>
      <c r="L210" s="266" t="s">
        <v>208</v>
      </c>
      <c r="M210" s="269"/>
      <c r="N210" s="269"/>
      <c r="O210" s="267"/>
    </row>
    <row r="211" spans="1:64" s="185" customFormat="1" ht="15" customHeight="1">
      <c r="A211" s="390">
        <v>44343</v>
      </c>
      <c r="B211" s="266" t="s">
        <v>335</v>
      </c>
      <c r="C211" s="424" t="s">
        <v>15</v>
      </c>
      <c r="D211" s="268" t="s">
        <v>363</v>
      </c>
      <c r="E211" s="375"/>
      <c r="F211" s="375">
        <v>20000</v>
      </c>
      <c r="G211" s="372">
        <f t="shared" si="3"/>
        <v>23314679</v>
      </c>
      <c r="H211" s="267" t="s">
        <v>66</v>
      </c>
      <c r="I211" s="328" t="s">
        <v>73</v>
      </c>
      <c r="J211" s="328" t="s">
        <v>200</v>
      </c>
      <c r="K211" s="266" t="s">
        <v>201</v>
      </c>
      <c r="L211" s="266" t="s">
        <v>208</v>
      </c>
      <c r="M211" s="269"/>
      <c r="N211" s="269"/>
      <c r="O211" s="267"/>
    </row>
    <row r="212" spans="1:64" s="185" customFormat="1" ht="15" customHeight="1">
      <c r="A212" s="390">
        <v>44343</v>
      </c>
      <c r="B212" s="266" t="s">
        <v>330</v>
      </c>
      <c r="C212" s="424" t="s">
        <v>15</v>
      </c>
      <c r="D212" s="268" t="s">
        <v>363</v>
      </c>
      <c r="E212" s="375"/>
      <c r="F212" s="375">
        <v>14585</v>
      </c>
      <c r="G212" s="372">
        <f t="shared" si="3"/>
        <v>23300094</v>
      </c>
      <c r="H212" s="267" t="s">
        <v>66</v>
      </c>
      <c r="I212" s="328" t="s">
        <v>73</v>
      </c>
      <c r="J212" s="328" t="s">
        <v>200</v>
      </c>
      <c r="K212" s="266" t="s">
        <v>201</v>
      </c>
      <c r="L212" s="266" t="s">
        <v>208</v>
      </c>
      <c r="M212" s="269"/>
      <c r="N212" s="269"/>
      <c r="O212" s="267"/>
      <c r="P212" s="365"/>
      <c r="Q212" s="365"/>
      <c r="R212" s="365"/>
      <c r="S212" s="365"/>
      <c r="T212" s="365"/>
      <c r="U212" s="365"/>
      <c r="V212" s="365"/>
      <c r="W212" s="365"/>
      <c r="X212" s="365"/>
      <c r="Y212" s="365"/>
      <c r="Z212" s="365"/>
      <c r="AA212" s="365"/>
      <c r="AB212" s="365"/>
      <c r="AC212" s="365"/>
      <c r="AD212" s="365"/>
      <c r="AE212" s="365"/>
      <c r="AF212" s="365"/>
      <c r="AG212" s="365"/>
      <c r="AH212" s="365"/>
      <c r="AI212" s="365"/>
      <c r="AJ212" s="365"/>
      <c r="AK212" s="365"/>
      <c r="AL212" s="365"/>
      <c r="AM212" s="365"/>
      <c r="AN212" s="365"/>
      <c r="AO212" s="365"/>
      <c r="AP212" s="365"/>
      <c r="AQ212" s="365"/>
      <c r="AR212" s="365"/>
      <c r="AS212" s="365"/>
      <c r="AT212" s="365"/>
      <c r="AU212" s="365"/>
      <c r="AV212" s="365"/>
      <c r="AW212" s="365"/>
      <c r="AX212" s="365"/>
      <c r="AY212" s="365"/>
      <c r="AZ212" s="365"/>
      <c r="BA212" s="365"/>
      <c r="BB212" s="365"/>
      <c r="BC212" s="365"/>
      <c r="BD212" s="365"/>
      <c r="BE212" s="365"/>
      <c r="BF212" s="365"/>
      <c r="BG212" s="365"/>
      <c r="BH212" s="365"/>
      <c r="BI212" s="365"/>
      <c r="BJ212" s="365"/>
      <c r="BK212" s="365"/>
      <c r="BL212" s="365"/>
    </row>
    <row r="213" spans="1:64" s="185" customFormat="1" ht="15" customHeight="1">
      <c r="A213" s="390">
        <v>44343</v>
      </c>
      <c r="B213" s="481" t="s">
        <v>253</v>
      </c>
      <c r="C213" s="268" t="s">
        <v>117</v>
      </c>
      <c r="D213" s="484"/>
      <c r="E213" s="448"/>
      <c r="F213" s="429">
        <v>1000000</v>
      </c>
      <c r="G213" s="372">
        <f t="shared" si="3"/>
        <v>22300094</v>
      </c>
      <c r="H213" s="266" t="s">
        <v>57</v>
      </c>
      <c r="I213" s="477">
        <v>3643472</v>
      </c>
      <c r="J213" s="329"/>
      <c r="K213" s="266"/>
      <c r="L213" s="266"/>
      <c r="M213" s="269"/>
      <c r="N213" s="269"/>
      <c r="O213" s="267"/>
    </row>
    <row r="214" spans="1:64" s="185" customFormat="1" ht="15" customHeight="1">
      <c r="A214" s="390">
        <v>44343</v>
      </c>
      <c r="B214" s="268" t="s">
        <v>56</v>
      </c>
      <c r="C214" s="349" t="s">
        <v>117</v>
      </c>
      <c r="D214" s="268"/>
      <c r="E214" s="432">
        <v>1000000</v>
      </c>
      <c r="F214" s="366"/>
      <c r="G214" s="372">
        <f t="shared" si="3"/>
        <v>23300094</v>
      </c>
      <c r="H214" s="268" t="s">
        <v>60</v>
      </c>
      <c r="I214" s="414"/>
      <c r="J214" s="329"/>
      <c r="K214" s="266"/>
      <c r="L214" s="266"/>
      <c r="M214" s="267"/>
      <c r="N214" s="336"/>
      <c r="O214" s="267"/>
    </row>
    <row r="215" spans="1:64" s="185" customFormat="1" ht="15" customHeight="1">
      <c r="A215" s="390">
        <v>44343</v>
      </c>
      <c r="B215" s="416" t="s">
        <v>88</v>
      </c>
      <c r="C215" s="349" t="s">
        <v>117</v>
      </c>
      <c r="D215" s="416"/>
      <c r="E215" s="432"/>
      <c r="F215" s="366">
        <v>533000</v>
      </c>
      <c r="G215" s="372">
        <f t="shared" si="3"/>
        <v>22767094</v>
      </c>
      <c r="H215" s="268" t="s">
        <v>60</v>
      </c>
      <c r="I215" s="414"/>
      <c r="J215" s="269"/>
      <c r="K215" s="266"/>
      <c r="L215" s="266"/>
      <c r="M215" s="267"/>
      <c r="N215" s="336"/>
      <c r="O215" s="267"/>
    </row>
    <row r="216" spans="1:64" s="185" customFormat="1" ht="15" customHeight="1">
      <c r="A216" s="390">
        <v>44343</v>
      </c>
      <c r="B216" s="416" t="s">
        <v>279</v>
      </c>
      <c r="C216" s="349" t="s">
        <v>117</v>
      </c>
      <c r="D216" s="416"/>
      <c r="E216" s="432">
        <v>20000</v>
      </c>
      <c r="F216" s="366"/>
      <c r="G216" s="372">
        <f t="shared" si="3"/>
        <v>22787094</v>
      </c>
      <c r="H216" s="268" t="s">
        <v>60</v>
      </c>
      <c r="I216" s="414"/>
      <c r="J216" s="328"/>
      <c r="K216" s="266"/>
      <c r="L216" s="266"/>
      <c r="M216" s="267"/>
      <c r="N216" s="336"/>
      <c r="O216" s="267"/>
    </row>
    <row r="217" spans="1:64" s="185" customFormat="1" ht="15" customHeight="1">
      <c r="A217" s="390">
        <v>44343</v>
      </c>
      <c r="B217" s="424" t="s">
        <v>339</v>
      </c>
      <c r="C217" s="417" t="s">
        <v>71</v>
      </c>
      <c r="D217" s="458" t="s">
        <v>118</v>
      </c>
      <c r="E217" s="429"/>
      <c r="F217" s="429">
        <v>20000</v>
      </c>
      <c r="G217" s="372">
        <f t="shared" si="3"/>
        <v>22767094</v>
      </c>
      <c r="H217" s="266" t="s">
        <v>74</v>
      </c>
      <c r="I217" s="427" t="s">
        <v>73</v>
      </c>
      <c r="J217" s="328" t="s">
        <v>200</v>
      </c>
      <c r="K217" s="266" t="s">
        <v>201</v>
      </c>
      <c r="L217" s="266" t="s">
        <v>208</v>
      </c>
      <c r="M217" s="269"/>
      <c r="N217" s="336"/>
      <c r="O217" s="267"/>
    </row>
    <row r="218" spans="1:64" s="185" customFormat="1" ht="16.5" customHeight="1">
      <c r="A218" s="390">
        <v>44343</v>
      </c>
      <c r="B218" s="266" t="s">
        <v>166</v>
      </c>
      <c r="C218" s="268" t="s">
        <v>117</v>
      </c>
      <c r="D218" s="376"/>
      <c r="E218" s="375">
        <v>300000</v>
      </c>
      <c r="F218" s="375"/>
      <c r="G218" s="372">
        <f t="shared" si="3"/>
        <v>23067094</v>
      </c>
      <c r="H218" s="266" t="s">
        <v>88</v>
      </c>
      <c r="I218" s="328"/>
      <c r="J218" s="328"/>
      <c r="K218" s="266"/>
      <c r="L218" s="266"/>
      <c r="M218" s="269"/>
      <c r="N218" s="336"/>
      <c r="O218" s="267"/>
    </row>
    <row r="219" spans="1:64" s="185" customFormat="1" ht="15" customHeight="1">
      <c r="A219" s="390">
        <v>44343</v>
      </c>
      <c r="B219" s="266" t="s">
        <v>166</v>
      </c>
      <c r="C219" s="268" t="s">
        <v>117</v>
      </c>
      <c r="D219" s="266"/>
      <c r="E219" s="375">
        <v>150000</v>
      </c>
      <c r="F219" s="375"/>
      <c r="G219" s="372">
        <f t="shared" si="3"/>
        <v>23217094</v>
      </c>
      <c r="H219" s="266" t="s">
        <v>88</v>
      </c>
      <c r="I219" s="328"/>
      <c r="J219" s="328"/>
      <c r="K219" s="266"/>
      <c r="L219" s="266"/>
      <c r="M219" s="269"/>
      <c r="N219" s="336"/>
      <c r="O219" s="267"/>
    </row>
    <row r="220" spans="1:64" s="185" customFormat="1" ht="15" customHeight="1">
      <c r="A220" s="390">
        <v>44343</v>
      </c>
      <c r="B220" s="266" t="s">
        <v>166</v>
      </c>
      <c r="C220" s="349" t="s">
        <v>117</v>
      </c>
      <c r="D220" s="266"/>
      <c r="E220" s="375">
        <v>20000</v>
      </c>
      <c r="F220" s="375"/>
      <c r="G220" s="372">
        <f t="shared" si="3"/>
        <v>23237094</v>
      </c>
      <c r="H220" s="266" t="s">
        <v>88</v>
      </c>
      <c r="I220" s="328"/>
      <c r="J220" s="328"/>
      <c r="K220" s="266"/>
      <c r="L220" s="266"/>
      <c r="M220" s="269"/>
      <c r="N220" s="336"/>
      <c r="O220" s="267"/>
    </row>
    <row r="221" spans="1:64" s="365" customFormat="1" ht="15" customHeight="1">
      <c r="A221" s="390">
        <v>44343</v>
      </c>
      <c r="B221" s="266" t="s">
        <v>166</v>
      </c>
      <c r="C221" s="268" t="s">
        <v>117</v>
      </c>
      <c r="D221" s="266"/>
      <c r="E221" s="375">
        <v>25000</v>
      </c>
      <c r="F221" s="375"/>
      <c r="G221" s="372">
        <f t="shared" si="3"/>
        <v>23262094</v>
      </c>
      <c r="H221" s="266" t="s">
        <v>88</v>
      </c>
      <c r="I221" s="328"/>
      <c r="J221" s="328"/>
      <c r="K221" s="266"/>
      <c r="L221" s="266"/>
      <c r="M221" s="267"/>
      <c r="N221" s="269"/>
      <c r="O221" s="267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5"/>
      <c r="AW221" s="185"/>
      <c r="AX221" s="185"/>
      <c r="AY221" s="185"/>
      <c r="AZ221" s="185"/>
      <c r="BA221" s="185"/>
      <c r="BB221" s="185"/>
      <c r="BC221" s="185"/>
      <c r="BD221" s="185"/>
      <c r="BE221" s="185"/>
      <c r="BF221" s="185"/>
      <c r="BG221" s="185"/>
      <c r="BH221" s="185"/>
      <c r="BI221" s="185"/>
      <c r="BJ221" s="185"/>
      <c r="BK221" s="185"/>
      <c r="BL221" s="185"/>
    </row>
    <row r="222" spans="1:64" s="185" customFormat="1" ht="15" customHeight="1">
      <c r="A222" s="390">
        <v>44343</v>
      </c>
      <c r="B222" s="266" t="s">
        <v>166</v>
      </c>
      <c r="C222" s="268" t="s">
        <v>117</v>
      </c>
      <c r="D222" s="266"/>
      <c r="E222" s="375">
        <v>38000</v>
      </c>
      <c r="F222" s="375"/>
      <c r="G222" s="372">
        <f t="shared" si="3"/>
        <v>23300094</v>
      </c>
      <c r="H222" s="266" t="s">
        <v>88</v>
      </c>
      <c r="I222" s="328"/>
      <c r="J222" s="328"/>
      <c r="K222" s="266"/>
      <c r="L222" s="266"/>
      <c r="M222" s="269"/>
      <c r="N222" s="336"/>
      <c r="O222" s="267"/>
    </row>
    <row r="223" spans="1:64" s="185" customFormat="1" ht="15" customHeight="1">
      <c r="A223" s="390">
        <v>44343</v>
      </c>
      <c r="B223" s="266" t="s">
        <v>303</v>
      </c>
      <c r="C223" s="268" t="s">
        <v>117</v>
      </c>
      <c r="D223" s="266"/>
      <c r="E223" s="375"/>
      <c r="F223" s="375">
        <v>45000</v>
      </c>
      <c r="G223" s="372">
        <f t="shared" si="3"/>
        <v>23255094</v>
      </c>
      <c r="H223" s="266" t="s">
        <v>88</v>
      </c>
      <c r="I223" s="328"/>
      <c r="J223" s="328"/>
      <c r="K223" s="266"/>
      <c r="L223" s="266"/>
      <c r="M223" s="269"/>
      <c r="N223" s="269"/>
      <c r="O223" s="267"/>
    </row>
    <row r="224" spans="1:64" s="185" customFormat="1" ht="15" customHeight="1">
      <c r="A224" s="390">
        <v>44343</v>
      </c>
      <c r="B224" s="424" t="s">
        <v>535</v>
      </c>
      <c r="C224" s="417" t="s">
        <v>71</v>
      </c>
      <c r="D224" s="417" t="s">
        <v>118</v>
      </c>
      <c r="E224" s="429"/>
      <c r="F224" s="429">
        <v>20000</v>
      </c>
      <c r="G224" s="372">
        <f t="shared" si="3"/>
        <v>23235094</v>
      </c>
      <c r="H224" s="266" t="s">
        <v>74</v>
      </c>
      <c r="I224" s="269" t="s">
        <v>73</v>
      </c>
      <c r="J224" s="328" t="s">
        <v>200</v>
      </c>
      <c r="K224" s="266" t="s">
        <v>201</v>
      </c>
      <c r="L224" s="266" t="s">
        <v>208</v>
      </c>
      <c r="M224" s="267"/>
      <c r="N224" s="269"/>
      <c r="O224" s="267"/>
    </row>
    <row r="225" spans="1:64" s="185" customFormat="1" ht="15" customHeight="1">
      <c r="A225" s="390">
        <v>44343</v>
      </c>
      <c r="B225" s="266" t="s">
        <v>331</v>
      </c>
      <c r="C225" s="268" t="s">
        <v>117</v>
      </c>
      <c r="D225" s="379"/>
      <c r="E225" s="375">
        <v>45000</v>
      </c>
      <c r="F225" s="375"/>
      <c r="G225" s="372">
        <f t="shared" si="3"/>
        <v>23280094</v>
      </c>
      <c r="H225" s="267" t="s">
        <v>66</v>
      </c>
      <c r="I225" s="328"/>
      <c r="J225" s="328"/>
      <c r="K225" s="266"/>
      <c r="L225" s="266"/>
      <c r="M225" s="267"/>
      <c r="N225" s="269"/>
      <c r="O225" s="267"/>
    </row>
    <row r="226" spans="1:64" s="185" customFormat="1" ht="15" customHeight="1">
      <c r="A226" s="390">
        <v>44343</v>
      </c>
      <c r="B226" s="424" t="s">
        <v>352</v>
      </c>
      <c r="C226" s="268" t="s">
        <v>117</v>
      </c>
      <c r="D226" s="416"/>
      <c r="E226" s="432"/>
      <c r="F226" s="432">
        <v>20000</v>
      </c>
      <c r="G226" s="372">
        <f t="shared" si="3"/>
        <v>23260094</v>
      </c>
      <c r="H226" s="267" t="s">
        <v>68</v>
      </c>
      <c r="I226" s="269"/>
      <c r="J226" s="328"/>
      <c r="K226" s="266"/>
      <c r="L226" s="266"/>
      <c r="M226" s="269"/>
      <c r="N226" s="269"/>
      <c r="O226" s="267"/>
    </row>
    <row r="227" spans="1:64" s="499" customFormat="1" ht="15" customHeight="1">
      <c r="A227" s="390">
        <v>44344</v>
      </c>
      <c r="B227" s="266" t="s">
        <v>517</v>
      </c>
      <c r="C227" s="268" t="s">
        <v>224</v>
      </c>
      <c r="D227" s="379" t="s">
        <v>320</v>
      </c>
      <c r="E227" s="375"/>
      <c r="F227" s="375">
        <v>150000</v>
      </c>
      <c r="G227" s="372">
        <f t="shared" si="3"/>
        <v>23110094</v>
      </c>
      <c r="H227" s="267" t="s">
        <v>66</v>
      </c>
      <c r="I227" s="328" t="s">
        <v>73</v>
      </c>
      <c r="J227" s="328" t="s">
        <v>151</v>
      </c>
      <c r="K227" s="266" t="s">
        <v>202</v>
      </c>
      <c r="L227" s="266" t="s">
        <v>208</v>
      </c>
      <c r="M227" s="269" t="s">
        <v>491</v>
      </c>
      <c r="N227" s="269" t="s">
        <v>213</v>
      </c>
      <c r="O227" s="267"/>
      <c r="P227" s="498"/>
      <c r="Q227" s="498"/>
      <c r="R227" s="498"/>
      <c r="S227" s="498"/>
      <c r="T227" s="498"/>
      <c r="U227" s="498"/>
      <c r="V227" s="498"/>
      <c r="W227" s="498"/>
      <c r="X227" s="498"/>
      <c r="Y227" s="498"/>
      <c r="Z227" s="498"/>
      <c r="AA227" s="498"/>
      <c r="AB227" s="498"/>
      <c r="AC227" s="498"/>
      <c r="AD227" s="498"/>
      <c r="AE227" s="498"/>
      <c r="AF227" s="498"/>
      <c r="AG227" s="498"/>
      <c r="AH227" s="498"/>
      <c r="AI227" s="498"/>
      <c r="AJ227" s="498"/>
      <c r="AK227" s="498"/>
      <c r="AL227" s="498"/>
      <c r="AM227" s="498"/>
      <c r="AN227" s="498"/>
      <c r="AO227" s="498"/>
      <c r="AP227" s="498"/>
      <c r="AQ227" s="498"/>
      <c r="AR227" s="498"/>
      <c r="AS227" s="498"/>
      <c r="AT227" s="498"/>
      <c r="AU227" s="498"/>
      <c r="AV227" s="498"/>
      <c r="AW227" s="498"/>
      <c r="AX227" s="498"/>
      <c r="AY227" s="498"/>
      <c r="AZ227" s="498"/>
      <c r="BA227" s="498"/>
      <c r="BB227" s="498"/>
      <c r="BC227" s="498"/>
      <c r="BD227" s="498"/>
      <c r="BE227" s="498"/>
      <c r="BF227" s="498"/>
      <c r="BG227" s="498"/>
      <c r="BH227" s="498"/>
      <c r="BI227" s="498"/>
      <c r="BJ227" s="498"/>
      <c r="BK227" s="498"/>
      <c r="BL227" s="498"/>
    </row>
    <row r="228" spans="1:64" s="365" customFormat="1" ht="15" customHeight="1">
      <c r="A228" s="390">
        <v>44344</v>
      </c>
      <c r="B228" s="268" t="s">
        <v>538</v>
      </c>
      <c r="C228" s="349" t="s">
        <v>70</v>
      </c>
      <c r="D228" s="267" t="s">
        <v>290</v>
      </c>
      <c r="E228" s="366"/>
      <c r="F228" s="366">
        <v>15000</v>
      </c>
      <c r="G228" s="372">
        <f t="shared" si="3"/>
        <v>23095094</v>
      </c>
      <c r="H228" s="268" t="s">
        <v>120</v>
      </c>
      <c r="I228" s="426" t="s">
        <v>73</v>
      </c>
      <c r="J228" s="328" t="s">
        <v>151</v>
      </c>
      <c r="K228" s="266" t="s">
        <v>202</v>
      </c>
      <c r="L228" s="266" t="s">
        <v>208</v>
      </c>
      <c r="M228" s="269" t="s">
        <v>490</v>
      </c>
      <c r="N228" s="336" t="s">
        <v>212</v>
      </c>
      <c r="O228" s="267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</row>
    <row r="229" spans="1:64" s="498" customFormat="1" ht="15" customHeight="1">
      <c r="A229" s="390">
        <v>44344</v>
      </c>
      <c r="B229" s="266" t="s">
        <v>537</v>
      </c>
      <c r="C229" s="376" t="s">
        <v>70</v>
      </c>
      <c r="D229" s="388" t="s">
        <v>290</v>
      </c>
      <c r="E229" s="375"/>
      <c r="F229" s="375">
        <v>5000</v>
      </c>
      <c r="G229" s="372">
        <f t="shared" si="3"/>
        <v>23090094</v>
      </c>
      <c r="H229" s="267" t="s">
        <v>66</v>
      </c>
      <c r="I229" s="328" t="s">
        <v>73</v>
      </c>
      <c r="J229" s="559" t="s">
        <v>151</v>
      </c>
      <c r="K229" s="266" t="s">
        <v>202</v>
      </c>
      <c r="L229" s="266" t="s">
        <v>208</v>
      </c>
      <c r="M229" s="269" t="s">
        <v>492</v>
      </c>
      <c r="N229" s="336" t="s">
        <v>212</v>
      </c>
      <c r="O229" s="267"/>
    </row>
    <row r="230" spans="1:64" s="185" customFormat="1" ht="15" customHeight="1">
      <c r="A230" s="390">
        <v>44344</v>
      </c>
      <c r="B230" s="416" t="s">
        <v>222</v>
      </c>
      <c r="C230" s="416" t="s">
        <v>28</v>
      </c>
      <c r="D230" s="374" t="s">
        <v>21</v>
      </c>
      <c r="E230" s="432"/>
      <c r="F230" s="366">
        <v>75625</v>
      </c>
      <c r="G230" s="372">
        <f t="shared" si="3"/>
        <v>23014469</v>
      </c>
      <c r="H230" s="268" t="s">
        <v>60</v>
      </c>
      <c r="I230" s="414" t="s">
        <v>73</v>
      </c>
      <c r="J230" s="328" t="s">
        <v>200</v>
      </c>
      <c r="K230" s="266" t="s">
        <v>201</v>
      </c>
      <c r="L230" s="266" t="s">
        <v>208</v>
      </c>
      <c r="M230" s="269"/>
      <c r="N230" s="269"/>
      <c r="O230" s="267"/>
    </row>
    <row r="231" spans="1:64" s="185" customFormat="1" ht="15" customHeight="1">
      <c r="A231" s="390">
        <v>44344</v>
      </c>
      <c r="B231" s="266" t="s">
        <v>332</v>
      </c>
      <c r="C231" s="486" t="s">
        <v>307</v>
      </c>
      <c r="D231" s="379" t="s">
        <v>320</v>
      </c>
      <c r="E231" s="375"/>
      <c r="F231" s="375">
        <v>31500</v>
      </c>
      <c r="G231" s="372">
        <f t="shared" si="3"/>
        <v>22982969</v>
      </c>
      <c r="H231" s="267" t="s">
        <v>66</v>
      </c>
      <c r="I231" s="328" t="s">
        <v>131</v>
      </c>
      <c r="J231" s="328" t="s">
        <v>200</v>
      </c>
      <c r="K231" s="266" t="s">
        <v>201</v>
      </c>
      <c r="L231" s="266" t="s">
        <v>208</v>
      </c>
      <c r="M231" s="269"/>
      <c r="N231" s="336"/>
      <c r="O231" s="267"/>
    </row>
    <row r="232" spans="1:64" s="185" customFormat="1" ht="15" customHeight="1">
      <c r="A232" s="390">
        <v>44344</v>
      </c>
      <c r="B232" s="416" t="s">
        <v>280</v>
      </c>
      <c r="C232" s="387" t="s">
        <v>20</v>
      </c>
      <c r="D232" s="416" t="s">
        <v>19</v>
      </c>
      <c r="E232" s="432"/>
      <c r="F232" s="432">
        <v>36000</v>
      </c>
      <c r="G232" s="372">
        <f t="shared" si="3"/>
        <v>22946969</v>
      </c>
      <c r="H232" s="268" t="s">
        <v>60</v>
      </c>
      <c r="I232" s="414" t="s">
        <v>73</v>
      </c>
      <c r="J232" s="328" t="s">
        <v>151</v>
      </c>
      <c r="K232" s="377" t="s">
        <v>202</v>
      </c>
      <c r="L232" s="266" t="s">
        <v>208</v>
      </c>
      <c r="M232" s="269" t="s">
        <v>482</v>
      </c>
      <c r="N232" s="336" t="s">
        <v>210</v>
      </c>
      <c r="O232" s="267"/>
    </row>
    <row r="233" spans="1:64" s="185" customFormat="1" ht="15" customHeight="1">
      <c r="A233" s="390">
        <v>44344</v>
      </c>
      <c r="B233" s="416" t="s">
        <v>281</v>
      </c>
      <c r="C233" s="387" t="s">
        <v>20</v>
      </c>
      <c r="D233" s="419" t="s">
        <v>118</v>
      </c>
      <c r="E233" s="432"/>
      <c r="F233" s="432">
        <v>31000</v>
      </c>
      <c r="G233" s="372">
        <f t="shared" si="3"/>
        <v>22915969</v>
      </c>
      <c r="H233" s="268" t="s">
        <v>60</v>
      </c>
      <c r="I233" s="414" t="s">
        <v>73</v>
      </c>
      <c r="J233" s="328" t="s">
        <v>151</v>
      </c>
      <c r="K233" s="377" t="s">
        <v>202</v>
      </c>
      <c r="L233" s="266" t="s">
        <v>208</v>
      </c>
      <c r="M233" s="269" t="s">
        <v>483</v>
      </c>
      <c r="N233" s="336" t="s">
        <v>210</v>
      </c>
      <c r="O233" s="267"/>
      <c r="P233" s="365"/>
      <c r="Q233" s="365"/>
      <c r="R233" s="365"/>
      <c r="S233" s="365"/>
      <c r="T233" s="365"/>
      <c r="U233" s="365"/>
      <c r="V233" s="365"/>
      <c r="W233" s="365"/>
      <c r="X233" s="365"/>
      <c r="Y233" s="365"/>
      <c r="Z233" s="365"/>
      <c r="AA233" s="365"/>
      <c r="AB233" s="365"/>
      <c r="AC233" s="365"/>
      <c r="AD233" s="365"/>
      <c r="AE233" s="365"/>
      <c r="AF233" s="365"/>
      <c r="AG233" s="365"/>
      <c r="AH233" s="365"/>
      <c r="AI233" s="365"/>
      <c r="AJ233" s="365"/>
      <c r="AK233" s="365"/>
      <c r="AL233" s="365"/>
      <c r="AM233" s="365"/>
      <c r="AN233" s="365"/>
      <c r="AO233" s="365"/>
      <c r="AP233" s="365"/>
      <c r="AQ233" s="365"/>
      <c r="AR233" s="365"/>
      <c r="AS233" s="365"/>
      <c r="AT233" s="365"/>
      <c r="AU233" s="365"/>
      <c r="AV233" s="365"/>
      <c r="AW233" s="365"/>
      <c r="AX233" s="365"/>
      <c r="AY233" s="365"/>
      <c r="AZ233" s="365"/>
      <c r="BA233" s="365"/>
      <c r="BB233" s="365"/>
      <c r="BC233" s="365"/>
      <c r="BD233" s="365"/>
      <c r="BE233" s="365"/>
      <c r="BF233" s="365"/>
      <c r="BG233" s="365"/>
      <c r="BH233" s="365"/>
      <c r="BI233" s="365"/>
      <c r="BJ233" s="365"/>
      <c r="BK233" s="365"/>
      <c r="BL233" s="365"/>
    </row>
    <row r="234" spans="1:64" s="185" customFormat="1" ht="15" customHeight="1">
      <c r="A234" s="390">
        <v>44344</v>
      </c>
      <c r="B234" s="416" t="s">
        <v>282</v>
      </c>
      <c r="C234" s="387" t="s">
        <v>20</v>
      </c>
      <c r="D234" s="379" t="s">
        <v>320</v>
      </c>
      <c r="E234" s="432"/>
      <c r="F234" s="432">
        <v>25000</v>
      </c>
      <c r="G234" s="372">
        <f t="shared" si="3"/>
        <v>22890969</v>
      </c>
      <c r="H234" s="268" t="s">
        <v>60</v>
      </c>
      <c r="I234" s="414" t="s">
        <v>73</v>
      </c>
      <c r="J234" s="328" t="s">
        <v>151</v>
      </c>
      <c r="K234" s="377" t="s">
        <v>202</v>
      </c>
      <c r="L234" s="266" t="s">
        <v>208</v>
      </c>
      <c r="M234" s="269" t="s">
        <v>484</v>
      </c>
      <c r="N234" s="336" t="s">
        <v>210</v>
      </c>
      <c r="O234" s="267"/>
    </row>
    <row r="235" spans="1:64" s="185" customFormat="1" ht="15" customHeight="1">
      <c r="A235" s="390">
        <v>44344</v>
      </c>
      <c r="B235" s="266" t="s">
        <v>302</v>
      </c>
      <c r="C235" s="268" t="s">
        <v>117</v>
      </c>
      <c r="D235" s="266"/>
      <c r="E235" s="375"/>
      <c r="F235" s="375">
        <v>6000</v>
      </c>
      <c r="G235" s="372">
        <f t="shared" si="3"/>
        <v>22884969</v>
      </c>
      <c r="H235" s="266" t="s">
        <v>88</v>
      </c>
      <c r="I235" s="328"/>
      <c r="J235" s="328"/>
      <c r="K235" s="266"/>
      <c r="L235" s="266"/>
      <c r="M235" s="269"/>
      <c r="N235" s="336"/>
      <c r="O235" s="267"/>
    </row>
    <row r="236" spans="1:64" s="185" customFormat="1" ht="15" customHeight="1">
      <c r="A236" s="390">
        <v>44344</v>
      </c>
      <c r="B236" s="416" t="s">
        <v>283</v>
      </c>
      <c r="C236" s="387" t="s">
        <v>20</v>
      </c>
      <c r="D236" s="419" t="s">
        <v>59</v>
      </c>
      <c r="E236" s="432"/>
      <c r="F236" s="432">
        <v>5000</v>
      </c>
      <c r="G236" s="372">
        <f t="shared" si="3"/>
        <v>22879969</v>
      </c>
      <c r="H236" s="268" t="s">
        <v>60</v>
      </c>
      <c r="I236" s="414" t="s">
        <v>73</v>
      </c>
      <c r="J236" s="328" t="s">
        <v>151</v>
      </c>
      <c r="K236" s="377" t="s">
        <v>202</v>
      </c>
      <c r="L236" s="266" t="s">
        <v>208</v>
      </c>
      <c r="M236" s="269" t="s">
        <v>485</v>
      </c>
      <c r="N236" s="336" t="s">
        <v>210</v>
      </c>
      <c r="O236" s="267"/>
    </row>
    <row r="237" spans="1:64" s="185" customFormat="1" ht="15" customHeight="1">
      <c r="A237" s="390">
        <v>44344</v>
      </c>
      <c r="B237" s="416" t="s">
        <v>284</v>
      </c>
      <c r="C237" s="387" t="s">
        <v>20</v>
      </c>
      <c r="D237" s="416" t="s">
        <v>19</v>
      </c>
      <c r="E237" s="432"/>
      <c r="F237" s="432">
        <v>22000</v>
      </c>
      <c r="G237" s="372">
        <f t="shared" si="3"/>
        <v>22857969</v>
      </c>
      <c r="H237" s="268" t="s">
        <v>60</v>
      </c>
      <c r="I237" s="414" t="s">
        <v>73</v>
      </c>
      <c r="J237" s="328" t="s">
        <v>151</v>
      </c>
      <c r="K237" s="377" t="s">
        <v>202</v>
      </c>
      <c r="L237" s="266" t="s">
        <v>208</v>
      </c>
      <c r="M237" s="269" t="s">
        <v>486</v>
      </c>
      <c r="N237" s="336" t="s">
        <v>210</v>
      </c>
      <c r="O237" s="267"/>
    </row>
    <row r="238" spans="1:64" s="185" customFormat="1" ht="15" customHeight="1">
      <c r="A238" s="390">
        <v>44344</v>
      </c>
      <c r="B238" s="416" t="s">
        <v>285</v>
      </c>
      <c r="C238" s="387" t="s">
        <v>20</v>
      </c>
      <c r="D238" s="419" t="s">
        <v>118</v>
      </c>
      <c r="E238" s="432"/>
      <c r="F238" s="432">
        <v>53000</v>
      </c>
      <c r="G238" s="372">
        <f t="shared" si="3"/>
        <v>22804969</v>
      </c>
      <c r="H238" s="268" t="s">
        <v>60</v>
      </c>
      <c r="I238" s="414" t="s">
        <v>73</v>
      </c>
      <c r="J238" s="328" t="s">
        <v>151</v>
      </c>
      <c r="K238" s="377" t="s">
        <v>202</v>
      </c>
      <c r="L238" s="266" t="s">
        <v>208</v>
      </c>
      <c r="M238" s="269" t="s">
        <v>487</v>
      </c>
      <c r="N238" s="336" t="s">
        <v>210</v>
      </c>
      <c r="O238" s="266"/>
    </row>
    <row r="239" spans="1:64" s="185" customFormat="1" ht="15" customHeight="1">
      <c r="A239" s="390">
        <v>44344</v>
      </c>
      <c r="B239" s="424" t="s">
        <v>338</v>
      </c>
      <c r="C239" s="268" t="s">
        <v>117</v>
      </c>
      <c r="D239" s="459"/>
      <c r="E239" s="429">
        <v>6000</v>
      </c>
      <c r="F239" s="429"/>
      <c r="G239" s="372">
        <f t="shared" si="3"/>
        <v>22810969</v>
      </c>
      <c r="H239" s="266" t="s">
        <v>74</v>
      </c>
      <c r="I239" s="427"/>
      <c r="J239" s="328"/>
      <c r="K239" s="377"/>
      <c r="L239" s="266"/>
      <c r="M239" s="269"/>
      <c r="N239" s="336"/>
      <c r="O239" s="267"/>
    </row>
    <row r="240" spans="1:64" s="185" customFormat="1" ht="15" customHeight="1">
      <c r="A240" s="390">
        <v>44344</v>
      </c>
      <c r="B240" s="416" t="s">
        <v>286</v>
      </c>
      <c r="C240" s="387" t="s">
        <v>20</v>
      </c>
      <c r="D240" s="464" t="s">
        <v>320</v>
      </c>
      <c r="E240" s="432"/>
      <c r="F240" s="432">
        <v>32000</v>
      </c>
      <c r="G240" s="372">
        <f t="shared" si="3"/>
        <v>22778969</v>
      </c>
      <c r="H240" s="268" t="s">
        <v>60</v>
      </c>
      <c r="I240" s="414" t="s">
        <v>73</v>
      </c>
      <c r="J240" s="328" t="s">
        <v>151</v>
      </c>
      <c r="K240" s="377" t="s">
        <v>202</v>
      </c>
      <c r="L240" s="266" t="s">
        <v>208</v>
      </c>
      <c r="M240" s="269" t="s">
        <v>488</v>
      </c>
      <c r="N240" s="336" t="s">
        <v>210</v>
      </c>
      <c r="O240" s="267"/>
    </row>
    <row r="241" spans="1:15" s="185" customFormat="1" ht="15" customHeight="1">
      <c r="A241" s="390">
        <v>44344</v>
      </c>
      <c r="B241" s="416" t="s">
        <v>287</v>
      </c>
      <c r="C241" s="457" t="s">
        <v>20</v>
      </c>
      <c r="D241" s="419" t="s">
        <v>59</v>
      </c>
      <c r="E241" s="432"/>
      <c r="F241" s="432">
        <v>11000</v>
      </c>
      <c r="G241" s="372">
        <f t="shared" si="3"/>
        <v>22767969</v>
      </c>
      <c r="H241" s="268" t="s">
        <v>60</v>
      </c>
      <c r="I241" s="414" t="s">
        <v>73</v>
      </c>
      <c r="J241" s="328" t="s">
        <v>151</v>
      </c>
      <c r="K241" s="377" t="s">
        <v>202</v>
      </c>
      <c r="L241" s="266" t="s">
        <v>208</v>
      </c>
      <c r="M241" s="269" t="s">
        <v>489</v>
      </c>
      <c r="N241" s="336" t="s">
        <v>210</v>
      </c>
      <c r="O241" s="266"/>
    </row>
    <row r="242" spans="1:15" s="185" customFormat="1" ht="15" customHeight="1">
      <c r="A242" s="390">
        <v>44344</v>
      </c>
      <c r="B242" s="416" t="s">
        <v>356</v>
      </c>
      <c r="C242" s="416" t="s">
        <v>26</v>
      </c>
      <c r="D242" s="267" t="s">
        <v>290</v>
      </c>
      <c r="E242" s="432"/>
      <c r="F242" s="366">
        <v>80000</v>
      </c>
      <c r="G242" s="372">
        <f t="shared" si="3"/>
        <v>22687969</v>
      </c>
      <c r="H242" s="268" t="s">
        <v>60</v>
      </c>
      <c r="I242" s="414" t="s">
        <v>131</v>
      </c>
      <c r="J242" s="328" t="s">
        <v>501</v>
      </c>
      <c r="K242" s="266" t="s">
        <v>201</v>
      </c>
      <c r="L242" s="266" t="s">
        <v>208</v>
      </c>
      <c r="M242" s="269"/>
      <c r="N242" s="336"/>
      <c r="O242" s="267"/>
    </row>
    <row r="243" spans="1:15" s="498" customFormat="1" ht="15" customHeight="1">
      <c r="A243" s="390">
        <v>44345</v>
      </c>
      <c r="B243" s="266" t="s">
        <v>518</v>
      </c>
      <c r="C243" s="268" t="s">
        <v>224</v>
      </c>
      <c r="D243" s="267" t="s">
        <v>290</v>
      </c>
      <c r="E243" s="375"/>
      <c r="F243" s="375">
        <v>15000</v>
      </c>
      <c r="G243" s="372">
        <f t="shared" si="3"/>
        <v>22672969</v>
      </c>
      <c r="H243" s="267" t="s">
        <v>66</v>
      </c>
      <c r="I243" s="328" t="s">
        <v>73</v>
      </c>
      <c r="J243" s="328" t="s">
        <v>151</v>
      </c>
      <c r="K243" s="266" t="s">
        <v>202</v>
      </c>
      <c r="L243" s="266" t="s">
        <v>208</v>
      </c>
      <c r="M243" s="269" t="s">
        <v>494</v>
      </c>
      <c r="N243" s="336" t="s">
        <v>213</v>
      </c>
      <c r="O243" s="267"/>
    </row>
    <row r="244" spans="1:15" s="498" customFormat="1" ht="15" customHeight="1">
      <c r="A244" s="390">
        <v>44345</v>
      </c>
      <c r="B244" s="266" t="s">
        <v>333</v>
      </c>
      <c r="C244" s="376" t="s">
        <v>70</v>
      </c>
      <c r="D244" s="267" t="s">
        <v>290</v>
      </c>
      <c r="E244" s="375"/>
      <c r="F244" s="375">
        <v>10000</v>
      </c>
      <c r="G244" s="372">
        <f t="shared" si="3"/>
        <v>22662969</v>
      </c>
      <c r="H244" s="267" t="s">
        <v>66</v>
      </c>
      <c r="I244" s="328" t="s">
        <v>73</v>
      </c>
      <c r="J244" s="328" t="s">
        <v>151</v>
      </c>
      <c r="K244" s="266" t="s">
        <v>202</v>
      </c>
      <c r="L244" s="266" t="s">
        <v>208</v>
      </c>
      <c r="M244" s="269" t="s">
        <v>495</v>
      </c>
      <c r="N244" s="336" t="s">
        <v>212</v>
      </c>
      <c r="O244" s="267"/>
    </row>
    <row r="245" spans="1:15" s="498" customFormat="1" ht="15" customHeight="1">
      <c r="A245" s="390">
        <v>44345</v>
      </c>
      <c r="B245" s="424" t="s">
        <v>353</v>
      </c>
      <c r="C245" s="416" t="s">
        <v>70</v>
      </c>
      <c r="D245" s="416" t="s">
        <v>19</v>
      </c>
      <c r="E245" s="432"/>
      <c r="F245" s="432">
        <v>8000</v>
      </c>
      <c r="G245" s="372">
        <f t="shared" si="3"/>
        <v>22654969</v>
      </c>
      <c r="H245" s="267" t="s">
        <v>68</v>
      </c>
      <c r="I245" s="269" t="s">
        <v>131</v>
      </c>
      <c r="J245" s="328" t="s">
        <v>151</v>
      </c>
      <c r="K245" s="266" t="s">
        <v>202</v>
      </c>
      <c r="L245" s="266" t="s">
        <v>208</v>
      </c>
      <c r="M245" s="269" t="s">
        <v>496</v>
      </c>
      <c r="N245" s="336" t="s">
        <v>212</v>
      </c>
      <c r="O245" s="267"/>
    </row>
    <row r="246" spans="1:15" s="185" customFormat="1" ht="15" customHeight="1">
      <c r="A246" s="390">
        <v>44345</v>
      </c>
      <c r="B246" s="266" t="s">
        <v>300</v>
      </c>
      <c r="C246" s="266" t="s">
        <v>70</v>
      </c>
      <c r="D246" s="267" t="s">
        <v>290</v>
      </c>
      <c r="E246" s="375"/>
      <c r="F246" s="375">
        <v>25000</v>
      </c>
      <c r="G246" s="372">
        <f t="shared" si="3"/>
        <v>22629969</v>
      </c>
      <c r="H246" s="266" t="s">
        <v>88</v>
      </c>
      <c r="I246" s="328" t="s">
        <v>73</v>
      </c>
      <c r="J246" s="328" t="s">
        <v>200</v>
      </c>
      <c r="K246" s="413" t="s">
        <v>201</v>
      </c>
      <c r="L246" s="413" t="s">
        <v>208</v>
      </c>
      <c r="M246" s="269"/>
      <c r="N246" s="479"/>
      <c r="O246" s="267"/>
    </row>
    <row r="247" spans="1:15" s="185" customFormat="1" ht="15" customHeight="1">
      <c r="A247" s="390">
        <v>44345</v>
      </c>
      <c r="B247" s="416" t="s">
        <v>67</v>
      </c>
      <c r="C247" s="268" t="s">
        <v>117</v>
      </c>
      <c r="D247" s="416"/>
      <c r="E247" s="432"/>
      <c r="F247" s="366">
        <v>91000</v>
      </c>
      <c r="G247" s="372">
        <f t="shared" si="3"/>
        <v>22538969</v>
      </c>
      <c r="H247" s="268" t="s">
        <v>60</v>
      </c>
      <c r="I247" s="414"/>
      <c r="J247" s="328"/>
      <c r="K247" s="266"/>
      <c r="L247" s="266"/>
      <c r="M247" s="269"/>
      <c r="N247" s="336"/>
      <c r="O247" s="267"/>
    </row>
    <row r="248" spans="1:15" s="185" customFormat="1" ht="15" customHeight="1">
      <c r="A248" s="390">
        <v>44345</v>
      </c>
      <c r="B248" s="416" t="s">
        <v>221</v>
      </c>
      <c r="C248" s="349" t="s">
        <v>117</v>
      </c>
      <c r="D248" s="419"/>
      <c r="E248" s="432"/>
      <c r="F248" s="366">
        <v>91000</v>
      </c>
      <c r="G248" s="372">
        <f t="shared" si="3"/>
        <v>22447969</v>
      </c>
      <c r="H248" s="268" t="s">
        <v>60</v>
      </c>
      <c r="I248" s="414"/>
      <c r="J248" s="329"/>
      <c r="K248" s="266"/>
      <c r="L248" s="266"/>
      <c r="M248" s="269"/>
      <c r="N248" s="336"/>
      <c r="O248" s="267"/>
    </row>
    <row r="249" spans="1:15" s="185" customFormat="1" ht="15" customHeight="1">
      <c r="A249" s="390">
        <v>44345</v>
      </c>
      <c r="B249" s="416" t="s">
        <v>88</v>
      </c>
      <c r="C249" s="349" t="s">
        <v>117</v>
      </c>
      <c r="D249" s="419"/>
      <c r="E249" s="432"/>
      <c r="F249" s="432">
        <v>91000</v>
      </c>
      <c r="G249" s="372">
        <f t="shared" si="3"/>
        <v>22356969</v>
      </c>
      <c r="H249" s="268" t="s">
        <v>60</v>
      </c>
      <c r="I249" s="414"/>
      <c r="J249" s="329"/>
      <c r="K249" s="266"/>
      <c r="L249" s="266"/>
      <c r="M249" s="269"/>
      <c r="N249" s="336"/>
      <c r="O249" s="267"/>
    </row>
    <row r="250" spans="1:15" s="185" customFormat="1" ht="15" customHeight="1">
      <c r="A250" s="390">
        <v>44345</v>
      </c>
      <c r="B250" s="416" t="s">
        <v>120</v>
      </c>
      <c r="C250" s="268" t="s">
        <v>117</v>
      </c>
      <c r="D250" s="416"/>
      <c r="E250" s="432"/>
      <c r="F250" s="366">
        <v>109000</v>
      </c>
      <c r="G250" s="372">
        <f t="shared" si="3"/>
        <v>22247969</v>
      </c>
      <c r="H250" s="268" t="s">
        <v>60</v>
      </c>
      <c r="I250" s="414"/>
      <c r="J250" s="328"/>
      <c r="K250" s="266"/>
      <c r="L250" s="266"/>
      <c r="M250" s="269"/>
      <c r="N250" s="336"/>
      <c r="O250" s="267"/>
    </row>
    <row r="251" spans="1:15" s="185" customFormat="1" ht="15" customHeight="1">
      <c r="A251" s="390">
        <v>44345</v>
      </c>
      <c r="B251" s="268" t="s">
        <v>308</v>
      </c>
      <c r="C251" s="268" t="s">
        <v>117</v>
      </c>
      <c r="D251" s="268"/>
      <c r="E251" s="366">
        <v>91000</v>
      </c>
      <c r="F251" s="366"/>
      <c r="G251" s="372">
        <f t="shared" si="3"/>
        <v>22338969</v>
      </c>
      <c r="H251" s="268" t="s">
        <v>67</v>
      </c>
      <c r="I251" s="269"/>
      <c r="J251" s="328"/>
      <c r="K251" s="266"/>
      <c r="L251" s="266"/>
      <c r="M251" s="267"/>
      <c r="N251" s="269"/>
      <c r="O251" s="267"/>
    </row>
    <row r="252" spans="1:15" s="185" customFormat="1" ht="15" customHeight="1">
      <c r="A252" s="390">
        <v>44345</v>
      </c>
      <c r="B252" s="268" t="s">
        <v>313</v>
      </c>
      <c r="C252" s="268" t="s">
        <v>117</v>
      </c>
      <c r="D252" s="349"/>
      <c r="E252" s="366">
        <v>109000</v>
      </c>
      <c r="F252" s="366"/>
      <c r="G252" s="372">
        <f t="shared" si="3"/>
        <v>22447969</v>
      </c>
      <c r="H252" s="268" t="s">
        <v>120</v>
      </c>
      <c r="I252" s="426"/>
      <c r="J252" s="328"/>
      <c r="K252" s="266"/>
      <c r="L252" s="266"/>
      <c r="M252" s="269"/>
      <c r="N252" s="336"/>
      <c r="O252" s="267"/>
    </row>
    <row r="253" spans="1:15" s="185" customFormat="1" ht="15" customHeight="1">
      <c r="A253" s="390">
        <v>44345</v>
      </c>
      <c r="B253" s="424" t="s">
        <v>225</v>
      </c>
      <c r="C253" s="268" t="s">
        <v>117</v>
      </c>
      <c r="D253" s="459"/>
      <c r="E253" s="429">
        <v>91000</v>
      </c>
      <c r="F253" s="429"/>
      <c r="G253" s="372">
        <f t="shared" si="3"/>
        <v>22538969</v>
      </c>
      <c r="H253" s="266" t="s">
        <v>74</v>
      </c>
      <c r="I253" s="427"/>
      <c r="J253" s="328"/>
      <c r="K253" s="266"/>
      <c r="L253" s="266"/>
      <c r="M253" s="269"/>
      <c r="N253" s="336"/>
      <c r="O253" s="267"/>
    </row>
    <row r="254" spans="1:15" s="498" customFormat="1" ht="15" customHeight="1">
      <c r="A254" s="390">
        <v>44345</v>
      </c>
      <c r="B254" s="416" t="s">
        <v>288</v>
      </c>
      <c r="C254" s="374" t="s">
        <v>61</v>
      </c>
      <c r="D254" s="374" t="s">
        <v>21</v>
      </c>
      <c r="E254" s="432"/>
      <c r="F254" s="366">
        <v>11460</v>
      </c>
      <c r="G254" s="372">
        <f t="shared" si="3"/>
        <v>22527509</v>
      </c>
      <c r="H254" s="268" t="s">
        <v>60</v>
      </c>
      <c r="I254" s="414" t="s">
        <v>73</v>
      </c>
      <c r="J254" s="328" t="s">
        <v>151</v>
      </c>
      <c r="K254" s="377" t="s">
        <v>202</v>
      </c>
      <c r="L254" s="266" t="s">
        <v>208</v>
      </c>
      <c r="M254" s="269" t="s">
        <v>493</v>
      </c>
      <c r="N254" s="269" t="s">
        <v>203</v>
      </c>
      <c r="O254" s="388"/>
    </row>
    <row r="255" spans="1:15" s="185" customFormat="1" ht="15" customHeight="1">
      <c r="A255" s="390">
        <v>44345</v>
      </c>
      <c r="B255" s="266" t="s">
        <v>304</v>
      </c>
      <c r="C255" s="460" t="s">
        <v>26</v>
      </c>
      <c r="D255" s="267" t="s">
        <v>290</v>
      </c>
      <c r="E255" s="375"/>
      <c r="F255" s="375">
        <v>120000</v>
      </c>
      <c r="G255" s="372">
        <f t="shared" si="3"/>
        <v>22407509</v>
      </c>
      <c r="H255" s="266" t="s">
        <v>88</v>
      </c>
      <c r="I255" s="328" t="s">
        <v>131</v>
      </c>
      <c r="J255" s="328" t="s">
        <v>501</v>
      </c>
      <c r="K255" s="266" t="s">
        <v>201</v>
      </c>
      <c r="L255" s="266" t="s">
        <v>208</v>
      </c>
      <c r="M255" s="269"/>
      <c r="N255" s="383"/>
      <c r="O255" s="376"/>
    </row>
    <row r="256" spans="1:15" s="498" customFormat="1" ht="15" customHeight="1">
      <c r="A256" s="390">
        <v>44346</v>
      </c>
      <c r="B256" s="268" t="s">
        <v>317</v>
      </c>
      <c r="C256" s="458" t="s">
        <v>71</v>
      </c>
      <c r="D256" s="417" t="s">
        <v>118</v>
      </c>
      <c r="E256" s="366"/>
      <c r="F256" s="366">
        <v>700</v>
      </c>
      <c r="G256" s="372">
        <f t="shared" si="3"/>
        <v>22406809</v>
      </c>
      <c r="H256" s="268" t="s">
        <v>120</v>
      </c>
      <c r="I256" s="426" t="s">
        <v>73</v>
      </c>
      <c r="J256" s="328" t="s">
        <v>200</v>
      </c>
      <c r="K256" s="266" t="s">
        <v>201</v>
      </c>
      <c r="L256" s="266" t="s">
        <v>208</v>
      </c>
      <c r="M256" s="269"/>
      <c r="N256" s="336"/>
      <c r="O256" s="267"/>
    </row>
    <row r="257" spans="1:64" s="185" customFormat="1" ht="15" customHeight="1">
      <c r="A257" s="390">
        <v>44346</v>
      </c>
      <c r="B257" s="424" t="s">
        <v>340</v>
      </c>
      <c r="C257" s="458" t="s">
        <v>71</v>
      </c>
      <c r="D257" s="417" t="s">
        <v>118</v>
      </c>
      <c r="E257" s="429"/>
      <c r="F257" s="429">
        <f>25175+5615+4960</f>
        <v>35750</v>
      </c>
      <c r="G257" s="372">
        <f t="shared" si="3"/>
        <v>22371059</v>
      </c>
      <c r="H257" s="266" t="s">
        <v>74</v>
      </c>
      <c r="I257" s="427" t="s">
        <v>73</v>
      </c>
      <c r="J257" s="328" t="s">
        <v>200</v>
      </c>
      <c r="K257" s="266" t="s">
        <v>201</v>
      </c>
      <c r="L257" s="266" t="s">
        <v>208</v>
      </c>
      <c r="M257" s="267"/>
      <c r="N257" s="336"/>
      <c r="O257" s="267"/>
      <c r="P257" s="365"/>
      <c r="Q257" s="365"/>
      <c r="R257" s="365"/>
      <c r="S257" s="365"/>
      <c r="T257" s="365"/>
      <c r="U257" s="365"/>
      <c r="V257" s="365"/>
      <c r="W257" s="365"/>
      <c r="X257" s="365"/>
      <c r="Y257" s="365"/>
      <c r="Z257" s="365"/>
      <c r="AA257" s="365"/>
      <c r="AB257" s="365"/>
      <c r="AC257" s="365"/>
      <c r="AD257" s="365"/>
      <c r="AE257" s="365"/>
      <c r="AF257" s="365"/>
      <c r="AG257" s="365"/>
      <c r="AH257" s="365"/>
      <c r="AI257" s="365"/>
      <c r="AJ257" s="365"/>
      <c r="AK257" s="365"/>
      <c r="AL257" s="365"/>
      <c r="AM257" s="365"/>
      <c r="AN257" s="365"/>
      <c r="AO257" s="365"/>
      <c r="AP257" s="365"/>
      <c r="AQ257" s="365"/>
      <c r="AR257" s="365"/>
      <c r="AS257" s="365"/>
      <c r="AT257" s="365"/>
      <c r="AU257" s="365"/>
      <c r="AV257" s="365"/>
      <c r="AW257" s="365"/>
      <c r="AX257" s="365"/>
      <c r="AY257" s="365"/>
      <c r="AZ257" s="365"/>
      <c r="BA257" s="365"/>
      <c r="BB257" s="365"/>
      <c r="BC257" s="365"/>
      <c r="BD257" s="365"/>
      <c r="BE257" s="365"/>
      <c r="BF257" s="365"/>
      <c r="BG257" s="365"/>
      <c r="BH257" s="365"/>
      <c r="BI257" s="365"/>
      <c r="BJ257" s="365"/>
      <c r="BK257" s="365"/>
      <c r="BL257" s="365"/>
    </row>
    <row r="258" spans="1:64" s="185" customFormat="1" ht="15" customHeight="1">
      <c r="A258" s="390">
        <v>44346</v>
      </c>
      <c r="B258" s="266" t="s">
        <v>166</v>
      </c>
      <c r="C258" s="268" t="s">
        <v>117</v>
      </c>
      <c r="D258" s="266"/>
      <c r="E258" s="375">
        <v>91000</v>
      </c>
      <c r="F258" s="375"/>
      <c r="G258" s="372">
        <f t="shared" si="3"/>
        <v>22462059</v>
      </c>
      <c r="H258" s="266" t="s">
        <v>88</v>
      </c>
      <c r="I258" s="328"/>
      <c r="J258" s="329"/>
      <c r="K258" s="266"/>
      <c r="L258" s="266"/>
      <c r="M258" s="269"/>
      <c r="N258" s="269"/>
      <c r="O258" s="267"/>
    </row>
    <row r="259" spans="1:64" s="365" customFormat="1" ht="15" customHeight="1">
      <c r="A259" s="390">
        <v>44346</v>
      </c>
      <c r="B259" s="266" t="s">
        <v>302</v>
      </c>
      <c r="C259" s="349" t="s">
        <v>117</v>
      </c>
      <c r="D259" s="266"/>
      <c r="E259" s="375"/>
      <c r="F259" s="375">
        <v>50000</v>
      </c>
      <c r="G259" s="372">
        <f t="shared" si="3"/>
        <v>22412059</v>
      </c>
      <c r="H259" s="266" t="s">
        <v>88</v>
      </c>
      <c r="I259" s="328"/>
      <c r="J259" s="329"/>
      <c r="K259" s="266"/>
      <c r="L259" s="266"/>
      <c r="M259" s="267"/>
      <c r="N259" s="336"/>
      <c r="O259" s="267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5"/>
      <c r="AT259" s="185"/>
      <c r="AU259" s="185"/>
      <c r="AV259" s="185"/>
      <c r="AW259" s="185"/>
      <c r="AX259" s="185"/>
      <c r="AY259" s="185"/>
      <c r="AZ259" s="185"/>
      <c r="BA259" s="185"/>
      <c r="BB259" s="185"/>
      <c r="BC259" s="185"/>
      <c r="BD259" s="185"/>
      <c r="BE259" s="185"/>
      <c r="BF259" s="185"/>
      <c r="BG259" s="185"/>
      <c r="BH259" s="185"/>
      <c r="BI259" s="185"/>
      <c r="BJ259" s="185"/>
      <c r="BK259" s="185"/>
      <c r="BL259" s="185"/>
    </row>
    <row r="260" spans="1:64" s="365" customFormat="1" ht="15" customHeight="1">
      <c r="A260" s="390">
        <v>44346</v>
      </c>
      <c r="B260" s="424" t="s">
        <v>338</v>
      </c>
      <c r="C260" s="268" t="s">
        <v>117</v>
      </c>
      <c r="D260" s="424"/>
      <c r="E260" s="429">
        <v>50000</v>
      </c>
      <c r="F260" s="429"/>
      <c r="G260" s="372">
        <f t="shared" si="3"/>
        <v>22462059</v>
      </c>
      <c r="H260" s="266" t="s">
        <v>74</v>
      </c>
      <c r="I260" s="427"/>
      <c r="J260" s="329"/>
      <c r="K260" s="266"/>
      <c r="L260" s="266"/>
      <c r="M260" s="269"/>
      <c r="N260" s="269"/>
      <c r="O260" s="267"/>
    </row>
    <row r="261" spans="1:64" s="185" customFormat="1" ht="15" customHeight="1">
      <c r="A261" s="390">
        <v>44346</v>
      </c>
      <c r="B261" s="268" t="s">
        <v>140</v>
      </c>
      <c r="C261" s="268" t="s">
        <v>117</v>
      </c>
      <c r="D261" s="374"/>
      <c r="E261" s="389"/>
      <c r="F261" s="389">
        <v>0</v>
      </c>
      <c r="G261" s="372">
        <f t="shared" si="3"/>
        <v>22462059</v>
      </c>
      <c r="H261" s="266" t="s">
        <v>126</v>
      </c>
      <c r="I261" s="269"/>
      <c r="J261" s="328"/>
      <c r="K261" s="266"/>
      <c r="L261" s="266"/>
      <c r="M261" s="267"/>
      <c r="N261" s="336"/>
      <c r="O261" s="267"/>
    </row>
    <row r="262" spans="1:64" s="185" customFormat="1" ht="15" customHeight="1">
      <c r="A262" s="390">
        <v>44346</v>
      </c>
      <c r="B262" s="268" t="s">
        <v>141</v>
      </c>
      <c r="C262" s="268" t="s">
        <v>117</v>
      </c>
      <c r="D262" s="374"/>
      <c r="E262" s="389"/>
      <c r="F262" s="389">
        <v>0</v>
      </c>
      <c r="G262" s="372">
        <f t="shared" si="3"/>
        <v>22462059</v>
      </c>
      <c r="H262" s="266" t="s">
        <v>127</v>
      </c>
      <c r="I262" s="328"/>
      <c r="J262" s="329"/>
      <c r="K262" s="266"/>
      <c r="L262" s="266"/>
      <c r="M262" s="267"/>
      <c r="N262" s="269"/>
      <c r="O262" s="267"/>
    </row>
    <row r="263" spans="1:64" s="498" customFormat="1" ht="15" customHeight="1">
      <c r="A263" s="390">
        <v>44347</v>
      </c>
      <c r="B263" s="266" t="s">
        <v>512</v>
      </c>
      <c r="C263" s="266" t="s">
        <v>224</v>
      </c>
      <c r="D263" s="267" t="s">
        <v>290</v>
      </c>
      <c r="E263" s="375"/>
      <c r="F263" s="375">
        <v>210000</v>
      </c>
      <c r="G263" s="372">
        <f t="shared" si="3"/>
        <v>22252059</v>
      </c>
      <c r="H263" s="266" t="s">
        <v>88</v>
      </c>
      <c r="I263" s="328" t="s">
        <v>73</v>
      </c>
      <c r="J263" s="328" t="s">
        <v>151</v>
      </c>
      <c r="K263" s="266" t="s">
        <v>202</v>
      </c>
      <c r="L263" s="266" t="s">
        <v>208</v>
      </c>
      <c r="M263" s="269" t="s">
        <v>498</v>
      </c>
      <c r="N263" s="336" t="s">
        <v>213</v>
      </c>
      <c r="O263" s="267"/>
      <c r="P263" s="499"/>
      <c r="Q263" s="499"/>
      <c r="R263" s="499"/>
      <c r="S263" s="499"/>
      <c r="T263" s="499"/>
      <c r="U263" s="499"/>
      <c r="V263" s="499"/>
      <c r="W263" s="499"/>
      <c r="X263" s="499"/>
      <c r="Y263" s="499"/>
      <c r="Z263" s="499"/>
      <c r="AA263" s="499"/>
      <c r="AB263" s="499"/>
      <c r="AC263" s="499"/>
      <c r="AD263" s="499"/>
      <c r="AE263" s="499"/>
      <c r="AF263" s="499"/>
      <c r="AG263" s="499"/>
      <c r="AH263" s="499"/>
      <c r="AI263" s="499"/>
      <c r="AJ263" s="499"/>
      <c r="AK263" s="499"/>
      <c r="AL263" s="499"/>
      <c r="AM263" s="499"/>
      <c r="AN263" s="499"/>
      <c r="AO263" s="499"/>
      <c r="AP263" s="499"/>
      <c r="AQ263" s="499"/>
      <c r="AR263" s="499"/>
      <c r="AS263" s="499"/>
      <c r="AT263" s="499"/>
      <c r="AU263" s="499"/>
      <c r="AV263" s="499"/>
      <c r="AW263" s="499"/>
      <c r="AX263" s="499"/>
      <c r="AY263" s="499"/>
      <c r="AZ263" s="499"/>
      <c r="BA263" s="499"/>
      <c r="BB263" s="499"/>
      <c r="BC263" s="499"/>
      <c r="BD263" s="499"/>
      <c r="BE263" s="499"/>
      <c r="BF263" s="499"/>
      <c r="BG263" s="499"/>
      <c r="BH263" s="499"/>
      <c r="BI263" s="499"/>
      <c r="BJ263" s="499"/>
      <c r="BK263" s="499"/>
      <c r="BL263" s="499"/>
    </row>
    <row r="264" spans="1:64" s="498" customFormat="1" ht="15" customHeight="1">
      <c r="A264" s="390">
        <v>44347</v>
      </c>
      <c r="B264" s="266" t="s">
        <v>305</v>
      </c>
      <c r="C264" s="376" t="s">
        <v>70</v>
      </c>
      <c r="D264" s="266" t="s">
        <v>19</v>
      </c>
      <c r="E264" s="375"/>
      <c r="F264" s="375">
        <v>91000</v>
      </c>
      <c r="G264" s="372">
        <f t="shared" si="3"/>
        <v>22161059</v>
      </c>
      <c r="H264" s="266" t="s">
        <v>88</v>
      </c>
      <c r="I264" s="328" t="s">
        <v>131</v>
      </c>
      <c r="J264" s="328" t="s">
        <v>151</v>
      </c>
      <c r="K264" s="266" t="s">
        <v>202</v>
      </c>
      <c r="L264" s="266" t="s">
        <v>208</v>
      </c>
      <c r="M264" s="269" t="s">
        <v>499</v>
      </c>
      <c r="N264" s="336" t="s">
        <v>212</v>
      </c>
      <c r="O264" s="269"/>
      <c r="P264" s="499"/>
      <c r="Q264" s="499"/>
      <c r="R264" s="499"/>
      <c r="S264" s="499"/>
      <c r="T264" s="499"/>
      <c r="U264" s="499"/>
      <c r="V264" s="499"/>
      <c r="W264" s="499"/>
      <c r="X264" s="499"/>
      <c r="Y264" s="499"/>
      <c r="Z264" s="499"/>
      <c r="AA264" s="499"/>
      <c r="AB264" s="499"/>
      <c r="AC264" s="499"/>
      <c r="AD264" s="499"/>
      <c r="AE264" s="499"/>
      <c r="AF264" s="499"/>
      <c r="AG264" s="499"/>
      <c r="AH264" s="499"/>
      <c r="AI264" s="499"/>
      <c r="AJ264" s="499"/>
      <c r="AK264" s="499"/>
      <c r="AL264" s="499"/>
      <c r="AM264" s="499"/>
      <c r="AN264" s="499"/>
      <c r="AO264" s="499"/>
      <c r="AP264" s="499"/>
      <c r="AQ264" s="499"/>
      <c r="AR264" s="499"/>
      <c r="AS264" s="499"/>
      <c r="AT264" s="499"/>
      <c r="AU264" s="499"/>
      <c r="AV264" s="499"/>
      <c r="AW264" s="499"/>
      <c r="AX264" s="499"/>
      <c r="AY264" s="499"/>
      <c r="AZ264" s="499"/>
      <c r="BA264" s="499"/>
      <c r="BB264" s="499"/>
      <c r="BC264" s="499"/>
      <c r="BD264" s="499"/>
      <c r="BE264" s="499"/>
      <c r="BF264" s="499"/>
      <c r="BG264" s="499"/>
      <c r="BH264" s="499"/>
      <c r="BI264" s="499"/>
      <c r="BJ264" s="499"/>
      <c r="BK264" s="499"/>
      <c r="BL264" s="499"/>
    </row>
    <row r="265" spans="1:64" s="185" customFormat="1" ht="15" customHeight="1">
      <c r="A265" s="390">
        <v>44347</v>
      </c>
      <c r="B265" s="268" t="s">
        <v>312</v>
      </c>
      <c r="C265" s="268" t="s">
        <v>70</v>
      </c>
      <c r="D265" s="268" t="s">
        <v>59</v>
      </c>
      <c r="E265" s="366"/>
      <c r="F265" s="366">
        <v>68900</v>
      </c>
      <c r="G265" s="372">
        <f t="shared" si="3"/>
        <v>22092159</v>
      </c>
      <c r="H265" s="268" t="s">
        <v>67</v>
      </c>
      <c r="I265" s="269" t="s">
        <v>131</v>
      </c>
      <c r="J265" s="328" t="s">
        <v>151</v>
      </c>
      <c r="K265" s="266" t="s">
        <v>202</v>
      </c>
      <c r="L265" s="266" t="s">
        <v>208</v>
      </c>
      <c r="M265" s="269" t="s">
        <v>500</v>
      </c>
      <c r="N265" s="269" t="s">
        <v>212</v>
      </c>
      <c r="O265" s="267"/>
    </row>
    <row r="266" spans="1:64" s="498" customFormat="1" ht="15" customHeight="1">
      <c r="A266" s="390">
        <v>44347</v>
      </c>
      <c r="B266" s="268" t="s">
        <v>319</v>
      </c>
      <c r="C266" s="268" t="s">
        <v>70</v>
      </c>
      <c r="D266" s="268" t="s">
        <v>118</v>
      </c>
      <c r="E266" s="366"/>
      <c r="F266" s="366">
        <v>69500</v>
      </c>
      <c r="G266" s="372">
        <f t="shared" si="3"/>
        <v>22022659</v>
      </c>
      <c r="H266" s="268" t="s">
        <v>120</v>
      </c>
      <c r="I266" s="426" t="s">
        <v>131</v>
      </c>
      <c r="J266" s="328" t="s">
        <v>151</v>
      </c>
      <c r="K266" s="266" t="s">
        <v>202</v>
      </c>
      <c r="L266" s="266" t="s">
        <v>208</v>
      </c>
      <c r="M266" s="269" t="s">
        <v>507</v>
      </c>
      <c r="N266" s="269" t="s">
        <v>212</v>
      </c>
      <c r="O266" s="267"/>
    </row>
    <row r="267" spans="1:64" s="498" customFormat="1" ht="15" customHeight="1">
      <c r="A267" s="390">
        <v>44347</v>
      </c>
      <c r="B267" s="266" t="s">
        <v>334</v>
      </c>
      <c r="C267" s="376" t="s">
        <v>70</v>
      </c>
      <c r="D267" s="379" t="s">
        <v>320</v>
      </c>
      <c r="E267" s="375"/>
      <c r="F267" s="375">
        <v>142300</v>
      </c>
      <c r="G267" s="372">
        <f t="shared" si="3"/>
        <v>21880359</v>
      </c>
      <c r="H267" s="267" t="s">
        <v>66</v>
      </c>
      <c r="I267" s="328" t="s">
        <v>131</v>
      </c>
      <c r="J267" s="328" t="s">
        <v>151</v>
      </c>
      <c r="K267" s="266" t="s">
        <v>202</v>
      </c>
      <c r="L267" s="266" t="s">
        <v>208</v>
      </c>
      <c r="M267" s="269" t="s">
        <v>508</v>
      </c>
      <c r="N267" s="336" t="s">
        <v>212</v>
      </c>
      <c r="O267" s="267"/>
    </row>
    <row r="268" spans="1:64" s="185" customFormat="1" ht="15" customHeight="1">
      <c r="A268" s="390">
        <v>44347</v>
      </c>
      <c r="B268" s="424" t="s">
        <v>342</v>
      </c>
      <c r="C268" s="424" t="s">
        <v>70</v>
      </c>
      <c r="D268" s="459" t="s">
        <v>118</v>
      </c>
      <c r="E268" s="429"/>
      <c r="F268" s="429">
        <v>120500</v>
      </c>
      <c r="G268" s="372">
        <f t="shared" si="3"/>
        <v>21759859</v>
      </c>
      <c r="H268" s="266" t="s">
        <v>74</v>
      </c>
      <c r="I268" s="427" t="s">
        <v>131</v>
      </c>
      <c r="J268" s="328" t="s">
        <v>151</v>
      </c>
      <c r="K268" s="266" t="s">
        <v>202</v>
      </c>
      <c r="L268" s="266" t="s">
        <v>208</v>
      </c>
      <c r="M268" s="269" t="s">
        <v>509</v>
      </c>
      <c r="N268" s="336" t="s">
        <v>212</v>
      </c>
      <c r="O268" s="267"/>
    </row>
    <row r="269" spans="1:64" s="498" customFormat="1" ht="15" customHeight="1">
      <c r="A269" s="390">
        <v>44347</v>
      </c>
      <c r="B269" s="424" t="s">
        <v>343</v>
      </c>
      <c r="C269" s="416" t="s">
        <v>70</v>
      </c>
      <c r="D269" s="416" t="s">
        <v>19</v>
      </c>
      <c r="E269" s="432"/>
      <c r="F269" s="432">
        <v>29500</v>
      </c>
      <c r="G269" s="372">
        <f t="shared" ref="G269:G284" si="4">+G268+E269-F269</f>
        <v>21730359</v>
      </c>
      <c r="H269" s="267" t="s">
        <v>138</v>
      </c>
      <c r="I269" s="269" t="s">
        <v>131</v>
      </c>
      <c r="J269" s="328" t="s">
        <v>151</v>
      </c>
      <c r="K269" s="266" t="s">
        <v>202</v>
      </c>
      <c r="L269" s="266" t="s">
        <v>208</v>
      </c>
      <c r="M269" s="269" t="s">
        <v>510</v>
      </c>
      <c r="N269" s="336" t="s">
        <v>212</v>
      </c>
      <c r="O269" s="267"/>
    </row>
    <row r="270" spans="1:64" s="498" customFormat="1" ht="15" customHeight="1">
      <c r="A270" s="390">
        <v>44347</v>
      </c>
      <c r="B270" s="560" t="s">
        <v>351</v>
      </c>
      <c r="C270" s="376" t="s">
        <v>70</v>
      </c>
      <c r="D270" s="379" t="s">
        <v>320</v>
      </c>
      <c r="E270" s="561"/>
      <c r="F270" s="375">
        <v>81100</v>
      </c>
      <c r="G270" s="372">
        <f t="shared" si="4"/>
        <v>21649259</v>
      </c>
      <c r="H270" s="266" t="s">
        <v>65</v>
      </c>
      <c r="I270" s="269" t="s">
        <v>131</v>
      </c>
      <c r="J270" s="328" t="s">
        <v>151</v>
      </c>
      <c r="K270" s="266" t="s">
        <v>202</v>
      </c>
      <c r="L270" s="266" t="s">
        <v>208</v>
      </c>
      <c r="M270" s="269" t="s">
        <v>548</v>
      </c>
      <c r="N270" s="336" t="s">
        <v>212</v>
      </c>
      <c r="O270" s="267"/>
    </row>
    <row r="271" spans="1:64" s="498" customFormat="1" ht="15" customHeight="1">
      <c r="A271" s="390">
        <v>44347</v>
      </c>
      <c r="B271" s="268" t="s">
        <v>412</v>
      </c>
      <c r="C271" s="268" t="s">
        <v>396</v>
      </c>
      <c r="D271" s="349" t="s">
        <v>21</v>
      </c>
      <c r="E271" s="435"/>
      <c r="F271" s="432">
        <v>24055</v>
      </c>
      <c r="G271" s="372">
        <f t="shared" si="4"/>
        <v>21625204</v>
      </c>
      <c r="H271" s="266" t="s">
        <v>56</v>
      </c>
      <c r="I271" s="414" t="s">
        <v>394</v>
      </c>
      <c r="J271" s="328" t="s">
        <v>200</v>
      </c>
      <c r="K271" s="266" t="s">
        <v>201</v>
      </c>
      <c r="L271" s="266" t="s">
        <v>208</v>
      </c>
      <c r="M271" s="269"/>
      <c r="N271" s="336"/>
      <c r="O271" s="267"/>
      <c r="P271" s="499"/>
      <c r="Q271" s="499"/>
      <c r="R271" s="499"/>
      <c r="S271" s="499"/>
      <c r="T271" s="499"/>
      <c r="U271" s="499"/>
      <c r="V271" s="499"/>
      <c r="W271" s="499"/>
      <c r="X271" s="499"/>
      <c r="Y271" s="499"/>
      <c r="Z271" s="499"/>
      <c r="AA271" s="499"/>
      <c r="AB271" s="499"/>
      <c r="AC271" s="499"/>
      <c r="AD271" s="499"/>
      <c r="AE271" s="499"/>
      <c r="AF271" s="499"/>
      <c r="AG271" s="499"/>
      <c r="AH271" s="499"/>
      <c r="AI271" s="499"/>
      <c r="AJ271" s="499"/>
      <c r="AK271" s="499"/>
      <c r="AL271" s="499"/>
      <c r="AM271" s="499"/>
      <c r="AN271" s="499"/>
      <c r="AO271" s="499"/>
      <c r="AP271" s="499"/>
      <c r="AQ271" s="499"/>
      <c r="AR271" s="499"/>
      <c r="AS271" s="499"/>
      <c r="AT271" s="499"/>
      <c r="AU271" s="499"/>
      <c r="AV271" s="499"/>
      <c r="AW271" s="499"/>
      <c r="AX271" s="499"/>
      <c r="AY271" s="499"/>
      <c r="AZ271" s="499"/>
      <c r="BA271" s="499"/>
      <c r="BB271" s="499"/>
      <c r="BC271" s="499"/>
      <c r="BD271" s="499"/>
      <c r="BE271" s="499"/>
      <c r="BF271" s="499"/>
      <c r="BG271" s="499"/>
      <c r="BH271" s="499"/>
      <c r="BI271" s="499"/>
      <c r="BJ271" s="499"/>
      <c r="BK271" s="499"/>
      <c r="BL271" s="499"/>
    </row>
    <row r="272" spans="1:64" s="185" customFormat="1" ht="15" customHeight="1">
      <c r="A272" s="390">
        <v>44347</v>
      </c>
      <c r="B272" s="416" t="s">
        <v>289</v>
      </c>
      <c r="C272" s="416" t="s">
        <v>26</v>
      </c>
      <c r="D272" s="416" t="s">
        <v>118</v>
      </c>
      <c r="E272" s="432"/>
      <c r="F272" s="366">
        <v>10000</v>
      </c>
      <c r="G272" s="372">
        <f t="shared" si="4"/>
        <v>21615204</v>
      </c>
      <c r="H272" s="268" t="s">
        <v>60</v>
      </c>
      <c r="I272" s="414" t="s">
        <v>131</v>
      </c>
      <c r="J272" s="328" t="s">
        <v>200</v>
      </c>
      <c r="K272" s="266" t="s">
        <v>201</v>
      </c>
      <c r="L272" s="266" t="s">
        <v>208</v>
      </c>
      <c r="M272" s="269"/>
      <c r="N272" s="269"/>
      <c r="O272" s="267"/>
      <c r="P272" s="365"/>
      <c r="Q272" s="365"/>
      <c r="R272" s="365"/>
      <c r="S272" s="365"/>
      <c r="T272" s="365"/>
      <c r="U272" s="365"/>
      <c r="V272" s="365"/>
      <c r="W272" s="365"/>
      <c r="X272" s="365"/>
      <c r="Y272" s="365"/>
      <c r="Z272" s="365"/>
      <c r="AA272" s="365"/>
      <c r="AB272" s="365"/>
      <c r="AC272" s="365"/>
      <c r="AD272" s="365"/>
      <c r="AE272" s="365"/>
      <c r="AF272" s="365"/>
      <c r="AG272" s="365"/>
      <c r="AH272" s="365"/>
      <c r="AI272" s="365"/>
      <c r="AJ272" s="365"/>
      <c r="AK272" s="365"/>
      <c r="AL272" s="365"/>
      <c r="AM272" s="365"/>
      <c r="AN272" s="365"/>
      <c r="AO272" s="365"/>
      <c r="AP272" s="365"/>
      <c r="AQ272" s="365"/>
      <c r="AR272" s="365"/>
      <c r="AS272" s="365"/>
      <c r="AT272" s="365"/>
      <c r="AU272" s="365"/>
      <c r="AV272" s="365"/>
      <c r="AW272" s="365"/>
      <c r="AX272" s="365"/>
      <c r="AY272" s="365"/>
      <c r="AZ272" s="365"/>
      <c r="BA272" s="365"/>
      <c r="BB272" s="365"/>
      <c r="BC272" s="365"/>
      <c r="BD272" s="365"/>
      <c r="BE272" s="365"/>
      <c r="BF272" s="365"/>
      <c r="BG272" s="365"/>
      <c r="BH272" s="365"/>
      <c r="BI272" s="365"/>
      <c r="BJ272" s="365"/>
      <c r="BK272" s="365"/>
      <c r="BL272" s="365"/>
    </row>
    <row r="273" spans="1:64" s="185" customFormat="1" ht="15" customHeight="1">
      <c r="A273" s="390">
        <v>44347</v>
      </c>
      <c r="B273" s="266" t="s">
        <v>306</v>
      </c>
      <c r="C273" s="266" t="s">
        <v>224</v>
      </c>
      <c r="D273" s="388" t="s">
        <v>290</v>
      </c>
      <c r="E273" s="375"/>
      <c r="F273" s="375">
        <v>14000</v>
      </c>
      <c r="G273" s="372">
        <f t="shared" si="4"/>
        <v>21601204</v>
      </c>
      <c r="H273" s="266" t="s">
        <v>88</v>
      </c>
      <c r="I273" s="328" t="s">
        <v>131</v>
      </c>
      <c r="J273" s="328" t="s">
        <v>200</v>
      </c>
      <c r="K273" s="266" t="s">
        <v>201</v>
      </c>
      <c r="L273" s="266" t="s">
        <v>208</v>
      </c>
      <c r="M273" s="269"/>
      <c r="N273" s="336"/>
      <c r="O273" s="267"/>
      <c r="P273" s="365"/>
      <c r="Q273" s="365"/>
      <c r="R273" s="365"/>
      <c r="S273" s="365"/>
      <c r="T273" s="365"/>
      <c r="U273" s="365"/>
      <c r="V273" s="365"/>
      <c r="W273" s="365"/>
      <c r="X273" s="365"/>
      <c r="Y273" s="365"/>
      <c r="Z273" s="365"/>
      <c r="AA273" s="365"/>
      <c r="AB273" s="365"/>
      <c r="AC273" s="365"/>
      <c r="AD273" s="365"/>
      <c r="AE273" s="365"/>
      <c r="AF273" s="365"/>
      <c r="AG273" s="365"/>
      <c r="AH273" s="365"/>
      <c r="AI273" s="365"/>
      <c r="AJ273" s="365"/>
      <c r="AK273" s="365"/>
      <c r="AL273" s="365"/>
      <c r="AM273" s="365"/>
      <c r="AN273" s="365"/>
      <c r="AO273" s="365"/>
      <c r="AP273" s="365"/>
      <c r="AQ273" s="365"/>
      <c r="AR273" s="365"/>
      <c r="AS273" s="365"/>
      <c r="AT273" s="365"/>
      <c r="AU273" s="365"/>
      <c r="AV273" s="365"/>
      <c r="AW273" s="365"/>
      <c r="AX273" s="365"/>
      <c r="AY273" s="365"/>
      <c r="AZ273" s="365"/>
      <c r="BA273" s="365"/>
      <c r="BB273" s="365"/>
      <c r="BC273" s="365"/>
      <c r="BD273" s="365"/>
      <c r="BE273" s="365"/>
      <c r="BF273" s="365"/>
      <c r="BG273" s="365"/>
      <c r="BH273" s="365"/>
      <c r="BI273" s="365"/>
      <c r="BJ273" s="365"/>
      <c r="BK273" s="365"/>
      <c r="BL273" s="365"/>
    </row>
    <row r="274" spans="1:64" s="498" customFormat="1" ht="15" customHeight="1">
      <c r="A274" s="390">
        <v>44347</v>
      </c>
      <c r="B274" s="268" t="s">
        <v>318</v>
      </c>
      <c r="C274" s="417" t="s">
        <v>71</v>
      </c>
      <c r="D274" s="417" t="s">
        <v>118</v>
      </c>
      <c r="E274" s="366"/>
      <c r="F274" s="366">
        <v>27650</v>
      </c>
      <c r="G274" s="372">
        <f t="shared" si="4"/>
        <v>21573554</v>
      </c>
      <c r="H274" s="268" t="s">
        <v>120</v>
      </c>
      <c r="I274" s="426" t="s">
        <v>131</v>
      </c>
      <c r="J274" s="328" t="s">
        <v>200</v>
      </c>
      <c r="K274" s="266" t="s">
        <v>201</v>
      </c>
      <c r="L274" s="266" t="s">
        <v>208</v>
      </c>
      <c r="M274" s="269"/>
      <c r="N274" s="269"/>
      <c r="O274" s="267"/>
    </row>
    <row r="275" spans="1:64" s="185" customFormat="1" ht="15" customHeight="1">
      <c r="A275" s="390">
        <v>44347</v>
      </c>
      <c r="B275" s="424" t="s">
        <v>360</v>
      </c>
      <c r="C275" s="417" t="s">
        <v>71</v>
      </c>
      <c r="D275" s="417" t="s">
        <v>118</v>
      </c>
      <c r="E275" s="429"/>
      <c r="F275" s="429">
        <v>43000</v>
      </c>
      <c r="G275" s="372">
        <f t="shared" si="4"/>
        <v>21530554</v>
      </c>
      <c r="H275" s="266" t="s">
        <v>74</v>
      </c>
      <c r="I275" s="427" t="s">
        <v>131</v>
      </c>
      <c r="J275" s="328" t="s">
        <v>200</v>
      </c>
      <c r="K275" s="266" t="s">
        <v>201</v>
      </c>
      <c r="L275" s="266" t="s">
        <v>208</v>
      </c>
      <c r="M275" s="269"/>
      <c r="N275" s="269"/>
      <c r="O275" s="267"/>
    </row>
    <row r="276" spans="1:64" s="185" customFormat="1" ht="15" customHeight="1">
      <c r="A276" s="390">
        <v>44347</v>
      </c>
      <c r="B276" s="416" t="s">
        <v>341</v>
      </c>
      <c r="C276" s="416" t="s">
        <v>224</v>
      </c>
      <c r="D276" s="488" t="s">
        <v>290</v>
      </c>
      <c r="E276" s="432"/>
      <c r="F276" s="432">
        <v>10000</v>
      </c>
      <c r="G276" s="489">
        <f t="shared" si="4"/>
        <v>21520554</v>
      </c>
      <c r="H276" s="413" t="s">
        <v>74</v>
      </c>
      <c r="I276" s="414" t="s">
        <v>131</v>
      </c>
      <c r="J276" s="483" t="s">
        <v>200</v>
      </c>
      <c r="K276" s="266" t="s">
        <v>201</v>
      </c>
      <c r="L276" s="266" t="s">
        <v>208</v>
      </c>
      <c r="M276" s="269"/>
      <c r="N276" s="269"/>
      <c r="O276" s="267"/>
    </row>
    <row r="277" spans="1:64" s="185" customFormat="1" ht="15" customHeight="1">
      <c r="A277" s="390">
        <v>44347</v>
      </c>
      <c r="B277" s="481" t="s">
        <v>387</v>
      </c>
      <c r="C277" s="349" t="s">
        <v>117</v>
      </c>
      <c r="D277" s="491"/>
      <c r="E277" s="448"/>
      <c r="F277" s="429">
        <v>1000000</v>
      </c>
      <c r="G277" s="372">
        <f t="shared" si="4"/>
        <v>20520554</v>
      </c>
      <c r="H277" s="266" t="s">
        <v>57</v>
      </c>
      <c r="I277" s="477">
        <v>3643473</v>
      </c>
      <c r="J277" s="329"/>
      <c r="K277" s="266"/>
      <c r="L277" s="266"/>
      <c r="M277" s="269"/>
      <c r="N277" s="336"/>
      <c r="O277" s="267"/>
      <c r="P277" s="365"/>
      <c r="Q277" s="365"/>
      <c r="R277" s="365"/>
      <c r="S277" s="365"/>
      <c r="T277" s="365"/>
      <c r="U277" s="365"/>
      <c r="V277" s="365"/>
      <c r="W277" s="365"/>
      <c r="X277" s="365"/>
      <c r="Y277" s="365"/>
      <c r="Z277" s="365"/>
      <c r="AA277" s="365"/>
      <c r="AB277" s="365"/>
      <c r="AC277" s="365"/>
      <c r="AD277" s="365"/>
      <c r="AE277" s="365"/>
      <c r="AF277" s="365"/>
      <c r="AG277" s="365"/>
      <c r="AH277" s="365"/>
      <c r="AI277" s="365"/>
      <c r="AJ277" s="365"/>
      <c r="AK277" s="365"/>
      <c r="AL277" s="365"/>
      <c r="AM277" s="365"/>
      <c r="AN277" s="365"/>
      <c r="AO277" s="365"/>
      <c r="AP277" s="365"/>
      <c r="AQ277" s="365"/>
      <c r="AR277" s="365"/>
      <c r="AS277" s="365"/>
      <c r="AT277" s="365"/>
      <c r="AU277" s="365"/>
      <c r="AV277" s="365"/>
      <c r="AW277" s="365"/>
      <c r="AX277" s="365"/>
      <c r="AY277" s="365"/>
      <c r="AZ277" s="365"/>
      <c r="BA277" s="365"/>
      <c r="BB277" s="365"/>
      <c r="BC277" s="365"/>
      <c r="BD277" s="365"/>
      <c r="BE277" s="365"/>
      <c r="BF277" s="365"/>
      <c r="BG277" s="365"/>
      <c r="BH277" s="365"/>
      <c r="BI277" s="365"/>
      <c r="BJ277" s="365"/>
      <c r="BK277" s="365"/>
      <c r="BL277" s="365"/>
    </row>
    <row r="278" spans="1:64" s="185" customFormat="1" ht="15" customHeight="1">
      <c r="A278" s="390">
        <v>44347</v>
      </c>
      <c r="B278" s="416" t="s">
        <v>56</v>
      </c>
      <c r="C278" s="349" t="s">
        <v>117</v>
      </c>
      <c r="D278" s="416"/>
      <c r="E278" s="432">
        <v>1000000</v>
      </c>
      <c r="F278" s="366"/>
      <c r="G278" s="372">
        <f t="shared" si="4"/>
        <v>21520554</v>
      </c>
      <c r="H278" s="268" t="s">
        <v>60</v>
      </c>
      <c r="I278" s="414"/>
      <c r="J278" s="328"/>
      <c r="K278" s="266"/>
      <c r="L278" s="266"/>
      <c r="M278" s="269"/>
      <c r="N278" s="336"/>
      <c r="O278" s="267"/>
      <c r="P278" s="365"/>
      <c r="Q278" s="365"/>
      <c r="R278" s="365"/>
      <c r="S278" s="365"/>
      <c r="T278" s="365"/>
      <c r="U278" s="365"/>
      <c r="V278" s="365"/>
      <c r="W278" s="365"/>
      <c r="X278" s="365"/>
      <c r="Y278" s="365"/>
      <c r="Z278" s="365"/>
      <c r="AA278" s="365"/>
      <c r="AB278" s="365"/>
      <c r="AC278" s="365"/>
      <c r="AD278" s="365"/>
      <c r="AE278" s="365"/>
      <c r="AF278" s="365"/>
      <c r="AG278" s="365"/>
      <c r="AH278" s="365"/>
      <c r="AI278" s="365"/>
      <c r="AJ278" s="365"/>
      <c r="AK278" s="365"/>
      <c r="AL278" s="365"/>
      <c r="AM278" s="365"/>
      <c r="AN278" s="365"/>
      <c r="AO278" s="365"/>
      <c r="AP278" s="365"/>
      <c r="AQ278" s="365"/>
      <c r="AR278" s="365"/>
      <c r="AS278" s="365"/>
      <c r="AT278" s="365"/>
      <c r="AU278" s="365"/>
      <c r="AV278" s="365"/>
      <c r="AW278" s="365"/>
      <c r="AX278" s="365"/>
      <c r="AY278" s="365"/>
      <c r="AZ278" s="365"/>
      <c r="BA278" s="365"/>
      <c r="BB278" s="365"/>
      <c r="BC278" s="365"/>
      <c r="BD278" s="365"/>
      <c r="BE278" s="365"/>
      <c r="BF278" s="365"/>
      <c r="BG278" s="365"/>
      <c r="BH278" s="365"/>
      <c r="BI278" s="365"/>
      <c r="BJ278" s="365"/>
      <c r="BK278" s="365"/>
      <c r="BL278" s="365"/>
    </row>
    <row r="279" spans="1:64" s="185" customFormat="1" ht="15" customHeight="1">
      <c r="A279" s="390">
        <v>44347</v>
      </c>
      <c r="B279" s="416" t="s">
        <v>138</v>
      </c>
      <c r="C279" s="268" t="s">
        <v>117</v>
      </c>
      <c r="D279" s="268"/>
      <c r="E279" s="432"/>
      <c r="F279" s="366">
        <v>10000</v>
      </c>
      <c r="G279" s="372">
        <f t="shared" si="4"/>
        <v>21510554</v>
      </c>
      <c r="H279" s="268" t="s">
        <v>60</v>
      </c>
      <c r="I279" s="414"/>
      <c r="J279" s="328"/>
      <c r="K279" s="266"/>
      <c r="L279" s="266"/>
      <c r="M279" s="267"/>
      <c r="N279" s="269"/>
      <c r="O279" s="267"/>
      <c r="P279" s="365"/>
      <c r="Q279" s="365"/>
      <c r="R279" s="365"/>
      <c r="S279" s="365"/>
      <c r="T279" s="365"/>
      <c r="U279" s="365"/>
      <c r="V279" s="365"/>
      <c r="W279" s="365"/>
      <c r="X279" s="365"/>
      <c r="Y279" s="365"/>
      <c r="Z279" s="365"/>
      <c r="AA279" s="365"/>
      <c r="AB279" s="365"/>
      <c r="AC279" s="365"/>
      <c r="AD279" s="365"/>
      <c r="AE279" s="365"/>
      <c r="AF279" s="365"/>
      <c r="AG279" s="365"/>
      <c r="AH279" s="365"/>
      <c r="AI279" s="365"/>
      <c r="AJ279" s="365"/>
      <c r="AK279" s="365"/>
      <c r="AL279" s="365"/>
      <c r="AM279" s="365"/>
      <c r="AN279" s="365"/>
      <c r="AO279" s="365"/>
      <c r="AP279" s="365"/>
      <c r="AQ279" s="365"/>
      <c r="AR279" s="365"/>
      <c r="AS279" s="365"/>
      <c r="AT279" s="365"/>
      <c r="AU279" s="365"/>
      <c r="AV279" s="365"/>
      <c r="AW279" s="365"/>
      <c r="AX279" s="365"/>
      <c r="AY279" s="365"/>
      <c r="AZ279" s="365"/>
      <c r="BA279" s="365"/>
      <c r="BB279" s="365"/>
      <c r="BC279" s="365"/>
      <c r="BD279" s="365"/>
      <c r="BE279" s="365"/>
      <c r="BF279" s="365"/>
      <c r="BG279" s="365"/>
      <c r="BH279" s="365"/>
      <c r="BI279" s="365"/>
      <c r="BJ279" s="365"/>
      <c r="BK279" s="365"/>
      <c r="BL279" s="365"/>
    </row>
    <row r="280" spans="1:64" s="185" customFormat="1" ht="15" customHeight="1">
      <c r="A280" s="390">
        <v>44347</v>
      </c>
      <c r="B280" s="469" t="s">
        <v>111</v>
      </c>
      <c r="C280" s="268" t="s">
        <v>117</v>
      </c>
      <c r="D280" s="419"/>
      <c r="E280" s="485">
        <v>184</v>
      </c>
      <c r="F280" s="487"/>
      <c r="G280" s="372">
        <f t="shared" si="4"/>
        <v>21510738</v>
      </c>
      <c r="H280" s="268" t="s">
        <v>60</v>
      </c>
      <c r="I280" s="414"/>
      <c r="J280" s="328"/>
      <c r="K280" s="266"/>
      <c r="L280" s="266"/>
      <c r="M280" s="269"/>
      <c r="N280" s="336"/>
      <c r="O280" s="267"/>
      <c r="P280" s="365"/>
      <c r="Q280" s="365"/>
      <c r="R280" s="365"/>
      <c r="S280" s="365"/>
      <c r="T280" s="365"/>
      <c r="U280" s="365"/>
      <c r="V280" s="365"/>
      <c r="W280" s="365"/>
      <c r="X280" s="365"/>
      <c r="Y280" s="365"/>
      <c r="Z280" s="365"/>
      <c r="AA280" s="365"/>
      <c r="AB280" s="365"/>
      <c r="AC280" s="365"/>
      <c r="AD280" s="365"/>
      <c r="AE280" s="365"/>
      <c r="AF280" s="365"/>
      <c r="AG280" s="365"/>
      <c r="AH280" s="365"/>
      <c r="AI280" s="365"/>
      <c r="AJ280" s="365"/>
      <c r="AK280" s="365"/>
      <c r="AL280" s="365"/>
      <c r="AM280" s="365"/>
      <c r="AN280" s="365"/>
      <c r="AO280" s="365"/>
      <c r="AP280" s="365"/>
      <c r="AQ280" s="365"/>
      <c r="AR280" s="365"/>
      <c r="AS280" s="365"/>
      <c r="AT280" s="365"/>
      <c r="AU280" s="365"/>
      <c r="AV280" s="365"/>
      <c r="AW280" s="365"/>
      <c r="AX280" s="365"/>
      <c r="AY280" s="365"/>
      <c r="AZ280" s="365"/>
      <c r="BA280" s="365"/>
      <c r="BB280" s="365"/>
      <c r="BC280" s="365"/>
      <c r="BD280" s="365"/>
      <c r="BE280" s="365"/>
      <c r="BF280" s="365"/>
      <c r="BG280" s="365"/>
      <c r="BH280" s="365"/>
      <c r="BI280" s="365"/>
      <c r="BJ280" s="365"/>
      <c r="BK280" s="365"/>
      <c r="BL280" s="365"/>
    </row>
    <row r="281" spans="1:64" s="185" customFormat="1" ht="15" customHeight="1">
      <c r="A281" s="390">
        <v>44347</v>
      </c>
      <c r="B281" s="462" t="s">
        <v>357</v>
      </c>
      <c r="C281" s="462" t="s">
        <v>26</v>
      </c>
      <c r="D281" s="475" t="s">
        <v>290</v>
      </c>
      <c r="E281" s="473"/>
      <c r="F281" s="487">
        <v>160000</v>
      </c>
      <c r="G281" s="372">
        <f t="shared" si="4"/>
        <v>21350738</v>
      </c>
      <c r="H281" s="268" t="s">
        <v>60</v>
      </c>
      <c r="I281" s="414" t="s">
        <v>131</v>
      </c>
      <c r="J281" s="328" t="s">
        <v>501</v>
      </c>
      <c r="K281" s="266" t="s">
        <v>201</v>
      </c>
      <c r="L281" s="266" t="s">
        <v>208</v>
      </c>
      <c r="M281" s="269"/>
      <c r="N281" s="269"/>
      <c r="O281" s="267"/>
      <c r="P281" s="365"/>
      <c r="Q281" s="365"/>
      <c r="R281" s="365"/>
      <c r="S281" s="365"/>
      <c r="T281" s="365"/>
      <c r="U281" s="365"/>
      <c r="V281" s="365"/>
      <c r="W281" s="365"/>
      <c r="X281" s="365"/>
      <c r="Y281" s="365"/>
      <c r="Z281" s="365"/>
      <c r="AA281" s="365"/>
      <c r="AB281" s="365"/>
      <c r="AC281" s="365"/>
      <c r="AD281" s="365"/>
      <c r="AE281" s="365"/>
      <c r="AF281" s="365"/>
      <c r="AG281" s="365"/>
      <c r="AH281" s="365"/>
      <c r="AI281" s="365"/>
      <c r="AJ281" s="365"/>
      <c r="AK281" s="365"/>
      <c r="AL281" s="365"/>
      <c r="AM281" s="365"/>
      <c r="AN281" s="365"/>
      <c r="AO281" s="365"/>
      <c r="AP281" s="365"/>
      <c r="AQ281" s="365"/>
      <c r="AR281" s="365"/>
      <c r="AS281" s="365"/>
      <c r="AT281" s="365"/>
      <c r="AU281" s="365"/>
      <c r="AV281" s="365"/>
      <c r="AW281" s="365"/>
      <c r="AX281" s="365"/>
      <c r="AY281" s="365"/>
      <c r="AZ281" s="365"/>
      <c r="BA281" s="365"/>
      <c r="BB281" s="365"/>
      <c r="BC281" s="365"/>
      <c r="BD281" s="365"/>
      <c r="BE281" s="365"/>
      <c r="BF281" s="365"/>
      <c r="BG281" s="365"/>
      <c r="BH281" s="365"/>
      <c r="BI281" s="365"/>
      <c r="BJ281" s="365"/>
      <c r="BK281" s="365"/>
      <c r="BL281" s="365"/>
    </row>
    <row r="282" spans="1:64" s="185" customFormat="1" ht="15" customHeight="1">
      <c r="A282" s="390">
        <v>44347</v>
      </c>
      <c r="B282" s="268" t="s">
        <v>411</v>
      </c>
      <c r="C282" s="268" t="s">
        <v>396</v>
      </c>
      <c r="D282" s="461" t="s">
        <v>21</v>
      </c>
      <c r="E282" s="448"/>
      <c r="F282" s="493">
        <v>7811</v>
      </c>
      <c r="G282" s="372">
        <f t="shared" si="4"/>
        <v>21342927</v>
      </c>
      <c r="H282" s="266" t="s">
        <v>57</v>
      </c>
      <c r="I282" s="483" t="s">
        <v>394</v>
      </c>
      <c r="J282" s="328" t="s">
        <v>151</v>
      </c>
      <c r="K282" s="266" t="s">
        <v>202</v>
      </c>
      <c r="L282" s="266" t="s">
        <v>208</v>
      </c>
      <c r="M282" s="269" t="s">
        <v>497</v>
      </c>
      <c r="N282" s="336" t="s">
        <v>203</v>
      </c>
      <c r="O282" s="267"/>
      <c r="P282" s="365"/>
      <c r="Q282" s="365"/>
      <c r="R282" s="365"/>
      <c r="S282" s="365"/>
      <c r="T282" s="365"/>
      <c r="U282" s="365"/>
      <c r="V282" s="365"/>
      <c r="W282" s="365"/>
      <c r="X282" s="365"/>
      <c r="Y282" s="365"/>
      <c r="Z282" s="365"/>
      <c r="AA282" s="365"/>
      <c r="AB282" s="365"/>
      <c r="AC282" s="365"/>
      <c r="AD282" s="365"/>
      <c r="AE282" s="365"/>
      <c r="AF282" s="365"/>
      <c r="AG282" s="365"/>
      <c r="AH282" s="365"/>
      <c r="AI282" s="365"/>
      <c r="AJ282" s="365"/>
      <c r="AK282" s="365"/>
      <c r="AL282" s="365"/>
      <c r="AM282" s="365"/>
      <c r="AN282" s="365"/>
      <c r="AO282" s="365"/>
      <c r="AP282" s="365"/>
      <c r="AQ282" s="365"/>
      <c r="AR282" s="365"/>
      <c r="AS282" s="365"/>
      <c r="AT282" s="365"/>
      <c r="AU282" s="365"/>
      <c r="AV282" s="365"/>
      <c r="AW282" s="365"/>
      <c r="AX282" s="365"/>
      <c r="AY282" s="365"/>
      <c r="AZ282" s="365"/>
      <c r="BA282" s="365"/>
      <c r="BB282" s="365"/>
      <c r="BC282" s="365"/>
      <c r="BD282" s="365"/>
      <c r="BE282" s="365"/>
      <c r="BF282" s="365"/>
      <c r="BG282" s="365"/>
      <c r="BH282" s="365"/>
      <c r="BI282" s="365"/>
      <c r="BJ282" s="365"/>
      <c r="BK282" s="365"/>
      <c r="BL282" s="365"/>
    </row>
    <row r="283" spans="1:64" s="185" customFormat="1" ht="15" customHeight="1">
      <c r="A283" s="390">
        <v>44347</v>
      </c>
      <c r="B283" s="424" t="s">
        <v>214</v>
      </c>
      <c r="C283" s="349" t="s">
        <v>117</v>
      </c>
      <c r="D283" s="416"/>
      <c r="E283" s="492">
        <v>10000</v>
      </c>
      <c r="F283" s="492"/>
      <c r="G283" s="372">
        <f t="shared" si="4"/>
        <v>21352927</v>
      </c>
      <c r="H283" s="267" t="s">
        <v>138</v>
      </c>
      <c r="I283" s="269"/>
      <c r="J283" s="269"/>
      <c r="K283" s="266"/>
      <c r="L283" s="266"/>
      <c r="M283" s="269"/>
      <c r="N283" s="336"/>
      <c r="O283" s="267"/>
    </row>
    <row r="284" spans="1:64" s="185" customFormat="1" ht="15" customHeight="1">
      <c r="A284" s="390">
        <v>44347</v>
      </c>
      <c r="B284" s="456" t="s">
        <v>373</v>
      </c>
      <c r="C284" s="349" t="s">
        <v>117</v>
      </c>
      <c r="D284" s="468"/>
      <c r="E284" s="449"/>
      <c r="F284" s="449">
        <v>184</v>
      </c>
      <c r="G284" s="372">
        <f t="shared" si="4"/>
        <v>21352743</v>
      </c>
      <c r="H284" s="378" t="s">
        <v>111</v>
      </c>
      <c r="I284" s="269"/>
      <c r="J284" s="328"/>
      <c r="K284" s="266"/>
      <c r="L284" s="266"/>
      <c r="M284" s="269"/>
      <c r="N284" s="336"/>
      <c r="O284" s="267"/>
    </row>
    <row r="285" spans="1:64" s="199" customFormat="1" ht="22.5" customHeight="1">
      <c r="A285" s="200"/>
      <c r="B285" s="200"/>
      <c r="C285" s="200"/>
      <c r="D285" s="200"/>
      <c r="E285" s="205"/>
      <c r="F285" s="327"/>
      <c r="G285" s="201"/>
      <c r="H285" s="201"/>
      <c r="I285" s="209"/>
      <c r="J285" s="202"/>
      <c r="K285" s="200"/>
      <c r="L285" s="200"/>
      <c r="M285" s="200"/>
      <c r="N285" s="200"/>
      <c r="O285" s="200"/>
    </row>
  </sheetData>
  <autoFilter ref="A11:GR285">
    <filterColumn colId="2"/>
    <filterColumn colId="10"/>
    <sortState ref="A12:BL285">
      <sortCondition ref="A11:A285"/>
    </sortState>
  </autoFilter>
  <sortState ref="A12:O282">
    <sortCondition ref="A12:A282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2"/>
  <sheetViews>
    <sheetView topLeftCell="E8" workbookViewId="0">
      <selection activeCell="K8" sqref="K8"/>
    </sheetView>
  </sheetViews>
  <sheetFormatPr baseColWidth="10" defaultColWidth="11.42578125" defaultRowHeight="15"/>
  <cols>
    <col min="1" max="1" width="7.42578125" customWidth="1"/>
    <col min="2" max="2" width="2.5703125" customWidth="1"/>
    <col min="3" max="3" width="13" customWidth="1"/>
    <col min="4" max="4" width="29.85546875" customWidth="1"/>
    <col min="5" max="5" width="11.7109375" customWidth="1"/>
    <col min="6" max="6" width="7.42578125" customWidth="1"/>
    <col min="7" max="7" width="0.140625" customWidth="1"/>
    <col min="8" max="8" width="13.42578125" customWidth="1"/>
    <col min="9" max="9" width="14.42578125" customWidth="1"/>
    <col min="10" max="10" width="9.85546875" style="1" customWidth="1"/>
    <col min="11" max="11" width="11.85546875" customWidth="1"/>
    <col min="13" max="13" width="13.85546875" bestFit="1" customWidth="1"/>
  </cols>
  <sheetData>
    <row r="1" spans="1:12">
      <c r="A1" s="33"/>
      <c r="B1" s="33"/>
      <c r="C1" s="33"/>
      <c r="D1" s="33"/>
      <c r="E1" s="33"/>
      <c r="F1" s="33"/>
      <c r="G1" s="33"/>
      <c r="H1" s="33"/>
      <c r="I1" s="1"/>
      <c r="J1"/>
    </row>
    <row r="2" spans="1:12">
      <c r="A2" s="33"/>
      <c r="B2" s="33"/>
      <c r="C2" s="33"/>
      <c r="D2" s="33"/>
      <c r="E2" s="33"/>
      <c r="F2" s="33"/>
      <c r="G2" s="33"/>
      <c r="H2" s="33"/>
      <c r="I2" s="1"/>
      <c r="J2"/>
    </row>
    <row r="3" spans="1:12">
      <c r="A3" s="33"/>
      <c r="B3" s="33"/>
      <c r="C3" s="33"/>
      <c r="D3" s="33"/>
      <c r="E3" s="33"/>
      <c r="F3" s="33"/>
      <c r="G3" s="33"/>
      <c r="H3" s="33"/>
      <c r="I3" s="1"/>
      <c r="J3"/>
    </row>
    <row r="4" spans="1:12">
      <c r="A4" s="34"/>
      <c r="B4" s="35"/>
      <c r="C4" s="35"/>
      <c r="D4" s="35"/>
      <c r="E4" s="35"/>
      <c r="F4" s="35"/>
      <c r="G4" s="35"/>
      <c r="H4" s="35"/>
      <c r="I4" s="1"/>
      <c r="J4"/>
    </row>
    <row r="5" spans="1:12">
      <c r="A5" s="36" t="s">
        <v>30</v>
      </c>
      <c r="B5" s="35"/>
      <c r="C5" s="35"/>
      <c r="D5" s="35"/>
      <c r="E5" s="35"/>
      <c r="F5" s="35"/>
      <c r="G5" s="35"/>
      <c r="H5" s="35"/>
      <c r="I5" s="1"/>
      <c r="J5"/>
    </row>
    <row r="6" spans="1:12">
      <c r="A6" s="37" t="s">
        <v>31</v>
      </c>
      <c r="B6" s="38" t="s">
        <v>32</v>
      </c>
      <c r="C6" s="38"/>
      <c r="D6" s="39"/>
      <c r="E6" s="38"/>
      <c r="F6" s="38"/>
      <c r="G6" s="38"/>
      <c r="H6" s="35"/>
      <c r="I6" s="1"/>
      <c r="J6"/>
    </row>
    <row r="7" spans="1:12">
      <c r="A7" s="38"/>
      <c r="B7" s="38"/>
      <c r="C7" s="38"/>
      <c r="D7" s="38"/>
      <c r="E7" s="38"/>
      <c r="F7" s="38"/>
      <c r="G7" s="38"/>
      <c r="H7" s="35"/>
      <c r="I7" s="1"/>
      <c r="J7"/>
    </row>
    <row r="8" spans="1:12">
      <c r="A8" s="2" t="s">
        <v>0</v>
      </c>
      <c r="B8" s="2"/>
      <c r="C8" s="3"/>
      <c r="D8" s="3"/>
      <c r="E8" s="3"/>
      <c r="F8" s="3"/>
      <c r="G8" s="3"/>
      <c r="H8" s="3"/>
      <c r="I8" s="3"/>
      <c r="J8" s="4"/>
      <c r="L8" s="3"/>
    </row>
    <row r="9" spans="1:12">
      <c r="A9" s="5"/>
      <c r="B9" s="5"/>
      <c r="C9" s="6" t="s">
        <v>1</v>
      </c>
      <c r="D9" s="6"/>
      <c r="E9" s="7"/>
      <c r="F9" s="7"/>
      <c r="G9" s="7"/>
      <c r="H9" s="7"/>
      <c r="I9" s="8"/>
      <c r="J9" s="9"/>
      <c r="K9" s="7"/>
      <c r="L9" s="7"/>
    </row>
    <row r="10" spans="1:12" ht="15.75">
      <c r="A10" s="5"/>
      <c r="B10" s="5"/>
      <c r="C10" s="270" t="s">
        <v>24</v>
      </c>
      <c r="D10" s="270"/>
      <c r="E10" s="7"/>
      <c r="F10" s="7"/>
      <c r="G10" s="7"/>
      <c r="H10" s="7"/>
      <c r="I10" s="8"/>
      <c r="J10" s="9"/>
      <c r="K10" s="7"/>
      <c r="L10" s="7"/>
    </row>
    <row r="11" spans="1:12">
      <c r="A11" s="5"/>
      <c r="B11" s="5"/>
      <c r="C11" s="6" t="s">
        <v>3</v>
      </c>
      <c r="D11" s="6"/>
      <c r="E11" s="7"/>
      <c r="F11" s="7"/>
      <c r="G11" s="7"/>
      <c r="H11" s="7"/>
      <c r="I11" s="8"/>
      <c r="J11" s="9"/>
      <c r="K11" s="7"/>
      <c r="L11" s="7"/>
    </row>
    <row r="12" spans="1:12">
      <c r="A12" s="5"/>
      <c r="B12" s="5"/>
      <c r="C12" s="7"/>
      <c r="D12" s="10"/>
      <c r="E12" s="11"/>
      <c r="F12" s="11"/>
      <c r="G12" s="11"/>
      <c r="H12" s="11"/>
      <c r="I12" s="8"/>
      <c r="J12" s="9"/>
      <c r="K12" s="12"/>
      <c r="L12" s="7"/>
    </row>
    <row r="13" spans="1:12">
      <c r="A13" s="5"/>
      <c r="B13" s="5"/>
      <c r="C13" s="7"/>
      <c r="D13" s="10"/>
      <c r="E13" s="13" t="s">
        <v>376</v>
      </c>
      <c r="F13" s="13"/>
      <c r="G13" s="13"/>
      <c r="H13" s="13"/>
      <c r="I13" s="7"/>
      <c r="J13" s="14"/>
      <c r="K13" s="12"/>
      <c r="L13" s="7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4"/>
      <c r="K14" s="3"/>
      <c r="L14" s="3"/>
    </row>
    <row r="15" spans="1:12" ht="25.5" customHeight="1">
      <c r="A15" s="15" t="s">
        <v>4</v>
      </c>
      <c r="B15" s="16" t="s">
        <v>5</v>
      </c>
      <c r="C15" s="17" t="s">
        <v>6</v>
      </c>
      <c r="D15" s="18" t="s">
        <v>7</v>
      </c>
      <c r="E15" s="18" t="s">
        <v>8</v>
      </c>
      <c r="F15" s="18" t="s">
        <v>9</v>
      </c>
      <c r="G15" s="19" t="s">
        <v>10</v>
      </c>
      <c r="H15" s="18" t="s">
        <v>11</v>
      </c>
      <c r="I15" s="20" t="s">
        <v>25</v>
      </c>
      <c r="J15" s="21" t="s">
        <v>13</v>
      </c>
      <c r="K15" s="22" t="s">
        <v>14</v>
      </c>
    </row>
    <row r="16" spans="1:12">
      <c r="A16" s="30">
        <v>44317</v>
      </c>
      <c r="B16" s="28"/>
      <c r="C16" s="31"/>
      <c r="D16" s="28" t="s">
        <v>377</v>
      </c>
      <c r="E16" s="28"/>
      <c r="F16" s="28"/>
      <c r="G16" s="28"/>
      <c r="H16" s="46">
        <f>+'[2]Compte Principal 34 BCI'!$H$29</f>
        <v>7405927</v>
      </c>
      <c r="I16" s="32"/>
      <c r="J16" s="132">
        <f>+H16</f>
        <v>7405927</v>
      </c>
      <c r="K16" s="23"/>
    </row>
    <row r="17" spans="1:12">
      <c r="A17" s="30">
        <v>44320</v>
      </c>
      <c r="B17" s="27"/>
      <c r="C17" s="31" t="s">
        <v>230</v>
      </c>
      <c r="D17" s="28" t="s">
        <v>378</v>
      </c>
      <c r="E17" s="445" t="s">
        <v>28</v>
      </c>
      <c r="F17" s="445" t="s">
        <v>21</v>
      </c>
      <c r="G17" s="439"/>
      <c r="H17" s="441"/>
      <c r="I17" s="131">
        <v>260000</v>
      </c>
      <c r="J17" s="132">
        <f>+J16+H17-I17</f>
        <v>7145927</v>
      </c>
      <c r="K17" s="23"/>
    </row>
    <row r="18" spans="1:12">
      <c r="A18" s="30">
        <v>44320</v>
      </c>
      <c r="B18" s="27"/>
      <c r="C18" s="31">
        <v>3654444</v>
      </c>
      <c r="D18" s="28" t="s">
        <v>237</v>
      </c>
      <c r="E18" s="27" t="s">
        <v>380</v>
      </c>
      <c r="F18" s="27"/>
      <c r="H18" s="25"/>
      <c r="I18" s="131">
        <v>1000000</v>
      </c>
      <c r="J18" s="132">
        <f t="shared" ref="J18:J25" si="0">+J17+H18-I18</f>
        <v>6145927</v>
      </c>
      <c r="K18" s="23"/>
    </row>
    <row r="19" spans="1:12">
      <c r="A19" s="30">
        <v>44322</v>
      </c>
      <c r="B19" s="27"/>
      <c r="C19" s="31">
        <v>3654445</v>
      </c>
      <c r="D19" s="28" t="s">
        <v>238</v>
      </c>
      <c r="E19" s="443" t="s">
        <v>58</v>
      </c>
      <c r="F19" s="444" t="s">
        <v>118</v>
      </c>
      <c r="G19" s="361"/>
      <c r="H19" s="46"/>
      <c r="I19" s="131">
        <v>245000</v>
      </c>
      <c r="J19" s="132">
        <f t="shared" si="0"/>
        <v>5900927</v>
      </c>
      <c r="K19" s="23"/>
    </row>
    <row r="20" spans="1:12">
      <c r="A20" s="30">
        <v>44323</v>
      </c>
      <c r="B20" s="27"/>
      <c r="C20" s="31" t="s">
        <v>230</v>
      </c>
      <c r="D20" s="28" t="s">
        <v>239</v>
      </c>
      <c r="E20" s="27" t="s">
        <v>15</v>
      </c>
      <c r="F20" s="27" t="s">
        <v>16</v>
      </c>
      <c r="H20" s="25"/>
      <c r="I20" s="131">
        <v>1181177</v>
      </c>
      <c r="J20" s="132">
        <f t="shared" si="0"/>
        <v>4719750</v>
      </c>
      <c r="K20" s="23"/>
    </row>
    <row r="21" spans="1:12">
      <c r="A21" s="30">
        <v>44333</v>
      </c>
      <c r="B21" s="27"/>
      <c r="C21" s="31">
        <v>3654446</v>
      </c>
      <c r="D21" s="28" t="s">
        <v>240</v>
      </c>
      <c r="E21" s="27" t="s">
        <v>379</v>
      </c>
      <c r="F21" s="27" t="s">
        <v>18</v>
      </c>
      <c r="H21" s="25"/>
      <c r="I21" s="131">
        <v>1000000</v>
      </c>
      <c r="J21" s="132">
        <f t="shared" si="0"/>
        <v>3719750</v>
      </c>
      <c r="K21" s="23"/>
    </row>
    <row r="22" spans="1:12">
      <c r="A22" s="30">
        <v>44319</v>
      </c>
      <c r="B22" s="27"/>
      <c r="C22" s="343" t="s">
        <v>394</v>
      </c>
      <c r="D22" s="250" t="s">
        <v>395</v>
      </c>
      <c r="E22" s="27" t="s">
        <v>396</v>
      </c>
      <c r="F22" s="27" t="s">
        <v>21</v>
      </c>
      <c r="G22" s="440"/>
      <c r="H22" s="442"/>
      <c r="I22" s="223">
        <v>2811</v>
      </c>
      <c r="J22" s="132">
        <f t="shared" si="0"/>
        <v>3716939</v>
      </c>
      <c r="K22" s="23"/>
    </row>
    <row r="23" spans="1:12">
      <c r="A23" s="30">
        <v>44320</v>
      </c>
      <c r="B23" s="27"/>
      <c r="C23" s="343" t="s">
        <v>394</v>
      </c>
      <c r="D23" s="28" t="s">
        <v>397</v>
      </c>
      <c r="E23" s="27" t="s">
        <v>396</v>
      </c>
      <c r="F23" s="27" t="s">
        <v>21</v>
      </c>
      <c r="G23" s="27"/>
      <c r="H23" s="194"/>
      <c r="I23" s="131">
        <v>2600</v>
      </c>
      <c r="J23" s="132">
        <f t="shared" si="0"/>
        <v>3714339</v>
      </c>
      <c r="K23" s="23"/>
    </row>
    <row r="24" spans="1:12">
      <c r="A24" s="30">
        <v>44322</v>
      </c>
      <c r="B24" s="27"/>
      <c r="C24" s="343" t="s">
        <v>394</v>
      </c>
      <c r="D24" s="28" t="s">
        <v>398</v>
      </c>
      <c r="E24" s="27" t="s">
        <v>396</v>
      </c>
      <c r="F24" s="27" t="s">
        <v>21</v>
      </c>
      <c r="G24" s="225"/>
      <c r="H24" s="261"/>
      <c r="I24" s="131">
        <v>8644</v>
      </c>
      <c r="J24" s="132">
        <f t="shared" si="0"/>
        <v>3705695</v>
      </c>
      <c r="K24" s="23"/>
    </row>
    <row r="25" spans="1:12">
      <c r="A25" s="30">
        <v>44323</v>
      </c>
      <c r="B25" s="27"/>
      <c r="C25" s="343" t="s">
        <v>394</v>
      </c>
      <c r="D25" s="28" t="s">
        <v>397</v>
      </c>
      <c r="E25" s="27" t="s">
        <v>396</v>
      </c>
      <c r="F25" s="27" t="s">
        <v>21</v>
      </c>
      <c r="G25" s="225"/>
      <c r="H25" s="261"/>
      <c r="I25" s="131">
        <v>10000</v>
      </c>
      <c r="J25" s="132">
        <f t="shared" si="0"/>
        <v>3695695</v>
      </c>
      <c r="K25" s="23"/>
    </row>
    <row r="26" spans="1:12">
      <c r="A26" s="28"/>
      <c r="B26" s="28"/>
      <c r="C26" s="337" t="s">
        <v>27</v>
      </c>
      <c r="D26" s="337"/>
      <c r="E26" s="337"/>
      <c r="F26" s="337"/>
      <c r="G26" s="337"/>
      <c r="H26" s="338">
        <f>SUM(H16:H24)</f>
        <v>7405927</v>
      </c>
      <c r="I26" s="338">
        <f>SUM(I16:I25)</f>
        <v>3710232</v>
      </c>
      <c r="J26" s="32"/>
      <c r="K26" s="28"/>
    </row>
    <row r="27" spans="1:12" ht="23.25" customHeight="1">
      <c r="A27" s="3"/>
      <c r="B27" s="3"/>
      <c r="C27" s="339" t="s">
        <v>22</v>
      </c>
      <c r="D27" s="339"/>
      <c r="E27" s="339"/>
      <c r="F27" s="339"/>
      <c r="G27" s="339"/>
      <c r="H27" s="339"/>
      <c r="I27" s="338"/>
      <c r="J27" s="3"/>
      <c r="K27" s="3"/>
      <c r="L27" s="29"/>
    </row>
    <row r="28" spans="1:12">
      <c r="A28" s="3"/>
      <c r="B28" s="3"/>
      <c r="C28" s="340" t="s">
        <v>23</v>
      </c>
      <c r="D28" s="340"/>
      <c r="E28" s="340"/>
      <c r="F28" s="340"/>
      <c r="G28" s="340"/>
      <c r="H28" s="341">
        <f>+H26-I26</f>
        <v>3695695</v>
      </c>
      <c r="I28" s="342"/>
      <c r="J28" s="367"/>
      <c r="K28" s="3"/>
      <c r="L28" s="29"/>
    </row>
    <row r="29" spans="1:12">
      <c r="H29" s="45"/>
      <c r="K29" s="24"/>
    </row>
    <row r="30" spans="1:12">
      <c r="K30" s="24"/>
    </row>
    <row r="31" spans="1:12">
      <c r="K31" s="24"/>
    </row>
    <row r="32" spans="1:12">
      <c r="K32" s="24"/>
    </row>
    <row r="33" spans="11:11">
      <c r="K33" s="24"/>
    </row>
    <row r="34" spans="11:11">
      <c r="K34" s="24"/>
    </row>
    <row r="35" spans="11:11">
      <c r="K35" s="24"/>
    </row>
    <row r="36" spans="11:11">
      <c r="K36" s="24"/>
    </row>
    <row r="37" spans="11:11">
      <c r="K37" s="24"/>
    </row>
    <row r="38" spans="11:11">
      <c r="K38" s="24"/>
    </row>
    <row r="39" spans="11:11">
      <c r="K39" s="24"/>
    </row>
    <row r="40" spans="11:11">
      <c r="K40" s="24"/>
    </row>
    <row r="41" spans="11:11">
      <c r="K41" s="24"/>
    </row>
    <row r="42" spans="11:11">
      <c r="K42" s="2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46"/>
  <sheetViews>
    <sheetView topLeftCell="A10" workbookViewId="0">
      <selection activeCell="E43" sqref="E43"/>
    </sheetView>
  </sheetViews>
  <sheetFormatPr baseColWidth="10" defaultColWidth="11.42578125" defaultRowHeight="12.75"/>
  <cols>
    <col min="1" max="1" width="3" style="272" customWidth="1"/>
    <col min="2" max="2" width="11.42578125" style="272"/>
    <col min="3" max="3" width="22.7109375" style="272" customWidth="1"/>
    <col min="4" max="7" width="11.42578125" style="272"/>
    <col min="8" max="8" width="1.5703125" style="272" customWidth="1"/>
    <col min="9" max="9" width="9" style="272" customWidth="1"/>
    <col min="10" max="10" width="40.42578125" style="272" customWidth="1"/>
    <col min="11" max="11" width="11.85546875" style="272" customWidth="1"/>
    <col min="12" max="12" width="12.140625" style="272" customWidth="1"/>
    <col min="13" max="16384" width="11.42578125" style="272"/>
  </cols>
  <sheetData>
    <row r="1" spans="1:14" ht="15">
      <c r="A1" s="271"/>
      <c r="B1" s="33"/>
      <c r="C1" s="33"/>
      <c r="D1" s="33"/>
      <c r="E1" s="33"/>
      <c r="F1" s="33"/>
      <c r="G1" s="33"/>
      <c r="H1" s="33"/>
      <c r="I1" s="33"/>
      <c r="J1" s="1"/>
      <c r="K1"/>
    </row>
    <row r="2" spans="1:14" ht="15">
      <c r="A2" s="271"/>
      <c r="B2" s="33"/>
      <c r="C2" s="33"/>
      <c r="D2" s="33"/>
      <c r="E2" s="33"/>
      <c r="F2" s="33"/>
      <c r="G2" s="33"/>
      <c r="H2" s="33"/>
      <c r="I2" s="33"/>
      <c r="J2" s="1"/>
      <c r="K2"/>
    </row>
    <row r="3" spans="1:14" ht="15">
      <c r="A3" s="271"/>
      <c r="B3" s="33"/>
      <c r="C3" s="33"/>
      <c r="D3" s="33"/>
      <c r="E3" s="33"/>
      <c r="F3" s="33"/>
      <c r="G3" s="33"/>
      <c r="H3" s="33"/>
      <c r="I3" s="33"/>
      <c r="J3" s="1"/>
      <c r="K3"/>
    </row>
    <row r="4" spans="1:14" ht="15">
      <c r="A4" s="271"/>
      <c r="B4" s="34"/>
      <c r="C4" s="35"/>
      <c r="D4" s="35"/>
      <c r="E4" s="35"/>
      <c r="F4" s="35"/>
      <c r="G4" s="35"/>
      <c r="H4" s="35"/>
      <c r="I4" s="35"/>
      <c r="J4" s="1"/>
      <c r="K4"/>
    </row>
    <row r="5" spans="1:14" ht="15">
      <c r="A5" s="271"/>
      <c r="B5" s="36" t="s">
        <v>30</v>
      </c>
      <c r="C5" s="35"/>
      <c r="D5" s="35"/>
      <c r="E5" s="35"/>
      <c r="F5" s="35"/>
      <c r="G5" s="35"/>
      <c r="H5" s="35"/>
      <c r="I5" s="35"/>
      <c r="J5" s="1"/>
      <c r="K5"/>
    </row>
    <row r="6" spans="1:14" ht="15">
      <c r="A6" s="271"/>
      <c r="B6" s="37" t="s">
        <v>31</v>
      </c>
      <c r="C6" s="38" t="s">
        <v>32</v>
      </c>
      <c r="D6" s="38"/>
      <c r="E6" s="39"/>
      <c r="F6" s="38"/>
      <c r="G6" s="38"/>
      <c r="H6" s="38"/>
      <c r="I6" s="35"/>
      <c r="J6" s="1"/>
      <c r="K6"/>
    </row>
    <row r="7" spans="1:14" ht="15">
      <c r="A7" s="271"/>
      <c r="B7" s="38"/>
      <c r="C7" s="38"/>
      <c r="D7" s="38"/>
      <c r="E7" s="38"/>
      <c r="F7" s="38"/>
      <c r="G7" s="38"/>
      <c r="H7" s="38"/>
      <c r="I7" s="35"/>
      <c r="J7" s="1"/>
      <c r="K7"/>
    </row>
    <row r="8" spans="1:14">
      <c r="A8" s="271"/>
      <c r="B8" s="273"/>
      <c r="C8" s="274"/>
      <c r="D8" s="275"/>
      <c r="E8" s="276"/>
      <c r="F8" s="276"/>
      <c r="G8" s="271"/>
      <c r="H8" s="277"/>
      <c r="I8" s="278"/>
      <c r="J8" s="273"/>
    </row>
    <row r="9" spans="1:14" ht="23.25" thickBot="1">
      <c r="A9" s="271"/>
      <c r="B9" s="537" t="s">
        <v>169</v>
      </c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</row>
    <row r="10" spans="1:14" ht="13.5" thickTop="1">
      <c r="H10" s="279"/>
    </row>
    <row r="11" spans="1:14">
      <c r="B11" s="273" t="s">
        <v>170</v>
      </c>
      <c r="C11" s="280" t="s">
        <v>407</v>
      </c>
      <c r="D11" s="281"/>
      <c r="E11" s="282"/>
      <c r="F11" s="282"/>
      <c r="H11" s="279"/>
      <c r="I11" s="273" t="s">
        <v>170</v>
      </c>
      <c r="J11" s="280" t="str">
        <f>C11</f>
        <v>DU 01 AU 31 Mai  2021</v>
      </c>
      <c r="K11" s="282"/>
      <c r="L11" s="282"/>
      <c r="M11" s="282"/>
    </row>
    <row r="12" spans="1:14">
      <c r="B12" s="273" t="s">
        <v>171</v>
      </c>
      <c r="C12" s="282" t="s">
        <v>172</v>
      </c>
      <c r="D12" s="282"/>
      <c r="E12" s="283"/>
      <c r="F12" s="283"/>
      <c r="G12" s="271"/>
      <c r="H12" s="279"/>
      <c r="I12" s="273" t="s">
        <v>171</v>
      </c>
      <c r="J12" s="282" t="s">
        <v>173</v>
      </c>
      <c r="K12" s="282"/>
      <c r="L12" s="282"/>
      <c r="M12" s="282"/>
    </row>
    <row r="13" spans="1:14" ht="15.75">
      <c r="B13" s="273" t="s">
        <v>174</v>
      </c>
      <c r="C13" s="284" t="s">
        <v>175</v>
      </c>
      <c r="D13" s="285"/>
      <c r="E13" s="283"/>
      <c r="F13" s="283"/>
      <c r="G13" s="271"/>
      <c r="H13" s="279"/>
      <c r="I13" s="273" t="s">
        <v>174</v>
      </c>
      <c r="J13" s="284" t="str">
        <f>+C13</f>
        <v>01100-37107202652 - 34</v>
      </c>
      <c r="K13" s="284"/>
      <c r="L13" s="282"/>
      <c r="M13" s="282"/>
    </row>
    <row r="14" spans="1:14">
      <c r="H14" s="279"/>
    </row>
    <row r="15" spans="1:14">
      <c r="B15" s="538" t="s">
        <v>4</v>
      </c>
      <c r="C15" s="538" t="s">
        <v>176</v>
      </c>
      <c r="D15" s="538" t="s">
        <v>177</v>
      </c>
      <c r="E15" s="538" t="s">
        <v>178</v>
      </c>
      <c r="F15" s="539" t="s">
        <v>179</v>
      </c>
      <c r="G15" s="539"/>
      <c r="H15" s="279"/>
      <c r="I15" s="538" t="s">
        <v>4</v>
      </c>
      <c r="J15" s="538" t="s">
        <v>176</v>
      </c>
      <c r="K15" s="538" t="s">
        <v>177</v>
      </c>
      <c r="L15" s="538" t="s">
        <v>178</v>
      </c>
      <c r="M15" s="539" t="s">
        <v>179</v>
      </c>
      <c r="N15" s="539"/>
    </row>
    <row r="16" spans="1:14">
      <c r="B16" s="538"/>
      <c r="C16" s="538"/>
      <c r="D16" s="538"/>
      <c r="E16" s="538"/>
      <c r="F16" s="333" t="s">
        <v>180</v>
      </c>
      <c r="G16" s="333" t="s">
        <v>181</v>
      </c>
      <c r="H16" s="279"/>
      <c r="I16" s="538"/>
      <c r="J16" s="538"/>
      <c r="K16" s="538"/>
      <c r="L16" s="538"/>
      <c r="M16" s="333" t="s">
        <v>180</v>
      </c>
      <c r="N16" s="333" t="s">
        <v>181</v>
      </c>
    </row>
    <row r="17" spans="2:15">
      <c r="B17" s="286" t="s">
        <v>182</v>
      </c>
      <c r="F17" s="287"/>
      <c r="G17" s="287"/>
      <c r="H17" s="279"/>
      <c r="I17" s="286" t="s">
        <v>183</v>
      </c>
      <c r="N17" s="287"/>
    </row>
    <row r="18" spans="2:15" ht="13.5" thickBot="1">
      <c r="B18" s="288">
        <v>44347</v>
      </c>
      <c r="C18" s="289" t="s">
        <v>184</v>
      </c>
      <c r="D18" s="289"/>
      <c r="E18" s="289"/>
      <c r="F18" s="290">
        <f>+'Compte Principal 34 BCI'!H28</f>
        <v>3695695</v>
      </c>
      <c r="G18" s="289"/>
      <c r="H18" s="279"/>
      <c r="I18" s="288">
        <f>+B18</f>
        <v>44347</v>
      </c>
      <c r="J18" s="289" t="s">
        <v>185</v>
      </c>
      <c r="K18" s="289"/>
      <c r="L18" s="289"/>
      <c r="M18" s="291"/>
      <c r="N18" s="290">
        <v>3695695</v>
      </c>
      <c r="O18" s="287"/>
    </row>
    <row r="19" spans="2:15" ht="13.5" thickTop="1">
      <c r="F19" s="287"/>
      <c r="H19" s="279"/>
    </row>
    <row r="20" spans="2:15">
      <c r="B20" s="286" t="s">
        <v>186</v>
      </c>
      <c r="F20" s="287"/>
      <c r="H20" s="279"/>
      <c r="I20" s="292" t="s">
        <v>187</v>
      </c>
      <c r="J20" s="293"/>
      <c r="K20" s="293"/>
      <c r="L20" s="293"/>
      <c r="M20" s="293"/>
      <c r="N20" s="293"/>
    </row>
    <row r="21" spans="2:15">
      <c r="F21" s="287"/>
      <c r="H21" s="279"/>
    </row>
    <row r="22" spans="2:15">
      <c r="B22" s="294"/>
      <c r="C22" s="295"/>
      <c r="D22" s="295"/>
      <c r="E22" s="295"/>
      <c r="F22" s="296"/>
      <c r="G22" s="296"/>
      <c r="H22" s="279"/>
      <c r="I22" s="297"/>
      <c r="J22" s="298"/>
      <c r="K22" s="299"/>
      <c r="L22" s="299"/>
      <c r="M22" s="300"/>
      <c r="N22" s="296"/>
    </row>
    <row r="23" spans="2:15">
      <c r="B23" s="294"/>
      <c r="C23" s="295"/>
      <c r="D23" s="295"/>
      <c r="E23" s="295"/>
      <c r="F23" s="296"/>
      <c r="G23" s="296"/>
      <c r="H23" s="279"/>
      <c r="I23" s="297"/>
      <c r="J23" s="298"/>
      <c r="K23" s="299"/>
      <c r="L23" s="299"/>
      <c r="M23" s="300"/>
      <c r="N23" s="296"/>
    </row>
    <row r="24" spans="2:15">
      <c r="B24" s="294"/>
      <c r="C24" s="295"/>
      <c r="D24" s="295"/>
      <c r="E24" s="295"/>
      <c r="F24" s="296"/>
      <c r="G24" s="296"/>
      <c r="H24" s="279"/>
      <c r="I24" s="297"/>
      <c r="J24" s="299"/>
      <c r="K24" s="299"/>
      <c r="L24" s="299"/>
      <c r="M24" s="300"/>
      <c r="N24" s="296"/>
    </row>
    <row r="25" spans="2:15">
      <c r="B25" s="294"/>
      <c r="C25" s="295"/>
      <c r="D25" s="295"/>
      <c r="E25" s="295"/>
      <c r="F25" s="296"/>
      <c r="G25" s="296"/>
      <c r="H25" s="279"/>
      <c r="I25" s="297"/>
      <c r="J25" s="299"/>
      <c r="K25" s="297"/>
      <c r="L25" s="299"/>
      <c r="M25" s="300"/>
      <c r="N25" s="296"/>
    </row>
    <row r="26" spans="2:15">
      <c r="B26" s="294"/>
      <c r="C26" s="295"/>
      <c r="D26" s="295"/>
      <c r="E26" s="295"/>
      <c r="F26" s="296"/>
      <c r="G26" s="296"/>
      <c r="H26" s="279"/>
      <c r="I26" s="297"/>
      <c r="J26" s="299"/>
      <c r="K26" s="299"/>
      <c r="L26" s="299"/>
      <c r="M26" s="300"/>
      <c r="N26" s="296"/>
    </row>
    <row r="27" spans="2:15">
      <c r="B27" s="294"/>
      <c r="C27" s="295"/>
      <c r="D27" s="295"/>
      <c r="E27" s="295"/>
      <c r="F27" s="296"/>
      <c r="G27" s="296"/>
      <c r="H27" s="279"/>
      <c r="I27" s="297"/>
      <c r="J27" s="299"/>
      <c r="K27" s="299"/>
      <c r="L27" s="299"/>
      <c r="M27" s="300"/>
      <c r="N27" s="296"/>
    </row>
    <row r="28" spans="2:15">
      <c r="B28" s="294"/>
      <c r="C28" s="295"/>
      <c r="D28" s="295"/>
      <c r="E28" s="295"/>
      <c r="F28" s="296"/>
      <c r="G28" s="296"/>
      <c r="H28" s="279"/>
      <c r="I28" s="294"/>
      <c r="J28" s="295"/>
      <c r="K28" s="295"/>
      <c r="L28" s="295"/>
      <c r="M28" s="296"/>
      <c r="N28" s="296"/>
    </row>
    <row r="29" spans="2:15">
      <c r="B29" s="294"/>
      <c r="C29" s="295"/>
      <c r="D29" s="295"/>
      <c r="E29" s="295"/>
      <c r="F29" s="296"/>
      <c r="G29" s="296"/>
      <c r="H29" s="279"/>
      <c r="I29" s="295"/>
      <c r="J29" s="295"/>
      <c r="K29" s="295"/>
      <c r="L29" s="295"/>
      <c r="M29" s="296"/>
      <c r="N29" s="296"/>
    </row>
    <row r="30" spans="2:15">
      <c r="B30" s="294"/>
      <c r="C30" s="295"/>
      <c r="D30" s="295"/>
      <c r="E30" s="295"/>
      <c r="F30" s="296"/>
      <c r="G30" s="296"/>
      <c r="H30" s="279"/>
      <c r="I30" s="295"/>
      <c r="J30" s="295"/>
      <c r="K30" s="295"/>
      <c r="L30" s="295"/>
      <c r="M30" s="296"/>
      <c r="N30" s="296"/>
    </row>
    <row r="31" spans="2:15" ht="13.5" thickBot="1">
      <c r="B31" s="301"/>
      <c r="C31" s="295"/>
      <c r="D31" s="295"/>
      <c r="E31" s="295"/>
      <c r="F31" s="302"/>
      <c r="G31" s="303"/>
      <c r="H31" s="279"/>
      <c r="I31" s="303"/>
      <c r="J31" s="303"/>
      <c r="K31" s="303"/>
      <c r="L31" s="303"/>
      <c r="M31" s="303"/>
      <c r="N31" s="303"/>
    </row>
    <row r="32" spans="2:15" ht="14.25" thickTop="1" thickBot="1">
      <c r="B32" s="541" t="s">
        <v>188</v>
      </c>
      <c r="C32" s="542"/>
      <c r="D32" s="542"/>
      <c r="E32" s="543"/>
      <c r="F32" s="304">
        <f>SUM(F22:F31,F17:F18)</f>
        <v>3695695</v>
      </c>
      <c r="G32" s="304">
        <f>SUM(G22:G31,G17)</f>
        <v>0</v>
      </c>
      <c r="H32" s="279"/>
      <c r="I32" s="541" t="s">
        <v>189</v>
      </c>
      <c r="J32" s="542"/>
      <c r="K32" s="542"/>
      <c r="L32" s="543"/>
      <c r="M32" s="304">
        <f>SUM(M22:M31,M17:M18)</f>
        <v>0</v>
      </c>
      <c r="N32" s="304">
        <f>SUM(N22:N31,N17:N18)</f>
        <v>3695695</v>
      </c>
    </row>
    <row r="33" spans="2:14" ht="13.5" thickTop="1">
      <c r="H33" s="279"/>
      <c r="M33" s="287"/>
      <c r="N33" s="287"/>
    </row>
    <row r="34" spans="2:14" ht="13.5" thickBot="1">
      <c r="B34" s="305" t="s">
        <v>408</v>
      </c>
      <c r="C34" s="305"/>
      <c r="D34" s="544" t="str">
        <f>IF(F32&gt;G32,"Solde Débiteur","Solde Nul")</f>
        <v>Solde Débiteur</v>
      </c>
      <c r="E34" s="544"/>
      <c r="F34" s="306"/>
      <c r="G34" s="291">
        <f>F32-G32</f>
        <v>3695695</v>
      </c>
      <c r="H34" s="279"/>
      <c r="I34" s="305" t="str">
        <f>+B34</f>
        <v xml:space="preserve"> Solde rapporché au 31/05/2021∑(1)-(2)</v>
      </c>
      <c r="J34" s="305"/>
      <c r="K34" s="544" t="str">
        <f>IF(N32&gt;M32,"Solde Créditeur","Solde Nul")</f>
        <v>Solde Créditeur</v>
      </c>
      <c r="L34" s="544"/>
      <c r="M34" s="307">
        <f>N32-M32</f>
        <v>3695695</v>
      </c>
      <c r="N34" s="306"/>
    </row>
    <row r="35" spans="2:14" ht="13.5" thickTop="1">
      <c r="F35" s="287"/>
      <c r="G35" s="287"/>
      <c r="H35" s="279"/>
      <c r="M35" s="287"/>
      <c r="N35" s="287"/>
    </row>
    <row r="36" spans="2:14" ht="15" thickBot="1">
      <c r="B36" s="308" t="s">
        <v>190</v>
      </c>
      <c r="C36" s="308"/>
      <c r="D36" s="308"/>
      <c r="E36" s="308"/>
      <c r="F36" s="309">
        <f>SUM(F32)</f>
        <v>3695695</v>
      </c>
      <c r="G36" s="309">
        <f>G34+G32</f>
        <v>3695695</v>
      </c>
      <c r="H36" s="310"/>
      <c r="I36" s="308" t="s">
        <v>190</v>
      </c>
      <c r="J36" s="308"/>
      <c r="K36" s="308"/>
      <c r="L36" s="308"/>
      <c r="M36" s="309">
        <f>+M32+M34</f>
        <v>3695695</v>
      </c>
      <c r="N36" s="309">
        <f>N34+N32</f>
        <v>3695695</v>
      </c>
    </row>
    <row r="37" spans="2:14" ht="13.5" thickTop="1"/>
    <row r="38" spans="2:14" ht="15" thickBot="1">
      <c r="B38" s="308" t="s">
        <v>191</v>
      </c>
      <c r="C38" s="308"/>
      <c r="D38" s="308"/>
      <c r="E38" s="308"/>
      <c r="F38" s="308"/>
      <c r="G38" s="311">
        <f>G34-M34</f>
        <v>0</v>
      </c>
      <c r="I38" s="312"/>
      <c r="J38" s="312"/>
    </row>
    <row r="39" spans="2:14" ht="13.5" thickTop="1">
      <c r="G39" s="545"/>
      <c r="H39" s="545"/>
      <c r="I39" s="545"/>
      <c r="J39" s="313"/>
      <c r="K39" s="313" t="s">
        <v>409</v>
      </c>
      <c r="L39" s="313"/>
    </row>
    <row r="40" spans="2:14">
      <c r="G40" s="334"/>
      <c r="H40" s="334"/>
      <c r="I40" s="334"/>
      <c r="J40" s="313"/>
      <c r="K40" s="313"/>
      <c r="L40" s="313"/>
    </row>
    <row r="41" spans="2:14" ht="15">
      <c r="B41" s="38" t="s">
        <v>33</v>
      </c>
      <c r="C41" s="40"/>
      <c r="J41" s="38" t="s">
        <v>36</v>
      </c>
      <c r="K41" s="313"/>
    </row>
    <row r="42" spans="2:14" ht="14.25">
      <c r="B42" s="35"/>
      <c r="C42" s="35"/>
      <c r="F42" s="282"/>
      <c r="G42" s="282"/>
      <c r="H42" s="282"/>
      <c r="I42" s="314"/>
      <c r="L42" s="314"/>
      <c r="M42" s="314"/>
      <c r="N42" s="314"/>
    </row>
    <row r="43" spans="2:14" ht="14.25">
      <c r="B43" s="43" t="s">
        <v>192</v>
      </c>
      <c r="C43" s="42"/>
      <c r="D43" s="282"/>
      <c r="E43" s="282"/>
      <c r="F43" s="282"/>
      <c r="G43" s="282"/>
      <c r="H43" s="282"/>
      <c r="I43" s="282"/>
      <c r="J43" s="43" t="s">
        <v>37</v>
      </c>
      <c r="K43" s="314"/>
      <c r="L43" s="282"/>
      <c r="M43" s="282"/>
      <c r="N43" s="282"/>
    </row>
    <row r="44" spans="2:14" ht="15">
      <c r="B44" s="44" t="s">
        <v>35</v>
      </c>
      <c r="C44" s="44"/>
      <c r="D44" s="282"/>
      <c r="E44" s="282"/>
      <c r="F44" s="282"/>
      <c r="G44" s="282"/>
      <c r="H44" s="282"/>
      <c r="I44" s="282"/>
      <c r="J44" s="44" t="s">
        <v>35</v>
      </c>
      <c r="K44" s="282"/>
      <c r="L44" s="282"/>
      <c r="M44" s="282"/>
      <c r="N44" s="282"/>
    </row>
    <row r="45" spans="2:14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</row>
    <row r="46" spans="2:14">
      <c r="B46" s="540"/>
      <c r="C46" s="540"/>
      <c r="D46" s="282"/>
      <c r="E46" s="282"/>
      <c r="F46" s="282"/>
      <c r="G46" s="282"/>
      <c r="H46" s="282"/>
      <c r="I46" s="540"/>
      <c r="J46" s="540"/>
      <c r="K46" s="540"/>
      <c r="L46" s="540"/>
      <c r="M46" s="540"/>
      <c r="N46" s="540"/>
    </row>
  </sheetData>
  <mergeCells count="18">
    <mergeCell ref="B46:C46"/>
    <mergeCell ref="I46:N46"/>
    <mergeCell ref="B32:E32"/>
    <mergeCell ref="I32:L32"/>
    <mergeCell ref="D34:E34"/>
    <mergeCell ref="K34:L34"/>
    <mergeCell ref="G39:I39"/>
    <mergeCell ref="B9:N9"/>
    <mergeCell ref="B15:B16"/>
    <mergeCell ref="C15:C16"/>
    <mergeCell ref="D15:D16"/>
    <mergeCell ref="E15:E16"/>
    <mergeCell ref="F15:G15"/>
    <mergeCell ref="I15:I16"/>
    <mergeCell ref="J15:J16"/>
    <mergeCell ref="K15:K16"/>
    <mergeCell ref="L15:L16"/>
    <mergeCell ref="M15:N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8"/>
  <sheetViews>
    <sheetView topLeftCell="C12" workbookViewId="0">
      <selection activeCell="D24" sqref="D24"/>
    </sheetView>
  </sheetViews>
  <sheetFormatPr baseColWidth="10" defaultColWidth="11.42578125" defaultRowHeight="15"/>
  <cols>
    <col min="1" max="1" width="8.7109375" customWidth="1"/>
    <col min="2" max="2" width="3.140625" customWidth="1"/>
    <col min="3" max="3" width="10.140625" customWidth="1"/>
    <col min="4" max="4" width="50.85546875" customWidth="1"/>
    <col min="5" max="5" width="11.7109375" customWidth="1"/>
    <col min="6" max="6" width="11.28515625" customWidth="1"/>
    <col min="7" max="7" width="1.28515625" customWidth="1"/>
    <col min="8" max="8" width="12.5703125" customWidth="1"/>
    <col min="9" max="9" width="14" style="1" customWidth="1"/>
    <col min="10" max="10" width="13.140625" customWidth="1"/>
    <col min="12" max="12" width="13.85546875" style="315" bestFit="1" customWidth="1"/>
    <col min="13" max="13" width="12.7109375" style="315" bestFit="1" customWidth="1"/>
    <col min="14" max="37" width="11.42578125" style="315"/>
  </cols>
  <sheetData>
    <row r="1" spans="1:13">
      <c r="A1" s="33"/>
      <c r="B1" s="33"/>
      <c r="C1" s="33"/>
      <c r="D1" s="33"/>
      <c r="E1" s="33"/>
      <c r="F1" s="33"/>
      <c r="G1" s="33"/>
      <c r="H1" s="33"/>
    </row>
    <row r="2" spans="1:13">
      <c r="A2" s="33"/>
      <c r="B2" s="33"/>
      <c r="C2" s="33"/>
      <c r="D2" s="33"/>
      <c r="E2" s="33"/>
      <c r="F2" s="33"/>
      <c r="G2" s="33"/>
      <c r="H2" s="33"/>
    </row>
    <row r="3" spans="1:13">
      <c r="A3" s="33"/>
      <c r="B3" s="33"/>
      <c r="C3" s="33"/>
      <c r="D3" s="33"/>
      <c r="E3" s="33"/>
      <c r="F3" s="33"/>
      <c r="G3" s="33"/>
      <c r="H3" s="33"/>
    </row>
    <row r="4" spans="1:13">
      <c r="A4" s="34"/>
      <c r="B4" s="35"/>
      <c r="C4" s="35"/>
      <c r="D4" s="35"/>
      <c r="E4" s="35"/>
      <c r="F4" s="35"/>
      <c r="G4" s="35"/>
      <c r="H4" s="35"/>
    </row>
    <row r="5" spans="1:13">
      <c r="A5" s="36" t="s">
        <v>30</v>
      </c>
      <c r="B5" s="35"/>
      <c r="C5" s="35"/>
      <c r="D5" s="35"/>
      <c r="E5" s="35"/>
      <c r="F5" s="35"/>
      <c r="G5" s="35"/>
      <c r="H5" s="35"/>
    </row>
    <row r="6" spans="1:13">
      <c r="A6" s="37" t="s">
        <v>31</v>
      </c>
      <c r="B6" s="38" t="s">
        <v>32</v>
      </c>
      <c r="C6" s="38"/>
      <c r="D6" s="39"/>
      <c r="E6" s="38"/>
      <c r="F6" s="38"/>
      <c r="G6" s="38"/>
      <c r="H6" s="35"/>
    </row>
    <row r="7" spans="1:13">
      <c r="A7" s="38"/>
      <c r="B7" s="38"/>
      <c r="C7" s="38"/>
      <c r="D7" s="38"/>
      <c r="E7" s="38"/>
      <c r="F7" s="38"/>
      <c r="G7" s="38"/>
      <c r="H7" s="35"/>
    </row>
    <row r="8" spans="1:13">
      <c r="A8" s="2" t="s">
        <v>0</v>
      </c>
      <c r="B8" s="3"/>
      <c r="C8" s="3"/>
      <c r="D8" s="3"/>
      <c r="E8" s="3"/>
      <c r="F8" s="3"/>
      <c r="G8" s="3"/>
      <c r="H8" s="3"/>
      <c r="I8" s="4"/>
      <c r="J8" s="3"/>
      <c r="K8" s="3"/>
    </row>
    <row r="9" spans="1:13">
      <c r="A9" s="5"/>
      <c r="B9" s="6" t="s">
        <v>1</v>
      </c>
      <c r="C9" s="6"/>
      <c r="D9" s="7"/>
      <c r="E9" s="7"/>
      <c r="F9" s="7"/>
      <c r="G9" s="7"/>
      <c r="H9" s="8"/>
      <c r="I9" s="9"/>
      <c r="J9" s="7"/>
      <c r="K9" s="7"/>
    </row>
    <row r="10" spans="1:13" ht="15.75">
      <c r="A10" s="5"/>
      <c r="B10" s="270" t="s">
        <v>2</v>
      </c>
      <c r="C10" s="270"/>
      <c r="D10" s="316"/>
      <c r="E10" s="7"/>
      <c r="F10" s="7"/>
      <c r="G10" s="7"/>
      <c r="H10" s="8"/>
      <c r="I10" s="9"/>
      <c r="J10" s="7"/>
      <c r="K10" s="7"/>
    </row>
    <row r="11" spans="1:13">
      <c r="A11" s="5"/>
      <c r="B11" s="6" t="s">
        <v>3</v>
      </c>
      <c r="C11" s="6"/>
      <c r="D11" s="7"/>
      <c r="E11" s="7"/>
      <c r="F11" s="7"/>
      <c r="G11" s="7"/>
      <c r="H11" s="8"/>
      <c r="I11" s="9"/>
      <c r="J11" s="7"/>
      <c r="K11" s="7"/>
    </row>
    <row r="12" spans="1:13">
      <c r="A12" s="5"/>
      <c r="B12" s="7"/>
      <c r="C12" s="10"/>
      <c r="D12" s="13" t="s">
        <v>376</v>
      </c>
      <c r="E12" s="13"/>
      <c r="F12" s="13"/>
      <c r="G12" s="13"/>
      <c r="H12" s="7"/>
      <c r="I12" s="14"/>
      <c r="J12" s="12"/>
      <c r="K12" s="7"/>
    </row>
    <row r="13" spans="1:13">
      <c r="A13" s="3"/>
      <c r="B13" s="3"/>
      <c r="C13" s="3"/>
      <c r="D13" s="3"/>
      <c r="E13" s="3"/>
      <c r="F13" s="3"/>
      <c r="G13" s="3"/>
      <c r="H13" s="3"/>
      <c r="I13" s="4"/>
      <c r="J13" s="3"/>
      <c r="K13" s="3"/>
    </row>
    <row r="14" spans="1:13" ht="29.25" customHeight="1">
      <c r="A14" s="15" t="s">
        <v>4</v>
      </c>
      <c r="B14" s="16" t="s">
        <v>5</v>
      </c>
      <c r="C14" s="17" t="s">
        <v>6</v>
      </c>
      <c r="D14" s="18" t="s">
        <v>7</v>
      </c>
      <c r="E14" s="18" t="s">
        <v>8</v>
      </c>
      <c r="F14" s="18" t="s">
        <v>9</v>
      </c>
      <c r="G14" s="19" t="s">
        <v>10</v>
      </c>
      <c r="H14" s="18" t="s">
        <v>11</v>
      </c>
      <c r="I14" s="20" t="s">
        <v>12</v>
      </c>
      <c r="J14" s="21" t="s">
        <v>13</v>
      </c>
      <c r="K14" s="22" t="s">
        <v>14</v>
      </c>
    </row>
    <row r="15" spans="1:13" ht="17.25" customHeight="1">
      <c r="A15" s="391">
        <v>44287</v>
      </c>
      <c r="B15" s="392"/>
      <c r="C15" s="393"/>
      <c r="D15" s="392" t="s">
        <v>381</v>
      </c>
      <c r="E15" s="392"/>
      <c r="F15" s="392"/>
      <c r="G15" s="392"/>
      <c r="H15" s="223">
        <f>+'[2]Sous-Compte 56 BCI'!$H$37</f>
        <v>22972068</v>
      </c>
      <c r="I15" s="394"/>
      <c r="J15" s="395">
        <f>+H15</f>
        <v>22972068</v>
      </c>
      <c r="K15" s="396"/>
      <c r="L15" s="24"/>
      <c r="M15" s="497"/>
    </row>
    <row r="16" spans="1:13" ht="17.25" customHeight="1">
      <c r="A16" s="446">
        <v>44326</v>
      </c>
      <c r="B16" s="397"/>
      <c r="C16" s="495" t="s">
        <v>130</v>
      </c>
      <c r="D16" s="481" t="s">
        <v>255</v>
      </c>
      <c r="E16" s="386" t="s">
        <v>17</v>
      </c>
      <c r="F16" s="349" t="s">
        <v>21</v>
      </c>
      <c r="G16" s="392"/>
      <c r="H16" s="394"/>
      <c r="I16" s="429">
        <v>500000</v>
      </c>
      <c r="J16" s="395">
        <f>+J15+H16-I16</f>
        <v>22472068</v>
      </c>
      <c r="K16" s="401"/>
      <c r="L16" s="24"/>
      <c r="M16" s="24"/>
    </row>
    <row r="17" spans="1:13" ht="17.25" customHeight="1">
      <c r="A17" s="446">
        <v>44334</v>
      </c>
      <c r="B17" s="397"/>
      <c r="C17" s="495">
        <v>3643457</v>
      </c>
      <c r="D17" s="481" t="s">
        <v>242</v>
      </c>
      <c r="E17" s="349" t="s">
        <v>117</v>
      </c>
      <c r="F17" s="491"/>
      <c r="G17" s="392"/>
      <c r="H17" s="394"/>
      <c r="I17" s="429">
        <v>1000000</v>
      </c>
      <c r="J17" s="395">
        <f>+J16+H17-I17</f>
        <v>21472068</v>
      </c>
      <c r="K17" s="396"/>
      <c r="L17" s="24"/>
      <c r="M17" s="24"/>
    </row>
    <row r="18" spans="1:13" ht="17.25" customHeight="1">
      <c r="A18" s="446">
        <v>44337</v>
      </c>
      <c r="B18" s="397"/>
      <c r="C18" s="495">
        <v>3643458</v>
      </c>
      <c r="D18" s="481" t="s">
        <v>243</v>
      </c>
      <c r="E18" s="349" t="s">
        <v>117</v>
      </c>
      <c r="F18" s="491"/>
      <c r="G18" s="392"/>
      <c r="H18" s="394"/>
      <c r="I18" s="429">
        <v>1000000</v>
      </c>
      <c r="J18" s="395">
        <f t="shared" ref="J18:J34" si="0">+J17+H18-I18</f>
        <v>20472068</v>
      </c>
      <c r="K18" s="396"/>
      <c r="L18" s="24"/>
      <c r="M18" s="24"/>
    </row>
    <row r="19" spans="1:13" ht="17.25" customHeight="1">
      <c r="A19" s="446">
        <v>44340</v>
      </c>
      <c r="B19" s="397"/>
      <c r="C19" s="495">
        <v>3643459</v>
      </c>
      <c r="D19" s="496" t="s">
        <v>244</v>
      </c>
      <c r="E19" s="419" t="s">
        <v>15</v>
      </c>
      <c r="F19" s="408" t="s">
        <v>118</v>
      </c>
      <c r="G19" s="392"/>
      <c r="H19" s="394"/>
      <c r="I19" s="429">
        <v>193600</v>
      </c>
      <c r="J19" s="395">
        <f t="shared" si="0"/>
        <v>20278468</v>
      </c>
      <c r="K19" s="396"/>
      <c r="L19" s="24"/>
      <c r="M19" s="24"/>
    </row>
    <row r="20" spans="1:13" ht="17.25" customHeight="1">
      <c r="A20" s="446">
        <v>44340</v>
      </c>
      <c r="B20" s="397"/>
      <c r="C20" s="495">
        <v>3643460</v>
      </c>
      <c r="D20" s="496" t="s">
        <v>245</v>
      </c>
      <c r="E20" s="419" t="s">
        <v>15</v>
      </c>
      <c r="F20" s="408" t="s">
        <v>118</v>
      </c>
      <c r="G20" s="397"/>
      <c r="H20" s="399"/>
      <c r="I20" s="429">
        <v>193600</v>
      </c>
      <c r="J20" s="395">
        <f t="shared" si="0"/>
        <v>20084868</v>
      </c>
      <c r="K20" s="396"/>
      <c r="L20" s="24"/>
      <c r="M20" s="24"/>
    </row>
    <row r="21" spans="1:13" ht="17.25" customHeight="1">
      <c r="A21" s="446">
        <v>44340</v>
      </c>
      <c r="B21" s="397"/>
      <c r="C21" s="495">
        <v>3643461</v>
      </c>
      <c r="D21" s="481" t="s">
        <v>246</v>
      </c>
      <c r="E21" s="386" t="s">
        <v>15</v>
      </c>
      <c r="F21" s="385" t="s">
        <v>19</v>
      </c>
      <c r="G21" s="397"/>
      <c r="H21" s="399"/>
      <c r="I21" s="429">
        <v>275000</v>
      </c>
      <c r="J21" s="395">
        <f t="shared" si="0"/>
        <v>19809868</v>
      </c>
      <c r="K21" s="396"/>
      <c r="L21" s="24"/>
      <c r="M21" s="24"/>
    </row>
    <row r="22" spans="1:13" ht="17.25" customHeight="1">
      <c r="A22" s="446">
        <v>44340</v>
      </c>
      <c r="B22" s="397"/>
      <c r="C22" s="495">
        <v>3643462</v>
      </c>
      <c r="D22" s="481" t="s">
        <v>247</v>
      </c>
      <c r="E22" s="386" t="s">
        <v>15</v>
      </c>
      <c r="F22" s="386" t="s">
        <v>29</v>
      </c>
      <c r="G22" s="397"/>
      <c r="H22" s="399"/>
      <c r="I22" s="429">
        <v>191000</v>
      </c>
      <c r="J22" s="395">
        <f t="shared" si="0"/>
        <v>19618868</v>
      </c>
      <c r="K22" s="396"/>
      <c r="L22" s="24"/>
      <c r="M22" s="24"/>
    </row>
    <row r="23" spans="1:13" ht="17.25" customHeight="1">
      <c r="A23" s="446">
        <v>44340</v>
      </c>
      <c r="B23" s="397"/>
      <c r="C23" s="495">
        <v>3643463</v>
      </c>
      <c r="D23" s="481" t="s">
        <v>248</v>
      </c>
      <c r="E23" s="420" t="s">
        <v>15</v>
      </c>
      <c r="F23" s="408" t="s">
        <v>118</v>
      </c>
      <c r="G23" s="397"/>
      <c r="H23" s="399"/>
      <c r="I23" s="429">
        <v>356500</v>
      </c>
      <c r="J23" s="395">
        <f t="shared" si="0"/>
        <v>19262368</v>
      </c>
      <c r="K23" s="396"/>
      <c r="L23" s="24"/>
      <c r="M23" s="24"/>
    </row>
    <row r="24" spans="1:13" ht="17.25" customHeight="1">
      <c r="A24" s="446">
        <v>44340</v>
      </c>
      <c r="B24" s="397"/>
      <c r="C24" s="495">
        <v>3643464</v>
      </c>
      <c r="D24" s="481" t="s">
        <v>249</v>
      </c>
      <c r="E24" s="386" t="s">
        <v>15</v>
      </c>
      <c r="F24" s="386" t="s">
        <v>29</v>
      </c>
      <c r="G24" s="397"/>
      <c r="H24" s="399"/>
      <c r="I24" s="429">
        <v>400000</v>
      </c>
      <c r="J24" s="395">
        <f t="shared" si="0"/>
        <v>18862368</v>
      </c>
      <c r="K24" s="396"/>
      <c r="L24" s="24"/>
      <c r="M24" s="24"/>
    </row>
    <row r="25" spans="1:13" ht="17.25" customHeight="1">
      <c r="A25" s="446">
        <v>44340</v>
      </c>
      <c r="B25" s="397"/>
      <c r="C25" s="495">
        <v>3643465</v>
      </c>
      <c r="D25" s="481" t="s">
        <v>256</v>
      </c>
      <c r="E25" s="386" t="s">
        <v>15</v>
      </c>
      <c r="F25" s="385" t="s">
        <v>19</v>
      </c>
      <c r="G25" s="397"/>
      <c r="H25" s="399"/>
      <c r="I25" s="429">
        <v>400000</v>
      </c>
      <c r="J25" s="395">
        <f t="shared" si="0"/>
        <v>18462368</v>
      </c>
      <c r="K25" s="396"/>
      <c r="L25" s="24"/>
      <c r="M25" s="24"/>
    </row>
    <row r="26" spans="1:13" ht="17.25" customHeight="1">
      <c r="A26" s="446">
        <v>44340</v>
      </c>
      <c r="B26" s="397"/>
      <c r="C26" s="495">
        <v>3643466</v>
      </c>
      <c r="D26" s="481" t="s">
        <v>250</v>
      </c>
      <c r="E26" s="386" t="s">
        <v>15</v>
      </c>
      <c r="F26" s="408" t="s">
        <v>118</v>
      </c>
      <c r="G26" s="397"/>
      <c r="H26" s="399"/>
      <c r="I26" s="438">
        <v>308000</v>
      </c>
      <c r="J26" s="395">
        <f t="shared" si="0"/>
        <v>18154368</v>
      </c>
      <c r="K26" s="396"/>
      <c r="L26" s="24"/>
      <c r="M26" s="24"/>
    </row>
    <row r="27" spans="1:13" ht="17.25" customHeight="1">
      <c r="A27" s="446">
        <v>44340</v>
      </c>
      <c r="B27" s="397"/>
      <c r="C27" s="495">
        <v>3643467</v>
      </c>
      <c r="D27" s="481" t="s">
        <v>251</v>
      </c>
      <c r="E27" s="386" t="s">
        <v>15</v>
      </c>
      <c r="F27" s="386" t="s">
        <v>59</v>
      </c>
      <c r="G27" s="397"/>
      <c r="H27" s="399"/>
      <c r="I27" s="429">
        <v>230000</v>
      </c>
      <c r="J27" s="395">
        <f t="shared" si="0"/>
        <v>17924368</v>
      </c>
      <c r="K27" s="396"/>
      <c r="L27" s="24"/>
      <c r="M27" s="24"/>
    </row>
    <row r="28" spans="1:13" ht="17.25" customHeight="1">
      <c r="A28" s="446">
        <v>44342</v>
      </c>
      <c r="B28" s="397"/>
      <c r="C28" s="495">
        <v>3643470</v>
      </c>
      <c r="D28" s="481" t="s">
        <v>252</v>
      </c>
      <c r="E28" s="349" t="s">
        <v>117</v>
      </c>
      <c r="F28" s="491"/>
      <c r="G28" s="397"/>
      <c r="H28" s="399"/>
      <c r="I28" s="429">
        <v>167000</v>
      </c>
      <c r="J28" s="395">
        <f t="shared" si="0"/>
        <v>17757368</v>
      </c>
      <c r="K28" s="396"/>
      <c r="L28" s="24"/>
      <c r="M28" s="24"/>
    </row>
    <row r="29" spans="1:13" ht="17.25" customHeight="1">
      <c r="A29" s="446">
        <v>44342</v>
      </c>
      <c r="B29" s="397"/>
      <c r="C29" s="495">
        <v>3643472</v>
      </c>
      <c r="D29" s="481" t="s">
        <v>254</v>
      </c>
      <c r="E29" s="349" t="s">
        <v>117</v>
      </c>
      <c r="F29" s="491"/>
      <c r="G29" s="397"/>
      <c r="H29" s="399"/>
      <c r="I29" s="429">
        <v>143000</v>
      </c>
      <c r="J29" s="395">
        <f t="shared" si="0"/>
        <v>17614368</v>
      </c>
      <c r="K29" s="396"/>
      <c r="L29" s="24"/>
      <c r="M29" s="24"/>
    </row>
    <row r="30" spans="1:13" ht="17.25" customHeight="1">
      <c r="A30" s="446">
        <v>44343</v>
      </c>
      <c r="B30" s="397"/>
      <c r="C30" s="495">
        <v>3643468</v>
      </c>
      <c r="D30" s="481" t="s">
        <v>253</v>
      </c>
      <c r="E30" s="349" t="s">
        <v>117</v>
      </c>
      <c r="F30" s="491"/>
      <c r="G30" s="397"/>
      <c r="H30" s="399"/>
      <c r="I30" s="429">
        <v>1000000</v>
      </c>
      <c r="J30" s="395">
        <f t="shared" si="0"/>
        <v>16614368</v>
      </c>
      <c r="K30" s="396"/>
      <c r="L30" s="24"/>
      <c r="M30" s="24"/>
    </row>
    <row r="31" spans="1:13" ht="17.25" customHeight="1">
      <c r="A31" s="446">
        <v>44347</v>
      </c>
      <c r="B31" s="397"/>
      <c r="C31" s="495">
        <v>3643473</v>
      </c>
      <c r="D31" s="481" t="s">
        <v>387</v>
      </c>
      <c r="E31" s="349" t="s">
        <v>117</v>
      </c>
      <c r="F31" s="264"/>
      <c r="G31" s="397"/>
      <c r="H31" s="399"/>
      <c r="I31" s="429">
        <v>1000000</v>
      </c>
      <c r="J31" s="395">
        <f t="shared" si="0"/>
        <v>15614368</v>
      </c>
      <c r="K31" s="396"/>
      <c r="L31" s="24"/>
      <c r="M31" s="24"/>
    </row>
    <row r="32" spans="1:13" ht="17.25" customHeight="1">
      <c r="A32" s="446">
        <v>44319</v>
      </c>
      <c r="B32" s="392"/>
      <c r="C32" s="400" t="s">
        <v>394</v>
      </c>
      <c r="D32" s="398" t="s">
        <v>410</v>
      </c>
      <c r="E32" s="349" t="s">
        <v>396</v>
      </c>
      <c r="F32" s="349" t="s">
        <v>21</v>
      </c>
      <c r="G32" s="401"/>
      <c r="H32" s="401"/>
      <c r="I32" s="429">
        <v>2811</v>
      </c>
      <c r="J32" s="395">
        <f t="shared" si="0"/>
        <v>15611557</v>
      </c>
      <c r="K32" s="396"/>
      <c r="L32" s="24"/>
      <c r="M32" s="24"/>
    </row>
    <row r="33" spans="1:13" ht="17.25" customHeight="1">
      <c r="A33" s="446">
        <v>44326</v>
      </c>
      <c r="B33" s="392"/>
      <c r="C33" s="400" t="s">
        <v>394</v>
      </c>
      <c r="D33" s="398" t="s">
        <v>397</v>
      </c>
      <c r="E33" s="349" t="s">
        <v>396</v>
      </c>
      <c r="F33" s="349" t="s">
        <v>21</v>
      </c>
      <c r="G33" s="392"/>
      <c r="H33" s="394"/>
      <c r="I33" s="429">
        <v>5000</v>
      </c>
      <c r="J33" s="395">
        <f t="shared" si="0"/>
        <v>15606557</v>
      </c>
      <c r="K33" s="396"/>
      <c r="L33" s="24"/>
      <c r="M33" s="24"/>
    </row>
    <row r="34" spans="1:13" ht="17.25" customHeight="1">
      <c r="A34" s="391"/>
      <c r="B34" s="392"/>
      <c r="C34" s="400"/>
      <c r="D34" s="398"/>
      <c r="E34" s="264"/>
      <c r="F34" s="264"/>
      <c r="G34" s="392"/>
      <c r="H34" s="394"/>
      <c r="I34" s="223"/>
      <c r="J34" s="395">
        <f t="shared" si="0"/>
        <v>15606557</v>
      </c>
      <c r="K34" s="396"/>
      <c r="L34" s="24"/>
      <c r="M34" s="24"/>
    </row>
    <row r="35" spans="1:13">
      <c r="A35" s="368"/>
      <c r="B35" s="368"/>
      <c r="C35" s="402" t="s">
        <v>164</v>
      </c>
      <c r="D35" s="403"/>
      <c r="E35" s="402"/>
      <c r="F35" s="402"/>
      <c r="G35" s="402"/>
      <c r="H35" s="404">
        <f>SUM(H15:H34)</f>
        <v>22972068</v>
      </c>
      <c r="I35" s="370"/>
      <c r="J35" s="405"/>
      <c r="K35" s="369"/>
    </row>
    <row r="36" spans="1:13">
      <c r="A36" s="3"/>
      <c r="B36" s="3"/>
      <c r="C36" s="317" t="s">
        <v>22</v>
      </c>
      <c r="D36" s="318"/>
      <c r="E36" s="319"/>
      <c r="F36" s="319"/>
      <c r="G36" s="319"/>
      <c r="H36" s="319"/>
      <c r="I36" s="32">
        <f>SUM(I16:I35)</f>
        <v>7365511</v>
      </c>
      <c r="J36" s="3"/>
      <c r="K36" s="3"/>
    </row>
    <row r="37" spans="1:13" ht="23.25" customHeight="1">
      <c r="A37" s="3"/>
      <c r="B37" s="3"/>
      <c r="C37" s="320" t="s">
        <v>23</v>
      </c>
      <c r="D37" s="321"/>
      <c r="E37" s="320"/>
      <c r="F37" s="320"/>
      <c r="G37" s="320"/>
      <c r="H37" s="322">
        <f>+H35-I36</f>
        <v>15606557</v>
      </c>
      <c r="I37" s="4"/>
      <c r="J37" s="3"/>
      <c r="K37" s="3"/>
      <c r="L37" s="24"/>
    </row>
    <row r="38" spans="1:13" ht="16.5">
      <c r="D38" s="323"/>
      <c r="E38" s="323"/>
      <c r="F38" s="323"/>
      <c r="J38" s="24"/>
    </row>
    <row r="39" spans="1:13" ht="16.5">
      <c r="D39" s="323"/>
      <c r="E39" s="323"/>
      <c r="F39" s="323"/>
      <c r="J39" s="24"/>
    </row>
    <row r="40" spans="1:13">
      <c r="J40" s="24"/>
    </row>
    <row r="41" spans="1:13">
      <c r="J41" s="24"/>
    </row>
    <row r="42" spans="1:13">
      <c r="J42" s="24"/>
    </row>
    <row r="43" spans="1:13">
      <c r="J43" s="24"/>
    </row>
    <row r="44" spans="1:13">
      <c r="J44" s="24"/>
    </row>
    <row r="45" spans="1:13">
      <c r="J45" s="24"/>
    </row>
    <row r="46" spans="1:13">
      <c r="J46" s="24"/>
    </row>
    <row r="47" spans="1:13">
      <c r="J47" s="24"/>
    </row>
    <row r="48" spans="1:13">
      <c r="J48" s="29"/>
    </row>
  </sheetData>
  <dataValidations count="3">
    <dataValidation type="list" allowBlank="1" showInputMessage="1" showErrorMessage="1" sqref="E25:E27 E21">
      <formula1>$N$21:$N$568</formula1>
    </dataValidation>
    <dataValidation type="list" allowBlank="1" showInputMessage="1" showErrorMessage="1" sqref="E23">
      <formula1>$N$21:$N$708</formula1>
    </dataValidation>
    <dataValidation type="list" allowBlank="1" showInputMessage="1" showErrorMessage="1" sqref="E16 E24 E22">
      <formula1>$N$3773:$N$3793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6"/>
  <sheetViews>
    <sheetView topLeftCell="A20" workbookViewId="0">
      <selection activeCell="K45" sqref="K45"/>
    </sheetView>
  </sheetViews>
  <sheetFormatPr baseColWidth="10" defaultColWidth="11.42578125" defaultRowHeight="12.75"/>
  <cols>
    <col min="1" max="1" width="3" style="272" customWidth="1"/>
    <col min="2" max="2" width="11.42578125" style="272"/>
    <col min="3" max="3" width="22.7109375" style="272" customWidth="1"/>
    <col min="4" max="7" width="11.42578125" style="272"/>
    <col min="8" max="8" width="1.5703125" style="272" customWidth="1"/>
    <col min="9" max="9" width="9" style="272" customWidth="1"/>
    <col min="10" max="10" width="51" style="272" customWidth="1"/>
    <col min="11" max="11" width="13" style="272" customWidth="1"/>
    <col min="12" max="12" width="12.140625" style="272" customWidth="1"/>
    <col min="13" max="16384" width="11.42578125" style="272"/>
  </cols>
  <sheetData>
    <row r="1" spans="1:14" ht="15">
      <c r="A1" s="271"/>
      <c r="B1" s="33"/>
      <c r="C1" s="33"/>
      <c r="D1" s="33"/>
      <c r="E1" s="33"/>
      <c r="F1" s="33"/>
      <c r="G1" s="33"/>
      <c r="H1" s="33"/>
      <c r="I1" s="33"/>
      <c r="J1" s="1"/>
      <c r="K1"/>
    </row>
    <row r="2" spans="1:14" ht="15">
      <c r="A2" s="271"/>
      <c r="B2" s="33"/>
      <c r="C2" s="33"/>
      <c r="D2" s="33"/>
      <c r="E2" s="33"/>
      <c r="F2" s="33"/>
      <c r="G2" s="33"/>
      <c r="H2" s="33"/>
      <c r="I2" s="33"/>
      <c r="J2" s="1"/>
      <c r="K2"/>
    </row>
    <row r="3" spans="1:14" ht="15">
      <c r="A3" s="271"/>
      <c r="B3" s="33"/>
      <c r="C3" s="33"/>
      <c r="D3" s="33"/>
      <c r="E3" s="33"/>
      <c r="F3" s="33"/>
      <c r="G3" s="33"/>
      <c r="H3" s="33"/>
      <c r="I3" s="33"/>
      <c r="J3" s="1"/>
      <c r="K3"/>
    </row>
    <row r="4" spans="1:14" ht="15">
      <c r="A4" s="271"/>
      <c r="B4" s="34"/>
      <c r="C4" s="35"/>
      <c r="D4" s="35"/>
      <c r="E4" s="35"/>
      <c r="F4" s="35"/>
      <c r="G4" s="35"/>
      <c r="H4" s="35"/>
      <c r="I4" s="35"/>
      <c r="J4" s="1"/>
      <c r="K4"/>
    </row>
    <row r="5" spans="1:14" ht="15">
      <c r="A5" s="271"/>
      <c r="B5" s="36" t="s">
        <v>30</v>
      </c>
      <c r="C5" s="35"/>
      <c r="D5" s="35"/>
      <c r="E5" s="35"/>
      <c r="F5" s="35"/>
      <c r="G5" s="35"/>
      <c r="H5" s="35"/>
      <c r="I5" s="35"/>
      <c r="J5" s="1"/>
      <c r="K5"/>
    </row>
    <row r="6" spans="1:14" ht="15">
      <c r="A6" s="271"/>
      <c r="B6" s="37" t="s">
        <v>31</v>
      </c>
      <c r="C6" s="38" t="s">
        <v>32</v>
      </c>
      <c r="D6" s="38"/>
      <c r="E6" s="39"/>
      <c r="F6" s="38"/>
      <c r="G6" s="38"/>
      <c r="H6" s="38"/>
      <c r="I6" s="35"/>
      <c r="J6" s="1"/>
      <c r="K6"/>
    </row>
    <row r="7" spans="1:14" ht="15">
      <c r="A7" s="271"/>
      <c r="B7" s="38"/>
      <c r="C7" s="38"/>
      <c r="D7" s="38"/>
      <c r="E7" s="38"/>
      <c r="F7" s="38"/>
      <c r="G7" s="38"/>
      <c r="H7" s="38"/>
      <c r="I7" s="35"/>
      <c r="J7" s="1"/>
      <c r="K7"/>
    </row>
    <row r="8" spans="1:14">
      <c r="A8" s="271"/>
      <c r="B8" s="273"/>
      <c r="C8" s="274"/>
      <c r="D8" s="275"/>
      <c r="E8" s="276"/>
      <c r="F8" s="276"/>
      <c r="G8" s="271"/>
      <c r="H8" s="277"/>
      <c r="I8" s="278"/>
      <c r="J8" s="273"/>
    </row>
    <row r="9" spans="1:14" ht="23.25" thickBot="1">
      <c r="A9" s="271"/>
      <c r="B9" s="537" t="s">
        <v>169</v>
      </c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</row>
    <row r="10" spans="1:14" ht="13.5" thickTop="1">
      <c r="H10" s="279"/>
    </row>
    <row r="11" spans="1:14">
      <c r="B11" s="273" t="s">
        <v>170</v>
      </c>
      <c r="C11" s="280" t="s">
        <v>407</v>
      </c>
      <c r="D11" s="281"/>
      <c r="E11" s="282"/>
      <c r="F11" s="282"/>
      <c r="H11" s="279"/>
      <c r="I11" s="273" t="s">
        <v>170</v>
      </c>
      <c r="J11" s="280" t="str">
        <f>C11</f>
        <v>DU 01 AU 31 Mai  2021</v>
      </c>
      <c r="K11" s="282"/>
      <c r="L11" s="282"/>
      <c r="M11" s="282"/>
    </row>
    <row r="12" spans="1:14">
      <c r="B12" s="273" t="s">
        <v>171</v>
      </c>
      <c r="C12" s="282" t="s">
        <v>172</v>
      </c>
      <c r="D12" s="282"/>
      <c r="E12" s="283"/>
      <c r="F12" s="283"/>
      <c r="G12" s="271"/>
      <c r="H12" s="279"/>
      <c r="I12" s="273" t="s">
        <v>171</v>
      </c>
      <c r="J12" s="282" t="s">
        <v>173</v>
      </c>
      <c r="K12" s="282"/>
      <c r="L12" s="282"/>
      <c r="M12" s="282"/>
    </row>
    <row r="13" spans="1:14" ht="15.75">
      <c r="B13" s="273" t="s">
        <v>174</v>
      </c>
      <c r="C13" s="284" t="s">
        <v>193</v>
      </c>
      <c r="D13" s="285"/>
      <c r="E13" s="283"/>
      <c r="F13" s="283"/>
      <c r="G13" s="271"/>
      <c r="H13" s="279"/>
      <c r="I13" s="273" t="s">
        <v>174</v>
      </c>
      <c r="J13" s="284" t="str">
        <f>+C13</f>
        <v>01100-37107255251-56</v>
      </c>
      <c r="K13" s="284"/>
      <c r="L13" s="282"/>
      <c r="M13" s="282"/>
    </row>
    <row r="14" spans="1:14">
      <c r="H14" s="279"/>
    </row>
    <row r="15" spans="1:14">
      <c r="B15" s="538" t="s">
        <v>4</v>
      </c>
      <c r="C15" s="538" t="s">
        <v>176</v>
      </c>
      <c r="D15" s="538" t="s">
        <v>177</v>
      </c>
      <c r="E15" s="538" t="s">
        <v>178</v>
      </c>
      <c r="F15" s="539" t="s">
        <v>179</v>
      </c>
      <c r="G15" s="539"/>
      <c r="H15" s="279"/>
      <c r="I15" s="538" t="s">
        <v>4</v>
      </c>
      <c r="J15" s="538" t="s">
        <v>176</v>
      </c>
      <c r="K15" s="538" t="s">
        <v>177</v>
      </c>
      <c r="L15" s="538" t="s">
        <v>178</v>
      </c>
      <c r="M15" s="539" t="s">
        <v>179</v>
      </c>
      <c r="N15" s="539"/>
    </row>
    <row r="16" spans="1:14">
      <c r="B16" s="538"/>
      <c r="C16" s="538"/>
      <c r="D16" s="538"/>
      <c r="E16" s="538"/>
      <c r="F16" s="333" t="s">
        <v>180</v>
      </c>
      <c r="G16" s="333" t="s">
        <v>181</v>
      </c>
      <c r="H16" s="279"/>
      <c r="I16" s="538"/>
      <c r="J16" s="538"/>
      <c r="K16" s="538"/>
      <c r="L16" s="538"/>
      <c r="M16" s="333" t="s">
        <v>180</v>
      </c>
      <c r="N16" s="333" t="s">
        <v>181</v>
      </c>
    </row>
    <row r="17" spans="2:15">
      <c r="B17" s="286" t="s">
        <v>182</v>
      </c>
      <c r="F17" s="287"/>
      <c r="G17" s="287"/>
      <c r="H17" s="279"/>
      <c r="I17" s="286" t="s">
        <v>183</v>
      </c>
      <c r="N17" s="287"/>
    </row>
    <row r="18" spans="2:15" ht="13.5" thickBot="1">
      <c r="B18" s="288">
        <v>44347</v>
      </c>
      <c r="C18" s="289" t="s">
        <v>184</v>
      </c>
      <c r="D18" s="289"/>
      <c r="E18" s="289"/>
      <c r="F18" s="290">
        <f>+'Sous-Compte 56 BCI'!H37</f>
        <v>15606557</v>
      </c>
      <c r="G18" s="289"/>
      <c r="H18" s="279"/>
      <c r="I18" s="288">
        <f>+B18</f>
        <v>44347</v>
      </c>
      <c r="J18" s="289" t="s">
        <v>185</v>
      </c>
      <c r="K18" s="289"/>
      <c r="L18" s="289"/>
      <c r="M18" s="291"/>
      <c r="N18" s="290">
        <v>16694657</v>
      </c>
      <c r="O18" s="287"/>
    </row>
    <row r="19" spans="2:15" ht="13.5" thickTop="1">
      <c r="F19" s="287"/>
      <c r="H19" s="279"/>
    </row>
    <row r="20" spans="2:15">
      <c r="B20" s="286" t="s">
        <v>186</v>
      </c>
      <c r="F20" s="287"/>
      <c r="H20" s="279"/>
      <c r="I20" s="292" t="s">
        <v>187</v>
      </c>
      <c r="J20" s="293"/>
      <c r="K20" s="293"/>
      <c r="L20" s="293"/>
      <c r="M20" s="293"/>
      <c r="N20" s="293"/>
    </row>
    <row r="21" spans="2:15">
      <c r="F21" s="287"/>
      <c r="H21" s="279"/>
    </row>
    <row r="22" spans="2:15" ht="13.5">
      <c r="B22" s="294"/>
      <c r="C22" s="295"/>
      <c r="D22" s="295"/>
      <c r="E22" s="295"/>
      <c r="F22" s="296"/>
      <c r="G22" s="296"/>
      <c r="H22" s="279"/>
      <c r="I22" s="297">
        <v>44340</v>
      </c>
      <c r="J22" s="226" t="s">
        <v>399</v>
      </c>
      <c r="K22" s="226" t="s">
        <v>413</v>
      </c>
      <c r="L22" s="299" t="s">
        <v>402</v>
      </c>
      <c r="M22" s="450">
        <v>193600</v>
      </c>
      <c r="N22" s="296"/>
    </row>
    <row r="23" spans="2:15">
      <c r="B23" s="294"/>
      <c r="C23" s="295"/>
      <c r="D23" s="295"/>
      <c r="E23" s="295"/>
      <c r="F23" s="296"/>
      <c r="G23" s="296"/>
      <c r="H23" s="279"/>
      <c r="I23" s="297">
        <v>44340</v>
      </c>
      <c r="J23" s="226" t="s">
        <v>400</v>
      </c>
      <c r="K23" s="226" t="s">
        <v>414</v>
      </c>
      <c r="L23" s="299" t="s">
        <v>403</v>
      </c>
      <c r="M23" s="300">
        <v>356500</v>
      </c>
      <c r="N23" s="296"/>
    </row>
    <row r="24" spans="2:15" ht="13.5">
      <c r="B24" s="294"/>
      <c r="C24" s="295"/>
      <c r="D24" s="295"/>
      <c r="E24" s="295"/>
      <c r="F24" s="296"/>
      <c r="G24" s="296"/>
      <c r="H24" s="279"/>
      <c r="I24" s="297">
        <v>44340</v>
      </c>
      <c r="J24" s="299" t="s">
        <v>401</v>
      </c>
      <c r="K24" s="226" t="s">
        <v>417</v>
      </c>
      <c r="L24" s="299" t="s">
        <v>404</v>
      </c>
      <c r="M24" s="451">
        <v>308000</v>
      </c>
      <c r="N24" s="296"/>
    </row>
    <row r="25" spans="2:15">
      <c r="B25" s="294"/>
      <c r="C25" s="295"/>
      <c r="D25" s="295"/>
      <c r="E25" s="295"/>
      <c r="F25" s="296"/>
      <c r="G25" s="296"/>
      <c r="H25" s="279"/>
      <c r="I25" s="297">
        <v>44340</v>
      </c>
      <c r="J25" s="299" t="s">
        <v>406</v>
      </c>
      <c r="K25" s="226" t="s">
        <v>418</v>
      </c>
      <c r="L25" s="299" t="s">
        <v>405</v>
      </c>
      <c r="M25" s="300">
        <v>230000</v>
      </c>
      <c r="N25" s="296"/>
    </row>
    <row r="26" spans="2:15">
      <c r="B26" s="294"/>
      <c r="C26" s="295"/>
      <c r="D26" s="295"/>
      <c r="E26" s="295"/>
      <c r="F26" s="296"/>
      <c r="G26" s="296"/>
      <c r="H26" s="279"/>
      <c r="I26" s="297"/>
      <c r="J26" s="299"/>
      <c r="K26" s="299"/>
      <c r="L26" s="299"/>
      <c r="M26" s="300"/>
      <c r="N26" s="296"/>
    </row>
    <row r="27" spans="2:15">
      <c r="B27" s="294"/>
      <c r="C27" s="295"/>
      <c r="D27" s="295"/>
      <c r="E27" s="295"/>
      <c r="F27" s="296"/>
      <c r="G27" s="296"/>
      <c r="H27" s="279"/>
      <c r="I27" s="297"/>
      <c r="J27" s="299"/>
      <c r="K27" s="299"/>
      <c r="L27" s="299"/>
      <c r="M27" s="300"/>
      <c r="N27" s="296"/>
    </row>
    <row r="28" spans="2:15">
      <c r="B28" s="294"/>
      <c r="C28" s="295"/>
      <c r="D28" s="295"/>
      <c r="E28" s="295"/>
      <c r="F28" s="296"/>
      <c r="G28" s="296"/>
      <c r="H28" s="279"/>
      <c r="I28" s="294"/>
      <c r="J28" s="295"/>
      <c r="K28" s="295"/>
      <c r="L28" s="295"/>
      <c r="M28" s="296"/>
      <c r="N28" s="296"/>
    </row>
    <row r="29" spans="2:15">
      <c r="B29" s="294"/>
      <c r="C29" s="295"/>
      <c r="D29" s="295"/>
      <c r="E29" s="295"/>
      <c r="F29" s="296"/>
      <c r="G29" s="296"/>
      <c r="H29" s="279"/>
      <c r="I29" s="295"/>
      <c r="J29" s="295"/>
      <c r="K29" s="295"/>
      <c r="L29" s="295"/>
      <c r="M29" s="296"/>
      <c r="N29" s="296"/>
    </row>
    <row r="30" spans="2:15">
      <c r="B30" s="294"/>
      <c r="C30" s="295"/>
      <c r="D30" s="295"/>
      <c r="E30" s="295"/>
      <c r="F30" s="296"/>
      <c r="G30" s="296"/>
      <c r="H30" s="279"/>
      <c r="I30" s="295"/>
      <c r="J30" s="295"/>
      <c r="K30" s="295"/>
      <c r="L30" s="295"/>
      <c r="M30" s="296"/>
      <c r="N30" s="296"/>
    </row>
    <row r="31" spans="2:15" ht="13.5" thickBot="1">
      <c r="B31" s="301"/>
      <c r="C31" s="295"/>
      <c r="D31" s="295"/>
      <c r="E31" s="295"/>
      <c r="F31" s="302"/>
      <c r="G31" s="303"/>
      <c r="H31" s="279"/>
      <c r="I31" s="303"/>
      <c r="J31" s="303"/>
      <c r="K31" s="303"/>
      <c r="L31" s="303"/>
      <c r="M31" s="303"/>
      <c r="N31" s="303"/>
    </row>
    <row r="32" spans="2:15" ht="14.25" thickTop="1" thickBot="1">
      <c r="B32" s="541" t="s">
        <v>188</v>
      </c>
      <c r="C32" s="542"/>
      <c r="D32" s="542"/>
      <c r="E32" s="543"/>
      <c r="F32" s="304">
        <f>SUM(F22:F31,F17:F18)</f>
        <v>15606557</v>
      </c>
      <c r="G32" s="304">
        <f>SUM(G22:G31,G17)</f>
        <v>0</v>
      </c>
      <c r="H32" s="279"/>
      <c r="I32" s="541" t="s">
        <v>189</v>
      </c>
      <c r="J32" s="542"/>
      <c r="K32" s="542"/>
      <c r="L32" s="543"/>
      <c r="M32" s="304">
        <f>SUM(M22:M31,M17:M18)</f>
        <v>1088100</v>
      </c>
      <c r="N32" s="304">
        <f>SUM(N22:N31,N17:N18)</f>
        <v>16694657</v>
      </c>
    </row>
    <row r="33" spans="2:14" ht="13.5" thickTop="1">
      <c r="H33" s="279"/>
      <c r="M33" s="287"/>
      <c r="N33" s="287"/>
    </row>
    <row r="34" spans="2:14" ht="13.5" thickBot="1">
      <c r="B34" s="305" t="s">
        <v>408</v>
      </c>
      <c r="C34" s="305"/>
      <c r="D34" s="544" t="str">
        <f>IF(F32&gt;G32,"Solde Débiteur","Solde Nul")</f>
        <v>Solde Débiteur</v>
      </c>
      <c r="E34" s="544"/>
      <c r="F34" s="306"/>
      <c r="G34" s="291">
        <f>F32-G32</f>
        <v>15606557</v>
      </c>
      <c r="H34" s="279"/>
      <c r="I34" s="305" t="str">
        <f>+B34</f>
        <v xml:space="preserve"> Solde rapporché au 31/05/2021∑(1)-(2)</v>
      </c>
      <c r="J34" s="305"/>
      <c r="K34" s="544" t="str">
        <f>IF(N32&gt;M32,"Solde Créditeur","Solde Nul")</f>
        <v>Solde Créditeur</v>
      </c>
      <c r="L34" s="544"/>
      <c r="M34" s="307">
        <f>N32-M32</f>
        <v>15606557</v>
      </c>
      <c r="N34" s="306"/>
    </row>
    <row r="35" spans="2:14" ht="13.5" thickTop="1">
      <c r="F35" s="287"/>
      <c r="G35" s="287"/>
      <c r="H35" s="279"/>
      <c r="M35" s="287"/>
      <c r="N35" s="287"/>
    </row>
    <row r="36" spans="2:14" ht="15" thickBot="1">
      <c r="B36" s="308" t="s">
        <v>190</v>
      </c>
      <c r="C36" s="308"/>
      <c r="D36" s="308"/>
      <c r="E36" s="308"/>
      <c r="F36" s="309">
        <f>SUM(F32)</f>
        <v>15606557</v>
      </c>
      <c r="G36" s="309">
        <f>G34+G32</f>
        <v>15606557</v>
      </c>
      <c r="H36" s="310"/>
      <c r="I36" s="308" t="s">
        <v>190</v>
      </c>
      <c r="J36" s="308"/>
      <c r="K36" s="308"/>
      <c r="L36" s="308"/>
      <c r="M36" s="309">
        <f>+M32+M34</f>
        <v>16694657</v>
      </c>
      <c r="N36" s="309">
        <f>N34+N32</f>
        <v>16694657</v>
      </c>
    </row>
    <row r="37" spans="2:14" ht="13.5" thickTop="1"/>
    <row r="38" spans="2:14" ht="15" thickBot="1">
      <c r="B38" s="308" t="s">
        <v>191</v>
      </c>
      <c r="C38" s="308"/>
      <c r="D38" s="308"/>
      <c r="E38" s="308"/>
      <c r="F38" s="308"/>
      <c r="G38" s="311">
        <f>G34-M34</f>
        <v>0</v>
      </c>
      <c r="I38" s="312"/>
      <c r="J38" s="312"/>
    </row>
    <row r="39" spans="2:14" ht="13.5" thickTop="1">
      <c r="G39" s="545"/>
      <c r="H39" s="545"/>
      <c r="I39" s="545"/>
      <c r="J39" s="313"/>
      <c r="K39" s="313" t="s">
        <v>409</v>
      </c>
      <c r="L39" s="313"/>
    </row>
    <row r="41" spans="2:14" ht="15">
      <c r="B41" s="38" t="s">
        <v>33</v>
      </c>
      <c r="C41" s="40"/>
      <c r="G41" s="334"/>
      <c r="H41" s="334"/>
      <c r="I41" s="334"/>
      <c r="J41" s="38" t="s">
        <v>36</v>
      </c>
      <c r="K41" s="313"/>
      <c r="L41" s="313"/>
    </row>
    <row r="42" spans="2:14" ht="14.25">
      <c r="B42" s="35"/>
      <c r="C42" s="35"/>
      <c r="M42" s="314"/>
      <c r="N42" s="314"/>
    </row>
    <row r="43" spans="2:14" ht="14.25">
      <c r="B43" s="43" t="s">
        <v>192</v>
      </c>
      <c r="C43" s="42"/>
      <c r="D43" s="282"/>
      <c r="E43" s="282"/>
      <c r="F43" s="282"/>
      <c r="G43" s="282"/>
      <c r="H43" s="282"/>
      <c r="I43" s="314"/>
      <c r="J43" s="43" t="s">
        <v>194</v>
      </c>
      <c r="K43" s="314"/>
      <c r="L43" s="314"/>
      <c r="M43" s="282"/>
      <c r="N43" s="282"/>
    </row>
    <row r="44" spans="2:14" ht="15">
      <c r="B44" s="44" t="s">
        <v>35</v>
      </c>
      <c r="C44" s="44"/>
      <c r="D44" s="282"/>
      <c r="E44" s="282"/>
      <c r="F44" s="282"/>
      <c r="G44" s="282"/>
      <c r="H44" s="282"/>
      <c r="I44" s="282"/>
      <c r="J44" s="44" t="s">
        <v>35</v>
      </c>
      <c r="K44" s="282"/>
      <c r="L44" s="282"/>
      <c r="M44" s="282"/>
      <c r="N44" s="282"/>
    </row>
    <row r="45" spans="2:14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</row>
    <row r="46" spans="2:14">
      <c r="B46" s="540"/>
      <c r="C46" s="540"/>
      <c r="D46" s="282"/>
      <c r="E46" s="282"/>
      <c r="F46" s="282"/>
      <c r="G46" s="282"/>
      <c r="H46" s="282"/>
      <c r="I46" s="540"/>
      <c r="J46" s="540"/>
      <c r="K46" s="540"/>
      <c r="L46" s="540"/>
      <c r="M46" s="540"/>
      <c r="N46" s="540"/>
    </row>
  </sheetData>
  <mergeCells count="18">
    <mergeCell ref="B46:C46"/>
    <mergeCell ref="I46:N46"/>
    <mergeCell ref="B32:E32"/>
    <mergeCell ref="I32:L32"/>
    <mergeCell ref="D34:E34"/>
    <mergeCell ref="K34:L34"/>
    <mergeCell ref="G39:I39"/>
    <mergeCell ref="B9:N9"/>
    <mergeCell ref="B15:B16"/>
    <mergeCell ref="C15:C16"/>
    <mergeCell ref="D15:D16"/>
    <mergeCell ref="E15:E16"/>
    <mergeCell ref="F15:G15"/>
    <mergeCell ref="I15:I16"/>
    <mergeCell ref="J15:J16"/>
    <mergeCell ref="K15:K16"/>
    <mergeCell ref="L15:L16"/>
    <mergeCell ref="M15:N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2"/>
  <sheetViews>
    <sheetView topLeftCell="A18" workbookViewId="0">
      <selection activeCell="B18" sqref="B18"/>
    </sheetView>
  </sheetViews>
  <sheetFormatPr baseColWidth="10" defaultColWidth="9.140625" defaultRowHeight="15"/>
  <cols>
    <col min="1" max="1" width="11.28515625" customWidth="1"/>
    <col min="2" max="2" width="57.5703125" customWidth="1"/>
    <col min="5" max="5" width="13.140625" customWidth="1"/>
    <col min="6" max="6" width="15" customWidth="1"/>
    <col min="7" max="7" width="12" customWidth="1"/>
  </cols>
  <sheetData>
    <row r="1" spans="1:27" ht="18.75">
      <c r="A1" s="410" t="s">
        <v>106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3" spans="1:27">
      <c r="B3" s="25" t="s">
        <v>38</v>
      </c>
      <c r="C3" s="25" t="s">
        <v>156</v>
      </c>
    </row>
    <row r="4" spans="1:27" ht="18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27">
      <c r="B5" s="25" t="s">
        <v>40</v>
      </c>
      <c r="C5" s="104">
        <f>+E103</f>
        <v>6852113</v>
      </c>
      <c r="M5" s="1"/>
      <c r="N5" s="1"/>
    </row>
    <row r="6" spans="1:27">
      <c r="B6" s="25" t="s">
        <v>41</v>
      </c>
      <c r="C6" s="104">
        <f>+F103</f>
        <v>5890965</v>
      </c>
      <c r="M6" s="1"/>
      <c r="N6" s="1"/>
    </row>
    <row r="7" spans="1:27">
      <c r="B7" s="25" t="s">
        <v>42</v>
      </c>
      <c r="C7" s="104">
        <f>C5-C6</f>
        <v>961148</v>
      </c>
      <c r="M7" s="1"/>
      <c r="N7" s="1"/>
    </row>
    <row r="11" spans="1:27">
      <c r="A11" s="98" t="s">
        <v>4</v>
      </c>
      <c r="B11" s="98" t="s">
        <v>43</v>
      </c>
      <c r="C11" s="98" t="s">
        <v>44</v>
      </c>
      <c r="D11" s="98" t="s">
        <v>45</v>
      </c>
      <c r="E11" s="99" t="s">
        <v>46</v>
      </c>
      <c r="F11" s="99" t="s">
        <v>47</v>
      </c>
      <c r="G11" s="99" t="s">
        <v>48</v>
      </c>
      <c r="H11" s="98" t="s">
        <v>49</v>
      </c>
      <c r="I11" s="98" t="s">
        <v>50</v>
      </c>
      <c r="J11" s="98" t="s">
        <v>51</v>
      </c>
      <c r="K11" s="98" t="s">
        <v>53</v>
      </c>
      <c r="L11" s="98" t="s">
        <v>54</v>
      </c>
      <c r="M11" s="98"/>
      <c r="N11" s="98"/>
      <c r="O11" s="133"/>
      <c r="P11" s="133"/>
      <c r="Q11" s="190"/>
      <c r="R11" s="190"/>
      <c r="S11" s="190"/>
      <c r="T11" s="133"/>
      <c r="U11" s="133"/>
      <c r="V11" s="133"/>
      <c r="W11" s="133"/>
      <c r="X11" s="133"/>
      <c r="Y11" s="133"/>
      <c r="Z11" s="133"/>
      <c r="AA11" s="133"/>
    </row>
    <row r="12" spans="1:27">
      <c r="A12" s="265">
        <v>44317</v>
      </c>
      <c r="B12" s="135" t="s">
        <v>382</v>
      </c>
      <c r="C12" s="100"/>
      <c r="D12" s="100"/>
      <c r="E12" s="136">
        <f>+'[2]CAISSE Avril  21'!$G$104</f>
        <v>467929</v>
      </c>
      <c r="F12" s="137"/>
      <c r="G12" s="136">
        <f>+E12</f>
        <v>467929</v>
      </c>
      <c r="H12" s="138" t="s">
        <v>60</v>
      </c>
      <c r="I12" s="138"/>
      <c r="J12" s="138"/>
      <c r="K12" s="138"/>
      <c r="L12" s="138"/>
      <c r="M12" s="138"/>
      <c r="N12" s="138"/>
      <c r="Q12" s="189"/>
      <c r="R12" s="189"/>
      <c r="S12" s="189"/>
    </row>
    <row r="13" spans="1:27" ht="15.75">
      <c r="A13" s="390">
        <v>44320</v>
      </c>
      <c r="B13" s="421" t="s">
        <v>257</v>
      </c>
      <c r="C13" s="422" t="s">
        <v>15</v>
      </c>
      <c r="D13" s="416" t="s">
        <v>19</v>
      </c>
      <c r="E13" s="432"/>
      <c r="F13" s="430">
        <v>204665</v>
      </c>
      <c r="G13" s="372">
        <f>+G12+E13-F13</f>
        <v>263264</v>
      </c>
      <c r="H13" s="268" t="s">
        <v>60</v>
      </c>
      <c r="I13" s="414" t="s">
        <v>73</v>
      </c>
      <c r="J13" s="140"/>
      <c r="K13" s="140"/>
      <c r="L13" s="140"/>
      <c r="M13" s="140"/>
      <c r="N13" s="140"/>
      <c r="Q13" s="189"/>
      <c r="R13" s="189"/>
      <c r="S13" s="189"/>
    </row>
    <row r="14" spans="1:27" ht="15.75">
      <c r="A14" s="390">
        <v>44320</v>
      </c>
      <c r="B14" s="421" t="s">
        <v>56</v>
      </c>
      <c r="C14" s="416" t="s">
        <v>258</v>
      </c>
      <c r="D14" s="421"/>
      <c r="E14" s="432">
        <v>1000000</v>
      </c>
      <c r="F14" s="430"/>
      <c r="G14" s="372">
        <f t="shared" ref="G14:G76" si="0">+G13+E14-F14</f>
        <v>1263264</v>
      </c>
      <c r="H14" s="268" t="s">
        <v>60</v>
      </c>
      <c r="I14" s="425"/>
      <c r="J14" s="140"/>
      <c r="K14" s="140"/>
      <c r="L14" s="140"/>
      <c r="M14" s="142"/>
      <c r="N14" s="344"/>
      <c r="Q14" s="191"/>
      <c r="R14" s="191"/>
      <c r="S14" s="191"/>
    </row>
    <row r="15" spans="1:27" ht="15.75">
      <c r="A15" s="390">
        <v>44320</v>
      </c>
      <c r="B15" s="421" t="s">
        <v>259</v>
      </c>
      <c r="C15" s="374" t="s">
        <v>72</v>
      </c>
      <c r="D15" s="373" t="s">
        <v>21</v>
      </c>
      <c r="E15" s="432"/>
      <c r="F15" s="430">
        <v>4000</v>
      </c>
      <c r="G15" s="372">
        <f t="shared" si="0"/>
        <v>1259264</v>
      </c>
      <c r="H15" s="268" t="s">
        <v>60</v>
      </c>
      <c r="I15" s="414" t="s">
        <v>73</v>
      </c>
      <c r="J15" s="345"/>
      <c r="K15" s="345"/>
      <c r="L15" s="345"/>
      <c r="M15" s="345"/>
      <c r="N15" s="345"/>
      <c r="Q15" s="193"/>
      <c r="R15" s="193"/>
      <c r="S15" s="193"/>
    </row>
    <row r="16" spans="1:27" ht="15.75">
      <c r="A16" s="390">
        <v>44321</v>
      </c>
      <c r="B16" s="418" t="s">
        <v>364</v>
      </c>
      <c r="C16" s="417" t="s">
        <v>15</v>
      </c>
      <c r="D16" s="415" t="s">
        <v>363</v>
      </c>
      <c r="E16" s="436"/>
      <c r="F16" s="430">
        <v>130500</v>
      </c>
      <c r="G16" s="372">
        <f t="shared" si="0"/>
        <v>1128764</v>
      </c>
      <c r="H16" s="268" t="s">
        <v>60</v>
      </c>
      <c r="I16" s="414" t="s">
        <v>73</v>
      </c>
      <c r="J16" s="345"/>
      <c r="K16" s="345"/>
      <c r="L16" s="345"/>
      <c r="M16" s="345"/>
      <c r="N16" s="345"/>
      <c r="Q16" s="193"/>
      <c r="R16" s="193"/>
      <c r="S16" s="193"/>
    </row>
    <row r="17" spans="1:19" ht="15.75">
      <c r="A17" s="390">
        <v>44322</v>
      </c>
      <c r="B17" s="418" t="s">
        <v>65</v>
      </c>
      <c r="C17" s="416" t="s">
        <v>258</v>
      </c>
      <c r="D17" s="416"/>
      <c r="E17" s="432"/>
      <c r="F17" s="430">
        <v>100000</v>
      </c>
      <c r="G17" s="372">
        <f t="shared" si="0"/>
        <v>1028764</v>
      </c>
      <c r="H17" s="268" t="s">
        <v>60</v>
      </c>
      <c r="I17" s="414"/>
      <c r="J17" s="345"/>
      <c r="K17" s="345"/>
      <c r="L17" s="345"/>
      <c r="M17" s="345"/>
      <c r="N17" s="345"/>
      <c r="Q17" s="193"/>
      <c r="R17" s="193"/>
      <c r="S17" s="193"/>
    </row>
    <row r="18" spans="1:19" ht="15.75">
      <c r="A18" s="390">
        <v>44322</v>
      </c>
      <c r="B18" s="421" t="s">
        <v>66</v>
      </c>
      <c r="C18" s="416" t="s">
        <v>258</v>
      </c>
      <c r="D18" s="416"/>
      <c r="E18" s="432"/>
      <c r="F18" s="430">
        <v>100000</v>
      </c>
      <c r="G18" s="372">
        <f t="shared" si="0"/>
        <v>928764</v>
      </c>
      <c r="H18" s="268" t="s">
        <v>60</v>
      </c>
      <c r="I18" s="414"/>
      <c r="J18" s="345"/>
      <c r="K18" s="345"/>
      <c r="L18" s="345"/>
      <c r="M18" s="345"/>
      <c r="N18" s="345"/>
      <c r="Q18" s="193"/>
      <c r="R18" s="193"/>
      <c r="S18" s="193"/>
    </row>
    <row r="19" spans="1:19" ht="15.75">
      <c r="A19" s="390">
        <v>44322</v>
      </c>
      <c r="B19" s="421" t="s">
        <v>65</v>
      </c>
      <c r="C19" s="416" t="s">
        <v>258</v>
      </c>
      <c r="D19" s="416"/>
      <c r="E19" s="432"/>
      <c r="F19" s="430">
        <v>20000</v>
      </c>
      <c r="G19" s="372">
        <f t="shared" si="0"/>
        <v>908764</v>
      </c>
      <c r="H19" s="371" t="s">
        <v>60</v>
      </c>
      <c r="I19" s="414"/>
      <c r="J19" s="345"/>
      <c r="K19" s="345"/>
      <c r="L19" s="345"/>
      <c r="M19" s="345"/>
      <c r="N19" s="345"/>
      <c r="Q19" s="193"/>
      <c r="R19" s="193"/>
      <c r="S19" s="193"/>
    </row>
    <row r="20" spans="1:19" ht="15.75">
      <c r="A20" s="390">
        <v>44322</v>
      </c>
      <c r="B20" s="421" t="s">
        <v>66</v>
      </c>
      <c r="C20" s="416" t="s">
        <v>258</v>
      </c>
      <c r="D20" s="416"/>
      <c r="E20" s="432"/>
      <c r="F20" s="430">
        <v>10000</v>
      </c>
      <c r="G20" s="372">
        <f t="shared" si="0"/>
        <v>898764</v>
      </c>
      <c r="H20" s="268" t="s">
        <v>60</v>
      </c>
      <c r="I20" s="414"/>
      <c r="J20" s="345"/>
      <c r="K20" s="345"/>
      <c r="L20" s="345"/>
      <c r="M20" s="345"/>
      <c r="N20" s="345"/>
      <c r="Q20" s="193"/>
      <c r="R20" s="193"/>
      <c r="S20" s="193"/>
    </row>
    <row r="21" spans="1:19" s="452" customFormat="1" ht="15.75">
      <c r="A21" s="390">
        <v>44323</v>
      </c>
      <c r="B21" s="416" t="s">
        <v>260</v>
      </c>
      <c r="C21" s="374" t="s">
        <v>72</v>
      </c>
      <c r="D21" s="373" t="s">
        <v>21</v>
      </c>
      <c r="E21" s="432"/>
      <c r="F21" s="366">
        <v>9600</v>
      </c>
      <c r="G21" s="372">
        <f t="shared" si="0"/>
        <v>889164</v>
      </c>
      <c r="H21" s="268" t="s">
        <v>60</v>
      </c>
      <c r="I21" s="414" t="s">
        <v>73</v>
      </c>
      <c r="J21" s="454"/>
      <c r="K21" s="454"/>
      <c r="L21" s="454"/>
      <c r="M21" s="454"/>
      <c r="N21" s="454"/>
      <c r="Q21" s="455"/>
      <c r="R21" s="455"/>
      <c r="S21" s="455"/>
    </row>
    <row r="22" spans="1:19" ht="15.75">
      <c r="A22" s="390">
        <v>44323</v>
      </c>
      <c r="B22" s="421" t="s">
        <v>119</v>
      </c>
      <c r="C22" s="416" t="s">
        <v>258</v>
      </c>
      <c r="D22" s="416"/>
      <c r="E22" s="432"/>
      <c r="F22" s="430">
        <v>15000</v>
      </c>
      <c r="G22" s="372">
        <f t="shared" si="0"/>
        <v>874164</v>
      </c>
      <c r="H22" s="268" t="s">
        <v>60</v>
      </c>
      <c r="I22" s="414"/>
      <c r="J22" s="345"/>
      <c r="K22" s="345"/>
      <c r="L22" s="345"/>
      <c r="M22" s="345"/>
      <c r="N22" s="345"/>
      <c r="Q22" s="193"/>
      <c r="R22" s="193"/>
      <c r="S22" s="193"/>
    </row>
    <row r="23" spans="1:19" ht="15.75">
      <c r="A23" s="390">
        <v>44323</v>
      </c>
      <c r="B23" s="421" t="s">
        <v>138</v>
      </c>
      <c r="C23" s="416" t="s">
        <v>258</v>
      </c>
      <c r="D23" s="416"/>
      <c r="E23" s="432"/>
      <c r="F23" s="430">
        <v>10000</v>
      </c>
      <c r="G23" s="372">
        <f t="shared" si="0"/>
        <v>864164</v>
      </c>
      <c r="H23" s="268" t="s">
        <v>60</v>
      </c>
      <c r="I23" s="414"/>
      <c r="J23" s="345"/>
      <c r="K23" s="345"/>
      <c r="L23" s="345"/>
      <c r="M23" s="345"/>
      <c r="N23" s="345"/>
      <c r="Q23" s="193"/>
      <c r="R23" s="193"/>
      <c r="S23" s="193"/>
    </row>
    <row r="24" spans="1:19" ht="15.75">
      <c r="A24" s="390">
        <v>44323</v>
      </c>
      <c r="B24" s="421" t="s">
        <v>68</v>
      </c>
      <c r="C24" s="416" t="s">
        <v>258</v>
      </c>
      <c r="D24" s="416"/>
      <c r="E24" s="432"/>
      <c r="F24" s="430">
        <v>5000</v>
      </c>
      <c r="G24" s="372">
        <f t="shared" si="0"/>
        <v>859164</v>
      </c>
      <c r="H24" s="268" t="s">
        <v>60</v>
      </c>
      <c r="I24" s="414"/>
      <c r="J24" s="345"/>
      <c r="K24" s="345"/>
      <c r="L24" s="345"/>
      <c r="M24" s="345"/>
      <c r="N24" s="345"/>
      <c r="Q24" s="193"/>
      <c r="R24" s="193"/>
      <c r="S24" s="193"/>
    </row>
    <row r="25" spans="1:19" ht="15.75">
      <c r="A25" s="390">
        <v>44323</v>
      </c>
      <c r="B25" s="421" t="s">
        <v>120</v>
      </c>
      <c r="C25" s="421" t="s">
        <v>258</v>
      </c>
      <c r="D25" s="268"/>
      <c r="E25" s="432"/>
      <c r="F25" s="430">
        <v>10000</v>
      </c>
      <c r="G25" s="372">
        <f t="shared" si="0"/>
        <v>849164</v>
      </c>
      <c r="H25" s="268" t="s">
        <v>60</v>
      </c>
      <c r="I25" s="414"/>
      <c r="J25" s="345"/>
      <c r="K25" s="345"/>
      <c r="L25" s="345"/>
      <c r="M25" s="345"/>
      <c r="N25" s="345"/>
      <c r="Q25" s="193"/>
      <c r="R25" s="193"/>
      <c r="S25" s="193"/>
    </row>
    <row r="26" spans="1:19" ht="15.75">
      <c r="A26" s="390">
        <v>44323</v>
      </c>
      <c r="B26" s="421" t="s">
        <v>261</v>
      </c>
      <c r="C26" s="424" t="s">
        <v>17</v>
      </c>
      <c r="D26" s="374" t="s">
        <v>21</v>
      </c>
      <c r="E26" s="432"/>
      <c r="F26" s="430">
        <v>93234</v>
      </c>
      <c r="G26" s="372">
        <f t="shared" si="0"/>
        <v>755930</v>
      </c>
      <c r="H26" s="268" t="s">
        <v>60</v>
      </c>
      <c r="I26" s="414" t="s">
        <v>73</v>
      </c>
      <c r="J26" s="345"/>
      <c r="K26" s="345"/>
      <c r="L26" s="345"/>
      <c r="M26" s="345"/>
      <c r="N26" s="345"/>
      <c r="Q26" s="193"/>
      <c r="R26" s="193"/>
      <c r="S26" s="193"/>
    </row>
    <row r="27" spans="1:19" ht="15.75">
      <c r="A27" s="390">
        <v>44326</v>
      </c>
      <c r="B27" s="421" t="s">
        <v>221</v>
      </c>
      <c r="C27" s="416" t="s">
        <v>258</v>
      </c>
      <c r="D27" s="416"/>
      <c r="E27" s="432"/>
      <c r="F27" s="430">
        <v>10000</v>
      </c>
      <c r="G27" s="372">
        <f t="shared" si="0"/>
        <v>745930</v>
      </c>
      <c r="H27" s="268" t="s">
        <v>60</v>
      </c>
      <c r="I27" s="414"/>
      <c r="J27" s="345"/>
      <c r="K27" s="345"/>
      <c r="L27" s="345"/>
      <c r="M27" s="345"/>
      <c r="N27" s="345"/>
      <c r="Q27" s="193"/>
      <c r="R27" s="193"/>
      <c r="S27" s="193"/>
    </row>
    <row r="28" spans="1:19" ht="15.75">
      <c r="A28" s="390">
        <v>44327</v>
      </c>
      <c r="B28" s="421" t="s">
        <v>67</v>
      </c>
      <c r="C28" s="416" t="s">
        <v>258</v>
      </c>
      <c r="D28" s="416"/>
      <c r="E28" s="432"/>
      <c r="F28" s="430">
        <v>5000</v>
      </c>
      <c r="G28" s="372">
        <f t="shared" si="0"/>
        <v>740930</v>
      </c>
      <c r="H28" s="268" t="s">
        <v>60</v>
      </c>
      <c r="I28" s="414"/>
      <c r="J28" s="345"/>
      <c r="K28" s="345"/>
      <c r="L28" s="345"/>
      <c r="M28" s="345"/>
      <c r="N28" s="345"/>
      <c r="Q28" s="193"/>
      <c r="R28" s="193"/>
      <c r="S28" s="193"/>
    </row>
    <row r="29" spans="1:19" ht="15.75">
      <c r="A29" s="390">
        <v>44328</v>
      </c>
      <c r="B29" s="416" t="s">
        <v>262</v>
      </c>
      <c r="C29" s="374" t="s">
        <v>61</v>
      </c>
      <c r="D29" s="374" t="s">
        <v>21</v>
      </c>
      <c r="E29" s="366"/>
      <c r="F29" s="430">
        <v>13470</v>
      </c>
      <c r="G29" s="372">
        <f t="shared" si="0"/>
        <v>727460</v>
      </c>
      <c r="H29" s="371" t="s">
        <v>60</v>
      </c>
      <c r="I29" s="414" t="s">
        <v>73</v>
      </c>
      <c r="J29" s="345"/>
      <c r="K29" s="345"/>
      <c r="L29" s="345"/>
      <c r="M29" s="345"/>
      <c r="N29" s="345"/>
      <c r="Q29" s="193"/>
      <c r="R29" s="193"/>
      <c r="S29" s="193"/>
    </row>
    <row r="30" spans="1:19" ht="15.75">
      <c r="A30" s="390">
        <v>44328</v>
      </c>
      <c r="B30" s="421" t="s">
        <v>65</v>
      </c>
      <c r="C30" s="416" t="s">
        <v>258</v>
      </c>
      <c r="D30" s="416"/>
      <c r="E30" s="432"/>
      <c r="F30" s="430">
        <v>226000</v>
      </c>
      <c r="G30" s="372">
        <f t="shared" si="0"/>
        <v>501460</v>
      </c>
      <c r="H30" s="268" t="s">
        <v>60</v>
      </c>
      <c r="I30" s="414"/>
      <c r="J30" s="345"/>
      <c r="K30" s="345"/>
      <c r="L30" s="345"/>
      <c r="M30" s="345"/>
      <c r="N30" s="345"/>
      <c r="Q30" s="193"/>
      <c r="R30" s="193"/>
      <c r="S30" s="193"/>
    </row>
    <row r="31" spans="1:19" ht="15.75">
      <c r="A31" s="390">
        <v>44328</v>
      </c>
      <c r="B31" s="421" t="s">
        <v>66</v>
      </c>
      <c r="C31" s="416" t="s">
        <v>258</v>
      </c>
      <c r="D31" s="416"/>
      <c r="E31" s="431"/>
      <c r="F31" s="430">
        <v>223000</v>
      </c>
      <c r="G31" s="372">
        <f t="shared" si="0"/>
        <v>278460</v>
      </c>
      <c r="H31" s="268" t="s">
        <v>60</v>
      </c>
      <c r="I31" s="414"/>
      <c r="J31" s="345"/>
      <c r="K31" s="345"/>
      <c r="L31" s="345"/>
      <c r="M31" s="345"/>
      <c r="N31" s="345"/>
      <c r="Q31" s="193"/>
      <c r="R31" s="193"/>
      <c r="S31" s="193"/>
    </row>
    <row r="32" spans="1:19" ht="15.75">
      <c r="A32" s="390">
        <v>44328</v>
      </c>
      <c r="B32" s="421" t="s">
        <v>119</v>
      </c>
      <c r="C32" s="416" t="s">
        <v>258</v>
      </c>
      <c r="D32" s="416"/>
      <c r="E32" s="432"/>
      <c r="F32" s="430">
        <v>84000</v>
      </c>
      <c r="G32" s="372">
        <f t="shared" si="0"/>
        <v>194460</v>
      </c>
      <c r="H32" s="268" t="s">
        <v>60</v>
      </c>
      <c r="I32" s="414"/>
      <c r="J32" s="345"/>
      <c r="K32" s="345"/>
      <c r="L32" s="345"/>
      <c r="M32" s="345"/>
      <c r="N32" s="345"/>
      <c r="Q32" s="193"/>
      <c r="R32" s="193"/>
      <c r="S32" s="193"/>
    </row>
    <row r="33" spans="1:19" ht="15.75">
      <c r="A33" s="390">
        <v>44333</v>
      </c>
      <c r="B33" s="416" t="s">
        <v>263</v>
      </c>
      <c r="C33" s="387" t="s">
        <v>20</v>
      </c>
      <c r="D33" s="416" t="s">
        <v>19</v>
      </c>
      <c r="E33" s="432"/>
      <c r="F33" s="430">
        <v>25000</v>
      </c>
      <c r="G33" s="372">
        <f t="shared" si="0"/>
        <v>169460</v>
      </c>
      <c r="H33" s="268" t="s">
        <v>60</v>
      </c>
      <c r="I33" s="414" t="s">
        <v>73</v>
      </c>
      <c r="J33" s="140"/>
      <c r="K33" s="140"/>
      <c r="L33" s="140"/>
      <c r="M33" s="140"/>
      <c r="N33" s="140"/>
      <c r="Q33" s="192"/>
      <c r="R33" s="189"/>
      <c r="S33" s="189"/>
    </row>
    <row r="34" spans="1:19" ht="15.75">
      <c r="A34" s="390">
        <v>44333</v>
      </c>
      <c r="B34" s="416" t="s">
        <v>264</v>
      </c>
      <c r="C34" s="387" t="s">
        <v>20</v>
      </c>
      <c r="D34" s="416" t="s">
        <v>118</v>
      </c>
      <c r="E34" s="432"/>
      <c r="F34" s="430">
        <v>20000</v>
      </c>
      <c r="G34" s="372">
        <f t="shared" si="0"/>
        <v>149460</v>
      </c>
      <c r="H34" s="268" t="s">
        <v>60</v>
      </c>
      <c r="I34" s="414" t="s">
        <v>73</v>
      </c>
      <c r="J34" s="140"/>
      <c r="K34" s="140"/>
      <c r="L34" s="140"/>
      <c r="M34" s="140"/>
      <c r="N34" s="140"/>
      <c r="Q34" s="189"/>
      <c r="R34" s="189"/>
      <c r="S34" s="189"/>
    </row>
    <row r="35" spans="1:19" ht="15.75">
      <c r="A35" s="390">
        <v>44333</v>
      </c>
      <c r="B35" s="416" t="s">
        <v>265</v>
      </c>
      <c r="C35" s="387" t="s">
        <v>20</v>
      </c>
      <c r="D35" s="416" t="s">
        <v>59</v>
      </c>
      <c r="E35" s="432"/>
      <c r="F35" s="430">
        <v>5000</v>
      </c>
      <c r="G35" s="372">
        <f t="shared" si="0"/>
        <v>144460</v>
      </c>
      <c r="H35" s="268" t="s">
        <v>60</v>
      </c>
      <c r="I35" s="414" t="s">
        <v>73</v>
      </c>
      <c r="J35" s="140"/>
      <c r="K35" s="140"/>
      <c r="L35" s="140"/>
      <c r="M35" s="142"/>
      <c r="N35" s="140"/>
      <c r="Q35" s="189"/>
      <c r="R35" s="189"/>
      <c r="S35" s="189"/>
    </row>
    <row r="36" spans="1:19" ht="15.75">
      <c r="A36" s="390">
        <v>44333</v>
      </c>
      <c r="B36" s="416" t="s">
        <v>266</v>
      </c>
      <c r="C36" s="387" t="s">
        <v>20</v>
      </c>
      <c r="D36" s="416" t="s">
        <v>29</v>
      </c>
      <c r="E36" s="432"/>
      <c r="F36" s="430">
        <v>20000</v>
      </c>
      <c r="G36" s="372">
        <f t="shared" si="0"/>
        <v>124460</v>
      </c>
      <c r="H36" s="268" t="s">
        <v>60</v>
      </c>
      <c r="I36" s="414" t="s">
        <v>73</v>
      </c>
      <c r="J36" s="140"/>
      <c r="K36" s="140"/>
      <c r="L36" s="140"/>
      <c r="M36" s="140"/>
      <c r="N36" s="140"/>
      <c r="Q36" s="189"/>
      <c r="R36" s="189"/>
      <c r="S36" s="189"/>
    </row>
    <row r="37" spans="1:19" ht="15.75">
      <c r="A37" s="390">
        <v>44333</v>
      </c>
      <c r="B37" s="416" t="s">
        <v>267</v>
      </c>
      <c r="C37" s="387" t="s">
        <v>20</v>
      </c>
      <c r="D37" s="416" t="s">
        <v>118</v>
      </c>
      <c r="E37" s="432"/>
      <c r="F37" s="430">
        <v>20000</v>
      </c>
      <c r="G37" s="372">
        <f t="shared" si="0"/>
        <v>104460</v>
      </c>
      <c r="H37" s="268" t="s">
        <v>60</v>
      </c>
      <c r="I37" s="414" t="s">
        <v>73</v>
      </c>
      <c r="J37" s="140"/>
      <c r="K37" s="140"/>
      <c r="L37" s="140"/>
      <c r="M37" s="140"/>
      <c r="N37" s="140"/>
      <c r="Q37" s="189"/>
      <c r="R37" s="189"/>
      <c r="S37" s="189"/>
    </row>
    <row r="38" spans="1:19" ht="15.75">
      <c r="A38" s="390">
        <v>44333</v>
      </c>
      <c r="B38" s="416" t="s">
        <v>268</v>
      </c>
      <c r="C38" s="387" t="s">
        <v>20</v>
      </c>
      <c r="D38" s="416" t="s">
        <v>19</v>
      </c>
      <c r="E38" s="432"/>
      <c r="F38" s="430">
        <v>10000</v>
      </c>
      <c r="G38" s="372">
        <f t="shared" si="0"/>
        <v>94460</v>
      </c>
      <c r="H38" s="268" t="s">
        <v>60</v>
      </c>
      <c r="I38" s="414" t="s">
        <v>73</v>
      </c>
      <c r="J38" s="140"/>
      <c r="K38" s="140"/>
      <c r="L38" s="140"/>
      <c r="M38" s="140"/>
      <c r="N38" s="140"/>
      <c r="Q38" s="189"/>
      <c r="R38" s="189"/>
      <c r="S38" s="189"/>
    </row>
    <row r="39" spans="1:19" ht="15.75">
      <c r="A39" s="390">
        <v>44333</v>
      </c>
      <c r="B39" s="416" t="s">
        <v>269</v>
      </c>
      <c r="C39" s="387" t="s">
        <v>20</v>
      </c>
      <c r="D39" s="416" t="s">
        <v>29</v>
      </c>
      <c r="E39" s="432"/>
      <c r="F39" s="430">
        <v>5000</v>
      </c>
      <c r="G39" s="372">
        <f t="shared" si="0"/>
        <v>89460</v>
      </c>
      <c r="H39" s="371" t="s">
        <v>60</v>
      </c>
      <c r="I39" s="414" t="s">
        <v>73</v>
      </c>
      <c r="J39" s="140"/>
      <c r="K39" s="140"/>
      <c r="L39" s="140"/>
      <c r="M39" s="140"/>
      <c r="N39" s="140"/>
      <c r="Q39" s="189"/>
      <c r="R39" s="189"/>
      <c r="S39" s="189"/>
    </row>
    <row r="40" spans="1:19" ht="15.75">
      <c r="A40" s="390">
        <v>44328</v>
      </c>
      <c r="B40" s="421" t="s">
        <v>56</v>
      </c>
      <c r="C40" s="416" t="s">
        <v>258</v>
      </c>
      <c r="D40" s="416"/>
      <c r="E40" s="432">
        <v>1000000</v>
      </c>
      <c r="F40" s="430"/>
      <c r="G40" s="372">
        <f t="shared" si="0"/>
        <v>1089460</v>
      </c>
      <c r="H40" s="268" t="s">
        <v>60</v>
      </c>
      <c r="I40" s="414"/>
      <c r="J40" s="140"/>
      <c r="K40" s="140"/>
      <c r="L40" s="140"/>
      <c r="M40" s="140"/>
      <c r="N40" s="140"/>
      <c r="Q40" s="189"/>
      <c r="R40" s="189"/>
      <c r="S40" s="189"/>
    </row>
    <row r="41" spans="1:19" ht="15.75">
      <c r="A41" s="390">
        <v>44328</v>
      </c>
      <c r="B41" s="421" t="s">
        <v>67</v>
      </c>
      <c r="C41" s="416" t="s">
        <v>258</v>
      </c>
      <c r="D41" s="416"/>
      <c r="E41" s="432"/>
      <c r="F41" s="430">
        <v>9000</v>
      </c>
      <c r="G41" s="372">
        <f t="shared" si="0"/>
        <v>1080460</v>
      </c>
      <c r="H41" s="268" t="s">
        <v>60</v>
      </c>
      <c r="I41" s="414"/>
      <c r="J41" s="140"/>
      <c r="K41" s="140"/>
      <c r="L41" s="140"/>
      <c r="M41" s="140"/>
      <c r="N41" s="140"/>
      <c r="Q41" s="189"/>
      <c r="R41" s="189"/>
      <c r="S41" s="189"/>
    </row>
    <row r="42" spans="1:19" ht="15.75">
      <c r="A42" s="390">
        <v>44328</v>
      </c>
      <c r="B42" s="421" t="s">
        <v>270</v>
      </c>
      <c r="C42" s="416" t="s">
        <v>26</v>
      </c>
      <c r="D42" s="416" t="s">
        <v>59</v>
      </c>
      <c r="E42" s="432"/>
      <c r="F42" s="430">
        <v>33000</v>
      </c>
      <c r="G42" s="372">
        <f t="shared" si="0"/>
        <v>1047460</v>
      </c>
      <c r="H42" s="268" t="s">
        <v>60</v>
      </c>
      <c r="I42" s="414" t="s">
        <v>131</v>
      </c>
      <c r="J42" s="140"/>
      <c r="K42" s="140"/>
      <c r="L42" s="140"/>
      <c r="M42" s="140"/>
      <c r="N42" s="140"/>
      <c r="Q42" s="189"/>
      <c r="R42" s="189"/>
      <c r="S42" s="189"/>
    </row>
    <row r="43" spans="1:19" ht="15.75">
      <c r="A43" s="390">
        <v>44333</v>
      </c>
      <c r="B43" s="421" t="s">
        <v>120</v>
      </c>
      <c r="C43" s="416" t="s">
        <v>258</v>
      </c>
      <c r="D43" s="416"/>
      <c r="E43" s="432"/>
      <c r="F43" s="430">
        <v>121000</v>
      </c>
      <c r="G43" s="372">
        <f t="shared" si="0"/>
        <v>926460</v>
      </c>
      <c r="H43" s="268" t="s">
        <v>60</v>
      </c>
      <c r="I43" s="414"/>
      <c r="J43" s="140"/>
      <c r="K43" s="140"/>
      <c r="L43" s="140"/>
      <c r="M43" s="140"/>
      <c r="N43" s="140"/>
      <c r="Q43" s="189"/>
      <c r="R43" s="189"/>
      <c r="S43" s="189"/>
    </row>
    <row r="44" spans="1:19" ht="15.75">
      <c r="A44" s="390">
        <v>44333</v>
      </c>
      <c r="B44" s="421" t="s">
        <v>361</v>
      </c>
      <c r="C44" s="374" t="s">
        <v>72</v>
      </c>
      <c r="D44" s="373" t="s">
        <v>21</v>
      </c>
      <c r="E44" s="432"/>
      <c r="F44" s="430">
        <v>25000</v>
      </c>
      <c r="G44" s="372">
        <f t="shared" si="0"/>
        <v>901460</v>
      </c>
      <c r="H44" s="268" t="s">
        <v>60</v>
      </c>
      <c r="I44" s="414" t="s">
        <v>73</v>
      </c>
      <c r="J44" s="140"/>
      <c r="K44" s="140"/>
      <c r="L44" s="140"/>
      <c r="M44" s="140"/>
      <c r="N44" s="140"/>
      <c r="Q44" s="189"/>
      <c r="R44" s="189"/>
      <c r="S44" s="189"/>
    </row>
    <row r="45" spans="1:19" ht="15.75">
      <c r="A45" s="390">
        <v>44333</v>
      </c>
      <c r="B45" s="421" t="s">
        <v>88</v>
      </c>
      <c r="C45" s="416" t="s">
        <v>258</v>
      </c>
      <c r="D45" s="416"/>
      <c r="E45" s="432"/>
      <c r="F45" s="366">
        <v>165000</v>
      </c>
      <c r="G45" s="372">
        <f t="shared" si="0"/>
        <v>736460</v>
      </c>
      <c r="H45" s="268" t="s">
        <v>60</v>
      </c>
      <c r="I45" s="414"/>
      <c r="J45" s="140"/>
      <c r="K45" s="140"/>
      <c r="L45" s="140"/>
      <c r="M45" s="140"/>
      <c r="N45" s="140"/>
      <c r="Q45" s="189"/>
      <c r="R45" s="189"/>
      <c r="S45" s="189"/>
    </row>
    <row r="46" spans="1:19" ht="15.75">
      <c r="A46" s="390">
        <v>44333</v>
      </c>
      <c r="B46" s="421" t="s">
        <v>67</v>
      </c>
      <c r="C46" s="416" t="s">
        <v>258</v>
      </c>
      <c r="D46" s="421"/>
      <c r="E46" s="431"/>
      <c r="F46" s="366">
        <v>121000</v>
      </c>
      <c r="G46" s="372">
        <f t="shared" si="0"/>
        <v>615460</v>
      </c>
      <c r="H46" s="268" t="s">
        <v>60</v>
      </c>
      <c r="I46" s="414"/>
      <c r="J46" s="140"/>
      <c r="K46" s="140"/>
      <c r="L46" s="140"/>
      <c r="M46" s="140"/>
      <c r="N46" s="140"/>
      <c r="Q46" s="189"/>
      <c r="R46" s="189"/>
      <c r="S46" s="189"/>
    </row>
    <row r="47" spans="1:19" ht="15.75">
      <c r="A47" s="390">
        <v>44333</v>
      </c>
      <c r="B47" s="423" t="s">
        <v>221</v>
      </c>
      <c r="C47" s="268" t="s">
        <v>258</v>
      </c>
      <c r="D47" s="268"/>
      <c r="E47" s="366"/>
      <c r="F47" s="366">
        <v>121000</v>
      </c>
      <c r="G47" s="372">
        <f t="shared" si="0"/>
        <v>494460</v>
      </c>
      <c r="H47" s="268" t="s">
        <v>60</v>
      </c>
      <c r="I47" s="414"/>
      <c r="J47" s="140"/>
      <c r="K47" s="140"/>
      <c r="L47" s="140"/>
      <c r="M47" s="140"/>
      <c r="N47" s="140"/>
      <c r="Q47" s="189"/>
      <c r="R47" s="189"/>
      <c r="S47" s="189"/>
    </row>
    <row r="48" spans="1:19" ht="15.75">
      <c r="A48" s="390">
        <v>44333</v>
      </c>
      <c r="B48" s="423" t="s">
        <v>88</v>
      </c>
      <c r="C48" s="268" t="s">
        <v>258</v>
      </c>
      <c r="D48" s="268"/>
      <c r="E48" s="366"/>
      <c r="F48" s="366">
        <v>121000</v>
      </c>
      <c r="G48" s="372">
        <f t="shared" si="0"/>
        <v>373460</v>
      </c>
      <c r="H48" s="268" t="s">
        <v>60</v>
      </c>
      <c r="I48" s="414"/>
      <c r="J48" s="140"/>
      <c r="K48" s="140"/>
      <c r="L48" s="140"/>
      <c r="M48" s="140"/>
      <c r="N48" s="140"/>
      <c r="Q48" s="189"/>
      <c r="R48" s="189"/>
      <c r="S48" s="189"/>
    </row>
    <row r="49" spans="1:19" ht="15.75">
      <c r="A49" s="390">
        <v>44333</v>
      </c>
      <c r="B49" s="421" t="s">
        <v>88</v>
      </c>
      <c r="C49" s="416" t="s">
        <v>258</v>
      </c>
      <c r="D49" s="416"/>
      <c r="E49" s="366"/>
      <c r="F49" s="366">
        <v>273000</v>
      </c>
      <c r="G49" s="372">
        <f t="shared" si="0"/>
        <v>100460</v>
      </c>
      <c r="H49" s="371" t="s">
        <v>60</v>
      </c>
      <c r="I49" s="414"/>
      <c r="J49" s="140"/>
      <c r="K49" s="140"/>
      <c r="L49" s="140"/>
      <c r="M49" s="140"/>
      <c r="N49" s="140"/>
      <c r="Q49" s="189"/>
      <c r="R49" s="189"/>
      <c r="S49" s="189"/>
    </row>
    <row r="50" spans="1:19" ht="15.75">
      <c r="A50" s="390">
        <v>44333</v>
      </c>
      <c r="B50" s="423" t="s">
        <v>66</v>
      </c>
      <c r="C50" s="268" t="s">
        <v>258</v>
      </c>
      <c r="D50" s="268"/>
      <c r="E50" s="366"/>
      <c r="F50" s="430">
        <v>49000</v>
      </c>
      <c r="G50" s="372">
        <f t="shared" si="0"/>
        <v>51460</v>
      </c>
      <c r="H50" s="268" t="s">
        <v>60</v>
      </c>
      <c r="I50" s="414"/>
      <c r="J50" s="140"/>
      <c r="K50" s="140"/>
      <c r="L50" s="140"/>
      <c r="M50" s="140"/>
      <c r="N50" s="140"/>
      <c r="O50" s="141"/>
      <c r="Q50" s="189"/>
      <c r="R50" s="189"/>
      <c r="S50" s="189"/>
    </row>
    <row r="51" spans="1:19" ht="15.75">
      <c r="A51" s="390">
        <v>44334</v>
      </c>
      <c r="B51" s="423" t="s">
        <v>119</v>
      </c>
      <c r="C51" s="268" t="s">
        <v>258</v>
      </c>
      <c r="D51" s="268"/>
      <c r="E51" s="366">
        <v>54000</v>
      </c>
      <c r="F51" s="430"/>
      <c r="G51" s="372">
        <f t="shared" si="0"/>
        <v>105460</v>
      </c>
      <c r="H51" s="268" t="s">
        <v>60</v>
      </c>
      <c r="I51" s="414"/>
      <c r="J51" s="140"/>
      <c r="K51" s="140"/>
      <c r="L51" s="140"/>
      <c r="M51" s="140"/>
      <c r="N51" s="140"/>
      <c r="O51" s="141"/>
      <c r="Q51" s="189"/>
      <c r="R51" s="189"/>
      <c r="S51" s="189"/>
    </row>
    <row r="52" spans="1:19" ht="15.75">
      <c r="A52" s="390">
        <v>44334</v>
      </c>
      <c r="B52" s="423" t="s">
        <v>56</v>
      </c>
      <c r="C52" s="268" t="s">
        <v>258</v>
      </c>
      <c r="D52" s="268"/>
      <c r="E52" s="366">
        <v>1000000</v>
      </c>
      <c r="F52" s="430"/>
      <c r="G52" s="372">
        <f t="shared" si="0"/>
        <v>1105460</v>
      </c>
      <c r="H52" s="268" t="s">
        <v>60</v>
      </c>
      <c r="I52" s="414"/>
      <c r="J52" s="140"/>
      <c r="K52" s="140"/>
      <c r="L52" s="140"/>
      <c r="M52" s="140"/>
      <c r="N52" s="140"/>
      <c r="O52" s="141"/>
      <c r="Q52" s="189"/>
      <c r="R52" s="189"/>
      <c r="S52" s="189"/>
    </row>
    <row r="53" spans="1:19" ht="15.75">
      <c r="A53" s="390">
        <v>44334</v>
      </c>
      <c r="B53" s="421" t="s">
        <v>65</v>
      </c>
      <c r="C53" s="416" t="s">
        <v>258</v>
      </c>
      <c r="D53" s="416"/>
      <c r="E53" s="432"/>
      <c r="F53" s="430">
        <v>100000</v>
      </c>
      <c r="G53" s="372">
        <f t="shared" si="0"/>
        <v>1005460</v>
      </c>
      <c r="H53" s="268" t="s">
        <v>60</v>
      </c>
      <c r="I53" s="414"/>
      <c r="J53" s="140"/>
      <c r="K53" s="140"/>
      <c r="L53" s="140"/>
      <c r="M53" s="140"/>
      <c r="N53" s="140"/>
      <c r="Q53" s="189"/>
      <c r="R53" s="189"/>
      <c r="S53" s="189"/>
    </row>
    <row r="54" spans="1:19" ht="15.75">
      <c r="A54" s="390">
        <v>44334</v>
      </c>
      <c r="B54" s="423" t="s">
        <v>271</v>
      </c>
      <c r="C54" s="433" t="s">
        <v>28</v>
      </c>
      <c r="D54" s="434" t="s">
        <v>21</v>
      </c>
      <c r="E54" s="366"/>
      <c r="F54" s="430">
        <v>350000</v>
      </c>
      <c r="G54" s="372">
        <f t="shared" si="0"/>
        <v>655460</v>
      </c>
      <c r="H54" s="268" t="s">
        <v>60</v>
      </c>
      <c r="I54" s="414" t="s">
        <v>73</v>
      </c>
      <c r="J54" s="140"/>
      <c r="K54" s="140"/>
      <c r="L54" s="140"/>
      <c r="M54" s="344"/>
      <c r="N54" s="344"/>
      <c r="Q54" s="191"/>
      <c r="R54" s="191"/>
      <c r="S54" s="191"/>
    </row>
    <row r="55" spans="1:19" ht="15.75">
      <c r="A55" s="390">
        <v>44334</v>
      </c>
      <c r="B55" s="421" t="s">
        <v>272</v>
      </c>
      <c r="C55" s="374" t="s">
        <v>61</v>
      </c>
      <c r="D55" s="374" t="s">
        <v>21</v>
      </c>
      <c r="E55" s="432"/>
      <c r="F55" s="430">
        <v>3000</v>
      </c>
      <c r="G55" s="372">
        <f t="shared" si="0"/>
        <v>652460</v>
      </c>
      <c r="H55" s="268" t="s">
        <v>60</v>
      </c>
      <c r="I55" s="414" t="s">
        <v>73</v>
      </c>
      <c r="J55" s="140"/>
      <c r="K55" s="140"/>
      <c r="L55" s="140"/>
      <c r="M55" s="140"/>
      <c r="N55" s="140"/>
      <c r="Q55" s="189"/>
      <c r="R55" s="189"/>
      <c r="S55" s="189"/>
    </row>
    <row r="56" spans="1:19" ht="15.75">
      <c r="A56" s="390">
        <v>44334</v>
      </c>
      <c r="B56" s="421" t="s">
        <v>273</v>
      </c>
      <c r="C56" s="374" t="s">
        <v>61</v>
      </c>
      <c r="D56" s="374" t="s">
        <v>21</v>
      </c>
      <c r="E56" s="432"/>
      <c r="F56" s="430">
        <v>22771</v>
      </c>
      <c r="G56" s="372">
        <f t="shared" si="0"/>
        <v>629689</v>
      </c>
      <c r="H56" s="268" t="s">
        <v>60</v>
      </c>
      <c r="I56" s="414" t="s">
        <v>73</v>
      </c>
      <c r="J56" s="140"/>
      <c r="K56" s="140"/>
      <c r="L56" s="140"/>
      <c r="M56" s="140"/>
      <c r="N56" s="140"/>
      <c r="Q56" s="189"/>
      <c r="R56" s="189"/>
      <c r="S56" s="189"/>
    </row>
    <row r="57" spans="1:19" ht="15.75">
      <c r="A57" s="390">
        <v>44336</v>
      </c>
      <c r="B57" s="421" t="s">
        <v>362</v>
      </c>
      <c r="C57" s="374" t="s">
        <v>72</v>
      </c>
      <c r="D57" s="373" t="s">
        <v>21</v>
      </c>
      <c r="E57" s="432"/>
      <c r="F57" s="430">
        <v>400</v>
      </c>
      <c r="G57" s="372">
        <f t="shared" si="0"/>
        <v>629289</v>
      </c>
      <c r="H57" s="268" t="s">
        <v>60</v>
      </c>
      <c r="I57" s="414" t="s">
        <v>73</v>
      </c>
      <c r="J57" s="140"/>
      <c r="K57" s="140"/>
      <c r="L57" s="140"/>
      <c r="M57" s="140"/>
      <c r="N57" s="140"/>
      <c r="Q57" s="189"/>
      <c r="R57" s="189"/>
      <c r="S57" s="189"/>
    </row>
    <row r="58" spans="1:19" ht="15.75">
      <c r="A58" s="390">
        <v>44337</v>
      </c>
      <c r="B58" s="423" t="s">
        <v>56</v>
      </c>
      <c r="C58" s="268" t="s">
        <v>258</v>
      </c>
      <c r="D58" s="268"/>
      <c r="E58" s="432">
        <v>1000000</v>
      </c>
      <c r="F58" s="430"/>
      <c r="G58" s="372">
        <f t="shared" si="0"/>
        <v>1629289</v>
      </c>
      <c r="H58" s="268" t="s">
        <v>60</v>
      </c>
      <c r="I58" s="414"/>
      <c r="J58" s="140"/>
      <c r="K58" s="140"/>
      <c r="L58" s="140"/>
      <c r="M58" s="140"/>
      <c r="N58" s="140"/>
      <c r="O58" s="41"/>
      <c r="Q58" s="189"/>
      <c r="R58" s="189"/>
      <c r="S58" s="189"/>
    </row>
    <row r="59" spans="1:19" s="452" customFormat="1" ht="15.75">
      <c r="A59" s="390">
        <v>44337</v>
      </c>
      <c r="B59" s="416" t="s">
        <v>88</v>
      </c>
      <c r="C59" s="416" t="s">
        <v>258</v>
      </c>
      <c r="D59" s="416"/>
      <c r="E59" s="432"/>
      <c r="F59" s="366">
        <v>226000</v>
      </c>
      <c r="G59" s="372">
        <f t="shared" si="0"/>
        <v>1403289</v>
      </c>
      <c r="H59" s="371" t="s">
        <v>60</v>
      </c>
      <c r="I59" s="414"/>
      <c r="J59" s="142"/>
      <c r="K59" s="142"/>
      <c r="L59" s="142"/>
      <c r="M59" s="142"/>
      <c r="N59" s="142"/>
      <c r="O59" s="41"/>
      <c r="Q59" s="190"/>
      <c r="R59" s="190"/>
      <c r="S59" s="453"/>
    </row>
    <row r="60" spans="1:19" ht="15.75">
      <c r="A60" s="390">
        <v>44337</v>
      </c>
      <c r="B60" s="421" t="s">
        <v>221</v>
      </c>
      <c r="C60" s="421" t="s">
        <v>258</v>
      </c>
      <c r="D60" s="421"/>
      <c r="E60" s="428"/>
      <c r="F60" s="430">
        <v>169000</v>
      </c>
      <c r="G60" s="372">
        <f t="shared" si="0"/>
        <v>1234289</v>
      </c>
      <c r="H60" s="268" t="s">
        <v>60</v>
      </c>
      <c r="I60" s="414"/>
      <c r="J60" s="140"/>
      <c r="K60" s="140"/>
      <c r="L60" s="140"/>
      <c r="M60" s="140"/>
      <c r="N60" s="140"/>
      <c r="O60" s="41"/>
      <c r="Q60" s="190"/>
      <c r="R60" s="190"/>
      <c r="S60" s="189"/>
    </row>
    <row r="61" spans="1:19" ht="15.75">
      <c r="A61" s="390">
        <v>44337</v>
      </c>
      <c r="B61" s="421" t="s">
        <v>67</v>
      </c>
      <c r="C61" s="421" t="s">
        <v>258</v>
      </c>
      <c r="D61" s="421"/>
      <c r="E61" s="428"/>
      <c r="F61" s="430">
        <v>183000</v>
      </c>
      <c r="G61" s="372">
        <f t="shared" si="0"/>
        <v>1051289</v>
      </c>
      <c r="H61" s="268" t="s">
        <v>60</v>
      </c>
      <c r="I61" s="414"/>
      <c r="J61" s="140"/>
      <c r="K61" s="140"/>
      <c r="L61" s="140"/>
      <c r="M61" s="140"/>
      <c r="N61" s="140"/>
      <c r="O61" s="41"/>
      <c r="Q61" s="190"/>
      <c r="R61" s="190"/>
      <c r="S61" s="189"/>
    </row>
    <row r="62" spans="1:19" ht="15.75">
      <c r="A62" s="390">
        <v>44337</v>
      </c>
      <c r="B62" s="421" t="s">
        <v>66</v>
      </c>
      <c r="C62" s="421" t="s">
        <v>258</v>
      </c>
      <c r="D62" s="421"/>
      <c r="E62" s="428"/>
      <c r="F62" s="430">
        <v>159000</v>
      </c>
      <c r="G62" s="372">
        <f t="shared" si="0"/>
        <v>892289</v>
      </c>
      <c r="H62" s="268" t="s">
        <v>60</v>
      </c>
      <c r="I62" s="414"/>
      <c r="J62" s="140"/>
      <c r="K62" s="140"/>
      <c r="L62" s="140"/>
      <c r="M62" s="140"/>
      <c r="N62" s="140"/>
      <c r="O62" s="41"/>
      <c r="P62" s="411"/>
      <c r="Q62" s="411"/>
      <c r="R62" s="411"/>
      <c r="S62" s="190"/>
    </row>
    <row r="63" spans="1:19" ht="15.75">
      <c r="A63" s="390">
        <v>44337</v>
      </c>
      <c r="B63" s="416" t="s">
        <v>274</v>
      </c>
      <c r="C63" s="374" t="s">
        <v>61</v>
      </c>
      <c r="D63" s="374" t="s">
        <v>21</v>
      </c>
      <c r="E63" s="437"/>
      <c r="F63" s="366">
        <f>22110</f>
        <v>22110</v>
      </c>
      <c r="G63" s="372">
        <f t="shared" si="0"/>
        <v>870179</v>
      </c>
      <c r="H63" s="268" t="s">
        <v>60</v>
      </c>
      <c r="I63" s="414" t="s">
        <v>73</v>
      </c>
      <c r="J63" s="140"/>
      <c r="K63" s="140"/>
      <c r="L63" s="140"/>
      <c r="M63" s="140"/>
      <c r="N63" s="140"/>
      <c r="O63" s="41"/>
      <c r="Q63" s="190"/>
      <c r="R63" s="190"/>
      <c r="S63" s="190"/>
    </row>
    <row r="64" spans="1:19" ht="15.75">
      <c r="A64" s="390">
        <v>44337</v>
      </c>
      <c r="B64" s="423" t="s">
        <v>119</v>
      </c>
      <c r="C64" s="421" t="s">
        <v>258</v>
      </c>
      <c r="D64" s="421"/>
      <c r="E64" s="428"/>
      <c r="F64" s="430">
        <v>5000</v>
      </c>
      <c r="G64" s="372">
        <f t="shared" si="0"/>
        <v>865179</v>
      </c>
      <c r="H64" s="268" t="s">
        <v>60</v>
      </c>
      <c r="I64" s="414"/>
      <c r="J64" s="140"/>
      <c r="K64" s="140"/>
      <c r="L64" s="140"/>
      <c r="M64" s="140"/>
      <c r="N64" s="140"/>
      <c r="O64" s="41"/>
      <c r="Q64" s="190"/>
      <c r="R64" s="190"/>
      <c r="S64" s="190"/>
    </row>
    <row r="65" spans="1:31" ht="15.75">
      <c r="A65" s="390">
        <v>44337</v>
      </c>
      <c r="B65" s="421" t="s">
        <v>138</v>
      </c>
      <c r="C65" s="421" t="s">
        <v>258</v>
      </c>
      <c r="D65" s="421"/>
      <c r="E65" s="428"/>
      <c r="F65" s="430">
        <v>10000</v>
      </c>
      <c r="G65" s="372">
        <f t="shared" si="0"/>
        <v>855179</v>
      </c>
      <c r="H65" s="268" t="s">
        <v>60</v>
      </c>
      <c r="I65" s="414"/>
      <c r="J65" s="140"/>
      <c r="K65" s="140"/>
      <c r="L65" s="140"/>
      <c r="M65" s="140"/>
      <c r="N65" s="140"/>
      <c r="O65" s="41"/>
      <c r="Q65" s="190"/>
      <c r="R65" s="190"/>
      <c r="S65" s="190"/>
    </row>
    <row r="66" spans="1:31" ht="15.75">
      <c r="A66" s="390">
        <v>44337</v>
      </c>
      <c r="B66" s="421" t="s">
        <v>275</v>
      </c>
      <c r="C66" s="268" t="s">
        <v>58</v>
      </c>
      <c r="D66" s="349" t="s">
        <v>118</v>
      </c>
      <c r="E66" s="428"/>
      <c r="F66" s="430">
        <v>86000</v>
      </c>
      <c r="G66" s="372">
        <f t="shared" si="0"/>
        <v>769179</v>
      </c>
      <c r="H66" s="268" t="s">
        <v>60</v>
      </c>
      <c r="I66" s="414" t="s">
        <v>73</v>
      </c>
      <c r="J66" s="140"/>
      <c r="K66" s="140"/>
      <c r="L66" s="140"/>
      <c r="M66" s="140"/>
      <c r="N66" s="140"/>
      <c r="O66" s="41"/>
      <c r="Q66" s="190"/>
      <c r="R66" s="190"/>
      <c r="S66" s="190"/>
    </row>
    <row r="67" spans="1:31" ht="15.75">
      <c r="A67" s="390">
        <v>44338</v>
      </c>
      <c r="B67" s="416" t="s">
        <v>276</v>
      </c>
      <c r="C67" s="374" t="s">
        <v>61</v>
      </c>
      <c r="D67" s="374" t="s">
        <v>21</v>
      </c>
      <c r="E67" s="428"/>
      <c r="F67" s="430">
        <v>900</v>
      </c>
      <c r="G67" s="372">
        <f t="shared" si="0"/>
        <v>768279</v>
      </c>
      <c r="H67" s="268" t="s">
        <v>60</v>
      </c>
      <c r="I67" s="414" t="s">
        <v>73</v>
      </c>
      <c r="J67" s="140"/>
      <c r="K67" s="140"/>
      <c r="L67" s="140"/>
      <c r="M67" s="140"/>
      <c r="N67" s="140"/>
      <c r="O67" s="346"/>
      <c r="Q67" s="190"/>
      <c r="R67" s="190"/>
      <c r="S67" s="190"/>
    </row>
    <row r="68" spans="1:31" ht="15.75">
      <c r="A68" s="390">
        <v>44341</v>
      </c>
      <c r="B68" s="421" t="s">
        <v>67</v>
      </c>
      <c r="C68" s="421" t="s">
        <v>258</v>
      </c>
      <c r="D68" s="421"/>
      <c r="E68" s="428"/>
      <c r="F68" s="430">
        <v>70000</v>
      </c>
      <c r="G68" s="372">
        <f t="shared" si="0"/>
        <v>698279</v>
      </c>
      <c r="H68" s="268" t="s">
        <v>60</v>
      </c>
      <c r="I68" s="414"/>
      <c r="J68" s="140"/>
      <c r="K68" s="140"/>
      <c r="L68" s="140"/>
      <c r="M68" s="140"/>
      <c r="N68" s="140"/>
      <c r="O68" s="41"/>
      <c r="Q68" s="190"/>
      <c r="R68" s="190"/>
      <c r="S68" s="190"/>
      <c r="Z68" s="134">
        <v>44188</v>
      </c>
      <c r="AA68" s="139" t="s">
        <v>157</v>
      </c>
      <c r="AB68" s="140" t="s">
        <v>15</v>
      </c>
      <c r="AC68" s="140" t="s">
        <v>16</v>
      </c>
      <c r="AD68" s="144"/>
      <c r="AE68" s="192">
        <v>882</v>
      </c>
    </row>
    <row r="69" spans="1:31" ht="15.75">
      <c r="A69" s="390">
        <v>44341</v>
      </c>
      <c r="B69" s="421" t="s">
        <v>67</v>
      </c>
      <c r="C69" s="421" t="s">
        <v>258</v>
      </c>
      <c r="D69" s="421"/>
      <c r="E69" s="432"/>
      <c r="F69" s="431">
        <v>10000</v>
      </c>
      <c r="G69" s="372">
        <f t="shared" si="0"/>
        <v>688279</v>
      </c>
      <c r="H69" s="371" t="s">
        <v>60</v>
      </c>
      <c r="I69" s="414"/>
      <c r="J69" s="140"/>
      <c r="K69" s="140"/>
      <c r="L69" s="140"/>
      <c r="M69" s="140"/>
      <c r="N69" s="140"/>
      <c r="O69" s="41"/>
      <c r="Q69" s="190"/>
      <c r="R69" s="190"/>
      <c r="S69" s="190"/>
    </row>
    <row r="70" spans="1:31" ht="15.75">
      <c r="A70" s="390">
        <v>44342</v>
      </c>
      <c r="B70" s="421" t="s">
        <v>277</v>
      </c>
      <c r="C70" s="268" t="s">
        <v>58</v>
      </c>
      <c r="D70" s="349" t="s">
        <v>118</v>
      </c>
      <c r="E70" s="437"/>
      <c r="F70" s="431">
        <v>27000</v>
      </c>
      <c r="G70" s="372">
        <f t="shared" si="0"/>
        <v>661279</v>
      </c>
      <c r="H70" s="268" t="s">
        <v>60</v>
      </c>
      <c r="I70" s="414" t="s">
        <v>73</v>
      </c>
      <c r="J70" s="140"/>
      <c r="K70" s="140"/>
      <c r="L70" s="140"/>
      <c r="M70" s="140"/>
      <c r="N70" s="140"/>
      <c r="O70" s="41"/>
      <c r="Q70" s="190"/>
      <c r="R70" s="190"/>
      <c r="S70" s="190"/>
    </row>
    <row r="71" spans="1:31" s="452" customFormat="1" ht="15.75">
      <c r="A71" s="390">
        <v>44342</v>
      </c>
      <c r="B71" s="416" t="s">
        <v>88</v>
      </c>
      <c r="C71" s="416" t="s">
        <v>258</v>
      </c>
      <c r="D71" s="416"/>
      <c r="E71" s="437"/>
      <c r="F71" s="366">
        <v>141000</v>
      </c>
      <c r="G71" s="372">
        <f t="shared" si="0"/>
        <v>520279</v>
      </c>
      <c r="H71" s="268" t="s">
        <v>60</v>
      </c>
      <c r="I71" s="414"/>
      <c r="J71" s="142"/>
      <c r="K71" s="142"/>
      <c r="L71" s="142"/>
      <c r="M71" s="142"/>
      <c r="N71" s="142"/>
      <c r="O71" s="41"/>
      <c r="Q71" s="190"/>
      <c r="R71" s="190"/>
      <c r="S71" s="190"/>
    </row>
    <row r="72" spans="1:31" ht="15.75">
      <c r="A72" s="390">
        <v>44342</v>
      </c>
      <c r="B72" s="421" t="s">
        <v>221</v>
      </c>
      <c r="C72" s="421" t="s">
        <v>258</v>
      </c>
      <c r="D72" s="421"/>
      <c r="E72" s="428"/>
      <c r="F72" s="430">
        <v>103000</v>
      </c>
      <c r="G72" s="372">
        <f t="shared" si="0"/>
        <v>417279</v>
      </c>
      <c r="H72" s="268" t="s">
        <v>60</v>
      </c>
      <c r="I72" s="414"/>
      <c r="J72" s="140"/>
      <c r="K72" s="140"/>
      <c r="L72" s="140"/>
      <c r="M72" s="140"/>
      <c r="N72" s="140"/>
      <c r="O72" s="143"/>
      <c r="Q72" s="190"/>
      <c r="R72" s="190"/>
      <c r="S72" s="190"/>
    </row>
    <row r="73" spans="1:31" ht="15.75">
      <c r="A73" s="390">
        <v>44342</v>
      </c>
      <c r="B73" s="421" t="s">
        <v>66</v>
      </c>
      <c r="C73" s="421" t="s">
        <v>258</v>
      </c>
      <c r="D73" s="421"/>
      <c r="E73" s="428"/>
      <c r="F73" s="430">
        <v>97000</v>
      </c>
      <c r="G73" s="372">
        <f t="shared" si="0"/>
        <v>320279</v>
      </c>
      <c r="H73" s="268" t="s">
        <v>60</v>
      </c>
      <c r="I73" s="414"/>
      <c r="J73" s="140"/>
      <c r="K73" s="140"/>
      <c r="L73" s="140"/>
      <c r="M73" s="140"/>
      <c r="N73" s="140"/>
      <c r="O73" s="143"/>
      <c r="Q73" s="190"/>
      <c r="R73" s="190"/>
      <c r="S73" s="190"/>
    </row>
    <row r="74" spans="1:31" ht="15.75">
      <c r="A74" s="390">
        <v>44342</v>
      </c>
      <c r="B74" s="416" t="s">
        <v>274</v>
      </c>
      <c r="C74" s="374" t="s">
        <v>61</v>
      </c>
      <c r="D74" s="374" t="s">
        <v>21</v>
      </c>
      <c r="E74" s="428"/>
      <c r="F74" s="430">
        <v>10230</v>
      </c>
      <c r="G74" s="372">
        <f t="shared" si="0"/>
        <v>310049</v>
      </c>
      <c r="H74" s="268" t="s">
        <v>60</v>
      </c>
      <c r="I74" s="414" t="s">
        <v>73</v>
      </c>
      <c r="J74" s="140"/>
      <c r="K74" s="140"/>
      <c r="L74" s="140"/>
      <c r="M74" s="140"/>
      <c r="N74" s="140"/>
      <c r="Q74" s="190"/>
      <c r="R74" s="190"/>
      <c r="S74" s="190"/>
    </row>
    <row r="75" spans="1:31" ht="15.75">
      <c r="A75" s="390">
        <v>44342</v>
      </c>
      <c r="B75" s="421" t="s">
        <v>67</v>
      </c>
      <c r="C75" s="421" t="s">
        <v>258</v>
      </c>
      <c r="D75" s="421"/>
      <c r="E75" s="428"/>
      <c r="F75" s="430">
        <v>92000</v>
      </c>
      <c r="G75" s="372">
        <f t="shared" si="0"/>
        <v>218049</v>
      </c>
      <c r="H75" s="268" t="s">
        <v>60</v>
      </c>
      <c r="I75" s="414"/>
      <c r="J75" s="142"/>
      <c r="K75" s="142"/>
      <c r="L75" s="142"/>
      <c r="M75" s="142"/>
      <c r="N75" s="140"/>
      <c r="Q75" s="190"/>
      <c r="R75" s="190"/>
      <c r="S75" s="190"/>
    </row>
    <row r="76" spans="1:31" ht="15.75">
      <c r="A76" s="390">
        <v>44342</v>
      </c>
      <c r="B76" s="421" t="s">
        <v>120</v>
      </c>
      <c r="C76" s="421" t="s">
        <v>258</v>
      </c>
      <c r="D76" s="421"/>
      <c r="E76" s="428"/>
      <c r="F76" s="430">
        <v>92000</v>
      </c>
      <c r="G76" s="372">
        <f t="shared" si="0"/>
        <v>126049</v>
      </c>
      <c r="H76" s="268" t="s">
        <v>60</v>
      </c>
      <c r="I76" s="414"/>
      <c r="J76" s="140"/>
      <c r="K76" s="140"/>
      <c r="L76" s="140"/>
      <c r="M76" s="140"/>
      <c r="N76" s="140"/>
      <c r="Q76" s="190"/>
      <c r="R76" s="190"/>
      <c r="S76" s="190"/>
    </row>
    <row r="77" spans="1:31" ht="15.75">
      <c r="A77" s="390">
        <v>44342</v>
      </c>
      <c r="B77" s="421" t="s">
        <v>385</v>
      </c>
      <c r="C77" s="268" t="s">
        <v>258</v>
      </c>
      <c r="D77" s="268"/>
      <c r="E77" s="428">
        <v>143000</v>
      </c>
      <c r="F77" s="430"/>
      <c r="G77" s="372">
        <f t="shared" ref="G77:G102" si="1">+G76+E77-F77</f>
        <v>269049</v>
      </c>
      <c r="H77" s="268" t="s">
        <v>60</v>
      </c>
      <c r="I77" s="414"/>
      <c r="J77" s="140"/>
      <c r="K77" s="140"/>
      <c r="L77" s="140"/>
      <c r="M77" s="140"/>
      <c r="N77" s="140"/>
      <c r="O77" s="143"/>
      <c r="Q77" s="190"/>
      <c r="R77" s="190"/>
      <c r="S77" s="190"/>
    </row>
    <row r="78" spans="1:31" ht="15.75">
      <c r="A78" s="390">
        <v>44342</v>
      </c>
      <c r="B78" s="416" t="s">
        <v>386</v>
      </c>
      <c r="C78" s="268" t="s">
        <v>258</v>
      </c>
      <c r="D78" s="268"/>
      <c r="E78" s="432">
        <v>167000</v>
      </c>
      <c r="F78" s="430"/>
      <c r="G78" s="372">
        <f t="shared" si="1"/>
        <v>436049</v>
      </c>
      <c r="H78" s="268" t="s">
        <v>60</v>
      </c>
      <c r="I78" s="414"/>
      <c r="J78" s="140"/>
      <c r="K78" s="140"/>
      <c r="L78" s="140"/>
      <c r="M78" s="140"/>
      <c r="N78" s="140"/>
      <c r="O78" s="143"/>
      <c r="Q78" s="190"/>
      <c r="R78" s="190"/>
      <c r="S78" s="190"/>
    </row>
    <row r="79" spans="1:31" ht="15.75">
      <c r="A79" s="390">
        <v>44343</v>
      </c>
      <c r="B79" s="423" t="s">
        <v>384</v>
      </c>
      <c r="C79" s="268" t="s">
        <v>258</v>
      </c>
      <c r="D79" s="268"/>
      <c r="E79" s="428">
        <v>1000000</v>
      </c>
      <c r="F79" s="430"/>
      <c r="G79" s="372">
        <f t="shared" si="1"/>
        <v>1436049</v>
      </c>
      <c r="H79" s="371" t="s">
        <v>60</v>
      </c>
      <c r="I79" s="414"/>
      <c r="J79" s="140"/>
      <c r="K79" s="140"/>
      <c r="L79" s="140"/>
      <c r="M79" s="140"/>
      <c r="N79" s="140"/>
      <c r="O79" s="133"/>
      <c r="P79" s="133"/>
      <c r="Q79" s="190"/>
      <c r="R79" s="190"/>
      <c r="S79" s="190"/>
      <c r="T79" s="133"/>
      <c r="U79" s="133"/>
      <c r="V79" s="133"/>
      <c r="W79" s="133"/>
      <c r="X79" s="133"/>
      <c r="Y79" s="133"/>
      <c r="Z79" s="133"/>
      <c r="AA79" s="133"/>
    </row>
    <row r="80" spans="1:31" ht="15.75">
      <c r="A80" s="390">
        <v>44343</v>
      </c>
      <c r="B80" s="421" t="s">
        <v>88</v>
      </c>
      <c r="C80" s="421" t="s">
        <v>258</v>
      </c>
      <c r="D80" s="421"/>
      <c r="E80" s="428"/>
      <c r="F80" s="366">
        <v>533000</v>
      </c>
      <c r="G80" s="372">
        <f t="shared" si="1"/>
        <v>903049</v>
      </c>
      <c r="H80" s="268" t="s">
        <v>60</v>
      </c>
      <c r="I80" s="414"/>
      <c r="J80" s="140"/>
      <c r="K80" s="140"/>
      <c r="L80" s="140"/>
      <c r="M80" s="140"/>
      <c r="N80" s="140"/>
      <c r="O80" s="133"/>
      <c r="P80" s="133"/>
      <c r="Q80" s="190"/>
      <c r="R80" s="190"/>
      <c r="S80" s="190"/>
      <c r="T80" s="133"/>
      <c r="U80" s="133"/>
      <c r="V80" s="133"/>
      <c r="W80" s="133"/>
      <c r="X80" s="133"/>
      <c r="Y80" s="133"/>
      <c r="Z80" s="133"/>
      <c r="AA80" s="133"/>
    </row>
    <row r="81" spans="1:27" ht="15.75">
      <c r="A81" s="390">
        <v>44343</v>
      </c>
      <c r="B81" s="421" t="s">
        <v>279</v>
      </c>
      <c r="C81" s="421" t="s">
        <v>258</v>
      </c>
      <c r="D81" s="421"/>
      <c r="E81" s="428">
        <v>20000</v>
      </c>
      <c r="F81" s="430"/>
      <c r="G81" s="372">
        <f t="shared" si="1"/>
        <v>923049</v>
      </c>
      <c r="H81" s="268" t="s">
        <v>60</v>
      </c>
      <c r="I81" s="414"/>
      <c r="J81" s="142"/>
      <c r="K81" s="142"/>
      <c r="L81" s="142"/>
      <c r="M81" s="142"/>
      <c r="N81" s="142"/>
      <c r="O81" s="133"/>
      <c r="P81" s="133"/>
      <c r="Q81" s="190"/>
      <c r="R81" s="190"/>
      <c r="S81" s="190"/>
      <c r="T81" s="133"/>
      <c r="U81" s="133"/>
      <c r="V81" s="133"/>
      <c r="W81" s="133"/>
      <c r="X81" s="133"/>
      <c r="Y81" s="133"/>
      <c r="Z81" s="133"/>
      <c r="AA81" s="133"/>
    </row>
    <row r="82" spans="1:27" ht="15.75">
      <c r="A82" s="390">
        <v>44343</v>
      </c>
      <c r="B82" s="268" t="s">
        <v>291</v>
      </c>
      <c r="C82" s="268" t="s">
        <v>17</v>
      </c>
      <c r="D82" s="374" t="s">
        <v>21</v>
      </c>
      <c r="E82" s="366"/>
      <c r="F82" s="430">
        <v>18000</v>
      </c>
      <c r="G82" s="372">
        <f t="shared" si="1"/>
        <v>905049</v>
      </c>
      <c r="H82" s="268" t="s">
        <v>60</v>
      </c>
      <c r="I82" s="414" t="s">
        <v>73</v>
      </c>
      <c r="J82" s="140"/>
      <c r="K82" s="140"/>
      <c r="L82" s="140"/>
      <c r="M82" s="140"/>
      <c r="N82" s="140"/>
      <c r="O82" s="133"/>
      <c r="P82" s="133"/>
      <c r="Q82" s="190"/>
      <c r="R82" s="190"/>
      <c r="S82" s="190"/>
      <c r="T82" s="133"/>
      <c r="U82" s="133"/>
      <c r="V82" s="133"/>
      <c r="W82" s="133"/>
      <c r="X82" s="133"/>
      <c r="Y82" s="133"/>
      <c r="Z82" s="133"/>
      <c r="AA82" s="133"/>
    </row>
    <row r="83" spans="1:27" ht="15.75">
      <c r="A83" s="390">
        <v>44344</v>
      </c>
      <c r="B83" s="416" t="s">
        <v>280</v>
      </c>
      <c r="C83" s="387" t="s">
        <v>20</v>
      </c>
      <c r="D83" s="416" t="s">
        <v>19</v>
      </c>
      <c r="E83" s="432"/>
      <c r="F83" s="432">
        <v>36000</v>
      </c>
      <c r="G83" s="372">
        <f t="shared" si="1"/>
        <v>869049</v>
      </c>
      <c r="H83" s="268" t="s">
        <v>60</v>
      </c>
      <c r="I83" s="414" t="s">
        <v>73</v>
      </c>
      <c r="J83" s="140"/>
      <c r="K83" s="140"/>
      <c r="L83" s="140"/>
      <c r="M83" s="140"/>
      <c r="N83" s="140"/>
      <c r="O83" s="133"/>
      <c r="P83" s="133"/>
      <c r="Q83" s="190"/>
      <c r="R83" s="190"/>
      <c r="S83" s="190"/>
      <c r="T83" s="133"/>
      <c r="U83" s="133"/>
      <c r="V83" s="133"/>
      <c r="W83" s="133"/>
      <c r="X83" s="133"/>
      <c r="Y83" s="133"/>
      <c r="Z83" s="133"/>
      <c r="AA83" s="133"/>
    </row>
    <row r="84" spans="1:27" ht="15.75">
      <c r="A84" s="390">
        <v>44344</v>
      </c>
      <c r="B84" s="416" t="s">
        <v>281</v>
      </c>
      <c r="C84" s="387" t="s">
        <v>20</v>
      </c>
      <c r="D84" s="416" t="s">
        <v>118</v>
      </c>
      <c r="E84" s="432"/>
      <c r="F84" s="432">
        <v>31000</v>
      </c>
      <c r="G84" s="372">
        <f t="shared" si="1"/>
        <v>838049</v>
      </c>
      <c r="H84" s="268" t="s">
        <v>60</v>
      </c>
      <c r="I84" s="414" t="s">
        <v>73</v>
      </c>
      <c r="J84" s="140"/>
      <c r="K84" s="140"/>
      <c r="L84" s="140"/>
      <c r="M84" s="140"/>
      <c r="N84" s="140"/>
      <c r="O84" s="133"/>
      <c r="P84" s="133"/>
      <c r="Q84" s="190"/>
      <c r="R84" s="190"/>
      <c r="S84" s="190"/>
      <c r="T84" s="133"/>
      <c r="U84" s="133"/>
      <c r="V84" s="133"/>
      <c r="W84" s="133"/>
      <c r="X84" s="133"/>
      <c r="Y84" s="133"/>
      <c r="Z84" s="133"/>
      <c r="AA84" s="133"/>
    </row>
    <row r="85" spans="1:27" ht="15.75">
      <c r="A85" s="390">
        <v>44344</v>
      </c>
      <c r="B85" s="416" t="s">
        <v>282</v>
      </c>
      <c r="C85" s="387" t="s">
        <v>20</v>
      </c>
      <c r="D85" s="416" t="s">
        <v>29</v>
      </c>
      <c r="E85" s="432"/>
      <c r="F85" s="432">
        <v>25000</v>
      </c>
      <c r="G85" s="372">
        <f t="shared" si="1"/>
        <v>813049</v>
      </c>
      <c r="H85" s="268" t="s">
        <v>60</v>
      </c>
      <c r="I85" s="414" t="s">
        <v>73</v>
      </c>
      <c r="J85" s="140"/>
      <c r="K85" s="140"/>
      <c r="L85" s="140"/>
      <c r="M85" s="140"/>
      <c r="N85" s="140"/>
      <c r="O85" s="133"/>
      <c r="P85" s="133"/>
      <c r="Q85" s="190"/>
      <c r="R85" s="190"/>
      <c r="S85" s="190"/>
      <c r="T85" s="133"/>
      <c r="U85" s="133"/>
      <c r="V85" s="133"/>
      <c r="W85" s="133"/>
      <c r="X85" s="133"/>
      <c r="Y85" s="133"/>
      <c r="Z85" s="133"/>
      <c r="AA85" s="133"/>
    </row>
    <row r="86" spans="1:27" ht="15.75">
      <c r="A86" s="390">
        <v>44344</v>
      </c>
      <c r="B86" s="416" t="s">
        <v>283</v>
      </c>
      <c r="C86" s="387" t="s">
        <v>20</v>
      </c>
      <c r="D86" s="416" t="s">
        <v>59</v>
      </c>
      <c r="E86" s="432"/>
      <c r="F86" s="432">
        <v>5000</v>
      </c>
      <c r="G86" s="372">
        <f t="shared" si="1"/>
        <v>808049</v>
      </c>
      <c r="H86" s="268" t="s">
        <v>60</v>
      </c>
      <c r="I86" s="414" t="s">
        <v>73</v>
      </c>
      <c r="J86" s="140"/>
      <c r="K86" s="140"/>
      <c r="L86" s="140"/>
      <c r="M86" s="140"/>
      <c r="N86" s="140"/>
      <c r="O86" s="133"/>
      <c r="P86" s="133"/>
      <c r="Q86" s="190"/>
      <c r="R86" s="190"/>
      <c r="S86" s="190"/>
      <c r="T86" s="133"/>
      <c r="U86" s="133"/>
      <c r="V86" s="133"/>
      <c r="W86" s="133"/>
      <c r="X86" s="133"/>
      <c r="Y86" s="133"/>
      <c r="Z86" s="133"/>
      <c r="AA86" s="133"/>
    </row>
    <row r="87" spans="1:27" ht="15.75">
      <c r="A87" s="390">
        <v>44344</v>
      </c>
      <c r="B87" s="416" t="s">
        <v>284</v>
      </c>
      <c r="C87" s="387" t="s">
        <v>20</v>
      </c>
      <c r="D87" s="416" t="s">
        <v>19</v>
      </c>
      <c r="E87" s="432"/>
      <c r="F87" s="432">
        <v>22000</v>
      </c>
      <c r="G87" s="372">
        <f t="shared" si="1"/>
        <v>786049</v>
      </c>
      <c r="H87" s="268" t="s">
        <v>60</v>
      </c>
      <c r="I87" s="414" t="s">
        <v>73</v>
      </c>
      <c r="J87" s="140"/>
      <c r="K87" s="140"/>
      <c r="L87" s="140"/>
      <c r="M87" s="140"/>
      <c r="N87" s="140"/>
      <c r="O87" s="133"/>
      <c r="P87" s="133"/>
      <c r="Q87" s="190"/>
      <c r="R87" s="190"/>
      <c r="S87" s="190"/>
      <c r="T87" s="133"/>
      <c r="U87" s="133"/>
      <c r="V87" s="133"/>
      <c r="W87" s="133"/>
      <c r="X87" s="133"/>
      <c r="Y87" s="133"/>
      <c r="Z87" s="133"/>
      <c r="AA87" s="133"/>
    </row>
    <row r="88" spans="1:27" ht="15.75">
      <c r="A88" s="390">
        <v>44344</v>
      </c>
      <c r="B88" s="416" t="s">
        <v>285</v>
      </c>
      <c r="C88" s="387" t="s">
        <v>20</v>
      </c>
      <c r="D88" s="416" t="s">
        <v>118</v>
      </c>
      <c r="E88" s="437"/>
      <c r="F88" s="432">
        <v>53000</v>
      </c>
      <c r="G88" s="372">
        <f t="shared" si="1"/>
        <v>733049</v>
      </c>
      <c r="H88" s="268" t="s">
        <v>60</v>
      </c>
      <c r="I88" s="414" t="s">
        <v>73</v>
      </c>
      <c r="J88" s="140"/>
      <c r="K88" s="140"/>
      <c r="L88" s="140"/>
      <c r="M88" s="140"/>
      <c r="N88" s="140"/>
      <c r="O88" s="133"/>
      <c r="P88" s="133"/>
      <c r="Q88" s="190"/>
      <c r="R88" s="190"/>
      <c r="S88" s="190"/>
      <c r="T88" s="133"/>
      <c r="U88" s="133"/>
      <c r="V88" s="133"/>
      <c r="W88" s="133"/>
      <c r="X88" s="133"/>
      <c r="Y88" s="133"/>
      <c r="Z88" s="133"/>
      <c r="AA88" s="133"/>
    </row>
    <row r="89" spans="1:27" ht="15.75">
      <c r="A89" s="390">
        <v>44344</v>
      </c>
      <c r="B89" s="416" t="s">
        <v>286</v>
      </c>
      <c r="C89" s="387" t="s">
        <v>20</v>
      </c>
      <c r="D89" s="416" t="s">
        <v>29</v>
      </c>
      <c r="E89" s="437"/>
      <c r="F89" s="432">
        <v>32000</v>
      </c>
      <c r="G89" s="372">
        <f t="shared" si="1"/>
        <v>701049</v>
      </c>
      <c r="H89" s="371" t="s">
        <v>60</v>
      </c>
      <c r="I89" s="414" t="s">
        <v>73</v>
      </c>
      <c r="J89" s="140"/>
      <c r="K89" s="140"/>
      <c r="L89" s="140"/>
      <c r="M89" s="140"/>
      <c r="N89" s="140"/>
      <c r="O89" s="133"/>
      <c r="P89" s="133"/>
      <c r="Q89" s="190"/>
      <c r="R89" s="190"/>
      <c r="S89" s="190"/>
      <c r="T89" s="133"/>
      <c r="U89" s="133"/>
      <c r="V89" s="133"/>
      <c r="W89" s="133"/>
      <c r="X89" s="133"/>
      <c r="Y89" s="133"/>
      <c r="Z89" s="133"/>
      <c r="AA89" s="133"/>
    </row>
    <row r="90" spans="1:27" ht="15.75">
      <c r="A90" s="390">
        <v>44344</v>
      </c>
      <c r="B90" s="416" t="s">
        <v>287</v>
      </c>
      <c r="C90" s="387" t="s">
        <v>20</v>
      </c>
      <c r="D90" s="416" t="s">
        <v>59</v>
      </c>
      <c r="E90" s="437"/>
      <c r="F90" s="432">
        <v>11000</v>
      </c>
      <c r="G90" s="372">
        <f t="shared" si="1"/>
        <v>690049</v>
      </c>
      <c r="H90" s="268" t="s">
        <v>60</v>
      </c>
      <c r="I90" s="414" t="s">
        <v>73</v>
      </c>
      <c r="J90" s="140"/>
      <c r="K90" s="140"/>
      <c r="L90" s="140"/>
      <c r="M90" s="140"/>
      <c r="N90" s="140"/>
      <c r="O90" s="133"/>
      <c r="P90" s="133"/>
      <c r="Q90" s="190"/>
      <c r="R90" s="190"/>
      <c r="S90" s="190"/>
      <c r="T90" s="133"/>
      <c r="U90" s="133"/>
      <c r="V90" s="133"/>
      <c r="W90" s="133"/>
      <c r="X90" s="133"/>
      <c r="Y90" s="133"/>
      <c r="Z90" s="133"/>
      <c r="AA90" s="133"/>
    </row>
    <row r="91" spans="1:27" ht="15.75">
      <c r="A91" s="390">
        <v>44344</v>
      </c>
      <c r="B91" s="421" t="s">
        <v>222</v>
      </c>
      <c r="C91" s="416" t="s">
        <v>28</v>
      </c>
      <c r="D91" s="374" t="s">
        <v>21</v>
      </c>
      <c r="E91" s="428"/>
      <c r="F91" s="430">
        <v>75625</v>
      </c>
      <c r="G91" s="372">
        <f t="shared" si="1"/>
        <v>614424</v>
      </c>
      <c r="H91" s="268" t="s">
        <v>60</v>
      </c>
      <c r="I91" s="414" t="s">
        <v>73</v>
      </c>
      <c r="J91" s="140"/>
      <c r="K91" s="140"/>
      <c r="L91" s="140"/>
      <c r="M91" s="140"/>
      <c r="N91" s="140"/>
      <c r="O91" s="133"/>
      <c r="P91" s="133"/>
      <c r="Q91" s="190"/>
      <c r="R91" s="190"/>
      <c r="S91" s="190"/>
      <c r="T91" s="133"/>
      <c r="U91" s="133"/>
      <c r="V91" s="133"/>
      <c r="W91" s="133"/>
      <c r="X91" s="133"/>
      <c r="Y91" s="133"/>
      <c r="Z91" s="133"/>
      <c r="AA91" s="133"/>
    </row>
    <row r="92" spans="1:27" ht="15.75">
      <c r="A92" s="390">
        <v>44344</v>
      </c>
      <c r="B92" s="421" t="s">
        <v>356</v>
      </c>
      <c r="C92" s="421" t="s">
        <v>26</v>
      </c>
      <c r="D92" s="421" t="s">
        <v>290</v>
      </c>
      <c r="E92" s="428"/>
      <c r="F92" s="430">
        <v>80000</v>
      </c>
      <c r="G92" s="372">
        <f t="shared" si="1"/>
        <v>534424</v>
      </c>
      <c r="H92" s="268" t="s">
        <v>60</v>
      </c>
      <c r="I92" s="414" t="s">
        <v>131</v>
      </c>
      <c r="J92" s="140"/>
      <c r="K92" s="140"/>
      <c r="L92" s="140"/>
      <c r="M92" s="140"/>
      <c r="N92" s="140"/>
      <c r="O92" s="133"/>
      <c r="P92" s="133"/>
      <c r="Q92" s="190"/>
      <c r="R92" s="190"/>
      <c r="S92" s="190"/>
      <c r="T92" s="133"/>
      <c r="U92" s="133"/>
      <c r="V92" s="133"/>
      <c r="W92" s="133"/>
      <c r="X92" s="133"/>
      <c r="Y92" s="133"/>
      <c r="Z92" s="133"/>
      <c r="AA92" s="133"/>
    </row>
    <row r="93" spans="1:27" ht="15.75">
      <c r="A93" s="390">
        <v>44345</v>
      </c>
      <c r="B93" s="421" t="s">
        <v>67</v>
      </c>
      <c r="C93" s="421" t="s">
        <v>258</v>
      </c>
      <c r="D93" s="421"/>
      <c r="E93" s="428"/>
      <c r="F93" s="430">
        <v>91000</v>
      </c>
      <c r="G93" s="372">
        <f t="shared" si="1"/>
        <v>443424</v>
      </c>
      <c r="H93" s="268" t="s">
        <v>60</v>
      </c>
      <c r="I93" s="414"/>
      <c r="J93" s="140"/>
      <c r="K93" s="140"/>
      <c r="L93" s="140"/>
      <c r="M93" s="140"/>
      <c r="N93" s="140"/>
      <c r="O93" s="133"/>
      <c r="P93" s="133"/>
      <c r="Q93" s="190"/>
      <c r="R93" s="190"/>
      <c r="S93" s="190"/>
      <c r="T93" s="133"/>
      <c r="U93" s="133"/>
      <c r="V93" s="133"/>
      <c r="W93" s="133"/>
      <c r="X93" s="133"/>
      <c r="Y93" s="133"/>
      <c r="Z93" s="133"/>
      <c r="AA93" s="133"/>
    </row>
    <row r="94" spans="1:27" ht="15.75">
      <c r="A94" s="390">
        <v>44345</v>
      </c>
      <c r="B94" s="421" t="s">
        <v>221</v>
      </c>
      <c r="C94" s="421" t="s">
        <v>258</v>
      </c>
      <c r="D94" s="421"/>
      <c r="E94" s="428"/>
      <c r="F94" s="430">
        <v>91000</v>
      </c>
      <c r="G94" s="372">
        <f t="shared" si="1"/>
        <v>352424</v>
      </c>
      <c r="H94" s="268" t="s">
        <v>60</v>
      </c>
      <c r="I94" s="414"/>
      <c r="J94" s="140"/>
      <c r="K94" s="140"/>
      <c r="L94" s="140"/>
      <c r="M94" s="140"/>
      <c r="N94" s="140"/>
      <c r="O94" s="133"/>
      <c r="P94" s="133"/>
      <c r="Q94" s="190"/>
      <c r="R94" s="190"/>
      <c r="S94" s="190"/>
      <c r="T94" s="133"/>
      <c r="U94" s="133"/>
      <c r="V94" s="133"/>
      <c r="W94" s="133"/>
      <c r="X94" s="133"/>
      <c r="Y94" s="133"/>
      <c r="Z94" s="133"/>
      <c r="AA94" s="133"/>
    </row>
    <row r="95" spans="1:27" ht="15.75">
      <c r="A95" s="390">
        <v>44345</v>
      </c>
      <c r="B95" s="421" t="s">
        <v>88</v>
      </c>
      <c r="C95" s="416" t="s">
        <v>258</v>
      </c>
      <c r="D95" s="416"/>
      <c r="E95" s="428"/>
      <c r="F95" s="437">
        <v>91000</v>
      </c>
      <c r="G95" s="372">
        <f t="shared" si="1"/>
        <v>261424</v>
      </c>
      <c r="H95" s="268" t="s">
        <v>60</v>
      </c>
      <c r="I95" s="414"/>
      <c r="J95" s="140"/>
      <c r="K95" s="140"/>
      <c r="L95" s="140"/>
      <c r="M95" s="140"/>
      <c r="N95" s="140"/>
      <c r="O95" s="133"/>
      <c r="P95" s="133"/>
      <c r="Q95" s="190"/>
      <c r="R95" s="190"/>
      <c r="S95" s="190"/>
      <c r="T95" s="133"/>
      <c r="U95" s="133"/>
      <c r="V95" s="133"/>
      <c r="W95" s="133"/>
      <c r="X95" s="133"/>
      <c r="Y95" s="133"/>
      <c r="Z95" s="133"/>
      <c r="AA95" s="133"/>
    </row>
    <row r="96" spans="1:27" ht="15.75">
      <c r="A96" s="390">
        <v>44345</v>
      </c>
      <c r="B96" s="416" t="s">
        <v>120</v>
      </c>
      <c r="C96" s="416" t="s">
        <v>258</v>
      </c>
      <c r="D96" s="416"/>
      <c r="E96" s="432"/>
      <c r="F96" s="430">
        <v>109000</v>
      </c>
      <c r="G96" s="372">
        <f t="shared" si="1"/>
        <v>152424</v>
      </c>
      <c r="H96" s="268" t="s">
        <v>60</v>
      </c>
      <c r="I96" s="414"/>
      <c r="J96" s="140"/>
      <c r="K96" s="140"/>
      <c r="L96" s="140"/>
      <c r="M96" s="140"/>
      <c r="N96" s="140"/>
      <c r="O96" s="133"/>
      <c r="P96" s="133"/>
      <c r="Q96" s="190"/>
      <c r="R96" s="190"/>
      <c r="S96" s="190"/>
      <c r="T96" s="133"/>
      <c r="U96" s="133"/>
      <c r="V96" s="133"/>
      <c r="W96" s="133"/>
      <c r="X96" s="133"/>
      <c r="Y96" s="133"/>
      <c r="Z96" s="133"/>
      <c r="AA96" s="133"/>
    </row>
    <row r="97" spans="1:27" ht="15.75">
      <c r="A97" s="390">
        <v>44345</v>
      </c>
      <c r="B97" s="421" t="s">
        <v>288</v>
      </c>
      <c r="C97" s="374" t="s">
        <v>61</v>
      </c>
      <c r="D97" s="374" t="s">
        <v>21</v>
      </c>
      <c r="E97" s="432"/>
      <c r="F97" s="430">
        <v>11460</v>
      </c>
      <c r="G97" s="372">
        <f t="shared" si="1"/>
        <v>140964</v>
      </c>
      <c r="H97" s="268" t="s">
        <v>60</v>
      </c>
      <c r="I97" s="414" t="s">
        <v>73</v>
      </c>
      <c r="J97" s="140"/>
      <c r="K97" s="140"/>
      <c r="L97" s="140"/>
      <c r="M97" s="140"/>
      <c r="N97" s="140"/>
      <c r="O97" s="133"/>
      <c r="P97" s="133"/>
      <c r="Q97" s="190"/>
      <c r="R97" s="190"/>
      <c r="S97" s="190"/>
      <c r="T97" s="133"/>
      <c r="U97" s="133"/>
      <c r="V97" s="133"/>
      <c r="W97" s="133"/>
      <c r="X97" s="133"/>
      <c r="Y97" s="133"/>
      <c r="Z97" s="133"/>
      <c r="AA97" s="133"/>
    </row>
    <row r="98" spans="1:27" ht="15.75">
      <c r="A98" s="390">
        <v>44347</v>
      </c>
      <c r="B98" s="421" t="s">
        <v>383</v>
      </c>
      <c r="C98" s="416" t="s">
        <v>258</v>
      </c>
      <c r="D98" s="421"/>
      <c r="E98" s="432">
        <v>1000000</v>
      </c>
      <c r="F98" s="430"/>
      <c r="G98" s="372">
        <f t="shared" si="1"/>
        <v>1140964</v>
      </c>
      <c r="H98" s="268" t="s">
        <v>60</v>
      </c>
      <c r="I98" s="414"/>
      <c r="J98" s="140"/>
      <c r="K98" s="140"/>
      <c r="L98" s="140"/>
      <c r="M98" s="140"/>
      <c r="N98" s="140"/>
      <c r="O98" s="133"/>
      <c r="P98" s="133"/>
      <c r="Q98" s="190"/>
      <c r="R98" s="190"/>
      <c r="S98" s="190"/>
      <c r="T98" s="133"/>
      <c r="U98" s="133"/>
      <c r="V98" s="133"/>
      <c r="W98" s="133"/>
      <c r="X98" s="133"/>
      <c r="Y98" s="133"/>
      <c r="Z98" s="133"/>
      <c r="AA98" s="133"/>
    </row>
    <row r="99" spans="1:27" ht="15.75">
      <c r="A99" s="390">
        <v>44347</v>
      </c>
      <c r="B99" s="421" t="s">
        <v>138</v>
      </c>
      <c r="C99" s="268" t="s">
        <v>258</v>
      </c>
      <c r="D99" s="268"/>
      <c r="E99" s="432"/>
      <c r="F99" s="430">
        <v>10000</v>
      </c>
      <c r="G99" s="372">
        <f t="shared" si="1"/>
        <v>1130964</v>
      </c>
      <c r="H99" s="371" t="s">
        <v>60</v>
      </c>
      <c r="I99" s="414"/>
      <c r="J99" s="140"/>
      <c r="K99" s="140"/>
      <c r="L99" s="140"/>
      <c r="M99" s="140"/>
      <c r="N99" s="140"/>
      <c r="O99" s="133"/>
      <c r="P99" s="133"/>
      <c r="Q99" s="190"/>
      <c r="R99" s="190"/>
      <c r="S99" s="190"/>
      <c r="T99" s="133"/>
      <c r="U99" s="133"/>
      <c r="V99" s="133"/>
      <c r="W99" s="133"/>
      <c r="X99" s="133"/>
      <c r="Y99" s="133"/>
      <c r="Z99" s="133"/>
      <c r="AA99" s="133"/>
    </row>
    <row r="100" spans="1:27" ht="15.75">
      <c r="A100" s="390">
        <v>44347</v>
      </c>
      <c r="B100" s="416" t="s">
        <v>357</v>
      </c>
      <c r="C100" s="416" t="s">
        <v>26</v>
      </c>
      <c r="D100" s="416" t="s">
        <v>29</v>
      </c>
      <c r="E100" s="432"/>
      <c r="F100" s="430">
        <v>160000</v>
      </c>
      <c r="G100" s="372">
        <f t="shared" si="1"/>
        <v>970964</v>
      </c>
      <c r="H100" s="371" t="s">
        <v>60</v>
      </c>
      <c r="I100" s="414" t="s">
        <v>131</v>
      </c>
      <c r="J100" s="140"/>
      <c r="K100" s="140"/>
      <c r="L100" s="140"/>
      <c r="M100" s="140"/>
      <c r="N100" s="140"/>
      <c r="O100" s="133"/>
      <c r="P100" s="133"/>
      <c r="Q100" s="190"/>
      <c r="R100" s="190"/>
      <c r="S100" s="190"/>
      <c r="T100" s="133"/>
      <c r="U100" s="133"/>
      <c r="V100" s="133"/>
      <c r="W100" s="133"/>
      <c r="X100" s="133"/>
      <c r="Y100" s="133"/>
      <c r="Z100" s="133"/>
      <c r="AA100" s="133"/>
    </row>
    <row r="101" spans="1:27" ht="15.75">
      <c r="A101" s="390">
        <v>44347</v>
      </c>
      <c r="B101" s="421" t="s">
        <v>289</v>
      </c>
      <c r="C101" s="416" t="s">
        <v>26</v>
      </c>
      <c r="D101" s="421" t="s">
        <v>118</v>
      </c>
      <c r="E101" s="432"/>
      <c r="F101" s="430">
        <v>10000</v>
      </c>
      <c r="G101" s="372">
        <f t="shared" si="1"/>
        <v>960964</v>
      </c>
      <c r="H101" s="371" t="s">
        <v>60</v>
      </c>
      <c r="I101" s="414" t="s">
        <v>131</v>
      </c>
      <c r="J101" s="140"/>
      <c r="K101" s="140"/>
      <c r="L101" s="140"/>
      <c r="M101" s="140"/>
      <c r="N101" s="140"/>
      <c r="O101" s="133"/>
      <c r="P101" s="133"/>
      <c r="Q101" s="190"/>
      <c r="R101" s="190"/>
      <c r="S101" s="190"/>
      <c r="T101" s="133"/>
      <c r="U101" s="133"/>
      <c r="V101" s="133"/>
      <c r="W101" s="133"/>
      <c r="X101" s="133"/>
      <c r="Y101" s="133"/>
      <c r="Z101" s="133"/>
      <c r="AA101" s="133"/>
    </row>
    <row r="102" spans="1:27" ht="15.75">
      <c r="A102" s="390">
        <v>44347</v>
      </c>
      <c r="B102" s="421" t="s">
        <v>111</v>
      </c>
      <c r="C102" s="416" t="s">
        <v>117</v>
      </c>
      <c r="D102" s="421"/>
      <c r="E102" s="432">
        <v>184</v>
      </c>
      <c r="F102" s="430"/>
      <c r="G102" s="372">
        <f t="shared" si="1"/>
        <v>961148</v>
      </c>
      <c r="H102" s="371" t="s">
        <v>60</v>
      </c>
      <c r="I102" s="414"/>
      <c r="J102" s="140"/>
      <c r="K102" s="140"/>
      <c r="L102" s="140"/>
      <c r="M102" s="140"/>
      <c r="N102" s="140"/>
      <c r="O102" s="133"/>
      <c r="P102" s="133"/>
      <c r="Q102" s="190"/>
      <c r="R102" s="190"/>
      <c r="S102" s="190"/>
      <c r="T102" s="133"/>
      <c r="U102" s="133"/>
      <c r="V102" s="133"/>
      <c r="W102" s="133"/>
      <c r="X102" s="133"/>
      <c r="Y102" s="133"/>
      <c r="Z102" s="133"/>
      <c r="AA102" s="133"/>
    </row>
    <row r="103" spans="1:27">
      <c r="A103" s="145"/>
      <c r="B103" s="98"/>
      <c r="C103" s="98"/>
      <c r="D103" s="146"/>
      <c r="E103" s="99">
        <f>SUM(E12:E102)</f>
        <v>6852113</v>
      </c>
      <c r="F103" s="99">
        <f>SUM(F12:F102)</f>
        <v>5890965</v>
      </c>
      <c r="G103" s="362">
        <f>E103-F103</f>
        <v>961148</v>
      </c>
      <c r="H103" s="146" t="s">
        <v>60</v>
      </c>
      <c r="I103" s="98"/>
      <c r="J103" s="98"/>
      <c r="K103" s="98"/>
      <c r="L103" s="98"/>
      <c r="M103" s="98"/>
      <c r="N103" s="98"/>
    </row>
    <row r="104" spans="1:27">
      <c r="B104" s="100"/>
      <c r="C104" t="s">
        <v>139</v>
      </c>
      <c r="D104" s="26"/>
      <c r="J104" s="101"/>
    </row>
    <row r="105" spans="1:27">
      <c r="D105" s="26"/>
      <c r="J105" s="102"/>
    </row>
    <row r="106" spans="1:27">
      <c r="E106" s="26"/>
      <c r="J106" s="102"/>
    </row>
    <row r="107" spans="1:27">
      <c r="D107" s="26"/>
      <c r="I107" s="29"/>
      <c r="J107" s="102"/>
      <c r="P107" s="141"/>
    </row>
    <row r="108" spans="1:27">
      <c r="D108" s="26"/>
      <c r="J108" s="102"/>
    </row>
    <row r="109" spans="1:27">
      <c r="D109" s="26"/>
      <c r="J109" s="101"/>
    </row>
    <row r="110" spans="1:27">
      <c r="H110" s="45"/>
    </row>
    <row r="112" spans="1:27">
      <c r="H112" s="103"/>
    </row>
  </sheetData>
  <autoFilter ref="A11:L104"/>
  <dataValidations count="1">
    <dataValidation type="list" allowBlank="1" showInputMessage="1" showErrorMessage="1" sqref="C44 C21 C15 C57">
      <formula1>$N$21:$N$440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Récapitulatif</vt:lpstr>
      <vt:lpstr>Donateurs</vt:lpstr>
      <vt:lpstr>Feuil2</vt:lpstr>
      <vt:lpstr>DATA  MAI</vt:lpstr>
      <vt:lpstr>Compte Principal 34 BCI</vt:lpstr>
      <vt:lpstr>Rapprochement Bancaire Cpte 34</vt:lpstr>
      <vt:lpstr>Sous-Compte 56 BCI</vt:lpstr>
      <vt:lpstr>Rapprochement Bancaire Cpte 56</vt:lpstr>
      <vt:lpstr>CAISSE Mai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2021-06-30T15:28:47Z</dcterms:modified>
</cp:coreProperties>
</file>