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 tabRatio="553" activeTab="3"/>
  </bookViews>
  <sheets>
    <sheet name="Récapitulatif" sheetId="16" r:id="rId1"/>
    <sheet name="Donateurs" sheetId="121" r:id="rId2"/>
    <sheet name="Feuil1" sheetId="124" r:id="rId3"/>
    <sheet name="DATA  Novembre 2021" sheetId="9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'DATA  Novembre 2021'!$A$11:$O$316</definedName>
  </definedNames>
  <calcPr calcId="124519"/>
  <pivotCaches>
    <pivotCache cacheId="8" r:id="rId16"/>
    <pivotCache cacheId="9" r:id="rId1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6"/>
  <c r="H18"/>
  <c r="AN11" i="124"/>
  <c r="C45" i="16" l="1"/>
  <c r="C44"/>
  <c r="C42"/>
  <c r="C36"/>
  <c r="C37"/>
  <c r="C38"/>
  <c r="C39"/>
  <c r="C40"/>
  <c r="C35"/>
  <c r="C34"/>
  <c r="C33"/>
  <c r="C32"/>
  <c r="C31"/>
  <c r="C30"/>
  <c r="C29"/>
  <c r="C18"/>
  <c r="C46" l="1"/>
  <c r="A16"/>
  <c r="A17"/>
  <c r="AO7" i="124" l="1"/>
  <c r="AP7" s="1"/>
  <c r="AO8"/>
  <c r="AP8" s="1"/>
  <c r="AO9"/>
  <c r="AP9" s="1"/>
  <c r="AO10"/>
  <c r="AP10" s="1"/>
  <c r="AO11"/>
  <c r="AP11" s="1"/>
  <c r="AO12"/>
  <c r="AP12" s="1"/>
  <c r="AO13"/>
  <c r="AP13" s="1"/>
  <c r="AO14"/>
  <c r="AP14" s="1"/>
  <c r="AO15"/>
  <c r="AP15" s="1"/>
  <c r="AO16"/>
  <c r="AP16" s="1"/>
  <c r="AO17"/>
  <c r="AP17" s="1"/>
  <c r="AO18"/>
  <c r="AP18" s="1"/>
  <c r="AO6"/>
  <c r="AP6" s="1"/>
  <c r="AN7"/>
  <c r="AN8"/>
  <c r="AN9"/>
  <c r="AN10"/>
  <c r="AN12"/>
  <c r="AN13"/>
  <c r="AN14"/>
  <c r="AN15"/>
  <c r="AN16"/>
  <c r="AN17"/>
  <c r="AN18"/>
  <c r="AN6"/>
  <c r="AM7"/>
  <c r="AM8"/>
  <c r="AM9"/>
  <c r="AM10"/>
  <c r="AM11"/>
  <c r="AM12"/>
  <c r="AM13"/>
  <c r="AM14"/>
  <c r="AM15"/>
  <c r="AM16"/>
  <c r="AM17"/>
  <c r="AM18"/>
  <c r="AM6"/>
  <c r="AN19" l="1"/>
  <c r="AP19"/>
  <c r="AQ19"/>
  <c r="AO19"/>
  <c r="AO21" l="1"/>
  <c r="G12" i="95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A30" i="16"/>
  <c r="A31" s="1"/>
  <c r="A32" s="1"/>
  <c r="A33" s="1"/>
  <c r="A34" s="1"/>
  <c r="A35" s="1"/>
  <c r="A36" s="1"/>
  <c r="C54"/>
  <c r="E90"/>
  <c r="D3"/>
  <c r="E29" s="1"/>
  <c r="D4"/>
  <c r="E30" s="1"/>
  <c r="D5"/>
  <c r="D6"/>
  <c r="D7"/>
  <c r="D8"/>
  <c r="E31" s="1"/>
  <c r="D9"/>
  <c r="E32" s="1"/>
  <c r="D10"/>
  <c r="E33" s="1"/>
  <c r="D11"/>
  <c r="E34" s="1"/>
  <c r="D12"/>
  <c r="E35" s="1"/>
  <c r="D13"/>
  <c r="E36" s="1"/>
  <c r="D14"/>
  <c r="E37" s="1"/>
  <c r="D15"/>
  <c r="E38" s="1"/>
  <c r="D16"/>
  <c r="E39" s="1"/>
  <c r="E42" l="1"/>
  <c r="A38"/>
  <c r="A37"/>
  <c r="A39" s="1"/>
  <c r="A40" s="1"/>
  <c r="A42" s="1"/>
  <c r="A44" s="1"/>
  <c r="A45" s="1"/>
  <c r="E54"/>
  <c r="G16" l="1"/>
  <c r="G15"/>
  <c r="F15"/>
  <c r="H38" s="1"/>
  <c r="E3" l="1"/>
  <c r="I29" s="1"/>
  <c r="F3"/>
  <c r="H29" s="1"/>
  <c r="J29" s="1"/>
  <c r="G3"/>
  <c r="G4"/>
  <c r="D69" s="1"/>
  <c r="G5"/>
  <c r="A14"/>
  <c r="A15"/>
  <c r="A3"/>
  <c r="E15"/>
  <c r="I38" s="1"/>
  <c r="J38" s="1"/>
  <c r="E63"/>
  <c r="H63"/>
  <c r="C63"/>
  <c r="D70" l="1"/>
  <c r="D44"/>
  <c r="I63"/>
  <c r="J63" s="1"/>
  <c r="I15"/>
  <c r="J15" s="1"/>
  <c r="I54"/>
  <c r="I3"/>
  <c r="K29" s="1"/>
  <c r="H54"/>
  <c r="J54" s="1"/>
  <c r="K38" l="1"/>
  <c r="K63"/>
  <c r="J3"/>
  <c r="K54"/>
  <c r="C70" l="1"/>
  <c r="C69"/>
  <c r="C67"/>
  <c r="C65"/>
  <c r="C64"/>
  <c r="C62"/>
  <c r="C61"/>
  <c r="C60"/>
  <c r="C59"/>
  <c r="C58"/>
  <c r="C57"/>
  <c r="C56"/>
  <c r="A56"/>
  <c r="A57" s="1"/>
  <c r="A58" s="1"/>
  <c r="A59" s="1"/>
  <c r="A60" s="1"/>
  <c r="A61" s="1"/>
  <c r="C55"/>
  <c r="A21"/>
  <c r="G17"/>
  <c r="F17"/>
  <c r="E17"/>
  <c r="D17"/>
  <c r="E40" s="1"/>
  <c r="F16"/>
  <c r="E16"/>
  <c r="E64"/>
  <c r="G14"/>
  <c r="F14"/>
  <c r="E14"/>
  <c r="G13"/>
  <c r="F13"/>
  <c r="E13"/>
  <c r="A13"/>
  <c r="G12"/>
  <c r="F12"/>
  <c r="E12"/>
  <c r="E60"/>
  <c r="A12"/>
  <c r="G11"/>
  <c r="F11"/>
  <c r="E11"/>
  <c r="E59"/>
  <c r="A11"/>
  <c r="G10"/>
  <c r="F10"/>
  <c r="E10"/>
  <c r="E58"/>
  <c r="A10"/>
  <c r="G9"/>
  <c r="F9"/>
  <c r="E9"/>
  <c r="A9"/>
  <c r="G8"/>
  <c r="F8"/>
  <c r="E8"/>
  <c r="E56"/>
  <c r="A8"/>
  <c r="G7"/>
  <c r="F7"/>
  <c r="E7"/>
  <c r="E55"/>
  <c r="A7"/>
  <c r="G6"/>
  <c r="D45" s="1"/>
  <c r="F6"/>
  <c r="E6"/>
  <c r="I45" s="1"/>
  <c r="A6"/>
  <c r="F5"/>
  <c r="E5"/>
  <c r="A5"/>
  <c r="F4"/>
  <c r="H30" s="1"/>
  <c r="E4"/>
  <c r="I30" s="1"/>
  <c r="A4"/>
  <c r="H70" l="1"/>
  <c r="H44"/>
  <c r="H55"/>
  <c r="H42"/>
  <c r="I56"/>
  <c r="I31"/>
  <c r="I57"/>
  <c r="I32"/>
  <c r="J30"/>
  <c r="I70"/>
  <c r="I44"/>
  <c r="H67"/>
  <c r="H45"/>
  <c r="J45" s="1"/>
  <c r="I55"/>
  <c r="I42"/>
  <c r="I7"/>
  <c r="H56"/>
  <c r="H31"/>
  <c r="J31" s="1"/>
  <c r="H57"/>
  <c r="H32"/>
  <c r="J32" s="1"/>
  <c r="I58"/>
  <c r="I33"/>
  <c r="H59"/>
  <c r="H34"/>
  <c r="I60"/>
  <c r="I35"/>
  <c r="I61"/>
  <c r="I36"/>
  <c r="H62"/>
  <c r="H37"/>
  <c r="H64"/>
  <c r="H39"/>
  <c r="I65"/>
  <c r="I40"/>
  <c r="H58"/>
  <c r="H33"/>
  <c r="J33" s="1"/>
  <c r="I59"/>
  <c r="I34"/>
  <c r="H60"/>
  <c r="H35"/>
  <c r="J35" s="1"/>
  <c r="H61"/>
  <c r="H36"/>
  <c r="J36" s="1"/>
  <c r="I62"/>
  <c r="I37"/>
  <c r="I64"/>
  <c r="I39"/>
  <c r="H65"/>
  <c r="H40"/>
  <c r="J40" s="1"/>
  <c r="A62"/>
  <c r="A64" s="1"/>
  <c r="A65" s="1"/>
  <c r="A67" s="1"/>
  <c r="A69" s="1"/>
  <c r="A70" s="1"/>
  <c r="A63"/>
  <c r="J70"/>
  <c r="I67"/>
  <c r="I6"/>
  <c r="J6" s="1"/>
  <c r="E65"/>
  <c r="D18"/>
  <c r="F18"/>
  <c r="I69"/>
  <c r="E18"/>
  <c r="C21" s="1"/>
  <c r="G18"/>
  <c r="B21" s="1"/>
  <c r="J58"/>
  <c r="E67"/>
  <c r="C71"/>
  <c r="J64"/>
  <c r="J65"/>
  <c r="I4"/>
  <c r="I5"/>
  <c r="J5" s="1"/>
  <c r="I9"/>
  <c r="J9" s="1"/>
  <c r="I13"/>
  <c r="J13" s="1"/>
  <c r="I14"/>
  <c r="J14" s="1"/>
  <c r="I16"/>
  <c r="J16" s="1"/>
  <c r="J56"/>
  <c r="J60"/>
  <c r="J59"/>
  <c r="J55"/>
  <c r="J7"/>
  <c r="I11"/>
  <c r="J11" s="1"/>
  <c r="I10"/>
  <c r="J10" s="1"/>
  <c r="I17"/>
  <c r="J17" s="1"/>
  <c r="E57"/>
  <c r="J57" s="1"/>
  <c r="E61"/>
  <c r="J61" s="1"/>
  <c r="E62"/>
  <c r="J62" s="1"/>
  <c r="H69"/>
  <c r="J69" s="1"/>
  <c r="I12"/>
  <c r="J12" s="1"/>
  <c r="I8"/>
  <c r="J8" s="1"/>
  <c r="C90"/>
  <c r="I46" l="1"/>
  <c r="D21"/>
  <c r="I71"/>
  <c r="K45"/>
  <c r="K30"/>
  <c r="K40"/>
  <c r="K36"/>
  <c r="K35"/>
  <c r="K33"/>
  <c r="J39"/>
  <c r="K39" s="1"/>
  <c r="J37"/>
  <c r="K37" s="1"/>
  <c r="J34"/>
  <c r="K34" s="1"/>
  <c r="K32"/>
  <c r="K31"/>
  <c r="J42"/>
  <c r="K42" s="1"/>
  <c r="J44"/>
  <c r="K44" s="1"/>
  <c r="K69"/>
  <c r="J67"/>
  <c r="K67" s="1"/>
  <c r="J71"/>
  <c r="K70"/>
  <c r="J4"/>
  <c r="I18"/>
  <c r="I19" s="1"/>
  <c r="K57"/>
  <c r="K60"/>
  <c r="K64"/>
  <c r="K61"/>
  <c r="K62"/>
  <c r="K59"/>
  <c r="K58"/>
  <c r="K55"/>
  <c r="K56"/>
  <c r="K65"/>
  <c r="E81"/>
  <c r="E80"/>
  <c r="E79"/>
  <c r="J46" l="1"/>
  <c r="K46" s="1"/>
  <c r="K71"/>
  <c r="E21"/>
  <c r="J18"/>
  <c r="A80" l="1"/>
  <c r="A81" s="1"/>
  <c r="A82" s="1"/>
  <c r="A83" s="1"/>
  <c r="A84" s="1"/>
  <c r="A85" s="1"/>
  <c r="A86" s="1"/>
  <c r="A87" s="1"/>
  <c r="C93"/>
  <c r="C92"/>
  <c r="C88"/>
  <c r="C87"/>
  <c r="C86"/>
  <c r="C85"/>
  <c r="C84"/>
  <c r="C83"/>
  <c r="C82"/>
  <c r="C81"/>
  <c r="C80"/>
  <c r="C79"/>
  <c r="H88"/>
  <c r="I88"/>
  <c r="E88"/>
  <c r="H87"/>
  <c r="I87"/>
  <c r="H86"/>
  <c r="I86"/>
  <c r="E86"/>
  <c r="H85"/>
  <c r="I85"/>
  <c r="E85"/>
  <c r="H84"/>
  <c r="I84"/>
  <c r="H83"/>
  <c r="I83"/>
  <c r="E83"/>
  <c r="H82"/>
  <c r="I82"/>
  <c r="E82"/>
  <c r="H81"/>
  <c r="I81"/>
  <c r="H80"/>
  <c r="I80"/>
  <c r="H79"/>
  <c r="I79"/>
  <c r="H90"/>
  <c r="I90"/>
  <c r="H93"/>
  <c r="I93"/>
  <c r="I92"/>
  <c r="C5" i="95"/>
  <c r="A88" i="16" l="1"/>
  <c r="A90" s="1"/>
  <c r="A92" s="1"/>
  <c r="A93" s="1"/>
  <c r="J93"/>
  <c r="J85"/>
  <c r="J88"/>
  <c r="C94"/>
  <c r="J81"/>
  <c r="J79"/>
  <c r="J94" s="1"/>
  <c r="K94" s="1"/>
  <c r="J90"/>
  <c r="I94"/>
  <c r="J82"/>
  <c r="J86"/>
  <c r="J83"/>
  <c r="J80"/>
  <c r="E87"/>
  <c r="J87" s="1"/>
  <c r="E84"/>
  <c r="J84" s="1"/>
  <c r="H92"/>
  <c r="J92" s="1"/>
  <c r="C6" i="95"/>
  <c r="C7" s="1"/>
  <c r="D7" l="1"/>
  <c r="E6"/>
  <c r="K84" i="16"/>
  <c r="K87"/>
  <c r="K92"/>
  <c r="K88"/>
  <c r="K80"/>
  <c r="K90"/>
  <c r="K86"/>
  <c r="K81"/>
  <c r="K93"/>
  <c r="K83"/>
  <c r="K85"/>
  <c r="K79"/>
  <c r="K82"/>
  <c r="C116" l="1"/>
  <c r="C102"/>
  <c r="C111"/>
  <c r="I107" l="1"/>
  <c r="I108"/>
  <c r="I109"/>
  <c r="I110"/>
  <c r="I111"/>
  <c r="I112"/>
  <c r="I106"/>
  <c r="I105"/>
  <c r="I116"/>
  <c r="H111"/>
  <c r="E111"/>
  <c r="J111" l="1"/>
  <c r="K111" l="1"/>
  <c r="C117" l="1"/>
  <c r="C114"/>
  <c r="C112"/>
  <c r="C110"/>
  <c r="C109"/>
  <c r="C108"/>
  <c r="C107"/>
  <c r="C106"/>
  <c r="C105"/>
  <c r="C104"/>
  <c r="C103"/>
  <c r="H116"/>
  <c r="J116" s="1"/>
  <c r="C137"/>
  <c r="K116" l="1"/>
  <c r="C118"/>
  <c r="C140"/>
  <c r="J140" s="1"/>
  <c r="K140" s="1"/>
  <c r="C139"/>
  <c r="J139" s="1"/>
  <c r="K139" s="1"/>
  <c r="J137"/>
  <c r="C127"/>
  <c r="J127" s="1"/>
  <c r="C128"/>
  <c r="J128" s="1"/>
  <c r="C129"/>
  <c r="C130"/>
  <c r="J130" s="1"/>
  <c r="C131"/>
  <c r="J131" s="1"/>
  <c r="C132"/>
  <c r="C133"/>
  <c r="C134"/>
  <c r="C135"/>
  <c r="J135" s="1"/>
  <c r="C126"/>
  <c r="J126" s="1"/>
  <c r="I141"/>
  <c r="J134"/>
  <c r="J133"/>
  <c r="J132"/>
  <c r="J129"/>
  <c r="C141" l="1"/>
  <c r="J141"/>
  <c r="G142" s="1"/>
  <c r="K132" l="1"/>
  <c r="K128"/>
  <c r="K137"/>
  <c r="K135" l="1"/>
  <c r="K127"/>
  <c r="K126"/>
  <c r="K133"/>
  <c r="K129"/>
  <c r="K130"/>
  <c r="K131"/>
  <c r="K134"/>
  <c r="K141" l="1"/>
  <c r="F153" l="1"/>
  <c r="H152"/>
  <c r="F151"/>
  <c r="C161" l="1"/>
  <c r="J161" s="1"/>
  <c r="C160"/>
  <c r="J160" s="1"/>
  <c r="C159"/>
  <c r="J159" s="1"/>
  <c r="C158"/>
  <c r="J158" s="1"/>
  <c r="C157"/>
  <c r="J157" s="1"/>
  <c r="C156"/>
  <c r="J156" s="1"/>
  <c r="C155"/>
  <c r="J155" s="1"/>
  <c r="C154"/>
  <c r="J154" s="1"/>
  <c r="C153"/>
  <c r="J153" s="1"/>
  <c r="C152"/>
  <c r="J152" s="1"/>
  <c r="C151"/>
  <c r="J151" s="1"/>
  <c r="C150"/>
  <c r="J150" s="1"/>
  <c r="C163"/>
  <c r="J163" s="1"/>
  <c r="C166"/>
  <c r="J166" s="1"/>
  <c r="I167"/>
  <c r="C193"/>
  <c r="C165" l="1"/>
  <c r="J165" s="1"/>
  <c r="J167" s="1"/>
  <c r="C167" l="1"/>
  <c r="I193" l="1"/>
  <c r="J192" l="1"/>
  <c r="J191"/>
  <c r="J189"/>
  <c r="J187"/>
  <c r="J186"/>
  <c r="J185"/>
  <c r="J184"/>
  <c r="J183"/>
  <c r="J182"/>
  <c r="J181"/>
  <c r="J180"/>
  <c r="J179"/>
  <c r="J178"/>
  <c r="J177"/>
  <c r="J176"/>
  <c r="J175"/>
  <c r="J193" l="1"/>
  <c r="J212" l="1"/>
  <c r="J211"/>
  <c r="J210"/>
  <c r="J209"/>
  <c r="J208"/>
  <c r="J207"/>
  <c r="J206"/>
  <c r="J204"/>
  <c r="J201"/>
  <c r="J215"/>
  <c r="J218"/>
  <c r="J217"/>
  <c r="I219"/>
  <c r="J205"/>
  <c r="C219" l="1"/>
  <c r="J203"/>
  <c r="J202"/>
  <c r="J213"/>
  <c r="J219" l="1"/>
  <c r="F239" l="1"/>
  <c r="H239"/>
  <c r="F230"/>
  <c r="H229"/>
  <c r="F228"/>
  <c r="I245"/>
  <c r="J239" l="1"/>
  <c r="J238"/>
  <c r="J237"/>
  <c r="J236"/>
  <c r="J235"/>
  <c r="J234"/>
  <c r="J233"/>
  <c r="J232"/>
  <c r="J231"/>
  <c r="J230"/>
  <c r="J229"/>
  <c r="J228"/>
  <c r="J241"/>
  <c r="J244"/>
  <c r="J243"/>
  <c r="J227" l="1"/>
  <c r="J245" s="1"/>
  <c r="C245"/>
  <c r="I274" l="1"/>
  <c r="J268"/>
  <c r="J254" l="1"/>
  <c r="J267" l="1"/>
  <c r="J266"/>
  <c r="J265"/>
  <c r="J264"/>
  <c r="J263"/>
  <c r="J262"/>
  <c r="J261"/>
  <c r="J260"/>
  <c r="J259"/>
  <c r="J258"/>
  <c r="J257"/>
  <c r="J256"/>
  <c r="C270"/>
  <c r="J270" s="1"/>
  <c r="C273"/>
  <c r="J273" s="1"/>
  <c r="C272"/>
  <c r="J272" s="1"/>
  <c r="C301"/>
  <c r="J255" l="1"/>
  <c r="J274" s="1"/>
  <c r="C274"/>
  <c r="J314" l="1"/>
  <c r="J295" l="1"/>
  <c r="J294"/>
  <c r="J293"/>
  <c r="J292"/>
  <c r="J291"/>
  <c r="J290"/>
  <c r="J289"/>
  <c r="J288"/>
  <c r="J287"/>
  <c r="J286"/>
  <c r="J285"/>
  <c r="J284"/>
  <c r="J283"/>
  <c r="J297"/>
  <c r="J300"/>
  <c r="J299"/>
  <c r="I301"/>
  <c r="J282" l="1"/>
  <c r="J301" s="1"/>
  <c r="I329" l="1"/>
  <c r="J322" l="1"/>
  <c r="J319" l="1"/>
  <c r="J315"/>
  <c r="J311"/>
  <c r="J325"/>
  <c r="J327"/>
  <c r="J328"/>
  <c r="J321"/>
  <c r="J320"/>
  <c r="J318"/>
  <c r="J317"/>
  <c r="J316"/>
  <c r="J313"/>
  <c r="J312"/>
  <c r="J310"/>
  <c r="J323" l="1"/>
  <c r="J329" s="1"/>
  <c r="K329" s="1"/>
  <c r="C246" l="1"/>
  <c r="C220"/>
  <c r="J346"/>
  <c r="J347" l="1"/>
  <c r="J345"/>
  <c r="J344"/>
  <c r="J343"/>
  <c r="J342"/>
  <c r="J341"/>
  <c r="J340"/>
  <c r="J339"/>
  <c r="J338"/>
  <c r="J337"/>
  <c r="J351"/>
  <c r="J354"/>
  <c r="J353"/>
  <c r="J349" l="1"/>
  <c r="J348"/>
  <c r="J355" l="1"/>
  <c r="J373" l="1"/>
  <c r="F363" l="1"/>
  <c r="J397"/>
  <c r="J400"/>
  <c r="J381"/>
  <c r="J380"/>
  <c r="J379"/>
  <c r="C372" l="1"/>
  <c r="J372" s="1"/>
  <c r="C371"/>
  <c r="J371" s="1"/>
  <c r="C370"/>
  <c r="J370" s="1"/>
  <c r="C369"/>
  <c r="J369" s="1"/>
  <c r="C368"/>
  <c r="J368" s="1"/>
  <c r="J367"/>
  <c r="C366"/>
  <c r="J366" s="1"/>
  <c r="C365"/>
  <c r="J365" s="1"/>
  <c r="C364"/>
  <c r="J364" s="1"/>
  <c r="C363"/>
  <c r="J363" s="1"/>
  <c r="C375"/>
  <c r="J375" s="1"/>
  <c r="C378"/>
  <c r="J378" s="1"/>
  <c r="C377" l="1"/>
  <c r="J377" s="1"/>
  <c r="J382" s="1"/>
  <c r="J408" l="1"/>
  <c r="J407"/>
  <c r="J406"/>
  <c r="J459"/>
  <c r="J432"/>
  <c r="J431"/>
  <c r="J429"/>
  <c r="E427"/>
  <c r="J427" s="1"/>
  <c r="E426"/>
  <c r="J426" s="1"/>
  <c r="E424"/>
  <c r="J424" s="1"/>
  <c r="H423"/>
  <c r="E423"/>
  <c r="F422"/>
  <c r="E422"/>
  <c r="E421"/>
  <c r="J421" s="1"/>
  <c r="I420"/>
  <c r="H420"/>
  <c r="E420"/>
  <c r="I419"/>
  <c r="E419"/>
  <c r="H418"/>
  <c r="E418"/>
  <c r="I417"/>
  <c r="J409"/>
  <c r="J393"/>
  <c r="J405"/>
  <c r="B393" l="1"/>
  <c r="B397"/>
  <c r="B398"/>
  <c r="B391"/>
  <c r="B394"/>
  <c r="B395"/>
  <c r="B392"/>
  <c r="B396"/>
  <c r="J392"/>
  <c r="I434"/>
  <c r="J419"/>
  <c r="J402"/>
  <c r="J418"/>
  <c r="J390"/>
  <c r="J396"/>
  <c r="J391"/>
  <c r="J404"/>
  <c r="J399"/>
  <c r="J422"/>
  <c r="J420"/>
  <c r="J423"/>
  <c r="J417"/>
  <c r="J395" l="1"/>
  <c r="J394"/>
  <c r="J398"/>
  <c r="C425"/>
  <c r="J410" l="1"/>
  <c r="C434"/>
  <c r="J425"/>
  <c r="J434" s="1"/>
  <c r="K163" l="1"/>
  <c r="K150"/>
  <c r="K166"/>
  <c r="K156"/>
  <c r="K161"/>
  <c r="K160"/>
  <c r="K232" l="1"/>
  <c r="K154"/>
  <c r="K183"/>
  <c r="K157"/>
  <c r="K152"/>
  <c r="K184"/>
  <c r="K158"/>
  <c r="K153"/>
  <c r="K151"/>
  <c r="K181"/>
  <c r="K155"/>
  <c r="K185"/>
  <c r="K180"/>
  <c r="K233"/>
  <c r="K229"/>
  <c r="K244"/>
  <c r="K192"/>
  <c r="K179"/>
  <c r="K231"/>
  <c r="K186"/>
  <c r="K238"/>
  <c r="K187"/>
  <c r="K239"/>
  <c r="K234"/>
  <c r="K182"/>
  <c r="K241"/>
  <c r="K189"/>
  <c r="K165"/>
  <c r="K228"/>
  <c r="K236"/>
  <c r="K227"/>
  <c r="K235"/>
  <c r="K178"/>
  <c r="K176"/>
  <c r="K177"/>
  <c r="K230"/>
  <c r="K175"/>
  <c r="K237" l="1"/>
  <c r="K159"/>
  <c r="K243"/>
  <c r="K191"/>
  <c r="K167" l="1"/>
  <c r="K245"/>
  <c r="K382"/>
  <c r="K193"/>
  <c r="H102" l="1"/>
  <c r="H103"/>
  <c r="H114"/>
  <c r="H104"/>
  <c r="I114"/>
  <c r="H117"/>
  <c r="H108"/>
  <c r="H107"/>
  <c r="H105"/>
  <c r="H109"/>
  <c r="J109" s="1"/>
  <c r="I102"/>
  <c r="H106"/>
  <c r="I117"/>
  <c r="H110"/>
  <c r="H112"/>
  <c r="I104"/>
  <c r="E108"/>
  <c r="E107"/>
  <c r="E106"/>
  <c r="I103"/>
  <c r="E110"/>
  <c r="K109" l="1"/>
  <c r="J117"/>
  <c r="K117" s="1"/>
  <c r="J104"/>
  <c r="E105"/>
  <c r="J105" s="1"/>
  <c r="K105" s="1"/>
  <c r="E103"/>
  <c r="J103" s="1"/>
  <c r="E112"/>
  <c r="J112" s="1"/>
  <c r="K112" s="1"/>
  <c r="I118"/>
  <c r="J107"/>
  <c r="J110"/>
  <c r="J106"/>
  <c r="E102"/>
  <c r="J102" s="1"/>
  <c r="J108"/>
  <c r="J114"/>
  <c r="K104"/>
  <c r="K107" l="1"/>
  <c r="K114"/>
  <c r="K103"/>
  <c r="K102"/>
  <c r="J118"/>
  <c r="K106"/>
  <c r="K108"/>
  <c r="K110"/>
  <c r="G119" l="1"/>
  <c r="K118"/>
  <c r="G41" i="95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</calcChain>
</file>

<file path=xl/sharedStrings.xml><?xml version="1.0" encoding="utf-8"?>
<sst xmlns="http://schemas.openxmlformats.org/spreadsheetml/2006/main" count="2833" uniqueCount="490">
  <si>
    <t>Date</t>
  </si>
  <si>
    <t>Département</t>
  </si>
  <si>
    <t>Rent &amp; Utilities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</si>
  <si>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</si>
  <si>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</si>
  <si>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</si>
  <si>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</si>
  <si>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</si>
  <si>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</si>
  <si>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</si>
  <si>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</si>
  <si>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</si>
  <si>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</si>
  <si>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</si>
  <si>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</si>
  <si>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</si>
  <si>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</si>
  <si>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</si>
  <si>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</si>
  <si>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</si>
  <si>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</si>
  <si>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</si>
  <si>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</si>
  <si>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</si>
  <si>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</si>
  <si>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</si>
  <si>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</si>
  <si>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</si>
  <si>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</si>
  <si>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</si>
  <si>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</si>
  <si>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</si>
  <si>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</si>
  <si>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</si>
  <si>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</si>
  <si>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</si>
  <si>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Office Materials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</si>
  <si>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</si>
  <si>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</si>
  <si>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</si>
  <si>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</si>
  <si>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</si>
  <si>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</si>
  <si>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</si>
  <si>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</si>
  <si>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</si>
  <si>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</si>
  <si>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</si>
  <si>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</si>
  <si>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</si>
  <si>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</si>
  <si>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</si>
  <si>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</si>
  <si>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</si>
  <si>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</si>
  <si>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</si>
  <si>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</si>
  <si>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</si>
  <si>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</si>
  <si>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</si>
  <si>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</si>
  <si>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</si>
  <si>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</si>
  <si>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</si>
  <si>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</si>
  <si>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</si>
  <si>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</si>
  <si>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</si>
  <si>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</si>
  <si>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</si>
  <si>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</si>
  <si>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</si>
  <si>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</si>
  <si>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</si>
  <si>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</si>
  <si>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</si>
  <si>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</si>
  <si>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</si>
  <si>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</si>
  <si>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</si>
  <si>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</si>
  <si>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</si>
  <si>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</si>
  <si>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</si>
  <si>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</si>
  <si>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</si>
  <si>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</si>
  <si>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</si>
  <si>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</si>
  <si>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</si>
  <si>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</si>
  <si>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</si>
  <si>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</si>
  <si>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</si>
  <si>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</si>
  <si>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</si>
  <si>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</si>
  <si>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</si>
  <si>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</si>
  <si>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</si>
  <si>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</si>
  <si>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</si>
  <si>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</si>
  <si>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</si>
  <si>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</si>
  <si>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</si>
  <si>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</si>
  <si>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</si>
  <si>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</si>
  <si>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</si>
  <si>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</si>
  <si>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</si>
  <si>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</si>
  <si>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</si>
  <si>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</si>
  <si>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</si>
  <si>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</si>
  <si>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</si>
  <si>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</si>
  <si>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</si>
  <si>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</si>
  <si>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</si>
  <si>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</si>
  <si>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</si>
  <si>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</si>
  <si>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</si>
  <si>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</si>
  <si>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</si>
  <si>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</si>
  <si>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</si>
  <si>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Étiquettes de lignes</t>
  </si>
  <si>
    <t>Total général</t>
  </si>
  <si>
    <t>Étiquettes de colonnes</t>
  </si>
  <si>
    <t>BALANCE CAISSES ET BANQUE AU 30  Mai  2021</t>
  </si>
  <si>
    <t>Balance au          01 Mai  2021</t>
  </si>
  <si>
    <t>Balance au 30 Mai 2021</t>
  </si>
  <si>
    <t>MAI</t>
  </si>
  <si>
    <t>Somme de Spent</t>
  </si>
  <si>
    <t>Total Somme de Received</t>
  </si>
  <si>
    <t>Somme de Received</t>
  </si>
  <si>
    <t>Total Somme de Spent</t>
  </si>
  <si>
    <t>Internet</t>
  </si>
  <si>
    <t>BALANCE CAISSES ET BANQUE AU 30  Juin  2021</t>
  </si>
  <si>
    <t>Balance au 30 Juin  2021</t>
  </si>
  <si>
    <t>Balance au          01 Juin  2021</t>
  </si>
  <si>
    <t>JUIN</t>
  </si>
  <si>
    <t>Solde au 01/07/2021</t>
  </si>
  <si>
    <t>Lawyer Fees</t>
  </si>
  <si>
    <t>Jail Visits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</si>
  <si>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</si>
  <si>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</si>
  <si>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</si>
  <si>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</si>
  <si>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</si>
  <si>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</si>
  <si>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</si>
  <si>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</si>
  <si>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</si>
  <si>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Equipement</t>
  </si>
  <si>
    <t>BALANCE CAISSES ET BANQUE AU 30 Septembre 2021</t>
  </si>
  <si>
    <t>Balance a   01 Septembre 2021</t>
  </si>
  <si>
    <t>Serdroque</t>
  </si>
  <si>
    <t>Travel Subsistence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</si>
  <si>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</si>
  <si>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</si>
  <si>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</si>
  <si>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</si>
  <si>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</si>
  <si>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</si>
  <si>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</si>
  <si>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Bonus</t>
  </si>
  <si>
    <t>Media</t>
  </si>
  <si>
    <t>Wildcat</t>
  </si>
  <si>
    <t xml:space="preserve">Telephone </t>
  </si>
  <si>
    <t>BCI-</t>
  </si>
  <si>
    <t>RAPPORT FINANCIER NOVEMBRE 2021</t>
  </si>
  <si>
    <t>BALANCE 30 Novembre 2021</t>
  </si>
  <si>
    <t>BALANCE 01 Novembre 2021</t>
  </si>
  <si>
    <t>BALANCE CAISSES ET BANQUE AU 30 Novembre 2021</t>
  </si>
  <si>
    <t>31/11/2021</t>
  </si>
  <si>
    <t>TOTAL RECU EN Novembre</t>
  </si>
  <si>
    <t>Balance a   01 Novembre 2021</t>
  </si>
  <si>
    <t>Balance au 31 Novembre 2021</t>
  </si>
  <si>
    <t>Solde au 01/11/2021</t>
  </si>
  <si>
    <t>I23c</t>
  </si>
  <si>
    <t>Achat credit  teléphonique MTN/staff PALF/Première partie Novembre 2021/Management</t>
  </si>
  <si>
    <t>Achat credit  teléphonique MTN/staff PALF/Première partie Novembre 2021/Légal</t>
  </si>
  <si>
    <t>Achat credit  teléphonique MTN/staff PALF/Première partie Novembre 2021/legal volontaire</t>
  </si>
  <si>
    <t>Achat credit  teléphonique MTN/staff PALF/Première partie Novembre 2021/Investigation</t>
  </si>
  <si>
    <t>Achat credit  teléphonique MTN/staff PALF/Première partie Novembre 2021/Investigation Volontaire</t>
  </si>
  <si>
    <t>Achat credit  teléphonique MTN/staff PALF/Première partie Novembre 2021/Média</t>
  </si>
  <si>
    <t>Achat credit  teléphonique Airtel/staff PALF/Première partie Novembre  2021/Management</t>
  </si>
  <si>
    <t>Achat credit  teléphonique Airtel/staff PALF/Première partie Novembre  2021/Investigation</t>
  </si>
  <si>
    <t>Achat credit  teléphonique Airtel/staff PALF/Première partie Novembre  2021/Légal</t>
  </si>
  <si>
    <t>Achat credit  teléphonique Airtel/staff PALF/Première partie Novembre  2021/Média</t>
  </si>
  <si>
    <t>Godfre</t>
  </si>
  <si>
    <t>Achat produit de Nettoyage,lait sucre,matinal, papier toilette et sac Poubelle</t>
  </si>
  <si>
    <t>Reglement facture E²C/Septembre-Octobre 2021/bureau PALF</t>
  </si>
  <si>
    <t>Frais de transfert charden farell à P29</t>
  </si>
  <si>
    <t>Transfer fees</t>
  </si>
  <si>
    <t>Frais de mission à dolisie et Pointe Noire du 10 au 13 Novembre 2021 /Maitre Severin BIYOUDI</t>
  </si>
  <si>
    <t xml:space="preserve">Collation Coordination Anniversaire Crepin et Tiffany </t>
  </si>
  <si>
    <t xml:space="preserve">Personnel </t>
  </si>
  <si>
    <t>Team Bulding</t>
  </si>
  <si>
    <t>B52</t>
  </si>
  <si>
    <t>Reglement loyer Tiffany mois de Novembre  2021/400USD</t>
  </si>
  <si>
    <t>Oui</t>
  </si>
  <si>
    <t>Décharge</t>
  </si>
  <si>
    <t>BCI sous Compte-3643558</t>
  </si>
  <si>
    <t>BCI Compte Principale -3643562</t>
  </si>
  <si>
    <t>Achat credit  teléphonique Airtel/staff PALF/Deuxième partie Novembre  2021/Management</t>
  </si>
  <si>
    <t>Achat credit  teléphonique Airtel/staff PALF/Deuxième partie Novembre  2021/Investigation</t>
  </si>
  <si>
    <t>Achat credit  teléphonique Airtel/staff PALF/Deuxième partie Novembre  2021/Légal</t>
  </si>
  <si>
    <t>Achat credit  teléphonique MTN/staff PALF/Deuxième partie Novembre  2021/Investigation</t>
  </si>
  <si>
    <t>Achat credit  teléphonique MTN/staff PALF/Deuxième partie Novembre  2021/Investigation Volontaire</t>
  </si>
  <si>
    <t>Achat credit  teléphonique MTN/staff PALF/Deuxième partie Novembre  2021/Légal</t>
  </si>
  <si>
    <t>Achat credit  teléphonique MTN/staff PALF/Deuxième partie Novembre  2021/Légal Volontaire</t>
  </si>
  <si>
    <t>Achat credit  teléphonique MTN/staff PALF/Deuxième partie Novembre  2021/Management</t>
  </si>
  <si>
    <t>Achat credit  teléphonique MTN/staff PALF/Deuxième partie Novembre  2021/Média</t>
  </si>
  <si>
    <t>Frais de transfert charden farell à P29 et I23C</t>
  </si>
  <si>
    <t>Frais de traitement de dossier pour validation contrat à l'ACPE/Merveille</t>
  </si>
  <si>
    <t>Frais de traitement de dossier pour validation contrat à l'ACPE/GODFRE</t>
  </si>
  <si>
    <t>Bonus operation deux Informateurs à Kinshasa/500$  (1$=647,502 XAF)</t>
  </si>
  <si>
    <t>Operation</t>
  </si>
  <si>
    <t xml:space="preserve">Achat 02 cartes mémoires 8GB/Pour camera </t>
  </si>
  <si>
    <t>Achat 01 Coffre fort</t>
  </si>
  <si>
    <t>Achat Canons pour Serrures portes bureau</t>
  </si>
  <si>
    <t>Achat crédit pour appel vers la RDC/P29</t>
  </si>
  <si>
    <t>Frais de mission à Dolisie du 25 au 27/11/2021/Maitre Scrutin</t>
  </si>
  <si>
    <t>Achat Factures autocopiant et carnet autocopiant</t>
  </si>
  <si>
    <t>Achat 01 paquet stylo bleu</t>
  </si>
  <si>
    <t>Achat 03 bonbonnes d'eau minérale Mayo</t>
  </si>
  <si>
    <t>Paiement prime de fin d'année Merveille</t>
  </si>
  <si>
    <t>BCI-3643559</t>
  </si>
  <si>
    <t>Reglement Facture Internet redevance Décembre 2021 /CONGO TELCOM</t>
  </si>
  <si>
    <t>Achat 04 paires de gants</t>
  </si>
  <si>
    <t>Achat 02 cages pour animaux</t>
  </si>
  <si>
    <t>Evariste/pour achat carburant BJ</t>
  </si>
  <si>
    <t>Trust Building</t>
  </si>
  <si>
    <t>Achat laitu ,pastèque carotte et banqne pour peroquet</t>
  </si>
  <si>
    <t>Reglement prestation Technicienne de Surface mois de Novembre 2021/MFIELO</t>
  </si>
  <si>
    <t>Achat serum salé 500ML et aiguille bleu/pour peroquet</t>
  </si>
  <si>
    <t>Achat serum salé 500ML et Seringue 5ml/pour peroquet</t>
  </si>
  <si>
    <t>Achat billet d'avion aller  pour la DDEF/Brazzaville-Pointre Noire -Brazzaville</t>
  </si>
  <si>
    <t>Achat billet d'avion retour  pour la DDEF/Pointre Noire -Brazzaville</t>
  </si>
  <si>
    <t>Achat eau mineral pour les péroquets</t>
  </si>
  <si>
    <t>Achat Fruits pastèques choux papaye,carotte pour peroquets</t>
  </si>
  <si>
    <t>Achat pommade desinfectant et gants/pour peroquet</t>
  </si>
  <si>
    <t>Achat credit  teléphonique MTN/staff PALF/Première partie Décembre 2021/Management</t>
  </si>
  <si>
    <t>Achat credit  teléphonique MTN/staff PALF/Première partie Décembre 2021/Légal</t>
  </si>
  <si>
    <t>Achat credit  teléphonique MTN/staff PALF/Première partie Décembre 2021/legal volontaire</t>
  </si>
  <si>
    <t>Achat credit  teléphonique MTN/staff PALF/Première partie Décembre 2021/Investigation</t>
  </si>
  <si>
    <t>Achat credit  teléphonique MTN/staff PALF/Première partie Décembre 2021/Investigation Volontaire</t>
  </si>
  <si>
    <t>Achat credit  teléphonique MTN/staff PALF/Première partie Décembre 2021/Média</t>
  </si>
  <si>
    <t>Achat credit  teléphonique Airtel/staff PALF/Première partie Décembre  2021/Investigation</t>
  </si>
  <si>
    <t>Achat credit  teléphonique Airtel/staff PALF/Première partie Décembre  2021/Investigation Volontaire</t>
  </si>
  <si>
    <t>Bonus mois de Novembre 2021/Crépin</t>
  </si>
  <si>
    <t>Bonus mois de Novembre 2021/Evariste</t>
  </si>
  <si>
    <t>Bonus média portant sur audience du 29/11/2021</t>
  </si>
  <si>
    <t>Bonus média portant sur audience du 30/11/2021</t>
  </si>
  <si>
    <t>Bonus Média/Télécongo</t>
  </si>
  <si>
    <t>Relevé</t>
  </si>
  <si>
    <t>Bank fees</t>
  </si>
  <si>
    <t>Ofiice</t>
  </si>
  <si>
    <t>Retrait especes/appro caisse/bord n°3654462</t>
  </si>
  <si>
    <t>Paiment Salaire Mois de Novembre 2021 et la prime de congé/Merveille MAHANGA</t>
  </si>
  <si>
    <t>Paiment Salaire Mois de Novembre 2021/Tiffany GOBERT</t>
  </si>
  <si>
    <t>Reglement facture honoraire du mois Novembre 2021/I23C/chq n°3643576</t>
  </si>
  <si>
    <t>Reglement facture honoraire du mois Novembre 2021/P29/chq n°3643577</t>
  </si>
  <si>
    <t>Solde honoraires contrat n°36/Dolisie/Maitre MOUYETI Scrutin/cas MANGUILA et BALENDA</t>
  </si>
  <si>
    <t>Frais de consultation avocat Mois de Novembre 2021/LOCKO Christian/3643557</t>
  </si>
  <si>
    <t>Retrait especes/appro caisse/bord n°3643558</t>
  </si>
  <si>
    <t>Retrait especes/appro caisse/bord n°3643559</t>
  </si>
  <si>
    <t>Paiment Salaire Mois de Novembre 2021/Grace</t>
  </si>
  <si>
    <t>Paiment Salaire Mois de Novembre 2021/Crépin IBOUILI IBOUILI</t>
  </si>
  <si>
    <t>Paiment Salaire Mois de Novembre 2021/Evariste LELOUSSI</t>
  </si>
  <si>
    <t>Paiment Salaire Mois de Novembre 2021/Godfré MALONGA</t>
  </si>
  <si>
    <t>Cumul Trust Building du Mois de Novembre 2021/Tiffany</t>
  </si>
  <si>
    <t>Reçu Caisse/ Tiffany</t>
  </si>
  <si>
    <t>Cumul Transport Local du Mois de Novembre 2021/Tiffany</t>
  </si>
  <si>
    <t>Reçu de caisse</t>
  </si>
  <si>
    <t>CONGO</t>
  </si>
  <si>
    <t>Frais d'hospitalisation du prévenu NGOMBELE</t>
  </si>
  <si>
    <t>Retour caisse</t>
  </si>
  <si>
    <t>Carburant de la voiture de l'équipe 1 pour l'operation</t>
  </si>
  <si>
    <t>Cumul Trust Building du Mois de Novembre 2021/Crépin</t>
  </si>
  <si>
    <t>Cumul frais de transport local du Novembre 2021/Crépin</t>
  </si>
  <si>
    <t>Reçu Caisse</t>
  </si>
  <si>
    <t>Taxi: Bureau-Lifoula (Equipe Guet)</t>
  </si>
  <si>
    <t>Taxi: Lifoula-Moungali (Diversion Equipe Guet)</t>
  </si>
  <si>
    <t>Cumul Frais de trust building mois de Novembre 2021/Grace</t>
  </si>
  <si>
    <t>Cumul Frais de transport local du mois de Novembre 2021/Grace</t>
  </si>
  <si>
    <t>Reçu caisse</t>
  </si>
  <si>
    <t>Cumul frais de transport local mois de Novembre 2021/Merveille</t>
  </si>
  <si>
    <t xml:space="preserve">Reçu de la caisse </t>
  </si>
  <si>
    <t>Reçu de la caisse</t>
  </si>
  <si>
    <t>Achat du carburant pour la BJ des Gendarmes</t>
  </si>
  <si>
    <t>Cumul Frais de Transport Local du Mois de novembre 2021/Evariste</t>
  </si>
  <si>
    <t>Réçu caisse</t>
  </si>
  <si>
    <t>Cumul Frais de Trust Building du mois de Novembre 2021/I23C</t>
  </si>
  <si>
    <t>Cumul frais de transport local du mois de Novembre 2021/I23C</t>
  </si>
  <si>
    <t>Recu de caisse</t>
  </si>
  <si>
    <t>Cumul Frais de Transport Local du Mois de Novembre 2021/Stagiaire/Godfré</t>
  </si>
  <si>
    <t>Achat Divers (Bananes, Papaye, Eau Minerale)</t>
  </si>
  <si>
    <t>Achat fourniture(Servitte, Savon liquide, Lampe torche)</t>
  </si>
  <si>
    <t>Achat produit pharmaceutiques</t>
  </si>
  <si>
    <t>Cumul frais transport local du mois de novembre 2021/Godfré</t>
  </si>
  <si>
    <t>Cumul frais jail visits du mois de novembre 2021/Godfré</t>
  </si>
  <si>
    <t>Travel subsistence</t>
  </si>
  <si>
    <t>Reçu Caisse/mission Dolisie du 25-27 nov</t>
  </si>
  <si>
    <t>Reçu caisse/OP lifoula du 28-nov-2021</t>
  </si>
  <si>
    <t>Cumul frais de Trust Building du mois de novembre 2021/Axel</t>
  </si>
  <si>
    <t>Cumul frais de ration journalière du mois de novembre 2021/Axel</t>
  </si>
  <si>
    <t>Impression documents pour transfert perroquets et cerco</t>
  </si>
  <si>
    <t>Cumul frais de Transport local du mois de novembre 2021/Axel</t>
  </si>
  <si>
    <t>Cumul frais de jail visit du mois de novembre 2021/Axel</t>
  </si>
  <si>
    <t>reçu caisse</t>
  </si>
  <si>
    <t>reçu de caisse</t>
  </si>
  <si>
    <t>Cumul frais ration journalière du mois de nombre 2021/B52</t>
  </si>
  <si>
    <t>Cumul frais transport local du mois de nombre 2021/B52</t>
  </si>
  <si>
    <t>Cumul frais trust bulding du mois de nombre 2021/B52</t>
  </si>
  <si>
    <t xml:space="preserve">Recu de caisse </t>
  </si>
  <si>
    <t>Cumul Frais de Trust Building du Mois de novembre 2021/P29</t>
  </si>
  <si>
    <t>Cumul Frais de Transport Local du Mois de novembre 2021/P29</t>
  </si>
  <si>
    <t>PALF</t>
  </si>
  <si>
    <t>RALFF</t>
  </si>
  <si>
    <t>5.6</t>
  </si>
  <si>
    <t>Bonus Média portant sur audience</t>
  </si>
  <si>
    <t>3.2</t>
  </si>
  <si>
    <t>4.5</t>
  </si>
  <si>
    <t>5.2.2</t>
  </si>
  <si>
    <t>5.2.1</t>
  </si>
  <si>
    <t>4.3</t>
  </si>
  <si>
    <t>4.6</t>
  </si>
  <si>
    <t>4.4</t>
  </si>
  <si>
    <t>1.1.2.1</t>
  </si>
  <si>
    <t>1.1.1.7</t>
  </si>
  <si>
    <t>1.1.1.4</t>
  </si>
  <si>
    <t>1.1.1.1</t>
  </si>
  <si>
    <t>1.1.1.9</t>
  </si>
  <si>
    <t>Achat crédit télephone Agents (Bureau)</t>
  </si>
  <si>
    <t>2.2</t>
  </si>
  <si>
    <t>Taxi à la journée/Tiffany</t>
  </si>
  <si>
    <t>I23C-CONGO Food allowance mission Oyo-Lifoula du 5 au 9 novembre 2021</t>
  </si>
  <si>
    <t>Cumul Frais Ration Journalière du Mois de Novembre 2021/Godfré en volontariat</t>
  </si>
  <si>
    <t>1.3.2</t>
  </si>
  <si>
    <t>I23C-CONGO Paiment Hôtel 4 nuitées du 5 au 9 novembre 2021</t>
  </si>
  <si>
    <t>AXEL-CONGO Frais d'hebergement 1 nuitée du 10-nov-2021/Dolisie</t>
  </si>
  <si>
    <t>AXEL-CONGO Frais d'hébergement nuitées du 25 au 27-nov-2021</t>
  </si>
  <si>
    <t>P29-CONGOFood allowance mission du 13 au 20/11</t>
  </si>
  <si>
    <t>P29-CONGOPaiement de 5 nuitées du 13 au 18/11</t>
  </si>
  <si>
    <t>P29-CONGOPaiement 2 nuitées du 18 au 20/11</t>
  </si>
  <si>
    <t>I23C-CONGO Food allowance mission PN-Pounga du 13 au 20 novembre 2021</t>
  </si>
  <si>
    <t>I23C-CONGO Paiement hôtel 5 nuitées du 13 au 18/11/2021</t>
  </si>
  <si>
    <t>I23C-CONGO Paiement hôtel 2 nuitées du 18 au 20/11/2021</t>
  </si>
  <si>
    <t>RALFF-CO2692</t>
  </si>
  <si>
    <t>RALFF-CO2693</t>
  </si>
  <si>
    <t>RALFF-CO2694</t>
  </si>
  <si>
    <t>RALFF-CO2695</t>
  </si>
  <si>
    <t>RALFF-CO2696</t>
  </si>
  <si>
    <t>RALFF-CO2697</t>
  </si>
  <si>
    <t>RALFF-CO2698</t>
  </si>
  <si>
    <t>RALFF-CO2699</t>
  </si>
  <si>
    <t>RALFF-CO2700</t>
  </si>
  <si>
    <t>RALFF-CO2701</t>
  </si>
  <si>
    <t>RALFF-CO2702</t>
  </si>
  <si>
    <t>RALFF-CO2703</t>
  </si>
  <si>
    <t>RALFF-CO2704</t>
  </si>
  <si>
    <t>RALFF-CO2705</t>
  </si>
  <si>
    <t>RALFF-CO2706</t>
  </si>
  <si>
    <t>RALFF-CO2707</t>
  </si>
  <si>
    <t>RALFF-CO2708</t>
  </si>
  <si>
    <t>RALFF-CO2709</t>
  </si>
  <si>
    <t>RALFF-CO2710</t>
  </si>
  <si>
    <t>RALFF-CO2711</t>
  </si>
  <si>
    <t>RALFF-CO2712</t>
  </si>
  <si>
    <t>RALFF-CO2713</t>
  </si>
  <si>
    <t>RALFF-CO2714</t>
  </si>
  <si>
    <t>RALFF-CO2715</t>
  </si>
  <si>
    <t>RALFF-CO2716</t>
  </si>
  <si>
    <t>RALFF-CO2717</t>
  </si>
  <si>
    <t>RALFF-CO2718</t>
  </si>
  <si>
    <t>RALFF-CO2719</t>
  </si>
  <si>
    <t>RALFF-CO2720</t>
  </si>
  <si>
    <t>RALFF-CO2721</t>
  </si>
  <si>
    <t>RALFF-CO2722</t>
  </si>
  <si>
    <t>RALFF-CO2723</t>
  </si>
  <si>
    <t>RALFF-CO2724</t>
  </si>
  <si>
    <t>RALFF-CO2725</t>
  </si>
  <si>
    <t>RALFF-CO2726</t>
  </si>
  <si>
    <t>RALFF-CO2728</t>
  </si>
  <si>
    <t>RALFF-CO2729</t>
  </si>
  <si>
    <t>RALFF-CO2730</t>
  </si>
  <si>
    <t>RALFF-CO2731</t>
  </si>
  <si>
    <t>RALFF-CO2732</t>
  </si>
  <si>
    <t>RALFF-CO2733</t>
  </si>
  <si>
    <t>RALFF-CO2734</t>
  </si>
  <si>
    <t>RALFF-CO2735</t>
  </si>
  <si>
    <t>RALFF-CO2736</t>
  </si>
  <si>
    <t>RALFF-CO2737</t>
  </si>
  <si>
    <t>RALFF-CO2738</t>
  </si>
  <si>
    <t>RALFF-CO2739</t>
  </si>
  <si>
    <t>RALFF-CO2740</t>
  </si>
  <si>
    <t>RALFF-CO2741</t>
  </si>
  <si>
    <t>RALFF-CO2742</t>
  </si>
  <si>
    <t>RALFF-CO2743</t>
  </si>
  <si>
    <t>RALFF-CO2744</t>
  </si>
  <si>
    <t>RALFF-CO2745</t>
  </si>
  <si>
    <t>RALFF-CO2746</t>
  </si>
  <si>
    <t>RALFF-CO2747</t>
  </si>
  <si>
    <t>RALFF-CO2748</t>
  </si>
  <si>
    <t>RALFF-CO2749</t>
  </si>
  <si>
    <t>RALFF-CO2750</t>
  </si>
  <si>
    <t>RALFF-CO2751</t>
  </si>
  <si>
    <t>RALFF-CO2752</t>
  </si>
  <si>
    <t>RALFF-CO2753</t>
  </si>
  <si>
    <t>RALFF-CO2754</t>
  </si>
  <si>
    <t>RALFF-CO2755</t>
  </si>
  <si>
    <t>RALFF-CO2756</t>
  </si>
  <si>
    <t>RALFF-CO2757</t>
  </si>
  <si>
    <t>RALFF-CO2758</t>
  </si>
  <si>
    <t>RALFF-CO2759</t>
  </si>
  <si>
    <t>RALFF-CO2760</t>
  </si>
  <si>
    <t>RALFF-CO2761</t>
  </si>
  <si>
    <t>RALFF-CO2762</t>
  </si>
  <si>
    <t>RALFF-CO2763</t>
  </si>
  <si>
    <t>RALFF-CO2764</t>
  </si>
  <si>
    <t>RALFF-CO2765</t>
  </si>
  <si>
    <t>RALFF-CO2766</t>
  </si>
  <si>
    <t>RALFF-CO2767</t>
  </si>
  <si>
    <t>RALFF-CO2768</t>
  </si>
  <si>
    <t>RALFF-CO2769</t>
  </si>
  <si>
    <t>RALFF-CO2770</t>
  </si>
  <si>
    <t>RALFF-CO2771</t>
  </si>
  <si>
    <t>RALFF-CO2772</t>
  </si>
  <si>
    <t>Flight</t>
  </si>
  <si>
    <t>Cumul Frais de Trust Building Novembre 2021/Evariste</t>
  </si>
  <si>
    <t>approv caisse/remboursement  frais télephone 1ere Tranche Grace</t>
  </si>
  <si>
    <t>Rembourssement 1ere tranche de telephone acquis</t>
  </si>
  <si>
    <t>TOTAL DEPENSE EN NOVEMBRE</t>
  </si>
  <si>
    <t>Billet Dolisie-PNR /Axel et Cage pour Crocodil de nil</t>
  </si>
  <si>
    <t>Frais de transfert westen union pour Enqueteurs à Kinshasa</t>
  </si>
  <si>
    <t>Achat désodorisant et savon liquide</t>
  </si>
  <si>
    <t>Achat boisson eau et amuse bouche (Pour Autorités)</t>
  </si>
  <si>
    <t>Bonus mois de Novembre 2021/Godfré</t>
  </si>
  <si>
    <t>AXEL-CONGO Frais d'hebergement 2 nuitées du 11 au 13 nov/PNR</t>
  </si>
  <si>
    <t>AXEL-CONGO Food allowance du 25 au 27 -nov-2021/Dolisie</t>
  </si>
  <si>
    <t>P29 - CONGO Paiement 4 nuitées du 05 au 09/11/PNR</t>
  </si>
  <si>
    <t>AXEL-CONGO Food allowance du 10 au 13 -nov-2021/PNR et NIARI</t>
  </si>
  <si>
    <t>Achat credit  teléphonique Airtel/staff PALF/Première partie Décembre  2021/Management</t>
  </si>
  <si>
    <t>Cumul frais bancaire d'octobre 2021/Compte 56</t>
  </si>
  <si>
    <t>P29-CONGO Food allowance mission du 05 au 09/10/21 PNR</t>
  </si>
  <si>
    <t>Location véhicule/Recontre avec cible</t>
  </si>
  <si>
    <t>Achat essence pour Vehicule en Location /Rencontre avec cible</t>
  </si>
  <si>
    <t>Cumul frais bancaire mois de Octobre 2021 &amp; Citisation Web Bank/Compte 34</t>
  </si>
  <si>
    <t>Entretien géneral jardin bureau/PALF</t>
  </si>
  <si>
    <t>Achat Eau /04 bonbonnes/PALF</t>
  </si>
  <si>
    <t>Frais pour le certificat médical du prévenu NGOMBELE</t>
  </si>
  <si>
    <t>Frais achat produits pharmaceutiques du Prévenu NGOMBELE</t>
  </si>
  <si>
    <t>Frais agents de force de l'ordre pour la surveillance du prévenu à l'hopital NGOMBELE</t>
  </si>
  <si>
    <t>Frais d'examen (NFS/GERH)/Labo du Prévenu NGOMBELE</t>
  </si>
  <si>
    <t>Frais radiographie &amp; Echographie /Labo du prévenu NGOMBELE</t>
  </si>
  <si>
    <t>Frais achat Fournitures Medicales (Gants, Perfuseur, Thermomètre) du prévenu NGOMBELE</t>
  </si>
  <si>
    <t xml:space="preserve">Frais de surveillance du prévenu NGOMBELE/ l'agent de force de l'ordre </t>
  </si>
  <si>
    <t>Frais achat: spardra, paire de gants,sering et catlan du prévenu NGOMBELE</t>
  </si>
  <si>
    <t>Achat produits pharmaceutiques du prévenu NGOMBELE</t>
  </si>
  <si>
    <t>Frais de surveillance du prévenu NGOMBELE  pour l'agent de force de l'ordre</t>
  </si>
  <si>
    <t>Frais escote et surveillance du prévenu NGOMBELE/ l'agent de force de l'ordre</t>
  </si>
  <si>
    <t>Bonus autorité 14 gendarmes et opération à Lifoula</t>
  </si>
  <si>
    <t>Billet Brazzaville-Dolisie /Axel</t>
  </si>
  <si>
    <t>Billet retour PNR-BZV /Axel</t>
  </si>
  <si>
    <t>Billet Dolisie-Brazzaville / Axel</t>
  </si>
  <si>
    <t>Taxi:Gendarmerie-lifoula / Axel</t>
  </si>
  <si>
    <t>Taxi: Lifoula-Gendarmerie / Axel</t>
  </si>
  <si>
    <t xml:space="preserve"> Taxi: Brazzaville (Bureau)- Lifoula site /B52</t>
  </si>
  <si>
    <t>Taxi: Lifoula-Brazzaville(bureau) / B52</t>
  </si>
  <si>
    <t>Achat billet Brazzaville-Oyo (départ pour Oyo) /I23C</t>
  </si>
  <si>
    <t>Achat billet Oyo-Brazzaville (lifoula)/I23C</t>
  </si>
  <si>
    <t>Achat billet Bz-PN (cfr mission PN)/I23C</t>
  </si>
  <si>
    <t>Taxi PN-Pounga (départ pour Pounga)/I23C</t>
  </si>
  <si>
    <t>Taxi Pounga-Dolisie (départ pour Dolisie)/I23C</t>
  </si>
  <si>
    <t>Achat billet Dolisie-Brazzaville /I23C</t>
  </si>
  <si>
    <t>Taxi Kintele-45km (départ pour 45)/I23C</t>
  </si>
  <si>
    <t>Taxi 45 Km -Kintele (retour à Kintélé) / I23C</t>
  </si>
  <si>
    <t>Achat billet brazzaville-Pointe Noire / P29</t>
  </si>
  <si>
    <t>Achat billet Pointe Noire - Brazzaville / P29</t>
  </si>
  <si>
    <t>Achat billet Brazza-dolisie / P29</t>
  </si>
  <si>
    <t>Achat billet dolisie-Pointe Noire / P29</t>
  </si>
  <si>
    <t>Taxi bureau-kintele,prospectionn / P29</t>
  </si>
  <si>
    <t>Taxi kintele-brazzaville,prospection / P29</t>
  </si>
</sst>
</file>

<file path=xl/styles.xml><?xml version="1.0" encoding="utf-8"?>
<styleSheet xmlns="http://schemas.openxmlformats.org/spreadsheetml/2006/main">
  <numFmts count="7">
    <numFmt numFmtId="41" formatCode="_-* #,##0\ _F_C_F_A_-;\-* #,##0\ _F_C_F_A_-;_-* &quot;-&quot;\ _F_C_F_A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_€_-;\-* #,##0\ _€_-;_-* &quot;-&quot;??\ _€_-;_-@"/>
    <numFmt numFmtId="167" formatCode="[$-409]d\-mmm\-yy;@"/>
    <numFmt numFmtId="168" formatCode="[$-40C]0"/>
    <numFmt numFmtId="169" formatCode="&quot; &quot;#,##0&quot;    &quot;;&quot;-&quot;#,##0&quot;    &quot;;&quot; -&quot;#&quot;    &quot;;&quot; &quot;@&quot; &quot;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3" fillId="0" borderId="0" applyBorder="0" applyProtection="0"/>
  </cellStyleXfs>
  <cellXfs count="27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Fill="1" applyBorder="1" applyAlignment="1"/>
    <xf numFmtId="165" fontId="0" fillId="0" borderId="0" xfId="0" applyNumberFormat="1" applyAlignment="1">
      <alignment vertical="center"/>
    </xf>
    <xf numFmtId="0" fontId="12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165" fontId="14" fillId="0" borderId="0" xfId="1" applyNumberFormat="1" applyFont="1" applyBorder="1" applyProtection="1">
      <protection locked="0"/>
    </xf>
    <xf numFmtId="165" fontId="15" fillId="0" borderId="0" xfId="1" applyNumberFormat="1" applyFont="1" applyBorder="1" applyProtection="1">
      <protection locked="0"/>
    </xf>
    <xf numFmtId="165" fontId="12" fillId="0" borderId="0" xfId="0" applyNumberFormat="1" applyFont="1" applyFill="1" applyBorder="1" applyAlignment="1"/>
    <xf numFmtId="165" fontId="13" fillId="0" borderId="0" xfId="0" applyNumberFormat="1" applyFont="1" applyBorder="1" applyAlignment="1">
      <alignment vertical="center"/>
    </xf>
    <xf numFmtId="0" fontId="16" fillId="0" borderId="0" xfId="0" applyFont="1" applyAlignment="1"/>
    <xf numFmtId="0" fontId="4" fillId="0" borderId="0" xfId="0" applyFont="1" applyAlignment="1"/>
    <xf numFmtId="0" fontId="5" fillId="7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65" fontId="4" fillId="0" borderId="0" xfId="1" applyNumberFormat="1" applyFont="1" applyFill="1" applyProtection="1"/>
    <xf numFmtId="165" fontId="5" fillId="0" borderId="3" xfId="1" applyNumberFormat="1" applyFont="1" applyFill="1" applyBorder="1" applyAlignment="1" applyProtection="1">
      <alignment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 applyAlignment="1"/>
    <xf numFmtId="165" fontId="4" fillId="10" borderId="5" xfId="1" applyNumberFormat="1" applyFont="1" applyFill="1" applyBorder="1" applyProtection="1"/>
    <xf numFmtId="165" fontId="4" fillId="10" borderId="5" xfId="0" applyNumberFormat="1" applyFont="1" applyFill="1" applyBorder="1" applyAlignment="1"/>
    <xf numFmtId="165" fontId="4" fillId="0" borderId="3" xfId="1" applyNumberFormat="1" applyFont="1" applyBorder="1" applyProtection="1"/>
    <xf numFmtId="165" fontId="0" fillId="0" borderId="1" xfId="1" applyNumberFormat="1" applyFont="1" applyFill="1" applyBorder="1" applyProtection="1"/>
    <xf numFmtId="165" fontId="4" fillId="0" borderId="6" xfId="1" applyNumberFormat="1" applyFont="1" applyFill="1" applyBorder="1" applyProtection="1"/>
    <xf numFmtId="165" fontId="4" fillId="0" borderId="1" xfId="0" applyNumberFormat="1" applyFont="1" applyFill="1" applyBorder="1" applyAlignment="1"/>
    <xf numFmtId="165" fontId="4" fillId="0" borderId="1" xfId="1" applyNumberFormat="1" applyFont="1" applyFill="1" applyBorder="1" applyProtection="1"/>
    <xf numFmtId="165" fontId="19" fillId="0" borderId="1" xfId="1" applyNumberFormat="1" applyFont="1" applyFill="1" applyBorder="1" applyProtection="1"/>
    <xf numFmtId="165" fontId="1" fillId="0" borderId="1" xfId="1" applyNumberFormat="1" applyFont="1" applyFill="1" applyBorder="1" applyProtection="1"/>
    <xf numFmtId="165" fontId="5" fillId="10" borderId="4" xfId="1" applyNumberFormat="1" applyFont="1" applyFill="1" applyBorder="1" applyAlignment="1" applyProtection="1">
      <alignment horizontal="left"/>
    </xf>
    <xf numFmtId="165" fontId="5" fillId="10" borderId="5" xfId="1" applyNumberFormat="1" applyFont="1" applyFill="1" applyBorder="1" applyAlignment="1" applyProtection="1">
      <alignment horizontal="left"/>
    </xf>
    <xf numFmtId="165" fontId="4" fillId="10" borderId="1" xfId="0" applyNumberFormat="1" applyFont="1" applyFill="1" applyBorder="1" applyAlignment="1"/>
    <xf numFmtId="0" fontId="5" fillId="0" borderId="4" xfId="0" applyFont="1" applyFill="1" applyBorder="1" applyAlignment="1"/>
    <xf numFmtId="165" fontId="4" fillId="0" borderId="1" xfId="1" applyNumberFormat="1" applyFont="1" applyFill="1" applyBorder="1" applyAlignment="1" applyProtection="1"/>
    <xf numFmtId="165" fontId="4" fillId="0" borderId="6" xfId="1" applyNumberFormat="1" applyFont="1" applyBorder="1" applyProtection="1"/>
    <xf numFmtId="165" fontId="20" fillId="0" borderId="1" xfId="1" applyNumberFormat="1" applyFont="1" applyBorder="1" applyProtection="1"/>
    <xf numFmtId="165" fontId="20" fillId="0" borderId="0" xfId="1" applyNumberFormat="1" applyFont="1" applyProtection="1"/>
    <xf numFmtId="165" fontId="10" fillId="0" borderId="1" xfId="0" applyNumberFormat="1" applyFont="1" applyBorder="1" applyAlignment="1"/>
    <xf numFmtId="0" fontId="18" fillId="10" borderId="4" xfId="0" applyFont="1" applyFill="1" applyBorder="1" applyAlignment="1"/>
    <xf numFmtId="165" fontId="0" fillId="0" borderId="1" xfId="1" applyNumberFormat="1" applyFont="1" applyBorder="1" applyProtection="1"/>
    <xf numFmtId="165" fontId="4" fillId="0" borderId="1" xfId="0" applyNumberFormat="1" applyFont="1" applyBorder="1" applyAlignment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5" fontId="16" fillId="0" borderId="6" xfId="1" applyNumberFormat="1" applyFont="1" applyBorder="1" applyProtection="1"/>
    <xf numFmtId="165" fontId="19" fillId="0" borderId="6" xfId="1" applyNumberFormat="1" applyFont="1" applyBorder="1" applyProtection="1"/>
    <xf numFmtId="165" fontId="19" fillId="0" borderId="1" xfId="1" applyNumberFormat="1" applyFont="1" applyBorder="1" applyAlignment="1" applyProtection="1">
      <alignment vertical="center"/>
    </xf>
    <xf numFmtId="165" fontId="19" fillId="5" borderId="1" xfId="1" applyNumberFormat="1" applyFont="1" applyFill="1" applyBorder="1" applyProtection="1"/>
    <xf numFmtId="165" fontId="9" fillId="0" borderId="3" xfId="1" applyNumberFormat="1" applyFont="1" applyFill="1" applyBorder="1" applyProtection="1"/>
    <xf numFmtId="165" fontId="19" fillId="5" borderId="1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Protection="1"/>
    <xf numFmtId="165" fontId="19" fillId="0" borderId="1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Protection="1"/>
    <xf numFmtId="165" fontId="21" fillId="0" borderId="0" xfId="1" applyNumberFormat="1" applyFont="1" applyBorder="1" applyProtection="1">
      <protection locked="0"/>
    </xf>
    <xf numFmtId="0" fontId="6" fillId="0" borderId="1" xfId="0" applyFont="1" applyFill="1" applyBorder="1" applyAlignment="1"/>
    <xf numFmtId="0" fontId="22" fillId="0" borderId="1" xfId="0" applyFont="1" applyBorder="1" applyAlignment="1">
      <alignment vertical="center"/>
    </xf>
    <xf numFmtId="165" fontId="23" fillId="0" borderId="1" xfId="1" applyNumberFormat="1" applyFont="1" applyBorder="1" applyProtection="1">
      <protection locked="0"/>
    </xf>
    <xf numFmtId="165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13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65" fontId="4" fillId="0" borderId="0" xfId="1" applyNumberFormat="1" applyFont="1" applyFill="1" applyBorder="1" applyProtection="1"/>
    <xf numFmtId="165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 applyAlignment="1"/>
    <xf numFmtId="165" fontId="4" fillId="17" borderId="5" xfId="1" applyNumberFormat="1" applyFont="1" applyFill="1" applyBorder="1" applyProtection="1"/>
    <xf numFmtId="165" fontId="4" fillId="17" borderId="5" xfId="0" applyNumberFormat="1" applyFont="1" applyFill="1" applyBorder="1" applyAlignment="1"/>
    <xf numFmtId="165" fontId="4" fillId="0" borderId="3" xfId="1" applyNumberFormat="1" applyFont="1" applyFill="1" applyBorder="1" applyProtection="1"/>
    <xf numFmtId="165" fontId="24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horizontal="center" vertical="center"/>
    </xf>
    <xf numFmtId="165" fontId="23" fillId="0" borderId="1" xfId="1" applyNumberFormat="1" applyFont="1" applyFill="1" applyBorder="1" applyProtection="1"/>
    <xf numFmtId="165" fontId="28" fillId="0" borderId="1" xfId="1" applyNumberFormat="1" applyFont="1" applyFill="1" applyBorder="1" applyProtection="1"/>
    <xf numFmtId="165" fontId="23" fillId="0" borderId="0" xfId="1" applyNumberFormat="1" applyFont="1" applyFill="1" applyBorder="1" applyProtection="1"/>
    <xf numFmtId="165" fontId="5" fillId="17" borderId="4" xfId="1" applyNumberFormat="1" applyFont="1" applyFill="1" applyBorder="1" applyAlignment="1" applyProtection="1">
      <alignment horizontal="left"/>
    </xf>
    <xf numFmtId="165" fontId="5" fillId="17" borderId="5" xfId="1" applyNumberFormat="1" applyFont="1" applyFill="1" applyBorder="1" applyAlignment="1" applyProtection="1">
      <alignment horizontal="left"/>
    </xf>
    <xf numFmtId="165" fontId="4" fillId="17" borderId="1" xfId="0" applyNumberFormat="1" applyFont="1" applyFill="1" applyBorder="1" applyAlignment="1"/>
    <xf numFmtId="165" fontId="29" fillId="0" borderId="1" xfId="1" applyNumberFormat="1" applyFont="1" applyFill="1" applyBorder="1" applyProtection="1"/>
    <xf numFmtId="3" fontId="24" fillId="0" borderId="1" xfId="0" applyNumberFormat="1" applyFont="1" applyFill="1" applyBorder="1" applyAlignment="1">
      <alignment vertical="center"/>
    </xf>
    <xf numFmtId="165" fontId="29" fillId="0" borderId="0" xfId="1" applyNumberFormat="1" applyFont="1" applyFill="1" applyBorder="1" applyProtection="1"/>
    <xf numFmtId="165" fontId="10" fillId="0" borderId="1" xfId="0" applyNumberFormat="1" applyFont="1" applyFill="1" applyBorder="1" applyAlignment="1"/>
    <xf numFmtId="0" fontId="18" fillId="17" borderId="4" xfId="0" applyFont="1" applyFill="1" applyBorder="1" applyAlignment="1"/>
    <xf numFmtId="165" fontId="30" fillId="0" borderId="3" xfId="1" applyNumberFormat="1" applyFont="1" applyFill="1" applyBorder="1" applyProtection="1"/>
    <xf numFmtId="165" fontId="28" fillId="0" borderId="6" xfId="1" applyNumberFormat="1" applyFont="1" applyFill="1" applyBorder="1" applyProtection="1"/>
    <xf numFmtId="165" fontId="28" fillId="18" borderId="1" xfId="1" applyNumberFormat="1" applyFont="1" applyFill="1" applyBorder="1" applyProtection="1"/>
    <xf numFmtId="165" fontId="28" fillId="18" borderId="1" xfId="1" applyNumberFormat="1" applyFont="1" applyFill="1" applyBorder="1" applyAlignment="1" applyProtection="1">
      <alignment vertical="center"/>
    </xf>
    <xf numFmtId="165" fontId="31" fillId="0" borderId="6" xfId="1" applyNumberFormat="1" applyFont="1" applyFill="1" applyBorder="1" applyProtection="1"/>
    <xf numFmtId="165" fontId="31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vertical="center"/>
    </xf>
    <xf numFmtId="165" fontId="24" fillId="0" borderId="0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Fill="1" applyBorder="1" applyAlignment="1"/>
    <xf numFmtId="165" fontId="19" fillId="0" borderId="6" xfId="1" applyNumberFormat="1" applyFont="1" applyFill="1" applyBorder="1" applyProtection="1"/>
    <xf numFmtId="165" fontId="19" fillId="0" borderId="1" xfId="0" applyNumberFormat="1" applyFont="1" applyFill="1" applyBorder="1" applyAlignment="1"/>
    <xf numFmtId="165" fontId="7" fillId="0" borderId="0" xfId="0" applyNumberFormat="1" applyFont="1" applyAlignment="1">
      <alignment vertical="center"/>
    </xf>
    <xf numFmtId="165" fontId="8" fillId="0" borderId="6" xfId="1" applyNumberFormat="1" applyFont="1" applyBorder="1" applyProtection="1"/>
    <xf numFmtId="165" fontId="8" fillId="0" borderId="1" xfId="1" applyNumberFormat="1" applyFont="1" applyFill="1" applyBorder="1" applyProtection="1"/>
    <xf numFmtId="165" fontId="3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7" fillId="22" borderId="0" xfId="0" applyNumberFormat="1" applyFont="1" applyFill="1" applyAlignment="1">
      <alignment vertical="center"/>
    </xf>
    <xf numFmtId="165" fontId="4" fillId="3" borderId="3" xfId="1" applyNumberFormat="1" applyFont="1" applyFill="1" applyBorder="1" applyProtection="1"/>
    <xf numFmtId="0" fontId="12" fillId="3" borderId="1" xfId="0" applyFont="1" applyFill="1" applyBorder="1" applyAlignment="1"/>
    <xf numFmtId="165" fontId="0" fillId="3" borderId="1" xfId="1" applyNumberFormat="1" applyFont="1" applyFill="1" applyBorder="1" applyProtection="1"/>
    <xf numFmtId="165" fontId="4" fillId="3" borderId="1" xfId="1" applyNumberFormat="1" applyFont="1" applyFill="1" applyBorder="1" applyProtection="1"/>
    <xf numFmtId="165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5" fontId="1" fillId="3" borderId="1" xfId="1" applyNumberFormat="1" applyFont="1" applyFill="1" applyBorder="1" applyProtection="1"/>
    <xf numFmtId="165" fontId="4" fillId="3" borderId="1" xfId="0" applyNumberFormat="1" applyFont="1" applyFill="1" applyBorder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/>
    <xf numFmtId="0" fontId="22" fillId="21" borderId="1" xfId="0" applyFont="1" applyFill="1" applyBorder="1" applyAlignment="1">
      <alignment vertical="center"/>
    </xf>
    <xf numFmtId="165" fontId="23" fillId="21" borderId="1" xfId="1" applyNumberFormat="1" applyFont="1" applyFill="1" applyBorder="1" applyProtection="1">
      <protection locked="0"/>
    </xf>
    <xf numFmtId="165" fontId="24" fillId="21" borderId="1" xfId="1" applyNumberFormat="1" applyFont="1" applyFill="1" applyBorder="1" applyProtection="1">
      <protection locked="0"/>
    </xf>
    <xf numFmtId="165" fontId="4" fillId="5" borderId="1" xfId="1" applyNumberFormat="1" applyFont="1" applyFill="1" applyBorder="1" applyProtection="1"/>
    <xf numFmtId="165" fontId="19" fillId="21" borderId="1" xfId="1" applyNumberFormat="1" applyFont="1" applyFill="1" applyBorder="1" applyProtection="1"/>
    <xf numFmtId="165" fontId="4" fillId="21" borderId="1" xfId="0" applyNumberFormat="1" applyFont="1" applyFill="1" applyBorder="1" applyAlignment="1"/>
    <xf numFmtId="165" fontId="4" fillId="0" borderId="1" xfId="1" applyNumberFormat="1" applyFont="1" applyBorder="1" applyProtection="1"/>
    <xf numFmtId="165" fontId="4" fillId="21" borderId="1" xfId="1" applyNumberFormat="1" applyFont="1" applyFill="1" applyBorder="1" applyProtection="1"/>
    <xf numFmtId="165" fontId="19" fillId="5" borderId="1" xfId="0" applyNumberFormat="1" applyFont="1" applyFill="1" applyBorder="1" applyAlignment="1"/>
    <xf numFmtId="165" fontId="19" fillId="0" borderId="1" xfId="1" applyNumberFormat="1" applyFont="1" applyBorder="1" applyProtection="1"/>
    <xf numFmtId="165" fontId="19" fillId="0" borderId="0" xfId="1" applyNumberFormat="1" applyFont="1" applyProtection="1"/>
    <xf numFmtId="0" fontId="5" fillId="0" borderId="1" xfId="0" applyFont="1" applyFill="1" applyBorder="1" applyAlignment="1"/>
    <xf numFmtId="0" fontId="5" fillId="5" borderId="1" xfId="0" applyFont="1" applyFill="1" applyBorder="1" applyAlignment="1"/>
    <xf numFmtId="0" fontId="5" fillId="21" borderId="1" xfId="0" applyFont="1" applyFill="1" applyBorder="1" applyAlignment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5" fontId="19" fillId="0" borderId="3" xfId="1" applyNumberFormat="1" applyFont="1" applyFill="1" applyBorder="1" applyProtection="1"/>
    <xf numFmtId="0" fontId="33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35" fillId="0" borderId="0" xfId="1" applyNumberFormat="1" applyFont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5" borderId="1" xfId="1" applyNumberFormat="1" applyFont="1" applyFill="1" applyBorder="1" applyProtection="1"/>
    <xf numFmtId="165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5" fontId="8" fillId="0" borderId="1" xfId="1" applyNumberFormat="1" applyFont="1" applyBorder="1" applyProtection="1"/>
    <xf numFmtId="165" fontId="34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0" fillId="0" borderId="4" xfId="0" applyFont="1" applyFill="1" applyBorder="1" applyAlignment="1"/>
    <xf numFmtId="165" fontId="19" fillId="0" borderId="1" xfId="0" applyNumberFormat="1" applyFont="1" applyBorder="1" applyAlignment="1"/>
    <xf numFmtId="0" fontId="40" fillId="0" borderId="0" xfId="0" applyFont="1" applyFill="1" applyBorder="1" applyAlignment="1"/>
    <xf numFmtId="0" fontId="40" fillId="0" borderId="1" xfId="0" applyFont="1" applyFill="1" applyBorder="1" applyAlignment="1"/>
    <xf numFmtId="165" fontId="19" fillId="0" borderId="3" xfId="1" applyNumberFormat="1" applyFont="1" applyBorder="1" applyProtection="1"/>
    <xf numFmtId="165" fontId="1" fillId="0" borderId="1" xfId="1" applyNumberFormat="1" applyFont="1" applyBorder="1" applyProtection="1"/>
    <xf numFmtId="165" fontId="19" fillId="22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5" fontId="15" fillId="0" borderId="0" xfId="1" applyNumberFormat="1" applyFont="1" applyFill="1" applyBorder="1" applyProtection="1">
      <protection locked="0"/>
    </xf>
    <xf numFmtId="165" fontId="14" fillId="0" borderId="0" xfId="1" applyNumberFormat="1" applyFont="1" applyFill="1" applyBorder="1" applyProtection="1">
      <protection locked="0"/>
    </xf>
    <xf numFmtId="165" fontId="13" fillId="0" borderId="0" xfId="0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65" fontId="24" fillId="0" borderId="1" xfId="1" applyNumberFormat="1" applyFont="1" applyFill="1" applyBorder="1" applyProtection="1">
      <protection locked="0"/>
    </xf>
    <xf numFmtId="165" fontId="19" fillId="21" borderId="1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168" fontId="36" fillId="0" borderId="1" xfId="2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14" fontId="41" fillId="0" borderId="1" xfId="3" applyNumberFormat="1" applyFont="1" applyFill="1" applyBorder="1"/>
    <xf numFmtId="165" fontId="5" fillId="0" borderId="3" xfId="1" applyNumberFormat="1" applyFont="1" applyFill="1" applyBorder="1" applyAlignment="1" applyProtection="1">
      <alignment horizontal="center" vertical="center" wrapText="1"/>
    </xf>
    <xf numFmtId="14" fontId="36" fillId="0" borderId="1" xfId="0" applyNumberFormat="1" applyFont="1" applyFill="1" applyBorder="1" applyAlignment="1">
      <alignment vertical="center"/>
    </xf>
    <xf numFmtId="15" fontId="36" fillId="0" borderId="1" xfId="0" applyNumberFormat="1" applyFont="1" applyFill="1" applyBorder="1" applyAlignment="1">
      <alignment vertical="center"/>
    </xf>
    <xf numFmtId="3" fontId="36" fillId="0" borderId="1" xfId="1" applyNumberFormat="1" applyFont="1" applyFill="1" applyBorder="1" applyAlignment="1" applyProtection="1">
      <alignment horizontal="right"/>
    </xf>
    <xf numFmtId="0" fontId="36" fillId="5" borderId="1" xfId="0" applyFont="1" applyFill="1" applyBorder="1" applyAlignment="1">
      <alignment vertical="center"/>
    </xf>
    <xf numFmtId="0" fontId="36" fillId="19" borderId="1" xfId="0" applyFont="1" applyFill="1" applyBorder="1" applyAlignment="1">
      <alignment vertical="center"/>
    </xf>
    <xf numFmtId="0" fontId="36" fillId="23" borderId="1" xfId="0" applyFont="1" applyFill="1" applyBorder="1" applyAlignment="1">
      <alignment vertical="center"/>
    </xf>
    <xf numFmtId="41" fontId="36" fillId="23" borderId="1" xfId="4" applyFont="1" applyFill="1" applyBorder="1" applyAlignment="1">
      <alignment vertical="center"/>
    </xf>
    <xf numFmtId="3" fontId="36" fillId="0" borderId="1" xfId="1" applyNumberFormat="1" applyFont="1" applyFill="1" applyBorder="1" applyAlignment="1" applyProtection="1">
      <alignment horizontal="right" vertical="center"/>
    </xf>
    <xf numFmtId="165" fontId="36" fillId="0" borderId="1" xfId="1" applyNumberFormat="1" applyFont="1" applyFill="1" applyBorder="1" applyAlignment="1" applyProtection="1">
      <alignment vertical="center"/>
    </xf>
    <xf numFmtId="0" fontId="42" fillId="21" borderId="1" xfId="0" applyFont="1" applyFill="1" applyBorder="1" applyAlignment="1">
      <alignment vertical="center"/>
    </xf>
    <xf numFmtId="165" fontId="36" fillId="0" borderId="1" xfId="0" applyNumberFormat="1" applyFont="1" applyFill="1" applyBorder="1" applyAlignment="1">
      <alignment vertical="center"/>
    </xf>
    <xf numFmtId="165" fontId="43" fillId="0" borderId="1" xfId="0" applyNumberFormat="1" applyFont="1" applyFill="1" applyBorder="1" applyAlignment="1">
      <alignment vertical="center"/>
    </xf>
    <xf numFmtId="165" fontId="36" fillId="0" borderId="1" xfId="1" applyNumberFormat="1" applyFont="1" applyFill="1" applyBorder="1" applyAlignment="1">
      <alignment vertical="center"/>
    </xf>
    <xf numFmtId="166" fontId="36" fillId="0" borderId="1" xfId="0" applyNumberFormat="1" applyFont="1" applyFill="1" applyBorder="1" applyAlignment="1">
      <alignment vertical="center"/>
    </xf>
    <xf numFmtId="14" fontId="36" fillId="12" borderId="1" xfId="0" applyNumberFormat="1" applyFont="1" applyFill="1" applyBorder="1" applyAlignment="1">
      <alignment vertical="center"/>
    </xf>
    <xf numFmtId="0" fontId="36" fillId="12" borderId="1" xfId="0" applyFont="1" applyFill="1" applyBorder="1" applyAlignment="1">
      <alignment vertical="center"/>
    </xf>
    <xf numFmtId="3" fontId="36" fillId="12" borderId="1" xfId="1" applyNumberFormat="1" applyFont="1" applyFill="1" applyBorder="1" applyAlignment="1" applyProtection="1">
      <alignment horizontal="center" vertical="center"/>
    </xf>
    <xf numFmtId="165" fontId="36" fillId="12" borderId="1" xfId="1" applyNumberFormat="1" applyFont="1" applyFill="1" applyBorder="1" applyAlignment="1" applyProtection="1">
      <alignment vertical="center"/>
    </xf>
    <xf numFmtId="0" fontId="36" fillId="12" borderId="1" xfId="0" applyFont="1" applyFill="1" applyBorder="1" applyAlignment="1">
      <alignment horizontal="left" vertical="center"/>
    </xf>
    <xf numFmtId="169" fontId="36" fillId="0" borderId="1" xfId="6" applyNumberFormat="1" applyFont="1" applyFill="1" applyBorder="1" applyAlignment="1">
      <alignment vertical="center"/>
    </xf>
    <xf numFmtId="169" fontId="36" fillId="0" borderId="1" xfId="6" applyNumberFormat="1" applyFont="1" applyFill="1" applyBorder="1" applyAlignment="1">
      <alignment vertical="center" wrapText="1"/>
    </xf>
    <xf numFmtId="0" fontId="36" fillId="0" borderId="1" xfId="2" applyFont="1" applyFill="1" applyBorder="1" applyAlignment="1">
      <alignment vertical="center"/>
    </xf>
    <xf numFmtId="168" fontId="36" fillId="0" borderId="1" xfId="2" applyNumberFormat="1" applyFont="1" applyFill="1" applyBorder="1" applyAlignment="1">
      <alignment vertical="center" wrapText="1"/>
    </xf>
    <xf numFmtId="0" fontId="36" fillId="0" borderId="1" xfId="2" applyFont="1" applyFill="1" applyBorder="1" applyAlignment="1" applyProtection="1">
      <alignment vertical="center"/>
    </xf>
    <xf numFmtId="168" fontId="36" fillId="0" borderId="1" xfId="2" applyNumberFormat="1" applyFont="1" applyFill="1" applyBorder="1" applyAlignment="1" applyProtection="1">
      <alignment vertical="center"/>
    </xf>
    <xf numFmtId="169" fontId="36" fillId="0" borderId="1" xfId="6" applyNumberFormat="1" applyFont="1" applyFill="1" applyBorder="1" applyAlignment="1" applyProtection="1">
      <alignment vertical="center" wrapText="1"/>
    </xf>
    <xf numFmtId="168" fontId="36" fillId="0" borderId="1" xfId="2" applyNumberFormat="1" applyFont="1" applyFill="1" applyBorder="1" applyAlignment="1" applyProtection="1">
      <alignment vertical="center" wrapText="1"/>
    </xf>
    <xf numFmtId="168" fontId="36" fillId="0" borderId="1" xfId="0" applyNumberFormat="1" applyFont="1" applyFill="1" applyBorder="1" applyAlignment="1">
      <alignment vertical="center"/>
    </xf>
    <xf numFmtId="15" fontId="36" fillId="0" borderId="1" xfId="2" applyNumberFormat="1" applyFont="1" applyFill="1" applyBorder="1" applyAlignment="1">
      <alignment vertical="center"/>
    </xf>
    <xf numFmtId="15" fontId="36" fillId="0" borderId="1" xfId="2" applyNumberFormat="1" applyFont="1" applyFill="1" applyBorder="1" applyAlignment="1">
      <alignment vertical="center" wrapText="1"/>
    </xf>
    <xf numFmtId="15" fontId="36" fillId="0" borderId="1" xfId="2" applyNumberFormat="1" applyFont="1" applyFill="1" applyBorder="1" applyAlignment="1" applyProtection="1">
      <alignment vertical="center" wrapText="1"/>
    </xf>
    <xf numFmtId="165" fontId="36" fillId="0" borderId="1" xfId="1" applyNumberFormat="1" applyFont="1" applyFill="1" applyBorder="1" applyAlignment="1">
      <alignment horizontal="left" vertical="center" wrapText="1"/>
    </xf>
    <xf numFmtId="165" fontId="36" fillId="0" borderId="1" xfId="1" applyNumberFormat="1" applyFont="1" applyFill="1" applyBorder="1" applyAlignment="1">
      <alignment horizontal="right"/>
    </xf>
    <xf numFmtId="169" fontId="36" fillId="0" borderId="1" xfId="6" applyNumberFormat="1" applyFont="1" applyFill="1" applyBorder="1" applyAlignment="1">
      <alignment horizontal="right" wrapText="1"/>
    </xf>
    <xf numFmtId="0" fontId="36" fillId="0" borderId="1" xfId="0" applyFont="1" applyFill="1" applyBorder="1" applyAlignment="1">
      <alignment horizontal="right"/>
    </xf>
    <xf numFmtId="165" fontId="36" fillId="0" borderId="1" xfId="0" applyNumberFormat="1" applyFont="1" applyFill="1" applyBorder="1" applyAlignment="1">
      <alignment horizontal="right"/>
    </xf>
    <xf numFmtId="169" fontId="36" fillId="0" borderId="1" xfId="6" applyNumberFormat="1" applyFont="1" applyFill="1" applyBorder="1" applyAlignment="1" applyProtection="1">
      <alignment horizontal="right" wrapText="1"/>
    </xf>
    <xf numFmtId="169" fontId="36" fillId="0" borderId="1" xfId="6" applyNumberFormat="1" applyFont="1" applyFill="1" applyBorder="1" applyAlignment="1">
      <alignment horizontal="right"/>
    </xf>
    <xf numFmtId="168" fontId="36" fillId="0" borderId="1" xfId="2" applyNumberFormat="1" applyFont="1" applyFill="1" applyBorder="1" applyAlignment="1">
      <alignment horizontal="right" wrapText="1"/>
    </xf>
    <xf numFmtId="165" fontId="36" fillId="0" borderId="1" xfId="0" applyNumberFormat="1" applyFont="1" applyFill="1" applyBorder="1" applyAlignment="1">
      <alignment horizontal="left" vertical="center"/>
    </xf>
    <xf numFmtId="0" fontId="36" fillId="0" borderId="1" xfId="2" applyFont="1" applyFill="1" applyBorder="1" applyAlignment="1">
      <alignment horizontal="left" vertical="center"/>
    </xf>
    <xf numFmtId="0" fontId="36" fillId="0" borderId="1" xfId="2" applyFont="1" applyFill="1" applyBorder="1" applyAlignment="1" applyProtection="1">
      <alignment horizontal="left" vertical="center"/>
    </xf>
    <xf numFmtId="165" fontId="36" fillId="0" borderId="1" xfId="1" applyNumberFormat="1" applyFont="1" applyFill="1" applyBorder="1" applyAlignment="1">
      <alignment horizontal="left" vertical="center"/>
    </xf>
    <xf numFmtId="3" fontId="36" fillId="12" borderId="1" xfId="1" applyNumberFormat="1" applyFont="1" applyFill="1" applyBorder="1" applyAlignment="1" applyProtection="1">
      <alignment horizontal="right" vertical="center"/>
    </xf>
    <xf numFmtId="0" fontId="43" fillId="0" borderId="1" xfId="0" applyFont="1" applyFill="1" applyBorder="1" applyAlignment="1">
      <alignment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right" vertical="center"/>
    </xf>
    <xf numFmtId="0" fontId="36" fillId="20" borderId="1" xfId="0" applyFont="1" applyFill="1" applyBorder="1" applyAlignment="1">
      <alignment horizontal="left" vertical="center"/>
    </xf>
    <xf numFmtId="3" fontId="44" fillId="24" borderId="1" xfId="1" applyNumberFormat="1" applyFont="1" applyFill="1" applyBorder="1" applyAlignment="1" applyProtection="1">
      <alignment horizontal="right" vertical="center"/>
    </xf>
  </cellXfs>
  <cellStyles count="7">
    <cellStyle name="Excel Built-in Comma" xfId="6"/>
    <cellStyle name="Excel Built-in Normal" xfId="2"/>
    <cellStyle name="Milliers" xfId="1" builtinId="3"/>
    <cellStyle name="Milliers [0]" xfId="4" builtinId="6"/>
    <cellStyle name="Milliers 3" xfId="5"/>
    <cellStyle name="Normal" xfId="0" builtinId="0"/>
    <cellStyle name="Normal_Total expenses by date" xfId="3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10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1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4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5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6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7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8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9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544.486818518519" createdVersion="5" refreshedVersion="5" minRefreshableVersion="3" recordCount="302">
  <cacheSource type="worksheet">
    <worksheetSource ref="A11:O313" sheet="DATA  Novembre 2021"/>
  </cacheSource>
  <cacheFields count="15">
    <cacheField name="Date" numFmtId="15">
      <sharedItems containsSemiMixedTypes="0" containsNonDate="0" containsDate="1" containsString="0" minDate="2021-11-01T00:00:00" maxDate="2021-12-01T00:00:00"/>
    </cacheField>
    <cacheField name="Details" numFmtId="0">
      <sharedItems/>
    </cacheField>
    <cacheField name="Type de dépenses" numFmtId="0">
      <sharedItems containsBlank="1" count="18">
        <m/>
        <s v="Versement"/>
        <s v="Telephone "/>
        <s v="Bank fees"/>
        <s v="Office Materials"/>
        <s v="Lawyer Fees"/>
        <s v="Transport"/>
        <s v="Travel Subsistence"/>
        <s v="Rent &amp; Utilities"/>
        <s v="Trust Building"/>
        <s v="Transfer fees"/>
        <s v="Services"/>
        <s v="Personnel "/>
        <s v="Bonus"/>
        <s v="Jail Visits"/>
        <s v="Equipement"/>
        <s v="Internet"/>
        <s v="Flight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2000" maxValue="2000000"/>
    </cacheField>
    <cacheField name="Spent" numFmtId="0">
      <sharedItems containsString="0" containsBlank="1" containsNumber="1" containsInteger="1" minValue="450" maxValue="2000000"/>
    </cacheField>
    <cacheField name="Balance" numFmtId="165">
      <sharedItems containsSemiMixedTypes="0" containsString="0" containsNumber="1" containsInteger="1" minValue="23325297" maxValue="32270361"/>
    </cacheField>
    <cacheField name="Name" numFmtId="0">
      <sharedItems containsBlank="1" count="14">
        <m/>
        <s v="Caisse"/>
        <s v="BCI-Sous Compte"/>
        <s v="i23c"/>
        <s v="Grace"/>
        <s v="Godfré"/>
        <s v="P29"/>
        <s v="Axel"/>
        <s v="BCI"/>
        <s v="B52"/>
        <s v="Crépin"/>
        <s v="Merveille"/>
        <s v="Evariste"/>
        <s v="Tiffany"/>
      </sharedItems>
    </cacheField>
    <cacheField name="Receipt" numFmtId="0">
      <sharedItems containsBlank="1" containsMixedTypes="1" containsNumber="1" containsInteger="1" minValue="3643554" maxValue="3643577"/>
    </cacheField>
    <cacheField name="Donor" numFmtId="0">
      <sharedItems containsBlank="1"/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ELL" refreshedDate="44544.486818750003" createdVersion="5" refreshedVersion="5" minRefreshableVersion="3" recordCount="300">
  <cacheSource type="worksheet">
    <worksheetSource ref="A11:O311" sheet="DATA  Novembre 2021"/>
  </cacheSource>
  <cacheFields count="15">
    <cacheField name="Date" numFmtId="15">
      <sharedItems containsSemiMixedTypes="0" containsNonDate="0" containsDate="1" containsString="0" minDate="2021-11-01T00:00:00" maxDate="2021-12-01T00:00:00"/>
    </cacheField>
    <cacheField name="Details" numFmtId="0">
      <sharedItems/>
    </cacheField>
    <cacheField name="Type de dépenses" numFmtId="0">
      <sharedItems containsBlank="1"/>
    </cacheField>
    <cacheField name="Departement" numFmtId="0">
      <sharedItems containsBlank="1"/>
    </cacheField>
    <cacheField name="Received" numFmtId="0">
      <sharedItems containsString="0" containsBlank="1" containsNumber="1" containsInteger="1" minValue="2000" maxValue="2000000"/>
    </cacheField>
    <cacheField name="Spent" numFmtId="0">
      <sharedItems containsString="0" containsBlank="1" containsNumber="1" containsInteger="1" minValue="450" maxValue="2000000"/>
    </cacheField>
    <cacheField name="Balance" numFmtId="165">
      <sharedItems containsSemiMixedTypes="0" containsString="0" containsNumber="1" containsInteger="1" minValue="23325297" maxValue="32270361"/>
    </cacheField>
    <cacheField name="Name" numFmtId="0">
      <sharedItems containsBlank="1"/>
    </cacheField>
    <cacheField name="Receipt" numFmtId="0">
      <sharedItems containsBlank="1" containsMixedTypes="1" containsNumber="1" containsInteger="1" minValue="3643554" maxValue="3643577"/>
    </cacheField>
    <cacheField name="Donor" numFmtId="0">
      <sharedItems containsBlank="1" count="3">
        <m/>
        <s v="UE"/>
        <s v="Wildcat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2">
  <r>
    <d v="2021-11-01T00:00:00"/>
    <s v="Solde au 01/11/2021"/>
    <x v="0"/>
    <m/>
    <m/>
    <m/>
    <n v="32194988"/>
    <x v="0"/>
    <m/>
    <m/>
    <m/>
    <m/>
    <m/>
    <m/>
    <m/>
  </r>
  <r>
    <d v="2021-11-02T00:00:00"/>
    <s v="I23c"/>
    <x v="1"/>
    <m/>
    <m/>
    <n v="18000"/>
    <n v="32176988"/>
    <x v="1"/>
    <m/>
    <m/>
    <m/>
    <m/>
    <m/>
    <m/>
    <m/>
  </r>
  <r>
    <d v="2021-11-02T00:00:00"/>
    <s v="Achat credit  teléphonique MTN/staff PALF/Première partie Novembre 2021/Management"/>
    <x v="2"/>
    <s v="Management"/>
    <m/>
    <n v="52000"/>
    <n v="32124988"/>
    <x v="1"/>
    <s v="Oui"/>
    <s v="UE"/>
    <s v="RALFF"/>
    <s v="CONGO"/>
    <s v="RALFF-CO2692"/>
    <s v="4.6"/>
    <m/>
  </r>
  <r>
    <d v="2021-11-02T00:00:00"/>
    <s v="Achat credit  teléphonique MTN/staff PALF/Première partie Novembre 2021/Légal"/>
    <x v="2"/>
    <s v="Legal"/>
    <m/>
    <n v="16000"/>
    <n v="32108988"/>
    <x v="1"/>
    <s v="Oui"/>
    <s v="UE"/>
    <s v="RALFF"/>
    <s v="CONGO"/>
    <s v="RALFF-CO2693"/>
    <s v="4.6"/>
    <m/>
  </r>
  <r>
    <d v="2021-11-02T00:00:00"/>
    <s v="Achat credit  teléphonique MTN/staff PALF/Première partie Novembre 2021/legal volontaire"/>
    <x v="2"/>
    <s v="Legal"/>
    <m/>
    <n v="42000"/>
    <n v="32066988"/>
    <x v="1"/>
    <s v="Oui"/>
    <s v="Wildcat"/>
    <s v="PALF"/>
    <s v="CONGO"/>
    <m/>
    <m/>
    <m/>
  </r>
  <r>
    <d v="2021-11-02T00:00:00"/>
    <s v="Achat credit  teléphonique MTN/staff PALF/Première partie Novembre 2021/Investigation"/>
    <x v="2"/>
    <s v="Investigation"/>
    <m/>
    <n v="20000"/>
    <n v="32046988"/>
    <x v="1"/>
    <s v="Oui"/>
    <s v="UE"/>
    <s v="RALFF"/>
    <s v="CONGO"/>
    <s v="RALFF-CO2694"/>
    <s v="4.6"/>
    <m/>
  </r>
  <r>
    <d v="2021-11-02T00:00:00"/>
    <s v="Achat credit  teléphonique MTN/staff PALF/Première partie Novembre 2021/Investigation Volontaire"/>
    <x v="2"/>
    <s v="Investigation"/>
    <m/>
    <n v="26000"/>
    <n v="32020988"/>
    <x v="1"/>
    <s v="Oui"/>
    <s v="Wildcat"/>
    <s v="PALF"/>
    <s v="CONGO"/>
    <m/>
    <m/>
    <m/>
  </r>
  <r>
    <d v="2021-11-02T00:00:00"/>
    <s v="Achat credit  teléphonique MTN/staff PALF/Première partie Novembre 2021/Média"/>
    <x v="2"/>
    <s v="Media"/>
    <m/>
    <n v="5000"/>
    <n v="32015988"/>
    <x v="1"/>
    <s v="Oui"/>
    <s v="UE"/>
    <s v="RALFF"/>
    <s v="CONGO"/>
    <s v="RALFF-CO2695"/>
    <s v="4.6"/>
    <m/>
  </r>
  <r>
    <d v="2021-11-02T00:00:00"/>
    <s v="Achat credit  teléphonique Airtel/staff PALF/Première partie Novembre  2021/Management"/>
    <x v="2"/>
    <s v="Management"/>
    <m/>
    <n v="32000"/>
    <n v="31983988"/>
    <x v="1"/>
    <s v="Oui"/>
    <s v="UE"/>
    <s v="RALFF"/>
    <s v="CONGO"/>
    <s v="RALFF-CO2696"/>
    <s v="4.6"/>
    <m/>
  </r>
  <r>
    <d v="2021-11-02T00:00:00"/>
    <s v="Achat credit  teléphonique Airtel/staff PALF/Première partie Novembre  2021/Investigation"/>
    <x v="2"/>
    <s v="Investigation"/>
    <m/>
    <n v="32000"/>
    <n v="31951988"/>
    <x v="1"/>
    <s v="Oui"/>
    <s v="UE"/>
    <s v="RALFF"/>
    <s v="CONGO"/>
    <s v="RALFF-CO2697"/>
    <s v="4.6"/>
    <m/>
  </r>
  <r>
    <d v="2021-11-02T00:00:00"/>
    <s v="Achat credit  teléphonique Airtel/staff PALF/Première partie Novembre  2021/Légal"/>
    <x v="2"/>
    <s v="Legal"/>
    <m/>
    <n v="5000"/>
    <n v="31946988"/>
    <x v="1"/>
    <s v="Oui"/>
    <s v="UE"/>
    <s v="RALFF"/>
    <s v="CONGO"/>
    <s v="RALFF-CO2698"/>
    <s v="4.6"/>
    <m/>
  </r>
  <r>
    <d v="2021-11-02T00:00:00"/>
    <s v="Achat credit  teléphonique Airtel/staff PALF/Première partie Novembre  2021/Média"/>
    <x v="2"/>
    <s v="Media"/>
    <m/>
    <n v="11000"/>
    <n v="31935988"/>
    <x v="1"/>
    <s v="Oui"/>
    <s v="UE"/>
    <s v="RALFF"/>
    <s v="CONGO"/>
    <s v="RALFF-CO2699"/>
    <s v="4.6"/>
    <m/>
  </r>
  <r>
    <d v="2021-11-02T00:00:00"/>
    <s v="Cumul frais bancaire d'octobre 2021/"/>
    <x v="3"/>
    <s v="Ofiice"/>
    <m/>
    <n v="14701"/>
    <n v="31921287"/>
    <x v="2"/>
    <s v="Relevé"/>
    <s v="UE"/>
    <s v="RALFF"/>
    <s v="CONGO"/>
    <s v="RALFF-CO2700"/>
    <s v="5.6"/>
    <m/>
  </r>
  <r>
    <d v="2021-11-02T00:00:00"/>
    <s v="Réçu caisse"/>
    <x v="1"/>
    <m/>
    <n v="18000"/>
    <m/>
    <n v="31939287"/>
    <x v="3"/>
    <m/>
    <m/>
    <m/>
    <m/>
    <m/>
    <m/>
    <m/>
  </r>
  <r>
    <d v="2021-11-03T00:00:00"/>
    <s v="Godfre"/>
    <x v="1"/>
    <m/>
    <m/>
    <n v="10000"/>
    <n v="31929287"/>
    <x v="1"/>
    <m/>
    <m/>
    <m/>
    <m/>
    <m/>
    <m/>
    <m/>
  </r>
  <r>
    <d v="2021-11-03T00:00:00"/>
    <s v="Grace"/>
    <x v="1"/>
    <m/>
    <m/>
    <n v="2000"/>
    <n v="31927287"/>
    <x v="1"/>
    <m/>
    <m/>
    <m/>
    <m/>
    <m/>
    <m/>
    <m/>
  </r>
  <r>
    <d v="2021-11-03T00:00:00"/>
    <s v="Reçu Caisse"/>
    <x v="1"/>
    <m/>
    <n v="2000"/>
    <m/>
    <n v="31929287"/>
    <x v="4"/>
    <m/>
    <m/>
    <m/>
    <m/>
    <m/>
    <m/>
    <m/>
  </r>
  <r>
    <d v="2021-11-03T00:00:00"/>
    <s v="Reçu Caisse"/>
    <x v="1"/>
    <m/>
    <n v="10000"/>
    <m/>
    <n v="31939287"/>
    <x v="5"/>
    <m/>
    <m/>
    <m/>
    <m/>
    <m/>
    <m/>
    <m/>
  </r>
  <r>
    <d v="2021-11-04T00:00:00"/>
    <s v="P29"/>
    <x v="1"/>
    <m/>
    <m/>
    <n v="180000"/>
    <n v="31759287"/>
    <x v="1"/>
    <m/>
    <m/>
    <m/>
    <m/>
    <m/>
    <m/>
    <m/>
  </r>
  <r>
    <d v="2021-11-04T00:00:00"/>
    <s v="I23c"/>
    <x v="1"/>
    <m/>
    <m/>
    <n v="142000"/>
    <n v="31617287"/>
    <x v="1"/>
    <m/>
    <m/>
    <m/>
    <m/>
    <m/>
    <m/>
    <m/>
  </r>
  <r>
    <d v="2021-11-04T00:00:00"/>
    <s v="I23c"/>
    <x v="1"/>
    <m/>
    <m/>
    <n v="4000"/>
    <n v="31613287"/>
    <x v="1"/>
    <m/>
    <m/>
    <m/>
    <m/>
    <m/>
    <m/>
    <m/>
  </r>
  <r>
    <d v="2021-11-04T00:00:00"/>
    <s v="Achat produit de Nettoyage,lait sucre,matinal, papier toilette et sac Poubelle"/>
    <x v="4"/>
    <s v="Ofiice"/>
    <m/>
    <n v="36750"/>
    <n v="31576537"/>
    <x v="1"/>
    <s v="Oui"/>
    <s v="UE"/>
    <s v="RALFF"/>
    <s v="CONGO"/>
    <s v="RALFF-CO2701"/>
    <s v="4.3"/>
    <m/>
  </r>
  <r>
    <d v="2021-11-04T00:00:00"/>
    <s v="Axel"/>
    <x v="1"/>
    <m/>
    <m/>
    <n v="10000"/>
    <n v="31566537"/>
    <x v="1"/>
    <m/>
    <m/>
    <m/>
    <m/>
    <m/>
    <m/>
    <m/>
  </r>
  <r>
    <d v="2021-11-04T00:00:00"/>
    <s v="Solde honoraires contrat n°36/Dolisie/Maitre MOUYETI Scrutin/cas MANGUILA et BALENDA"/>
    <x v="5"/>
    <s v="Legal"/>
    <m/>
    <n v="300000"/>
    <n v="31266537"/>
    <x v="2"/>
    <n v="3643554"/>
    <s v="UE"/>
    <s v="RALFF"/>
    <s v="CONGO"/>
    <s v="RALFF-CO2702"/>
    <s v="5.2.2"/>
    <m/>
  </r>
  <r>
    <d v="2021-11-04T00:00:00"/>
    <s v="Réçu caisse"/>
    <x v="1"/>
    <m/>
    <n v="4000"/>
    <m/>
    <n v="31270537"/>
    <x v="3"/>
    <m/>
    <m/>
    <m/>
    <m/>
    <m/>
    <m/>
    <m/>
  </r>
  <r>
    <d v="2021-11-04T00:00:00"/>
    <s v="Réçu caisse"/>
    <x v="1"/>
    <m/>
    <n v="142000"/>
    <m/>
    <n v="31412537"/>
    <x v="3"/>
    <m/>
    <m/>
    <m/>
    <m/>
    <m/>
    <m/>
    <m/>
  </r>
  <r>
    <d v="2021-11-04T00:00:00"/>
    <s v="Achat billet Brazzaville-Oyo (départ pour Oyo)"/>
    <x v="6"/>
    <s v="Investigation"/>
    <m/>
    <n v="10000"/>
    <n v="31402537"/>
    <x v="3"/>
    <s v="Oui"/>
    <s v="UE"/>
    <s v="RALFF"/>
    <s v="CONGO"/>
    <s v="RALFF-CO2703"/>
    <s v="2.2"/>
    <m/>
  </r>
  <r>
    <d v="2021-11-04T00:00:00"/>
    <s v="Recu de caisse"/>
    <x v="1"/>
    <m/>
    <n v="180000"/>
    <m/>
    <n v="31582537"/>
    <x v="6"/>
    <m/>
    <m/>
    <m/>
    <m/>
    <m/>
    <m/>
    <m/>
  </r>
  <r>
    <d v="2021-11-04T00:00:00"/>
    <s v="Achat billet brazzaville-Pointe Noire"/>
    <x v="6"/>
    <s v="Investigation"/>
    <m/>
    <n v="15000"/>
    <n v="31567537"/>
    <x v="6"/>
    <s v="Oui"/>
    <s v="UE"/>
    <s v="RALFF"/>
    <s v="CONGO"/>
    <s v="RALFF-CO2704"/>
    <s v="2.2"/>
    <m/>
  </r>
  <r>
    <d v="2021-11-04T00:00:00"/>
    <s v="Reçu Caisse"/>
    <x v="1"/>
    <m/>
    <n v="10000"/>
    <m/>
    <n v="31577537"/>
    <x v="7"/>
    <m/>
    <m/>
    <m/>
    <m/>
    <m/>
    <m/>
    <m/>
  </r>
  <r>
    <d v="2021-11-05T00:00:00"/>
    <s v="P29-CONGO Food allowance mission du 05 au 09/10"/>
    <x v="7"/>
    <s v="Investigation"/>
    <m/>
    <n v="40000"/>
    <n v="31537537"/>
    <x v="6"/>
    <s v="Décharge"/>
    <s v="UE"/>
    <s v="RALFF"/>
    <s v="CONGO"/>
    <s v="RALFF-CO2705"/>
    <s v="1.3.2"/>
    <m/>
  </r>
  <r>
    <d v="2021-11-05T00:00:00"/>
    <s v="Axel"/>
    <x v="1"/>
    <m/>
    <m/>
    <n v="10000"/>
    <n v="31527537"/>
    <x v="1"/>
    <m/>
    <m/>
    <m/>
    <m/>
    <m/>
    <m/>
    <m/>
  </r>
  <r>
    <d v="2021-11-05T00:00:00"/>
    <s v="Godfre"/>
    <x v="1"/>
    <m/>
    <m/>
    <n v="10000"/>
    <n v="31517537"/>
    <x v="1"/>
    <m/>
    <m/>
    <m/>
    <m/>
    <m/>
    <m/>
    <m/>
  </r>
  <r>
    <d v="2021-11-05T00:00:00"/>
    <s v="Reglement facture E²C/Septembre-Octobre 2021/bureau PALF"/>
    <x v="8"/>
    <s v="Ofiice"/>
    <m/>
    <n v="48382"/>
    <n v="31469155"/>
    <x v="1"/>
    <s v="Oui"/>
    <s v="UE"/>
    <s v="RALFF"/>
    <s v="CONGO"/>
    <s v="RALFF-CO2706"/>
    <s v="4.4"/>
    <m/>
  </r>
  <r>
    <d v="2021-11-05T00:00:00"/>
    <s v="I23C-CONGO Food allowance mission Oyo-Lifoula du 5 au 9 novembre 2021"/>
    <x v="7"/>
    <s v="Investigation"/>
    <m/>
    <n v="40000"/>
    <n v="31429155"/>
    <x v="3"/>
    <s v="Décharge"/>
    <s v="UE"/>
    <s v="RALFF"/>
    <s v="CONGO"/>
    <s v="RALFF-CO2707"/>
    <s v="1.3.2"/>
    <m/>
  </r>
  <r>
    <d v="2021-11-05T00:00:00"/>
    <s v="Reçu Caisse"/>
    <x v="1"/>
    <m/>
    <n v="10000"/>
    <m/>
    <n v="31439155"/>
    <x v="5"/>
    <m/>
    <m/>
    <m/>
    <m/>
    <m/>
    <m/>
    <m/>
  </r>
  <r>
    <d v="2021-11-05T00:00:00"/>
    <s v="Reçu Caisse"/>
    <x v="1"/>
    <m/>
    <n v="10000"/>
    <m/>
    <n v="31449155"/>
    <x v="7"/>
    <m/>
    <m/>
    <m/>
    <m/>
    <m/>
    <m/>
    <m/>
  </r>
  <r>
    <d v="2021-11-06T00:00:00"/>
    <s v="Location véhicule"/>
    <x v="9"/>
    <s v="Investigation"/>
    <m/>
    <n v="60000"/>
    <n v="31389155"/>
    <x v="6"/>
    <s v="Oui"/>
    <s v="Wildcat"/>
    <s v="PALF"/>
    <s v="CONGO"/>
    <m/>
    <m/>
    <m/>
  </r>
  <r>
    <d v="2021-11-06T00:00:00"/>
    <s v="Achat essence"/>
    <x v="9"/>
    <s v="Investigation"/>
    <m/>
    <n v="12000"/>
    <n v="31377155"/>
    <x v="6"/>
    <s v="Oui"/>
    <s v="Wildcat"/>
    <s v="PALF"/>
    <s v="CONGO"/>
    <m/>
    <m/>
    <m/>
  </r>
  <r>
    <d v="2021-11-08T00:00:00"/>
    <s v="Cumul Frais Ration Journalière du Mois de Novembre 2021/Godfré en volontariat"/>
    <x v="7"/>
    <s v="Legal"/>
    <m/>
    <n v="5000"/>
    <n v="31372155"/>
    <x v="5"/>
    <s v="Décharge"/>
    <s v="Wildcat"/>
    <s v="PALF"/>
    <s v="CONGO"/>
    <m/>
    <m/>
    <m/>
  </r>
  <r>
    <d v="2021-11-08T00:00:00"/>
    <s v="P29"/>
    <x v="1"/>
    <m/>
    <m/>
    <n v="44000"/>
    <n v="31328155"/>
    <x v="1"/>
    <m/>
    <m/>
    <m/>
    <m/>
    <m/>
    <m/>
    <m/>
  </r>
  <r>
    <d v="2021-11-08T00:00:00"/>
    <s v="Frais de transfert charden farell à P29"/>
    <x v="10"/>
    <s v="Ofiice"/>
    <m/>
    <n v="1320"/>
    <n v="31326835"/>
    <x v="1"/>
    <s v="Oui"/>
    <s v="UE"/>
    <s v="RALFF"/>
    <s v="CONGO"/>
    <s v="RALFF-CO2708"/>
    <s v="5.6"/>
    <m/>
  </r>
  <r>
    <d v="2021-11-08T00:00:00"/>
    <s v="Axel"/>
    <x v="1"/>
    <m/>
    <m/>
    <n v="124000"/>
    <n v="31202835"/>
    <x v="1"/>
    <m/>
    <m/>
    <m/>
    <m/>
    <m/>
    <m/>
    <m/>
  </r>
  <r>
    <d v="2021-11-08T00:00:00"/>
    <s v="Cumul frais bancaire mois de Octobre 2021 &amp; Citisation Web Bank"/>
    <x v="3"/>
    <s v="Ofiice"/>
    <m/>
    <n v="23345"/>
    <n v="31179490"/>
    <x v="8"/>
    <s v="Relevé"/>
    <s v="Wildcat"/>
    <s v="PALF"/>
    <s v="CONGO"/>
    <m/>
    <m/>
    <m/>
  </r>
  <r>
    <d v="2021-11-08T00:00:00"/>
    <s v="Frais de consultation avocat Mois de Novembre 2021/LOCKO Christian/3643557"/>
    <x v="5"/>
    <s v="Legal"/>
    <m/>
    <n v="150000"/>
    <n v="31029490"/>
    <x v="2"/>
    <n v="3643557"/>
    <s v="UE"/>
    <s v="RALFF"/>
    <s v="CONGO"/>
    <s v="RALFF-CO2709"/>
    <s v="5.2.1"/>
    <m/>
  </r>
  <r>
    <d v="2021-11-08T00:00:00"/>
    <s v="Achat billet Oyo-Brazzaville (lifoula)"/>
    <x v="6"/>
    <s v="Investigation"/>
    <m/>
    <n v="10000"/>
    <n v="31019490"/>
    <x v="3"/>
    <s v="Oui"/>
    <s v="UE"/>
    <s v="RALFF"/>
    <s v="CONGO"/>
    <s v="RALFF-CO2710"/>
    <s v="2.2"/>
    <m/>
  </r>
  <r>
    <d v="2021-11-08T00:00:00"/>
    <s v="Recu de caisse"/>
    <x v="1"/>
    <m/>
    <n v="44000"/>
    <m/>
    <n v="31063490"/>
    <x v="6"/>
    <m/>
    <m/>
    <m/>
    <m/>
    <m/>
    <m/>
    <m/>
  </r>
  <r>
    <d v="2021-11-08T00:00:00"/>
    <s v="Achat billet Pointe Noire - Brazzaville"/>
    <x v="6"/>
    <s v="Investigation"/>
    <m/>
    <n v="15000"/>
    <n v="31048490"/>
    <x v="6"/>
    <s v="Oui"/>
    <s v="UE"/>
    <s v="RALFF"/>
    <s v="CONGO"/>
    <s v="RALFF-CO2711"/>
    <s v="2.2"/>
    <m/>
  </r>
  <r>
    <d v="2021-11-08T00:00:00"/>
    <s v="Cumul Frais de Transport Local du Mois de Novembre 2021/Stagiaire/Godfré"/>
    <x v="6"/>
    <s v="Legal"/>
    <m/>
    <n v="18800"/>
    <n v="31029690"/>
    <x v="5"/>
    <s v="Décharge"/>
    <s v="Wildcat"/>
    <s v="PALF"/>
    <s v="CONGO"/>
    <m/>
    <m/>
    <m/>
  </r>
  <r>
    <d v="2021-11-08T00:00:00"/>
    <s v="Reçu Caisse"/>
    <x v="1"/>
    <m/>
    <n v="124000"/>
    <m/>
    <n v="31153690"/>
    <x v="7"/>
    <m/>
    <m/>
    <m/>
    <m/>
    <m/>
    <m/>
    <m/>
  </r>
  <r>
    <d v="2021-11-09T00:00:00"/>
    <s v="Frais de mission à dolisie et Pointe Noire du 10 au 13 Novembre 2021 /Maitre Severin BIYOUDI"/>
    <x v="5"/>
    <s v="Legal"/>
    <m/>
    <n v="113000"/>
    <n v="31040690"/>
    <x v="1"/>
    <s v="Oui"/>
    <s v="UE"/>
    <s v="RALFF"/>
    <s v="CONGO"/>
    <s v="RALFF-CO2712"/>
    <s v="5.2.2"/>
    <m/>
  </r>
  <r>
    <d v="2021-11-09T00:00:00"/>
    <s v="I23C-CONGO Paiment Hôtel 4 nuitées du 5 au 9 novembre 2021"/>
    <x v="7"/>
    <s v="Investigation"/>
    <m/>
    <n v="60000"/>
    <n v="30980690"/>
    <x v="3"/>
    <s v="Oui"/>
    <s v="UE"/>
    <s v="RALFF"/>
    <s v="CONGO"/>
    <s v="RALFF-CO2713"/>
    <s v="1.3.2"/>
    <m/>
  </r>
  <r>
    <d v="2021-11-09T00:00:00"/>
    <s v="P29 - CONGO Paiement 4 nuitées du 05 au 09/11/PNR"/>
    <x v="7"/>
    <s v="Investigation"/>
    <m/>
    <n v="60000"/>
    <n v="30920690"/>
    <x v="6"/>
    <s v="Oui"/>
    <s v="UE"/>
    <s v="RALFF"/>
    <s v="CONGO"/>
    <s v="RALFF-CO2714"/>
    <s v="1.3.2"/>
    <m/>
  </r>
  <r>
    <d v="2021-11-09T00:00:00"/>
    <s v="Billet Brazzaville-Dolisie "/>
    <x v="6"/>
    <s v="Legal"/>
    <m/>
    <n v="10000"/>
    <n v="30910690"/>
    <x v="7"/>
    <s v="Oui"/>
    <s v="Wildcat"/>
    <s v="PALF"/>
    <s v="CONGO"/>
    <m/>
    <m/>
    <m/>
  </r>
  <r>
    <d v="2021-11-10T00:00:00"/>
    <s v="Entretien géneral jardin bureau"/>
    <x v="11"/>
    <s v="Ofiice"/>
    <m/>
    <n v="12000"/>
    <n v="30898690"/>
    <x v="1"/>
    <s v="Oui"/>
    <s v="Wildcat"/>
    <s v="PALF"/>
    <s v="CONGO"/>
    <m/>
    <m/>
    <m/>
  </r>
  <r>
    <d v="2021-11-10T00:00:00"/>
    <s v="Achat Eau /04 bonbonnes"/>
    <x v="4"/>
    <s v="Ofiice"/>
    <m/>
    <n v="18000"/>
    <n v="30880690"/>
    <x v="1"/>
    <s v="Oui"/>
    <s v="Wildcat"/>
    <s v="PALF"/>
    <s v="CONGO"/>
    <m/>
    <m/>
    <m/>
  </r>
  <r>
    <d v="2021-11-10T00:00:00"/>
    <s v="AXEL-CONGO Frais d'hebergement 1 nuitée du 10-nov-2021/Dolisie"/>
    <x v="7"/>
    <s v="Legal"/>
    <m/>
    <n v="15000"/>
    <n v="30865690"/>
    <x v="7"/>
    <s v="Oui"/>
    <s v="Wildcat"/>
    <s v="PALF"/>
    <s v="CONGO"/>
    <m/>
    <m/>
    <m/>
  </r>
  <r>
    <d v="2021-11-10T00:00:00"/>
    <s v="AXEL-CONGO Food allowance du 10 au 13 -nov-2021/PNR et NIARI"/>
    <x v="7"/>
    <s v="Legal"/>
    <m/>
    <n v="30000"/>
    <n v="30835690"/>
    <x v="7"/>
    <s v="Décharge"/>
    <s v="Wildcat"/>
    <s v="PALF"/>
    <s v="CONGO"/>
    <m/>
    <m/>
    <m/>
  </r>
  <r>
    <d v="2021-11-11T00:00:00"/>
    <s v="Collation Coordination Anniversaire Crepin et Tiffany "/>
    <x v="12"/>
    <s v="Team Bulding"/>
    <m/>
    <n v="65000"/>
    <n v="30770690"/>
    <x v="1"/>
    <s v="Oui"/>
    <s v="Wildcat"/>
    <s v="PALF"/>
    <s v="CONGO"/>
    <m/>
    <m/>
    <m/>
  </r>
  <r>
    <d v="2021-11-11T00:00:00"/>
    <s v="B52"/>
    <x v="1"/>
    <m/>
    <m/>
    <n v="15000"/>
    <n v="30755690"/>
    <x v="1"/>
    <m/>
    <m/>
    <m/>
    <m/>
    <m/>
    <m/>
    <m/>
  </r>
  <r>
    <d v="2021-11-11T00:00:00"/>
    <s v="I23c"/>
    <x v="1"/>
    <m/>
    <m/>
    <n v="10000"/>
    <n v="30745690"/>
    <x v="1"/>
    <m/>
    <m/>
    <m/>
    <m/>
    <m/>
    <m/>
    <m/>
  </r>
  <r>
    <d v="2021-11-11T00:00:00"/>
    <s v="Billet Dolisie-PNR /Axel et Cage pour Crocodil de nil"/>
    <x v="6"/>
    <s v="Legal"/>
    <m/>
    <n v="10000"/>
    <n v="30735690"/>
    <x v="7"/>
    <s v="Oui"/>
    <s v="Wildcat"/>
    <s v="PALF"/>
    <s v="CONGO"/>
    <m/>
    <m/>
    <m/>
  </r>
  <r>
    <d v="2021-11-11T00:00:00"/>
    <s v="AXEL-CONGO Frais d'hebergement 2 nuitées du 11 au 13 nov/PNR"/>
    <x v="7"/>
    <s v="Legal"/>
    <m/>
    <n v="30000"/>
    <n v="30705690"/>
    <x v="7"/>
    <s v="Décharge"/>
    <s v="Wildcat"/>
    <s v="PALF"/>
    <s v="CONGO"/>
    <m/>
    <m/>
    <m/>
  </r>
  <r>
    <d v="2021-11-11T00:00:00"/>
    <s v="Reçu Caisse"/>
    <x v="1"/>
    <m/>
    <n v="15000"/>
    <m/>
    <n v="30720690"/>
    <x v="9"/>
    <m/>
    <m/>
    <m/>
    <m/>
    <m/>
    <m/>
    <m/>
  </r>
  <r>
    <d v="2021-11-12T00:00:00"/>
    <s v="Reglement loyer Tiffany mois de Novembre  2021/400USD"/>
    <x v="12"/>
    <s v="Management"/>
    <m/>
    <n v="226329"/>
    <n v="30494361"/>
    <x v="1"/>
    <s v="Oui"/>
    <s v="Wildcat"/>
    <s v="PALF"/>
    <s v="CONGO"/>
    <m/>
    <m/>
    <m/>
  </r>
  <r>
    <d v="2021-11-12T00:00:00"/>
    <s v="Crépin"/>
    <x v="1"/>
    <m/>
    <m/>
    <n v="10000"/>
    <n v="30484361"/>
    <x v="1"/>
    <m/>
    <m/>
    <m/>
    <m/>
    <m/>
    <m/>
    <m/>
  </r>
  <r>
    <d v="2021-11-12T00:00:00"/>
    <s v="P29"/>
    <x v="1"/>
    <m/>
    <m/>
    <n v="120000"/>
    <n v="30364361"/>
    <x v="1"/>
    <m/>
    <m/>
    <m/>
    <m/>
    <m/>
    <m/>
    <m/>
  </r>
  <r>
    <d v="2021-11-12T00:00:00"/>
    <s v="I23c"/>
    <x v="1"/>
    <m/>
    <m/>
    <n v="120000"/>
    <n v="30244361"/>
    <x v="1"/>
    <m/>
    <m/>
    <m/>
    <m/>
    <m/>
    <m/>
    <m/>
  </r>
  <r>
    <d v="2021-11-12T00:00:00"/>
    <s v="Reçu de caisse"/>
    <x v="1"/>
    <m/>
    <n v="10000"/>
    <m/>
    <n v="30254361"/>
    <x v="10"/>
    <m/>
    <m/>
    <m/>
    <m/>
    <m/>
    <m/>
    <m/>
  </r>
  <r>
    <d v="2021-11-12T00:00:00"/>
    <s v="Réçu caisse"/>
    <x v="1"/>
    <m/>
    <n v="10000"/>
    <m/>
    <n v="30264361"/>
    <x v="3"/>
    <m/>
    <m/>
    <m/>
    <m/>
    <m/>
    <m/>
    <m/>
  </r>
  <r>
    <d v="2021-11-12T00:00:00"/>
    <s v="Réçu caisse"/>
    <x v="1"/>
    <m/>
    <n v="120000"/>
    <m/>
    <n v="30384361"/>
    <x v="3"/>
    <m/>
    <m/>
    <m/>
    <m/>
    <m/>
    <m/>
    <m/>
  </r>
  <r>
    <d v="2021-11-12T00:00:00"/>
    <s v="Achat billet Bz-PN (cfr mission PN)"/>
    <x v="6"/>
    <s v="Investigation"/>
    <m/>
    <n v="15000"/>
    <n v="30369361"/>
    <x v="3"/>
    <s v="Oui"/>
    <s v="UE"/>
    <s v="RALFF"/>
    <s v="CONGO"/>
    <s v="RALFF-CO2715"/>
    <s v="2.2"/>
    <m/>
  </r>
  <r>
    <d v="2021-11-12T00:00:00"/>
    <s v="Recu de caisse"/>
    <x v="1"/>
    <m/>
    <n v="120000"/>
    <m/>
    <n v="30489361"/>
    <x v="6"/>
    <m/>
    <m/>
    <m/>
    <m/>
    <m/>
    <m/>
    <m/>
  </r>
  <r>
    <d v="2021-11-12T00:00:00"/>
    <s v="P29-CONGOFood allowance mission du 13 au 20/11"/>
    <x v="7"/>
    <s v="Investigation"/>
    <m/>
    <n v="70000"/>
    <n v="30419361"/>
    <x v="6"/>
    <s v="Décharge"/>
    <s v="UE"/>
    <s v="RALFF"/>
    <s v="CONGO"/>
    <s v="RALFF-CO2716"/>
    <s v="1.3.2"/>
    <m/>
  </r>
  <r>
    <d v="2021-11-12T00:00:00"/>
    <s v="Achat billet Brazza-dolisie"/>
    <x v="6"/>
    <s v="Investigation"/>
    <m/>
    <n v="10000"/>
    <n v="30409361"/>
    <x v="6"/>
    <s v="Oui"/>
    <s v="UE"/>
    <s v="RALFF"/>
    <s v="CONGO"/>
    <s v="RALFF-CO2717"/>
    <s v="2.2"/>
    <m/>
  </r>
  <r>
    <d v="2021-11-12T00:00:00"/>
    <s v="Billet retour PNR-BZV du 13.11.2021"/>
    <x v="6"/>
    <s v="Legal"/>
    <m/>
    <n v="15000"/>
    <n v="30394361"/>
    <x v="7"/>
    <s v="Oui"/>
    <s v="Wildcat"/>
    <s v="PALF"/>
    <s v="CONGO"/>
    <m/>
    <m/>
    <m/>
  </r>
  <r>
    <d v="2021-11-13T00:00:00"/>
    <s v="I23C-CONGO Food allowance mission PN-Pounga du 13 au 20 novembre 2021"/>
    <x v="7"/>
    <s v="Investigation"/>
    <m/>
    <n v="70000"/>
    <n v="30324361"/>
    <x v="3"/>
    <s v="Décharge"/>
    <s v="UE"/>
    <s v="RALFF"/>
    <s v="CONGO"/>
    <s v="RALFF-CO2718"/>
    <s v="1.3.2"/>
    <m/>
  </r>
  <r>
    <d v="2021-11-15T00:00:00"/>
    <s v="Bonus Média portant sur audience"/>
    <x v="13"/>
    <s v="Media"/>
    <m/>
    <n v="29000"/>
    <n v="30295361"/>
    <x v="1"/>
    <s v="Décharge"/>
    <s v="Wildcat"/>
    <s v="PALF"/>
    <s v="CONGO"/>
    <m/>
    <m/>
    <m/>
  </r>
  <r>
    <d v="2021-11-15T00:00:00"/>
    <s v="Axel"/>
    <x v="1"/>
    <m/>
    <m/>
    <n v="15000"/>
    <n v="30280361"/>
    <x v="1"/>
    <m/>
    <m/>
    <m/>
    <m/>
    <m/>
    <m/>
    <m/>
  </r>
  <r>
    <d v="2021-11-15T00:00:00"/>
    <s v="Merveille"/>
    <x v="1"/>
    <m/>
    <m/>
    <n v="10000"/>
    <n v="30270361"/>
    <x v="1"/>
    <m/>
    <m/>
    <m/>
    <m/>
    <m/>
    <m/>
    <m/>
  </r>
  <r>
    <d v="2021-11-15T00:00:00"/>
    <s v="BCI sous Compte-3643558"/>
    <x v="1"/>
    <m/>
    <n v="1000000"/>
    <m/>
    <n v="31270361"/>
    <x v="1"/>
    <m/>
    <m/>
    <m/>
    <m/>
    <m/>
    <m/>
    <m/>
  </r>
  <r>
    <d v="2021-11-15T00:00:00"/>
    <s v="BCI Compte Principale -3643562"/>
    <x v="1"/>
    <m/>
    <n v="1000000"/>
    <m/>
    <n v="32270361"/>
    <x v="1"/>
    <m/>
    <m/>
    <m/>
    <m/>
    <m/>
    <m/>
    <m/>
  </r>
  <r>
    <d v="2021-11-15T00:00:00"/>
    <s v="Achat credit  teléphonique Airtel/staff PALF/Deuxième partie Novembre  2021/Management"/>
    <x v="2"/>
    <s v="Management"/>
    <m/>
    <n v="5000"/>
    <n v="32265361"/>
    <x v="1"/>
    <s v="Oui"/>
    <s v="UE"/>
    <s v="RALFF"/>
    <s v="CONGO"/>
    <s v="RALFF-CO2719"/>
    <s v="4.6"/>
    <m/>
  </r>
  <r>
    <d v="2021-11-15T00:00:00"/>
    <s v="Achat credit  teléphonique Airtel/staff PALF/Deuxième partie Novembre  2021/Investigation"/>
    <x v="2"/>
    <s v="Investigation"/>
    <m/>
    <n v="10000"/>
    <n v="32255361"/>
    <x v="1"/>
    <s v="Oui"/>
    <s v="UE"/>
    <s v="RALFF"/>
    <s v="CONGO"/>
    <s v="RALFF-CO2720"/>
    <s v="4.6"/>
    <m/>
  </r>
  <r>
    <d v="2021-11-15T00:00:00"/>
    <s v="Achat credit  teléphonique Airtel/staff PALF/Deuxième partie Novembre  2021/Légal"/>
    <x v="2"/>
    <s v="Legal"/>
    <m/>
    <n v="5000"/>
    <n v="32250361"/>
    <x v="1"/>
    <s v="Oui"/>
    <s v="UE"/>
    <s v="RALFF"/>
    <s v="CONGO"/>
    <s v="RALFF-CO2721"/>
    <s v="4.6"/>
    <m/>
  </r>
  <r>
    <d v="2021-11-15T00:00:00"/>
    <s v="Achat credit  teléphonique MTN/staff PALF/Deuxième partie Novembre  2021/Investigation"/>
    <x v="2"/>
    <s v="Investigation"/>
    <m/>
    <n v="20000"/>
    <n v="32230361"/>
    <x v="1"/>
    <s v="Oui"/>
    <s v="UE"/>
    <s v="RALFF"/>
    <s v="CONGO"/>
    <s v="RALFF-CO2722"/>
    <s v="4.6"/>
    <m/>
  </r>
  <r>
    <d v="2021-11-15T00:00:00"/>
    <s v="Achat credit  teléphonique MTN/staff PALF/Deuxième partie Novembre  2021/Investigation Volontaire"/>
    <x v="2"/>
    <s v="Investigation"/>
    <m/>
    <n v="10000"/>
    <n v="32220361"/>
    <x v="1"/>
    <s v="Oui"/>
    <s v="Wildcat"/>
    <s v="PALF"/>
    <s v="CONGO"/>
    <m/>
    <m/>
    <m/>
  </r>
  <r>
    <d v="2021-11-15T00:00:00"/>
    <s v="Achat credit  teléphonique MTN/staff PALF/Deuxième partie Novembre  2021/Légal"/>
    <x v="2"/>
    <s v="Legal"/>
    <m/>
    <n v="15000"/>
    <n v="32205361"/>
    <x v="1"/>
    <s v="Oui"/>
    <s v="UE"/>
    <s v="RALFF"/>
    <s v="CONGO"/>
    <s v="RALFF-CO2723"/>
    <s v="4.6"/>
    <m/>
  </r>
  <r>
    <d v="2021-11-15T00:00:00"/>
    <s v="Achat credit  teléphonique MTN/staff PALF/Deuxième partie Novembre  2021/Légal Volontaire"/>
    <x v="2"/>
    <s v="Legal"/>
    <m/>
    <n v="10000"/>
    <n v="32195361"/>
    <x v="1"/>
    <s v="Oui"/>
    <s v="Wildcat"/>
    <s v="PALF"/>
    <s v="CONGO"/>
    <m/>
    <m/>
    <m/>
  </r>
  <r>
    <d v="2021-11-15T00:00:00"/>
    <s v="Achat credit  teléphonique MTN/staff PALF/Deuxième partie Novembre  2021/Management"/>
    <x v="2"/>
    <s v="Management"/>
    <m/>
    <n v="5000"/>
    <n v="32190361"/>
    <x v="1"/>
    <s v="Oui"/>
    <s v="UE"/>
    <s v="RALFF"/>
    <s v="CONGO"/>
    <s v="RALFF-CO2724"/>
    <s v="4.6"/>
    <m/>
  </r>
  <r>
    <d v="2021-11-15T00:00:00"/>
    <s v="Achat credit  teléphonique MTN/staff PALF/Deuxième partie Novembre  2021/Média"/>
    <x v="2"/>
    <s v="Media"/>
    <m/>
    <n v="10000"/>
    <n v="32180361"/>
    <x v="1"/>
    <s v="Oui"/>
    <s v="UE"/>
    <s v="RALFF"/>
    <s v="CONGO"/>
    <s v="RALFF-CO2725"/>
    <s v="4.6"/>
    <m/>
  </r>
  <r>
    <d v="2021-11-15T00:00:00"/>
    <s v="Frais de transfert charden farell à P29 et I23C"/>
    <x v="10"/>
    <s v="Ofiice"/>
    <m/>
    <n v="7890"/>
    <n v="32172471"/>
    <x v="1"/>
    <s v="Oui"/>
    <s v="UE"/>
    <s v="RALFF"/>
    <s v="CONGO"/>
    <s v="RALFF-CO2726"/>
    <s v="5.6"/>
    <m/>
  </r>
  <r>
    <d v="2021-11-15T00:00:00"/>
    <s v="P29"/>
    <x v="1"/>
    <m/>
    <m/>
    <n v="127000"/>
    <n v="32045471"/>
    <x v="1"/>
    <m/>
    <m/>
    <m/>
    <m/>
    <m/>
    <m/>
    <m/>
  </r>
  <r>
    <d v="2021-11-15T00:00:00"/>
    <s v="I23c"/>
    <x v="1"/>
    <m/>
    <m/>
    <n v="136000"/>
    <n v="31909471"/>
    <x v="1"/>
    <m/>
    <m/>
    <m/>
    <m/>
    <m/>
    <m/>
    <m/>
  </r>
  <r>
    <d v="2021-11-15T00:00:00"/>
    <s v="Retrait especes/appro caisse/bord n°3654462"/>
    <x v="1"/>
    <m/>
    <m/>
    <n v="1000000"/>
    <n v="30909471"/>
    <x v="8"/>
    <m/>
    <m/>
    <m/>
    <m/>
    <m/>
    <m/>
    <m/>
  </r>
  <r>
    <d v="2021-11-15T00:00:00"/>
    <s v="Retrait especes/appro caisse/bord n°3643558"/>
    <x v="1"/>
    <m/>
    <m/>
    <n v="1000000"/>
    <n v="29909471"/>
    <x v="2"/>
    <m/>
    <m/>
    <m/>
    <m/>
    <m/>
    <m/>
    <m/>
  </r>
  <r>
    <d v="2021-11-15T00:00:00"/>
    <s v="Reçu caisse"/>
    <x v="1"/>
    <m/>
    <n v="10000"/>
    <m/>
    <n v="29919471"/>
    <x v="11"/>
    <m/>
    <m/>
    <m/>
    <m/>
    <m/>
    <m/>
    <m/>
  </r>
  <r>
    <d v="2021-11-15T00:00:00"/>
    <s v="Réçu caisse"/>
    <x v="1"/>
    <m/>
    <n v="136000"/>
    <m/>
    <n v="30055471"/>
    <x v="3"/>
    <m/>
    <m/>
    <m/>
    <m/>
    <m/>
    <m/>
    <m/>
  </r>
  <r>
    <d v="2021-11-15T00:00:00"/>
    <s v="Recu de caisse"/>
    <x v="1"/>
    <m/>
    <n v="127000"/>
    <m/>
    <n v="30182471"/>
    <x v="6"/>
    <m/>
    <m/>
    <m/>
    <m/>
    <m/>
    <m/>
    <m/>
  </r>
  <r>
    <d v="2021-11-15T00:00:00"/>
    <s v="Reçu Caisse"/>
    <x v="1"/>
    <m/>
    <n v="15000"/>
    <m/>
    <n v="30197471"/>
    <x v="7"/>
    <m/>
    <m/>
    <m/>
    <m/>
    <m/>
    <m/>
    <m/>
  </r>
  <r>
    <d v="2021-11-16T00:00:00"/>
    <s v="B52"/>
    <x v="1"/>
    <m/>
    <m/>
    <n v="10000"/>
    <n v="30187471"/>
    <x v="1"/>
    <m/>
    <m/>
    <m/>
    <m/>
    <m/>
    <m/>
    <m/>
  </r>
  <r>
    <d v="2021-11-16T00:00:00"/>
    <s v="reçu caisse"/>
    <x v="1"/>
    <m/>
    <n v="10000"/>
    <m/>
    <n v="30197471"/>
    <x v="9"/>
    <m/>
    <m/>
    <m/>
    <m/>
    <m/>
    <m/>
    <m/>
  </r>
  <r>
    <d v="2021-11-17T00:00:00"/>
    <s v="B52"/>
    <x v="1"/>
    <m/>
    <m/>
    <n v="5000"/>
    <n v="30192471"/>
    <x v="1"/>
    <m/>
    <m/>
    <m/>
    <m/>
    <m/>
    <m/>
    <m/>
  </r>
  <r>
    <d v="2021-11-17T00:00:00"/>
    <s v="Frais de traitement de dossier pour validation contrat à l'ACPE/Merveille"/>
    <x v="12"/>
    <s v="Management"/>
    <m/>
    <n v="10500"/>
    <n v="30181971"/>
    <x v="1"/>
    <s v="Oui"/>
    <s v="Wildcat"/>
    <s v="PALF"/>
    <s v="CONGO"/>
    <m/>
    <m/>
    <m/>
  </r>
  <r>
    <d v="2021-11-17T00:00:00"/>
    <s v="Frais de traitement de dossier pour validation contrat à l'ACPE/GODFRE"/>
    <x v="12"/>
    <s v="Management"/>
    <m/>
    <n v="10500"/>
    <n v="30171471"/>
    <x v="1"/>
    <s v="Oui"/>
    <s v="Wildcat"/>
    <s v="PALF"/>
    <s v="CONGO"/>
    <m/>
    <m/>
    <m/>
  </r>
  <r>
    <d v="2021-11-17T00:00:00"/>
    <s v="Bonus operation deux Informateurs à Kinshasa/500$  (1$=647,502 XAF)"/>
    <x v="13"/>
    <s v="Operation"/>
    <m/>
    <n v="323751"/>
    <n v="29847720"/>
    <x v="1"/>
    <s v="Oui"/>
    <s v="Wildcat"/>
    <s v="PALF"/>
    <s v="CONGO"/>
    <m/>
    <m/>
    <m/>
  </r>
  <r>
    <d v="2021-11-17T00:00:00"/>
    <s v="Frais de transfert westen union pour Enqueteurs à Kinshasa"/>
    <x v="10"/>
    <s v="Ofiice"/>
    <m/>
    <n v="21063"/>
    <n v="29826657"/>
    <x v="1"/>
    <s v="Oui"/>
    <s v="Wildcat"/>
    <s v="PALF"/>
    <s v="CONGO"/>
    <m/>
    <m/>
    <m/>
  </r>
  <r>
    <d v="2021-11-17T00:00:00"/>
    <s v="Reçu Caisse"/>
    <x v="1"/>
    <m/>
    <n v="5000"/>
    <m/>
    <n v="29831657"/>
    <x v="9"/>
    <m/>
    <m/>
    <m/>
    <m/>
    <m/>
    <m/>
    <m/>
  </r>
  <r>
    <d v="2021-11-18T00:00:00"/>
    <s v="Axel"/>
    <x v="1"/>
    <m/>
    <m/>
    <n v="10000"/>
    <n v="29821657"/>
    <x v="1"/>
    <m/>
    <m/>
    <m/>
    <m/>
    <m/>
    <m/>
    <m/>
  </r>
  <r>
    <d v="2021-11-18T00:00:00"/>
    <s v="Evariste"/>
    <x v="1"/>
    <m/>
    <m/>
    <n v="15000"/>
    <n v="29806657"/>
    <x v="1"/>
    <m/>
    <m/>
    <m/>
    <m/>
    <m/>
    <m/>
    <m/>
  </r>
  <r>
    <d v="2021-11-18T00:00:00"/>
    <s v="B52"/>
    <x v="1"/>
    <m/>
    <m/>
    <n v="6000"/>
    <n v="29800657"/>
    <x v="1"/>
    <m/>
    <m/>
    <m/>
    <m/>
    <m/>
    <m/>
    <m/>
  </r>
  <r>
    <d v="2021-11-18T00:00:00"/>
    <s v="Reçu de la caisse "/>
    <x v="1"/>
    <m/>
    <n v="15000"/>
    <m/>
    <n v="29815657"/>
    <x v="12"/>
    <m/>
    <m/>
    <m/>
    <m/>
    <m/>
    <m/>
    <m/>
  </r>
  <r>
    <d v="2021-11-18T00:00:00"/>
    <s v="I23C-CONGO Paiement hôtel 5 nuitées du 13 au 18/11/2021"/>
    <x v="7"/>
    <s v="Investigation"/>
    <m/>
    <n v="75000"/>
    <n v="29740657"/>
    <x v="3"/>
    <s v="Oui"/>
    <s v="UE"/>
    <s v="RALFF"/>
    <s v="CONGO"/>
    <s v="RALFF-CO2728"/>
    <s v="1.3.2"/>
    <m/>
  </r>
  <r>
    <d v="2021-11-18T00:00:00"/>
    <s v="Taxi PN-Pounga (départ pour Pounga)"/>
    <x v="6"/>
    <s v="Investigation"/>
    <m/>
    <n v="6000"/>
    <n v="29734657"/>
    <x v="3"/>
    <s v="Oui"/>
    <s v="UE"/>
    <s v="RALFF"/>
    <s v="CONGO"/>
    <s v="RALFF-CO2729"/>
    <s v="2.2"/>
    <m/>
  </r>
  <r>
    <d v="2021-11-18T00:00:00"/>
    <s v="Taxi Pounga-Dolisie (départ pour Dolisie)"/>
    <x v="6"/>
    <s v="Investigation"/>
    <m/>
    <n v="3000"/>
    <n v="29731657"/>
    <x v="3"/>
    <s v="Oui"/>
    <s v="UE"/>
    <s v="RALFF"/>
    <s v="CONGO"/>
    <s v="RALFF-CO2730"/>
    <s v="2.2"/>
    <m/>
  </r>
  <r>
    <d v="2021-11-18T00:00:00"/>
    <s v="P29-CONGOPaiement de 5 nuitées du 13 au 18/11"/>
    <x v="7"/>
    <s v="Investigation"/>
    <m/>
    <n v="75000"/>
    <n v="29656657"/>
    <x v="6"/>
    <s v="Oui"/>
    <s v="UE"/>
    <s v="RALFF"/>
    <s v="CONGO"/>
    <s v="RALFF-CO2731"/>
    <s v="1.3.2"/>
    <m/>
  </r>
  <r>
    <d v="2021-11-18T00:00:00"/>
    <s v="Achat billet dolisie-p/n"/>
    <x v="6"/>
    <s v="Investigation"/>
    <m/>
    <n v="5000"/>
    <n v="29651657"/>
    <x v="6"/>
    <s v="Oui"/>
    <s v="UE"/>
    <s v="RALFF"/>
    <s v="CONGO"/>
    <s v="RALFF-CO2732"/>
    <s v="2.2"/>
    <m/>
  </r>
  <r>
    <d v="2021-11-18T00:00:00"/>
    <s v="Reçu Caisse"/>
    <x v="1"/>
    <m/>
    <n v="10000"/>
    <m/>
    <n v="29661657"/>
    <x v="7"/>
    <m/>
    <m/>
    <m/>
    <m/>
    <m/>
    <m/>
    <m/>
  </r>
  <r>
    <d v="2021-11-18T00:00:00"/>
    <s v="reçu de caisse"/>
    <x v="1"/>
    <m/>
    <n v="6000"/>
    <m/>
    <n v="29667657"/>
    <x v="9"/>
    <m/>
    <m/>
    <m/>
    <m/>
    <m/>
    <m/>
    <m/>
  </r>
  <r>
    <d v="2021-11-19T00:00:00"/>
    <s v="Crépin"/>
    <x v="1"/>
    <m/>
    <m/>
    <n v="100000"/>
    <n v="29567657"/>
    <x v="1"/>
    <m/>
    <m/>
    <m/>
    <m/>
    <m/>
    <m/>
    <m/>
  </r>
  <r>
    <d v="2021-11-19T00:00:00"/>
    <s v="B52"/>
    <x v="1"/>
    <m/>
    <m/>
    <n v="20000"/>
    <n v="29547657"/>
    <x v="1"/>
    <m/>
    <m/>
    <m/>
    <m/>
    <m/>
    <m/>
    <m/>
  </r>
  <r>
    <d v="2021-11-19T00:00:00"/>
    <s v="B52"/>
    <x v="1"/>
    <m/>
    <m/>
    <n v="10000"/>
    <n v="29537657"/>
    <x v="1"/>
    <m/>
    <m/>
    <m/>
    <m/>
    <m/>
    <m/>
    <m/>
  </r>
  <r>
    <d v="2021-11-19T00:00:00"/>
    <s v="Godfre"/>
    <x v="1"/>
    <m/>
    <m/>
    <n v="15000"/>
    <n v="29522657"/>
    <x v="1"/>
    <m/>
    <m/>
    <m/>
    <m/>
    <m/>
    <m/>
    <m/>
  </r>
  <r>
    <d v="2021-11-19T00:00:00"/>
    <s v="Grace"/>
    <x v="1"/>
    <m/>
    <m/>
    <n v="10000"/>
    <n v="29512657"/>
    <x v="1"/>
    <m/>
    <m/>
    <m/>
    <m/>
    <m/>
    <m/>
    <m/>
  </r>
  <r>
    <d v="2021-11-19T00:00:00"/>
    <s v="Achat 02 cartes mémoires 8GB/Pour camera "/>
    <x v="4"/>
    <s v="Ofiice"/>
    <m/>
    <n v="8000"/>
    <n v="29504657"/>
    <x v="1"/>
    <s v="Oui"/>
    <s v="UE"/>
    <s v="RALFF"/>
    <s v="CONGO"/>
    <s v="RALFF-CO2733"/>
    <s v="4.3"/>
    <m/>
  </r>
  <r>
    <d v="2021-11-19T00:00:00"/>
    <s v="Reçu de caisse"/>
    <x v="1"/>
    <m/>
    <n v="100000"/>
    <m/>
    <n v="29604657"/>
    <x v="10"/>
    <m/>
    <m/>
    <m/>
    <m/>
    <m/>
    <m/>
    <m/>
  </r>
  <r>
    <d v="2021-11-19T00:00:00"/>
    <s v="Frais achat produits pharmaceutiques du Prévenu"/>
    <x v="14"/>
    <s v="Management"/>
    <m/>
    <n v="15100"/>
    <n v="29589557"/>
    <x v="10"/>
    <s v="Oui"/>
    <s v="Wildcat"/>
    <s v="PALF"/>
    <s v="CONGO"/>
    <m/>
    <m/>
    <m/>
  </r>
  <r>
    <d v="2021-11-19T00:00:00"/>
    <s v="Frais agents de force de l'ordre pour la surveillance du prévenu à l'hopital"/>
    <x v="14"/>
    <s v="Management"/>
    <m/>
    <n v="10000"/>
    <n v="29579557"/>
    <x v="10"/>
    <s v="Oui"/>
    <s v="Wildcat"/>
    <s v="PALF"/>
    <s v="CONGO"/>
    <m/>
    <m/>
    <m/>
  </r>
  <r>
    <d v="2021-11-19T00:00:00"/>
    <s v="Reçu Caisse"/>
    <x v="1"/>
    <m/>
    <n v="10000"/>
    <m/>
    <n v="29589557"/>
    <x v="4"/>
    <m/>
    <m/>
    <m/>
    <m/>
    <m/>
    <m/>
    <m/>
  </r>
  <r>
    <d v="2021-11-19T00:00:00"/>
    <s v="Achat billet Dolisie-BZ"/>
    <x v="6"/>
    <s v="Investigation"/>
    <m/>
    <n v="10000"/>
    <n v="29579557"/>
    <x v="3"/>
    <s v="Oui"/>
    <s v="UE"/>
    <s v="RALFF"/>
    <s v="CONGO"/>
    <s v="RALFF-CO2734"/>
    <s v="2.2"/>
    <m/>
  </r>
  <r>
    <d v="2021-11-19T00:00:00"/>
    <s v="Achat billet pn-bz"/>
    <x v="6"/>
    <s v="Investigation"/>
    <m/>
    <n v="15000"/>
    <n v="29564557"/>
    <x v="6"/>
    <s v="Oui"/>
    <s v="UE"/>
    <s v="RALFF"/>
    <s v="CONGO"/>
    <s v="RALFF-CO2735"/>
    <s v="2.2"/>
    <m/>
  </r>
  <r>
    <d v="2021-11-19T00:00:00"/>
    <s v="Reçu Caisse"/>
    <x v="1"/>
    <m/>
    <n v="15000"/>
    <m/>
    <n v="29579557"/>
    <x v="5"/>
    <m/>
    <m/>
    <m/>
    <m/>
    <m/>
    <m/>
    <m/>
  </r>
  <r>
    <d v="2021-11-19T00:00:00"/>
    <s v="reçu de caisse"/>
    <x v="1"/>
    <m/>
    <n v="30000"/>
    <m/>
    <n v="29609557"/>
    <x v="9"/>
    <m/>
    <m/>
    <m/>
    <m/>
    <m/>
    <m/>
    <m/>
  </r>
  <r>
    <d v="2021-11-20T00:00:00"/>
    <s v="Crépin"/>
    <x v="1"/>
    <m/>
    <m/>
    <n v="150000"/>
    <n v="29459557"/>
    <x v="1"/>
    <m/>
    <m/>
    <m/>
    <m/>
    <m/>
    <m/>
    <m/>
  </r>
  <r>
    <d v="2021-11-20T00:00:00"/>
    <s v="Frais d'examen (NFS/GERH)/Labo du Prévenu"/>
    <x v="14"/>
    <s v="Management"/>
    <m/>
    <n v="4500"/>
    <n v="29455057"/>
    <x v="10"/>
    <s v="Oui"/>
    <s v="Wildcat"/>
    <s v="PALF"/>
    <s v="CONGO"/>
    <m/>
    <m/>
    <m/>
  </r>
  <r>
    <d v="2021-11-20T00:00:00"/>
    <s v="Frais radiographie &amp; Echographie /Labo du prévenu"/>
    <x v="14"/>
    <s v="Management"/>
    <m/>
    <n v="15000"/>
    <n v="29440057"/>
    <x v="10"/>
    <s v="Oui"/>
    <s v="Wildcat"/>
    <s v="PALF"/>
    <s v="CONGO"/>
    <m/>
    <m/>
    <m/>
  </r>
  <r>
    <d v="2021-11-20T00:00:00"/>
    <s v="Frais achat produits pharmaceutiques du Prévenu"/>
    <x v="14"/>
    <s v="Management"/>
    <m/>
    <n v="41200"/>
    <n v="29398857"/>
    <x v="10"/>
    <s v="Oui"/>
    <s v="Wildcat"/>
    <s v="PALF"/>
    <s v="CONGO"/>
    <m/>
    <m/>
    <m/>
  </r>
  <r>
    <d v="2021-11-20T00:00:00"/>
    <s v="Frais achat Fournitures Medicales (Gants, Perfuseur, Thermomètre) du prévenu"/>
    <x v="14"/>
    <s v="Management"/>
    <m/>
    <n v="2500"/>
    <n v="29396357"/>
    <x v="10"/>
    <s v="Oui"/>
    <s v="Wildcat"/>
    <s v="PALF"/>
    <s v="CONGO"/>
    <m/>
    <m/>
    <m/>
  </r>
  <r>
    <d v="2021-11-20T00:00:00"/>
    <s v="Frais de surveillance du prévenu / l'agent de force de l'ordre "/>
    <x v="14"/>
    <s v="Management"/>
    <m/>
    <n v="5000"/>
    <n v="29391357"/>
    <x v="10"/>
    <s v="Oui"/>
    <s v="Wildcat"/>
    <s v="PALF"/>
    <s v="CONGO"/>
    <m/>
    <m/>
    <m/>
  </r>
  <r>
    <d v="2021-11-20T00:00:00"/>
    <s v="I23C-CONGO Paiement hôtel 2 nuitées du 18 au 20/11/2021"/>
    <x v="7"/>
    <s v="Investigation"/>
    <m/>
    <n v="30000"/>
    <n v="29361357"/>
    <x v="3"/>
    <s v="Oui"/>
    <s v="UE"/>
    <s v="RALFF"/>
    <s v="CONGO"/>
    <s v="RALFF-CO2736"/>
    <s v="1.3.2"/>
    <m/>
  </r>
  <r>
    <d v="2021-11-20T00:00:00"/>
    <s v="P29-CONGOPaiement 2 nuitées du 18 au 20/11"/>
    <x v="7"/>
    <s v="Investigation"/>
    <m/>
    <n v="30000"/>
    <n v="29331357"/>
    <x v="6"/>
    <s v="Oui"/>
    <s v="UE"/>
    <s v="RALFF"/>
    <s v="CONGO"/>
    <s v="RALFF-CO2737"/>
    <s v="1.3.2"/>
    <m/>
  </r>
  <r>
    <d v="2021-11-21T00:00:00"/>
    <s v="Frais achat: spardra, paire de gants,sering et catlan du prévenu"/>
    <x v="14"/>
    <s v="Management"/>
    <m/>
    <n v="1700"/>
    <n v="29329657"/>
    <x v="10"/>
    <s v="Oui"/>
    <s v="Wildcat"/>
    <s v="PALF"/>
    <s v="CONGO"/>
    <m/>
    <m/>
    <m/>
  </r>
  <r>
    <d v="2021-11-21T00:00:00"/>
    <s v="Reçu de caisse"/>
    <x v="1"/>
    <m/>
    <n v="150000"/>
    <m/>
    <n v="29479657"/>
    <x v="10"/>
    <m/>
    <m/>
    <m/>
    <m/>
    <m/>
    <m/>
    <m/>
  </r>
  <r>
    <d v="2021-11-21T00:00:00"/>
    <s v="Achat produits pharmaceutiques du prévenu"/>
    <x v="14"/>
    <s v="Management"/>
    <m/>
    <n v="6475"/>
    <n v="29473182"/>
    <x v="10"/>
    <s v="Oui"/>
    <s v="Wildcat"/>
    <s v="PALF"/>
    <s v="CONGO"/>
    <m/>
    <m/>
    <m/>
  </r>
  <r>
    <d v="2021-11-21T00:00:00"/>
    <s v="Frais de surveillance du prévenu  pour l'agent de force de l'ordre"/>
    <x v="14"/>
    <s v="Management"/>
    <m/>
    <n v="5000"/>
    <n v="29468182"/>
    <x v="10"/>
    <s v="Oui"/>
    <s v="Wildcat"/>
    <s v="PALF"/>
    <s v="CONGO"/>
    <m/>
    <m/>
    <m/>
  </r>
  <r>
    <d v="2021-11-22T00:00:00"/>
    <s v="Crépin"/>
    <x v="1"/>
    <m/>
    <n v="70000"/>
    <m/>
    <n v="29538182"/>
    <x v="1"/>
    <m/>
    <m/>
    <m/>
    <m/>
    <m/>
    <m/>
    <m/>
  </r>
  <r>
    <d v="2021-11-22T00:00:00"/>
    <s v="Axel"/>
    <x v="1"/>
    <m/>
    <m/>
    <n v="20000"/>
    <n v="29518182"/>
    <x v="1"/>
    <m/>
    <m/>
    <m/>
    <m/>
    <m/>
    <m/>
    <m/>
  </r>
  <r>
    <d v="2021-11-22T00:00:00"/>
    <s v="Frais d'hospitalisation du prévenu NGOMBELE"/>
    <x v="14"/>
    <s v="Management"/>
    <m/>
    <n v="30000"/>
    <n v="29488182"/>
    <x v="10"/>
    <s v="Oui"/>
    <s v="Wildcat"/>
    <s v="PALF"/>
    <s v="CONGO"/>
    <m/>
    <m/>
    <m/>
  </r>
  <r>
    <d v="2021-11-22T00:00:00"/>
    <s v="Frais pour le certificat médical du prévenu"/>
    <x v="14"/>
    <s v="Management"/>
    <m/>
    <n v="10000"/>
    <n v="29478182"/>
    <x v="10"/>
    <s v="Oui"/>
    <s v="Wildcat"/>
    <s v="PALF"/>
    <s v="CONGO"/>
    <m/>
    <m/>
    <m/>
  </r>
  <r>
    <d v="2021-11-22T00:00:00"/>
    <s v="Frais escote et surveillance du prévenu/ l'agent de force de l'ordre"/>
    <x v="14"/>
    <s v="Management"/>
    <m/>
    <n v="5000"/>
    <n v="29473182"/>
    <x v="10"/>
    <s v="Oui"/>
    <s v="Wildcat"/>
    <s v="PALF"/>
    <s v="CONGO"/>
    <m/>
    <m/>
    <m/>
  </r>
  <r>
    <d v="2021-11-22T00:00:00"/>
    <s v="Retour caisse"/>
    <x v="1"/>
    <m/>
    <m/>
    <n v="70000"/>
    <n v="29403182"/>
    <x v="10"/>
    <m/>
    <m/>
    <m/>
    <m/>
    <m/>
    <m/>
    <m/>
  </r>
  <r>
    <d v="2021-11-22T00:00:00"/>
    <s v="Reçu Caisse"/>
    <x v="1"/>
    <m/>
    <n v="20000"/>
    <m/>
    <n v="29423182"/>
    <x v="7"/>
    <m/>
    <m/>
    <m/>
    <m/>
    <m/>
    <m/>
    <m/>
  </r>
  <r>
    <d v="2021-11-23T00:00:00"/>
    <s v="Achat 01 Coffre fort"/>
    <x v="15"/>
    <s v="Ofiice"/>
    <m/>
    <n v="200000"/>
    <n v="29223182"/>
    <x v="1"/>
    <s v="Oui"/>
    <s v="UE"/>
    <s v="RALFF"/>
    <s v="CONGO"/>
    <s v="RALFF-CO2738"/>
    <s v="3.2"/>
    <m/>
  </r>
  <r>
    <d v="2021-11-23T00:00:00"/>
    <s v="Achat Canons pour Serrures portes bureau"/>
    <x v="4"/>
    <s v="Ofiice"/>
    <m/>
    <n v="60000"/>
    <n v="29163182"/>
    <x v="1"/>
    <s v="Oui"/>
    <s v="UE"/>
    <s v="RALFF"/>
    <s v="CONGO"/>
    <s v="RALFF-CO2739"/>
    <s v="4.3"/>
    <m/>
  </r>
  <r>
    <d v="2021-11-23T00:00:00"/>
    <s v="I23c"/>
    <x v="1"/>
    <m/>
    <m/>
    <n v="8000"/>
    <n v="29155182"/>
    <x v="1"/>
    <m/>
    <m/>
    <m/>
    <m/>
    <m/>
    <m/>
    <m/>
  </r>
  <r>
    <d v="2021-11-23T00:00:00"/>
    <s v="Achat crédit pour appel vers la RDC/P29"/>
    <x v="2"/>
    <s v="Investigation"/>
    <m/>
    <n v="5000"/>
    <n v="29150182"/>
    <x v="1"/>
    <s v="Oui"/>
    <s v="Wildcat"/>
    <s v="PALF"/>
    <s v="CONGO"/>
    <m/>
    <m/>
    <m/>
  </r>
  <r>
    <d v="2021-11-23T00:00:00"/>
    <s v="Réçu caisse"/>
    <x v="1"/>
    <m/>
    <n v="8000"/>
    <m/>
    <n v="29158182"/>
    <x v="3"/>
    <m/>
    <m/>
    <m/>
    <m/>
    <m/>
    <m/>
    <m/>
  </r>
  <r>
    <d v="2021-11-24T00:00:00"/>
    <s v="Grace"/>
    <x v="1"/>
    <m/>
    <m/>
    <n v="10000"/>
    <n v="29148182"/>
    <x v="1"/>
    <m/>
    <m/>
    <m/>
    <m/>
    <m/>
    <m/>
    <m/>
  </r>
  <r>
    <d v="2021-11-24T00:00:00"/>
    <s v="Axel"/>
    <x v="1"/>
    <m/>
    <m/>
    <n v="84000"/>
    <n v="29064182"/>
    <x v="1"/>
    <m/>
    <m/>
    <m/>
    <m/>
    <m/>
    <m/>
    <m/>
  </r>
  <r>
    <d v="2021-11-24T00:00:00"/>
    <s v="Frais de mission à Dolisie du 25 au 27/11/2021/Maitre Scrutin"/>
    <x v="5"/>
    <s v="Legal"/>
    <m/>
    <n v="76000"/>
    <n v="28988182"/>
    <x v="1"/>
    <s v="Oui"/>
    <s v="UE"/>
    <s v="RALFF"/>
    <s v="CONGO"/>
    <s v="RALFF-CO2740"/>
    <s v="5.2.2"/>
    <m/>
  </r>
  <r>
    <d v="2021-11-24T00:00:00"/>
    <s v="B52"/>
    <x v="1"/>
    <m/>
    <m/>
    <n v="15000"/>
    <n v="28973182"/>
    <x v="1"/>
    <m/>
    <m/>
    <m/>
    <m/>
    <m/>
    <m/>
    <m/>
  </r>
  <r>
    <d v="2021-11-24T00:00:00"/>
    <s v="P29"/>
    <x v="1"/>
    <m/>
    <m/>
    <n v="15000"/>
    <n v="28958182"/>
    <x v="1"/>
    <m/>
    <m/>
    <m/>
    <m/>
    <m/>
    <m/>
    <m/>
  </r>
  <r>
    <d v="2021-11-24T00:00:00"/>
    <s v="Achat Factures autocopiant et carnet autocopiant"/>
    <x v="4"/>
    <s v="Ofiice"/>
    <m/>
    <n v="27500"/>
    <n v="28930682"/>
    <x v="1"/>
    <s v="Oui"/>
    <s v="UE"/>
    <s v="RALFF"/>
    <s v="CONGO"/>
    <s v="RALFF-CO2741"/>
    <s v="4.3"/>
    <m/>
  </r>
  <r>
    <d v="2021-11-24T00:00:00"/>
    <s v="Achat 01 paquet stylo bleu"/>
    <x v="4"/>
    <s v="Ofiice"/>
    <m/>
    <n v="4000"/>
    <n v="28926682"/>
    <x v="1"/>
    <s v="Oui"/>
    <s v="UE"/>
    <s v="RALFF"/>
    <s v="CONGO"/>
    <s v="RALFF-CO2742"/>
    <s v="4.3"/>
    <m/>
  </r>
  <r>
    <d v="2021-11-24T00:00:00"/>
    <s v="Reçu Caisse"/>
    <x v="1"/>
    <m/>
    <n v="10000"/>
    <m/>
    <n v="28936682"/>
    <x v="4"/>
    <m/>
    <m/>
    <m/>
    <m/>
    <m/>
    <m/>
    <m/>
  </r>
  <r>
    <d v="2021-11-24T00:00:00"/>
    <s v="Recu de caisse "/>
    <x v="1"/>
    <m/>
    <n v="15000"/>
    <m/>
    <n v="28951682"/>
    <x v="6"/>
    <m/>
    <m/>
    <m/>
    <m/>
    <m/>
    <m/>
    <m/>
  </r>
  <r>
    <d v="2021-11-24T00:00:00"/>
    <s v="Reçu Caisse/mission Dolisie du 25-27 nov"/>
    <x v="1"/>
    <m/>
    <n v="84000"/>
    <m/>
    <n v="29035682"/>
    <x v="7"/>
    <m/>
    <m/>
    <m/>
    <m/>
    <m/>
    <m/>
    <m/>
  </r>
  <r>
    <d v="2021-11-24T00:00:00"/>
    <s v="Billet Brazzaville-Dolisie "/>
    <x v="6"/>
    <s v="Legal"/>
    <m/>
    <n v="10000"/>
    <n v="29025682"/>
    <x v="7"/>
    <s v="Oui"/>
    <s v="Wildcat"/>
    <s v="PALF"/>
    <s v="CONGO"/>
    <m/>
    <m/>
    <m/>
  </r>
  <r>
    <d v="2021-11-24T00:00:00"/>
    <s v="reçu de caisse"/>
    <x v="1"/>
    <m/>
    <n v="15000"/>
    <m/>
    <n v="29040682"/>
    <x v="9"/>
    <m/>
    <m/>
    <m/>
    <m/>
    <m/>
    <m/>
    <m/>
  </r>
  <r>
    <d v="2021-11-25T00:00:00"/>
    <s v="I23c"/>
    <x v="1"/>
    <m/>
    <m/>
    <n v="25000"/>
    <n v="29015682"/>
    <x v="1"/>
    <m/>
    <m/>
    <m/>
    <m/>
    <m/>
    <m/>
    <m/>
  </r>
  <r>
    <d v="2021-11-25T00:00:00"/>
    <s v="P29"/>
    <x v="1"/>
    <m/>
    <m/>
    <n v="11000"/>
    <n v="29004682"/>
    <x v="1"/>
    <m/>
    <m/>
    <m/>
    <m/>
    <m/>
    <m/>
    <m/>
  </r>
  <r>
    <d v="2021-11-25T00:00:00"/>
    <s v="P29"/>
    <x v="1"/>
    <m/>
    <m/>
    <n v="10000"/>
    <n v="28994682"/>
    <x v="1"/>
    <m/>
    <m/>
    <m/>
    <m/>
    <m/>
    <m/>
    <m/>
  </r>
  <r>
    <d v="2021-11-25T00:00:00"/>
    <s v="Achat 03 bonbonnes d'eau minérale Mayo"/>
    <x v="4"/>
    <s v="Ofiice"/>
    <m/>
    <n v="13500"/>
    <n v="28981182"/>
    <x v="1"/>
    <s v="Oui"/>
    <s v="Wildcat"/>
    <s v="PALF"/>
    <s v="CONGO"/>
    <m/>
    <m/>
    <m/>
  </r>
  <r>
    <d v="2021-11-25T00:00:00"/>
    <s v="Paiement prime de fin d'année Merveille"/>
    <x v="12"/>
    <s v="Management"/>
    <m/>
    <n v="57333"/>
    <n v="28923849"/>
    <x v="1"/>
    <s v="Décharge"/>
    <s v="Wildcat"/>
    <s v="PALF"/>
    <s v="CONGO"/>
    <m/>
    <m/>
    <m/>
  </r>
  <r>
    <d v="2021-11-25T00:00:00"/>
    <s v="BCI-3643559"/>
    <x v="1"/>
    <m/>
    <n v="2000000"/>
    <m/>
    <n v="30923849"/>
    <x v="1"/>
    <m/>
    <m/>
    <m/>
    <m/>
    <m/>
    <m/>
    <m/>
  </r>
  <r>
    <d v="2021-11-25T00:00:00"/>
    <s v="B52"/>
    <x v="1"/>
    <m/>
    <m/>
    <n v="11500"/>
    <n v="30912349"/>
    <x v="1"/>
    <m/>
    <m/>
    <m/>
    <m/>
    <m/>
    <m/>
    <m/>
  </r>
  <r>
    <d v="2021-11-25T00:00:00"/>
    <s v="Retrait especes/appro caisse/bord n°3643559"/>
    <x v="1"/>
    <m/>
    <m/>
    <n v="2000000"/>
    <n v="28912349"/>
    <x v="2"/>
    <m/>
    <m/>
    <m/>
    <m/>
    <m/>
    <m/>
    <m/>
  </r>
  <r>
    <d v="2021-11-25T00:00:00"/>
    <s v="Paiment Salaire Mois de Novembre 2021/Grace"/>
    <x v="12"/>
    <s v="Management"/>
    <m/>
    <n v="350000"/>
    <n v="28562349"/>
    <x v="2"/>
    <n v="3643560"/>
    <s v="UE"/>
    <s v="RALFF"/>
    <s v="CONGO"/>
    <s v="RALFF-CO2743"/>
    <s v="1.1.2.1"/>
    <m/>
  </r>
  <r>
    <d v="2021-11-25T00:00:00"/>
    <s v="Paiment Salaire Mois de Novembre 2021/Crépin IBOUILI IBOUILI"/>
    <x v="12"/>
    <s v="Legal"/>
    <m/>
    <n v="357982"/>
    <n v="28204367"/>
    <x v="2"/>
    <n v="3643561"/>
    <s v="UE"/>
    <s v="RALFF"/>
    <s v="CONGO"/>
    <s v="RALFF-CO2744"/>
    <s v="1.1.1.7"/>
    <m/>
  </r>
  <r>
    <d v="2021-11-25T00:00:00"/>
    <s v="Paiment Salaire Mois de Novembre 2021/Evariste LELOUSSI"/>
    <x v="12"/>
    <s v="Media"/>
    <m/>
    <n v="234309"/>
    <n v="27970058"/>
    <x v="2"/>
    <n v="3643562"/>
    <s v="UE"/>
    <s v="RALFF"/>
    <s v="CONGO"/>
    <s v="RALFF-CO2745"/>
    <s v="1.1.1.4"/>
    <m/>
  </r>
  <r>
    <d v="2021-11-25T00:00:00"/>
    <s v="Paiment Salaire Mois de Novembre 2021/Godfré MALONGA"/>
    <x v="12"/>
    <s v="Legal"/>
    <m/>
    <n v="96800"/>
    <n v="27873258"/>
    <x v="2"/>
    <n v="3643563"/>
    <s v="UE"/>
    <s v="RALFF"/>
    <s v="CONGO"/>
    <s v="RALFF-CO2746"/>
    <s v="1.1.1.7"/>
    <m/>
  </r>
  <r>
    <d v="2021-11-25T00:00:00"/>
    <s v="Paiment Salaire Mois de Novembre 2021 et la prime de congé/Merveille MAHANGA"/>
    <x v="12"/>
    <s v="Management"/>
    <m/>
    <n v="509927"/>
    <n v="27363331"/>
    <x v="2"/>
    <n v="3643564"/>
    <s v="UE"/>
    <s v="RALFF"/>
    <s v="CONGO"/>
    <s v="RALFF-CO2747"/>
    <s v="1.1.2.1"/>
    <m/>
  </r>
  <r>
    <d v="2021-11-25T00:00:00"/>
    <s v="Paiment Salaire Mois de Novembre 2021/Tiffany GOBERT"/>
    <x v="12"/>
    <s v="Management"/>
    <m/>
    <n v="1311914"/>
    <n v="26051417"/>
    <x v="2"/>
    <n v="3643566"/>
    <s v="UE"/>
    <s v="RALFF"/>
    <s v="CONGO"/>
    <s v="RALFF-CO2748"/>
    <s v="1.1.1.1"/>
    <m/>
  </r>
  <r>
    <d v="2021-11-25T00:00:00"/>
    <s v="Réçu caisse"/>
    <x v="1"/>
    <m/>
    <n v="25000"/>
    <m/>
    <n v="26076417"/>
    <x v="3"/>
    <m/>
    <m/>
    <m/>
    <m/>
    <m/>
    <m/>
    <m/>
  </r>
  <r>
    <d v="2021-11-25T00:00:00"/>
    <s v="Cumul Frais de Trust Building du mois de Novembre 2021/I23C"/>
    <x v="9"/>
    <s v="Investigation"/>
    <m/>
    <n v="57500"/>
    <n v="26018917"/>
    <x v="3"/>
    <s v="Oui"/>
    <s v="Wildcat"/>
    <s v="PALF"/>
    <s v="CONGO"/>
    <m/>
    <m/>
    <m/>
  </r>
  <r>
    <d v="2021-11-25T00:00:00"/>
    <s v="Recu de caisse"/>
    <x v="1"/>
    <m/>
    <n v="21000"/>
    <m/>
    <n v="26039917"/>
    <x v="6"/>
    <m/>
    <m/>
    <m/>
    <m/>
    <m/>
    <m/>
    <m/>
  </r>
  <r>
    <d v="2021-11-25T00:00:00"/>
    <s v="reçu de caisse"/>
    <x v="1"/>
    <m/>
    <n v="11500"/>
    <m/>
    <n v="26051417"/>
    <x v="9"/>
    <m/>
    <m/>
    <m/>
    <m/>
    <m/>
    <m/>
    <m/>
  </r>
  <r>
    <d v="2021-11-25T00:00:00"/>
    <s v="AXEL-CONGO Food allowance du 25 au 27 -nov-2021/Dolisie"/>
    <x v="7"/>
    <s v="Legal"/>
    <m/>
    <n v="20000"/>
    <n v="26031417"/>
    <x v="7"/>
    <s v="Décharge"/>
    <s v="Wildcat"/>
    <s v="PALF"/>
    <s v="CONGO"/>
    <m/>
    <m/>
    <m/>
  </r>
  <r>
    <d v="2021-11-26T00:00:00"/>
    <s v="Reglement Facture Internet redevance Décembre 2021 /CONGO TELCOM"/>
    <x v="16"/>
    <s v="Ofiice"/>
    <m/>
    <n v="89175"/>
    <n v="25942242"/>
    <x v="1"/>
    <s v="Oui"/>
    <s v="UE"/>
    <s v="RALFF"/>
    <s v="CONGO"/>
    <s v="RALFF-CO2749"/>
    <s v="4.5"/>
    <m/>
  </r>
  <r>
    <d v="2021-11-26T00:00:00"/>
    <s v="Evariste"/>
    <x v="1"/>
    <m/>
    <m/>
    <n v="10500"/>
    <n v="25931742"/>
    <x v="1"/>
    <m/>
    <m/>
    <m/>
    <m/>
    <m/>
    <m/>
    <m/>
  </r>
  <r>
    <d v="2021-11-26T00:00:00"/>
    <s v="Bonus Média portant sur audience"/>
    <x v="13"/>
    <s v="Media"/>
    <m/>
    <n v="29000"/>
    <n v="25902742"/>
    <x v="1"/>
    <s v="Décharge"/>
    <s v="Wildcat"/>
    <s v="PALF"/>
    <s v="CONGO"/>
    <m/>
    <m/>
    <m/>
  </r>
  <r>
    <d v="2021-11-26T00:00:00"/>
    <s v="Achat 04 paires de gants"/>
    <x v="15"/>
    <s v="Ofiice"/>
    <m/>
    <n v="10000"/>
    <n v="25892742"/>
    <x v="1"/>
    <s v="Oui"/>
    <s v="Wildcat"/>
    <s v="PALF"/>
    <s v="CONGO"/>
    <m/>
    <m/>
    <m/>
  </r>
  <r>
    <d v="2021-11-26T00:00:00"/>
    <s v="Merveille"/>
    <x v="1"/>
    <m/>
    <m/>
    <n v="10000"/>
    <n v="25882742"/>
    <x v="1"/>
    <m/>
    <m/>
    <m/>
    <m/>
    <m/>
    <m/>
    <m/>
  </r>
  <r>
    <d v="2021-11-26T00:00:00"/>
    <s v="P29"/>
    <x v="1"/>
    <m/>
    <m/>
    <n v="11000"/>
    <n v="25871742"/>
    <x v="1"/>
    <m/>
    <m/>
    <m/>
    <m/>
    <m/>
    <m/>
    <m/>
  </r>
  <r>
    <d v="2021-11-26T00:00:00"/>
    <s v="Achat 02 cages pour animaux"/>
    <x v="15"/>
    <s v="Ofiice"/>
    <m/>
    <n v="97860"/>
    <n v="25773882"/>
    <x v="1"/>
    <s v="Oui"/>
    <s v="Wildcat"/>
    <s v="PALF"/>
    <s v="CONGO"/>
    <m/>
    <m/>
    <m/>
  </r>
  <r>
    <d v="2021-11-26T00:00:00"/>
    <s v="Reçu caisse"/>
    <x v="1"/>
    <m/>
    <n v="10000"/>
    <m/>
    <n v="25783882"/>
    <x v="11"/>
    <m/>
    <m/>
    <m/>
    <m/>
    <m/>
    <m/>
    <m/>
  </r>
  <r>
    <d v="2021-11-26T00:00:00"/>
    <s v="Reçu de la caisse"/>
    <x v="1"/>
    <m/>
    <n v="10500"/>
    <m/>
    <n v="25794382"/>
    <x v="12"/>
    <m/>
    <m/>
    <m/>
    <m/>
    <m/>
    <m/>
    <m/>
  </r>
  <r>
    <d v="2021-11-26T00:00:00"/>
    <s v="Achat désodorisant et savon liquide"/>
    <x v="4"/>
    <s v="Ofiice"/>
    <m/>
    <n v="8000"/>
    <n v="25786382"/>
    <x v="1"/>
    <s v="Oui"/>
    <s v="UE"/>
    <s v="RALFF"/>
    <s v="CONGO"/>
    <s v="RALFF-CO2750"/>
    <s v="4.3"/>
    <m/>
  </r>
  <r>
    <d v="2021-11-26T00:00:00"/>
    <s v="Recu de caisse "/>
    <x v="1"/>
    <m/>
    <n v="11000"/>
    <m/>
    <n v="25797382"/>
    <x v="6"/>
    <m/>
    <m/>
    <m/>
    <m/>
    <m/>
    <m/>
    <m/>
  </r>
  <r>
    <d v="2021-11-26T00:00:00"/>
    <s v="Cumul Frais de Trust Building Novembre 2021/Evariste"/>
    <x v="9"/>
    <s v="Operation"/>
    <m/>
    <n v="500"/>
    <n v="25796882"/>
    <x v="12"/>
    <s v="Décharge"/>
    <s v="Wildcat"/>
    <s v="PALF"/>
    <s v="CONGO"/>
    <m/>
    <m/>
    <m/>
  </r>
  <r>
    <d v="2021-11-26T00:00:00"/>
    <s v="Billet Dolisie-Brazzaville"/>
    <x v="6"/>
    <s v="Legal"/>
    <m/>
    <n v="10000"/>
    <n v="25786882"/>
    <x v="7"/>
    <s v="Oui"/>
    <s v="Wildcat"/>
    <s v="PALF"/>
    <s v="CONGO"/>
    <m/>
    <m/>
    <m/>
  </r>
  <r>
    <d v="2021-11-27T00:00:00"/>
    <s v="AXEL-CONGO Frais d'hébergement nuitées du 25 au 27-nov-2021"/>
    <x v="7"/>
    <s v="Legal"/>
    <m/>
    <n v="30000"/>
    <n v="25756882"/>
    <x v="7"/>
    <s v="Décharge"/>
    <s v="Wildcat"/>
    <s v="PALF"/>
    <s v="CONGO"/>
    <m/>
    <m/>
    <m/>
  </r>
  <r>
    <d v="2021-11-27T00:00:00"/>
    <s v="Cumul Frais de Trust Building du Mois de novembre 2021/P29"/>
    <x v="9"/>
    <s v="Investigation"/>
    <m/>
    <n v="36000"/>
    <n v="25720882"/>
    <x v="6"/>
    <s v="Décharge"/>
    <s v="Wildcat"/>
    <s v="PALF"/>
    <s v="CONGO"/>
    <m/>
    <m/>
    <m/>
  </r>
  <r>
    <d v="2021-11-28T00:00:00"/>
    <s v="Grace"/>
    <x v="1"/>
    <m/>
    <m/>
    <n v="16000"/>
    <n v="25704882"/>
    <x v="1"/>
    <m/>
    <m/>
    <m/>
    <m/>
    <m/>
    <m/>
    <m/>
  </r>
  <r>
    <d v="2021-11-28T00:00:00"/>
    <s v="Crépin"/>
    <x v="1"/>
    <m/>
    <m/>
    <n v="26000"/>
    <n v="25678882"/>
    <x v="1"/>
    <m/>
    <m/>
    <m/>
    <m/>
    <m/>
    <m/>
    <m/>
  </r>
  <r>
    <d v="2021-11-28T00:00:00"/>
    <s v="Evariste/pour achat carburant BJ"/>
    <x v="1"/>
    <m/>
    <m/>
    <n v="30000"/>
    <n v="25648882"/>
    <x v="1"/>
    <m/>
    <m/>
    <m/>
    <m/>
    <m/>
    <m/>
    <m/>
  </r>
  <r>
    <d v="2021-11-28T00:00:00"/>
    <s v="Axel"/>
    <x v="1"/>
    <m/>
    <m/>
    <n v="22000"/>
    <n v="25626882"/>
    <x v="1"/>
    <m/>
    <m/>
    <m/>
    <m/>
    <m/>
    <m/>
    <m/>
  </r>
  <r>
    <d v="2021-11-28T00:00:00"/>
    <s v="Achat crédit télephone Agents (Bureau)"/>
    <x v="2"/>
    <s v="Operation"/>
    <m/>
    <n v="35000"/>
    <n v="25591882"/>
    <x v="1"/>
    <s v="Oui"/>
    <s v="Wildcat"/>
    <s v="PALF"/>
    <s v="CONGO"/>
    <m/>
    <m/>
    <m/>
  </r>
  <r>
    <d v="2021-11-28T00:00:00"/>
    <s v="Achat boisson eau et amuse bouche (Pour Autorités)"/>
    <x v="9"/>
    <s v="Operation"/>
    <m/>
    <n v="15900"/>
    <n v="25575982"/>
    <x v="1"/>
    <s v="Oui"/>
    <s v="Wildcat"/>
    <s v="PALF"/>
    <s v="CONGO"/>
    <m/>
    <m/>
    <m/>
  </r>
  <r>
    <d v="2021-11-28T00:00:00"/>
    <s v="Evariste"/>
    <x v="1"/>
    <m/>
    <m/>
    <n v="15000"/>
    <n v="25560982"/>
    <x v="1"/>
    <m/>
    <m/>
    <m/>
    <m/>
    <m/>
    <m/>
    <m/>
  </r>
  <r>
    <d v="2021-11-28T00:00:00"/>
    <s v="B52"/>
    <x v="1"/>
    <m/>
    <m/>
    <n v="10500"/>
    <n v="25550482"/>
    <x v="1"/>
    <m/>
    <m/>
    <m/>
    <m/>
    <m/>
    <m/>
    <m/>
  </r>
  <r>
    <d v="2021-11-28T00:00:00"/>
    <s v="Tiffany"/>
    <x v="1"/>
    <m/>
    <m/>
    <n v="30000"/>
    <n v="25520482"/>
    <x v="1"/>
    <m/>
    <m/>
    <m/>
    <m/>
    <m/>
    <m/>
    <m/>
  </r>
  <r>
    <d v="2021-11-28T00:00:00"/>
    <s v="Tiffany"/>
    <x v="1"/>
    <m/>
    <m/>
    <n v="6000"/>
    <n v="25514482"/>
    <x v="1"/>
    <m/>
    <m/>
    <m/>
    <m/>
    <m/>
    <m/>
    <m/>
  </r>
  <r>
    <d v="2021-11-28T00:00:00"/>
    <s v="Taxi à la journée/Tiffany"/>
    <x v="6"/>
    <s v="Operation"/>
    <m/>
    <n v="30000"/>
    <n v="25484482"/>
    <x v="13"/>
    <s v="Oui"/>
    <s v="Wildcat"/>
    <s v="PALF"/>
    <s v="CONGO"/>
    <m/>
    <m/>
    <m/>
  </r>
  <r>
    <d v="2021-11-28T00:00:00"/>
    <s v="Cumul Trust Building du Mois de Novembre 2021/Tiffany"/>
    <x v="9"/>
    <s v="Operation"/>
    <m/>
    <n v="2000"/>
    <n v="25482482"/>
    <x v="13"/>
    <s v="Décharge"/>
    <s v="Wildcat"/>
    <s v="PALF"/>
    <s v="CONGO"/>
    <m/>
    <m/>
    <m/>
  </r>
  <r>
    <d v="2021-11-28T00:00:00"/>
    <s v="Reçu Caisse/ Tiffany"/>
    <x v="1"/>
    <m/>
    <n v="30000"/>
    <m/>
    <n v="25512482"/>
    <x v="13"/>
    <m/>
    <m/>
    <m/>
    <m/>
    <m/>
    <m/>
    <m/>
  </r>
  <r>
    <d v="2021-11-28T00:00:00"/>
    <s v="Reçu Caisse/ Tiffany"/>
    <x v="1"/>
    <m/>
    <n v="6000"/>
    <m/>
    <n v="25518482"/>
    <x v="13"/>
    <m/>
    <m/>
    <m/>
    <m/>
    <m/>
    <m/>
    <m/>
  </r>
  <r>
    <d v="2021-11-28T00:00:00"/>
    <s v="Reçu de caisse"/>
    <x v="1"/>
    <m/>
    <n v="26000"/>
    <m/>
    <n v="25544482"/>
    <x v="10"/>
    <m/>
    <m/>
    <m/>
    <m/>
    <m/>
    <m/>
    <m/>
  </r>
  <r>
    <d v="2021-11-28T00:00:00"/>
    <s v="Carburant de la voiture de l'équipe 1 pour l'operation"/>
    <x v="6"/>
    <s v="Operation"/>
    <m/>
    <n v="25000"/>
    <n v="25519482"/>
    <x v="10"/>
    <s v="Oui"/>
    <s v="Wildcat"/>
    <s v="PALF"/>
    <s v="CONGO"/>
    <m/>
    <m/>
    <m/>
  </r>
  <r>
    <d v="2021-11-28T00:00:00"/>
    <s v="Cumul Trust Building du Mois de Novembre 2021/Crépin"/>
    <x v="9"/>
    <s v="Operation"/>
    <m/>
    <n v="12000"/>
    <n v="25507482"/>
    <x v="10"/>
    <s v="Décharge"/>
    <s v="Wildcat"/>
    <s v="PALF"/>
    <s v="CONGO"/>
    <m/>
    <m/>
    <m/>
  </r>
  <r>
    <d v="2021-11-28T00:00:00"/>
    <s v="Cumul frais de transport local du Novembre 2021/Crépin"/>
    <x v="6"/>
    <s v="Management"/>
    <m/>
    <n v="38400"/>
    <n v="25469082"/>
    <x v="10"/>
    <s v="Décharge"/>
    <s v="UE"/>
    <s v="RALFF"/>
    <s v="CONGO"/>
    <s v="RALFF-CO2751"/>
    <s v="2.2"/>
    <m/>
  </r>
  <r>
    <d v="2021-11-28T00:00:00"/>
    <s v="Taxi: Bureau-Lifoula (Equipe Guet)"/>
    <x v="6"/>
    <s v="Operation"/>
    <m/>
    <n v="5000"/>
    <n v="25464082"/>
    <x v="4"/>
    <s v="Oui"/>
    <s v="Wildcat"/>
    <s v="PALF"/>
    <s v="CONGO"/>
    <m/>
    <m/>
    <m/>
  </r>
  <r>
    <d v="2021-11-28T00:00:00"/>
    <s v="Reçu Caisse"/>
    <x v="1"/>
    <m/>
    <n v="16000"/>
    <m/>
    <n v="25480082"/>
    <x v="4"/>
    <m/>
    <m/>
    <m/>
    <m/>
    <m/>
    <m/>
    <m/>
  </r>
  <r>
    <d v="2021-11-28T00:00:00"/>
    <s v="Taxi: Lifoula-Moungali (Diversion Equipe Guet)"/>
    <x v="6"/>
    <s v="Operation"/>
    <m/>
    <n v="5000"/>
    <n v="25475082"/>
    <x v="4"/>
    <s v="Oui"/>
    <s v="Wildcat"/>
    <s v="PALF"/>
    <s v="CONGO"/>
    <m/>
    <m/>
    <m/>
  </r>
  <r>
    <d v="2021-11-28T00:00:00"/>
    <s v="Cumul Frais de trust building mois de Novembre 2021/Grace"/>
    <x v="9"/>
    <s v="Operation"/>
    <m/>
    <n v="6000"/>
    <n v="25469082"/>
    <x v="4"/>
    <s v="Décharge"/>
    <s v="Wildcat"/>
    <s v="PALF"/>
    <s v="CONGO"/>
    <m/>
    <m/>
    <m/>
  </r>
  <r>
    <d v="2021-11-28T00:00:00"/>
    <s v="Reçu de la caisse"/>
    <x v="1"/>
    <m/>
    <n v="15000"/>
    <m/>
    <n v="25484082"/>
    <x v="12"/>
    <m/>
    <m/>
    <m/>
    <m/>
    <m/>
    <m/>
    <m/>
  </r>
  <r>
    <d v="2021-11-28T00:00:00"/>
    <s v="Reçu de la caisse"/>
    <x v="1"/>
    <m/>
    <n v="30000"/>
    <m/>
    <n v="25514082"/>
    <x v="12"/>
    <m/>
    <m/>
    <m/>
    <m/>
    <m/>
    <m/>
    <m/>
  </r>
  <r>
    <d v="2021-11-28T00:00:00"/>
    <s v="Achat du carburant pour la BJ des Gendarmes"/>
    <x v="6"/>
    <s v="Operation"/>
    <m/>
    <n v="30000"/>
    <n v="25484082"/>
    <x v="12"/>
    <s v="Oui"/>
    <s v="Wildcat"/>
    <s v="PALF"/>
    <s v="CONGO"/>
    <m/>
    <m/>
    <m/>
  </r>
  <r>
    <d v="2021-11-28T00:00:00"/>
    <s v="Achat Divers (Bananes, Papaye, Eau Minerale)"/>
    <x v="4"/>
    <s v="Operation"/>
    <m/>
    <n v="3550"/>
    <n v="25480532"/>
    <x v="5"/>
    <s v="Oui"/>
    <s v="Wildcat"/>
    <s v="PALF"/>
    <s v="CONGO"/>
    <m/>
    <m/>
    <m/>
  </r>
  <r>
    <d v="2021-11-28T00:00:00"/>
    <s v="Reçu caisse/OP lifoula du 28-nov-2021"/>
    <x v="1"/>
    <m/>
    <n v="22000"/>
    <m/>
    <n v="25502532"/>
    <x v="7"/>
    <m/>
    <m/>
    <m/>
    <m/>
    <m/>
    <m/>
    <m/>
  </r>
  <r>
    <d v="2021-11-28T00:00:00"/>
    <s v="Taxi:Gendarmerie-lifoula"/>
    <x v="6"/>
    <s v="Operation"/>
    <m/>
    <n v="5000"/>
    <n v="25497532"/>
    <x v="7"/>
    <s v="Oui"/>
    <s v="Wildcat"/>
    <s v="PALF"/>
    <s v="CONGO"/>
    <m/>
    <m/>
    <m/>
  </r>
  <r>
    <d v="2021-11-28T00:00:00"/>
    <s v="Cumul frais de Trust Building du mois de novembre 2021/Axel"/>
    <x v="9"/>
    <s v="Operation"/>
    <m/>
    <n v="12000"/>
    <n v="25485532"/>
    <x v="7"/>
    <s v="Décharge"/>
    <s v="Wildcat"/>
    <s v="PALF"/>
    <s v="CONGO"/>
    <m/>
    <m/>
    <m/>
  </r>
  <r>
    <d v="2021-11-28T00:00:00"/>
    <s v="Taxi: Lifoula-Gendarmerie"/>
    <x v="6"/>
    <s v="Operation"/>
    <m/>
    <n v="5000"/>
    <n v="25480532"/>
    <x v="7"/>
    <s v="Oui"/>
    <s v="Wildcat"/>
    <s v="PALF"/>
    <s v="CONGO"/>
    <m/>
    <m/>
    <m/>
  </r>
  <r>
    <d v="2021-11-28T00:00:00"/>
    <s v="reçu de caisse"/>
    <x v="1"/>
    <m/>
    <n v="10500"/>
    <m/>
    <n v="25491032"/>
    <x v="9"/>
    <m/>
    <m/>
    <m/>
    <m/>
    <m/>
    <m/>
    <m/>
  </r>
  <r>
    <d v="2021-11-28T00:00:00"/>
    <s v=" Taxi: Brazzaville (Bureau)- Lifoula site"/>
    <x v="6"/>
    <s v="Investigation"/>
    <m/>
    <n v="5000"/>
    <n v="25486032"/>
    <x v="9"/>
    <s v="Oui"/>
    <s v="Wildcat"/>
    <s v="PALF"/>
    <s v="CONGO"/>
    <m/>
    <m/>
    <m/>
  </r>
  <r>
    <d v="2021-11-28T00:00:00"/>
    <s v="Taxi: Lifoula-Brazzaville(bureau)"/>
    <x v="6"/>
    <s v="Investigation"/>
    <m/>
    <n v="5000"/>
    <n v="25481032"/>
    <x v="9"/>
    <s v="Oui"/>
    <s v="Wildcat"/>
    <s v="PALF"/>
    <s v="CONGO"/>
    <m/>
    <m/>
    <m/>
  </r>
  <r>
    <d v="2021-11-29T00:00:00"/>
    <s v="B52"/>
    <x v="1"/>
    <m/>
    <m/>
    <n v="15000"/>
    <n v="25466032"/>
    <x v="1"/>
    <m/>
    <m/>
    <m/>
    <m/>
    <m/>
    <m/>
    <m/>
  </r>
  <r>
    <d v="2021-11-29T00:00:00"/>
    <s v="Bonus autorité gendarme et Ef/opération à Lifoula"/>
    <x v="13"/>
    <s v="Operation"/>
    <m/>
    <n v="140000"/>
    <n v="25326032"/>
    <x v="1"/>
    <s v="Décharge"/>
    <s v="Wildcat"/>
    <s v="PALF"/>
    <s v="CONGO"/>
    <m/>
    <m/>
    <m/>
  </r>
  <r>
    <d v="2021-11-29T00:00:00"/>
    <s v="Achat laitu ,pastèque carotte et banqne pour peroquet"/>
    <x v="9"/>
    <s v="Operation"/>
    <m/>
    <n v="5000"/>
    <n v="25321032"/>
    <x v="1"/>
    <s v="Oui"/>
    <s v="Wildcat"/>
    <s v="PALF"/>
    <s v="CONGO"/>
    <m/>
    <m/>
    <m/>
  </r>
  <r>
    <d v="2021-11-29T00:00:00"/>
    <s v="Reglement prestation Technicienne de Surface mois de Novembre 2021/MFIELO"/>
    <x v="11"/>
    <s v="Ofiice"/>
    <m/>
    <n v="75625"/>
    <n v="25245407"/>
    <x v="1"/>
    <s v="Oui"/>
    <s v="Wildcat"/>
    <s v="PALF"/>
    <s v="CONGO"/>
    <m/>
    <m/>
    <m/>
  </r>
  <r>
    <d v="2021-11-29T00:00:00"/>
    <s v="approv caisse/remboursement  frais télephone 1ere Tranche Grace"/>
    <x v="1"/>
    <m/>
    <n v="20000"/>
    <m/>
    <n v="25265407"/>
    <x v="1"/>
    <m/>
    <m/>
    <m/>
    <m/>
    <m/>
    <m/>
    <m/>
  </r>
  <r>
    <d v="2021-11-29T00:00:00"/>
    <s v="Achat serum salé 500ML et aiguille bleu/pour peroquet"/>
    <x v="9"/>
    <s v="Operation"/>
    <m/>
    <n v="6500"/>
    <n v="25258907"/>
    <x v="1"/>
    <s v="Oui"/>
    <s v="Wildcat"/>
    <s v="PALF"/>
    <s v="CONGO"/>
    <m/>
    <m/>
    <m/>
  </r>
  <r>
    <d v="2021-11-29T00:00:00"/>
    <s v="Achat serum salé 500ML et Seringue 5ml/pour peroquet"/>
    <x v="9"/>
    <s v="Operation"/>
    <m/>
    <n v="2150"/>
    <n v="25256757"/>
    <x v="1"/>
    <s v="Oui"/>
    <s v="Wildcat"/>
    <s v="PALF"/>
    <s v="CONGO"/>
    <m/>
    <m/>
    <m/>
  </r>
  <r>
    <d v="2021-11-29T00:00:00"/>
    <s v="Achat billet d'avion aller  pour la DDEF/Brazzaville-Pointre Noire -Brazzaville"/>
    <x v="17"/>
    <s v="Operation"/>
    <m/>
    <n v="40000"/>
    <n v="25216757"/>
    <x v="1"/>
    <s v="Oui"/>
    <s v="Wildcat"/>
    <s v="PALF"/>
    <s v="CONGO"/>
    <m/>
    <m/>
    <m/>
  </r>
  <r>
    <d v="2021-11-29T00:00:00"/>
    <s v="Achat billet d'avion retour  pour la DDEF/Pointre Noire -Brazzaville"/>
    <x v="17"/>
    <s v="Operation"/>
    <m/>
    <n v="38000"/>
    <n v="25178757"/>
    <x v="1"/>
    <s v="Oui"/>
    <s v="Wildcat"/>
    <s v="PALF"/>
    <s v="CONGO"/>
    <m/>
    <m/>
    <m/>
  </r>
  <r>
    <d v="2021-11-29T00:00:00"/>
    <s v="Achat eau mineral pour les péroquets"/>
    <x v="4"/>
    <s v="Operation"/>
    <m/>
    <n v="5000"/>
    <n v="25173757"/>
    <x v="1"/>
    <s v="Oui"/>
    <s v="Wildcat"/>
    <s v="PALF"/>
    <s v="CONGO"/>
    <m/>
    <m/>
    <m/>
  </r>
  <r>
    <d v="2021-11-29T00:00:00"/>
    <s v="Achat Fruits pastèques choux papaye,carotte pour peroquets"/>
    <x v="4"/>
    <s v="Operation"/>
    <m/>
    <n v="23285"/>
    <n v="25150472"/>
    <x v="1"/>
    <s v="Oui"/>
    <s v="Wildcat"/>
    <s v="PALF"/>
    <s v="CONGO"/>
    <m/>
    <m/>
    <m/>
  </r>
  <r>
    <d v="2021-11-29T00:00:00"/>
    <s v="Achat pommade desinfectant et gants/pour peroquet"/>
    <x v="4"/>
    <s v="Operation"/>
    <m/>
    <n v="24925"/>
    <n v="25125547"/>
    <x v="1"/>
    <s v="Oui"/>
    <s v="Wildcat"/>
    <s v="PALF"/>
    <s v="CONGO"/>
    <m/>
    <m/>
    <m/>
  </r>
  <r>
    <d v="2021-11-29T00:00:00"/>
    <s v="Reglement facture honoraire du mois Novembre 2021/I23C/chq n°3643576"/>
    <x v="12"/>
    <s v="Investigation"/>
    <m/>
    <n v="450000"/>
    <n v="24675547"/>
    <x v="2"/>
    <n v="3643576"/>
    <s v="UE"/>
    <s v="RALFF"/>
    <s v="CONGO"/>
    <s v="RALFF-CO2752"/>
    <s v="1.1.1.9"/>
    <m/>
  </r>
  <r>
    <d v="2021-11-29T00:00:00"/>
    <s v="Reglement facture honoraire du mois Novembre 2021/P29/chq n°3643577"/>
    <x v="12"/>
    <s v="Investigation"/>
    <m/>
    <n v="245000"/>
    <n v="24430547"/>
    <x v="2"/>
    <n v="3643577"/>
    <s v="UE"/>
    <s v="RALFF"/>
    <s v="CONGO"/>
    <s v="RALFF-CO2753"/>
    <s v="1.1.1.9"/>
    <m/>
  </r>
  <r>
    <d v="2021-11-29T00:00:00"/>
    <s v="Achat fourniture(Servitte, Savon liquide, Lampe torche)"/>
    <x v="4"/>
    <s v="Operation"/>
    <m/>
    <n v="4300"/>
    <n v="24426247"/>
    <x v="5"/>
    <s v="Oui"/>
    <s v="Wildcat"/>
    <s v="PALF"/>
    <s v="CONGO"/>
    <m/>
    <m/>
    <m/>
  </r>
  <r>
    <d v="2021-11-29T00:00:00"/>
    <s v="Achat produit pharmaceutiques"/>
    <x v="4"/>
    <s v="Operation"/>
    <m/>
    <n v="4200"/>
    <n v="24422047"/>
    <x v="5"/>
    <s v="Oui"/>
    <s v="Wildcat"/>
    <s v="PALF"/>
    <s v="CONGO"/>
    <m/>
    <m/>
    <m/>
  </r>
  <r>
    <d v="2021-11-29T00:00:00"/>
    <s v="Impression documents pour transfert perroquets et cerco"/>
    <x v="4"/>
    <s v="Ofiice"/>
    <m/>
    <n v="450"/>
    <n v="24421597"/>
    <x v="7"/>
    <s v="Décharge"/>
    <s v="Wildcat"/>
    <s v="PALF"/>
    <s v="CONGO"/>
    <m/>
    <m/>
    <m/>
  </r>
  <r>
    <d v="2021-11-29T00:00:00"/>
    <s v="reçu de caisse"/>
    <x v="1"/>
    <m/>
    <n v="15000"/>
    <m/>
    <n v="24436597"/>
    <x v="9"/>
    <m/>
    <m/>
    <m/>
    <m/>
    <m/>
    <m/>
    <m/>
  </r>
  <r>
    <d v="2021-11-29T00:00:00"/>
    <s v="Rembourssement 1ere tranche de telephone acquis"/>
    <x v="1"/>
    <s v="Operation"/>
    <m/>
    <n v="20000"/>
    <n v="24416597"/>
    <x v="4"/>
    <s v="Décharge"/>
    <s v="Wildcat"/>
    <s v="PALF"/>
    <s v="CONGO"/>
    <m/>
    <m/>
    <m/>
  </r>
  <r>
    <d v="2021-11-30T00:00:00"/>
    <s v="Cumul frais de ration journalière du mois de novembre 2021/Axel"/>
    <x v="7"/>
    <s v="Legal"/>
    <m/>
    <n v="17000"/>
    <n v="24399597"/>
    <x v="7"/>
    <s v="Décharge"/>
    <s v="Wildcat"/>
    <s v="PALF"/>
    <s v="CONGO"/>
    <m/>
    <m/>
    <m/>
  </r>
  <r>
    <d v="2021-11-30T00:00:00"/>
    <s v="Axel"/>
    <x v="1"/>
    <m/>
    <m/>
    <n v="30000"/>
    <n v="24369597"/>
    <x v="1"/>
    <m/>
    <m/>
    <m/>
    <m/>
    <m/>
    <m/>
    <m/>
  </r>
  <r>
    <d v="2021-11-30T00:00:00"/>
    <s v="Axel"/>
    <x v="1"/>
    <m/>
    <m/>
    <n v="12000"/>
    <n v="24357597"/>
    <x v="1"/>
    <m/>
    <m/>
    <m/>
    <m/>
    <m/>
    <m/>
    <m/>
  </r>
  <r>
    <d v="2021-11-30T00:00:00"/>
    <s v="Achat credit  teléphonique MTN/staff PALF/Première partie Décembre 2021/Management"/>
    <x v="2"/>
    <s v="Management"/>
    <m/>
    <n v="41000"/>
    <n v="24316597"/>
    <x v="1"/>
    <s v="Oui"/>
    <s v="UE"/>
    <s v="RALFF"/>
    <s v="CONGO"/>
    <s v="RALFF-CO2754"/>
    <s v="4.6"/>
    <m/>
  </r>
  <r>
    <d v="2021-11-30T00:00:00"/>
    <s v="Achat credit  teléphonique MTN/staff PALF/Première partie Décembre 2021/Légal"/>
    <x v="2"/>
    <s v="Legal"/>
    <m/>
    <n v="37000"/>
    <n v="24279597"/>
    <x v="1"/>
    <s v="Oui"/>
    <s v="UE"/>
    <s v="RALFF"/>
    <s v="CONGO"/>
    <s v="RALFF-CO2755"/>
    <s v="4.6"/>
    <m/>
  </r>
  <r>
    <d v="2021-11-30T00:00:00"/>
    <s v="Achat credit  teléphonique MTN/staff PALF/Première partie Décembre 2021/legal volontaire"/>
    <x v="2"/>
    <s v="Legal"/>
    <m/>
    <n v="21000"/>
    <n v="24258597"/>
    <x v="1"/>
    <s v="Oui"/>
    <s v="Wildcat"/>
    <s v="PALF"/>
    <s v="CONGO"/>
    <m/>
    <m/>
    <m/>
  </r>
  <r>
    <d v="2021-11-30T00:00:00"/>
    <s v="Achat credit  teléphonique MTN/staff PALF/Première partie Décembre 2021/Investigation"/>
    <x v="2"/>
    <s v="Investigation"/>
    <m/>
    <n v="20000"/>
    <n v="24238597"/>
    <x v="1"/>
    <s v="Oui"/>
    <s v="UE"/>
    <s v="RALFF"/>
    <s v="CONGO"/>
    <s v="RALFF-CO2756"/>
    <s v="4.6"/>
    <m/>
  </r>
  <r>
    <d v="2021-11-30T00:00:00"/>
    <s v="Achat credit  teléphonique MTN/staff PALF/Première partie Décembre 2021/Investigation Volontaire"/>
    <x v="2"/>
    <s v="Investigation"/>
    <m/>
    <n v="10000"/>
    <n v="24228597"/>
    <x v="1"/>
    <s v="Oui"/>
    <s v="Wildcat"/>
    <s v="PALF"/>
    <s v="CONGO"/>
    <m/>
    <m/>
    <m/>
  </r>
  <r>
    <d v="2021-11-30T00:00:00"/>
    <s v="Achat credit  teléphonique MTN/staff PALF/Première partie Décembre 2021/Média"/>
    <x v="2"/>
    <s v="Media"/>
    <m/>
    <n v="5000"/>
    <n v="24223597"/>
    <x v="1"/>
    <s v="Oui"/>
    <s v="UE"/>
    <s v="RALFF"/>
    <s v="CONGO"/>
    <s v="RALFF-CO2757"/>
    <s v="4.6"/>
    <m/>
  </r>
  <r>
    <d v="2021-11-30T00:00:00"/>
    <s v="Achat credit  teléphonique Airtel/staff PALF/Première partie Décemembre  2021/Management"/>
    <x v="2"/>
    <s v="Management"/>
    <m/>
    <n v="32000"/>
    <n v="24191597"/>
    <x v="1"/>
    <s v="Oui"/>
    <s v="UE"/>
    <s v="RALFF"/>
    <s v="CONGO"/>
    <s v="RALFF-CO2758"/>
    <s v="4.6"/>
    <m/>
  </r>
  <r>
    <d v="2021-11-30T00:00:00"/>
    <s v="Achat credit  teléphonique Airtel/staff PALF/Première partie Décembre  2021/Investigation"/>
    <x v="2"/>
    <s v="Investigation"/>
    <m/>
    <n v="32000"/>
    <n v="24159597"/>
    <x v="1"/>
    <s v="Oui"/>
    <s v="UE"/>
    <s v="RALFF"/>
    <s v="CONGO"/>
    <s v="RALFF-CO2759"/>
    <s v="4.6"/>
    <m/>
  </r>
  <r>
    <d v="2021-11-30T00:00:00"/>
    <s v="Achat credit  teléphonique Airtel/staff PALF/Première partie Décembre  2021/Investigation Volontaire"/>
    <x v="2"/>
    <s v="Investigation"/>
    <m/>
    <n v="16000"/>
    <n v="24143597"/>
    <x v="1"/>
    <s v="Oui"/>
    <s v="Wildcat"/>
    <s v="PALF"/>
    <s v="CONGO"/>
    <m/>
    <m/>
    <m/>
  </r>
  <r>
    <d v="2021-11-30T00:00:00"/>
    <s v="Achat credit  teléphonique Airtel/staff PALF/Première partie Novembre  2021/Légal"/>
    <x v="2"/>
    <s v="Legal"/>
    <m/>
    <n v="5000"/>
    <n v="24138597"/>
    <x v="1"/>
    <s v="Oui"/>
    <s v="UE"/>
    <s v="RALFF"/>
    <s v="CONGO"/>
    <s v="RALFF-CO2760"/>
    <s v="4.6"/>
    <m/>
  </r>
  <r>
    <d v="2021-11-30T00:00:00"/>
    <s v="Achat credit  teléphonique Airtel/staff PALF/Première partie Novembre  2021/Média"/>
    <x v="2"/>
    <s v="Media"/>
    <m/>
    <n v="11000"/>
    <n v="24127597"/>
    <x v="1"/>
    <s v="Oui"/>
    <s v="UE"/>
    <s v="RALFF"/>
    <s v="CONGO"/>
    <s v="RALFF-CO2761"/>
    <s v="4.6"/>
    <m/>
  </r>
  <r>
    <d v="2021-11-30T00:00:00"/>
    <s v="Grace"/>
    <x v="1"/>
    <m/>
    <m/>
    <n v="15000"/>
    <n v="24112597"/>
    <x v="1"/>
    <m/>
    <m/>
    <m/>
    <m/>
    <m/>
    <m/>
    <m/>
  </r>
  <r>
    <d v="2021-11-30T00:00:00"/>
    <s v="Godfre"/>
    <x v="1"/>
    <m/>
    <m/>
    <n v="8000"/>
    <n v="24104597"/>
    <x v="1"/>
    <m/>
    <m/>
    <m/>
    <m/>
    <m/>
    <m/>
    <m/>
  </r>
  <r>
    <d v="2021-11-30T00:00:00"/>
    <s v="Bonus mois de Novembre 2021/Godfré"/>
    <x v="13"/>
    <s v="Legal"/>
    <m/>
    <n v="20000"/>
    <n v="24084597"/>
    <x v="1"/>
    <s v="Décharge"/>
    <s v="Wildcat"/>
    <s v="PALF"/>
    <s v="CONGO"/>
    <m/>
    <m/>
    <m/>
  </r>
  <r>
    <d v="2021-11-30T00:00:00"/>
    <s v="Bonus mois de Novembre 2021/Crépin"/>
    <x v="13"/>
    <s v="Legal"/>
    <m/>
    <n v="30000"/>
    <n v="24054597"/>
    <x v="1"/>
    <s v="Décharge"/>
    <s v="Wildcat"/>
    <s v="PALF"/>
    <s v="CONGO"/>
    <m/>
    <m/>
    <m/>
  </r>
  <r>
    <d v="2021-11-30T00:00:00"/>
    <s v="Bonus mois de Novembre 2021/Evariste"/>
    <x v="13"/>
    <s v="Media"/>
    <m/>
    <n v="15000"/>
    <n v="24039597"/>
    <x v="1"/>
    <s v="Décharge"/>
    <s v="Wildcat"/>
    <s v="PALF"/>
    <s v="CONGO"/>
    <m/>
    <m/>
    <m/>
  </r>
  <r>
    <d v="2021-11-30T00:00:00"/>
    <s v="Bonus média portant sur audience du 29/11/2021"/>
    <x v="13"/>
    <s v="Media"/>
    <m/>
    <n v="29000"/>
    <n v="24010597"/>
    <x v="1"/>
    <s v="Décharge"/>
    <s v="Wildcat"/>
    <s v="PALF"/>
    <s v="CONGO"/>
    <m/>
    <m/>
    <m/>
  </r>
  <r>
    <d v="2021-11-30T00:00:00"/>
    <s v="Bonus média portant sur audience du 30/11/2021"/>
    <x v="13"/>
    <s v="Media"/>
    <m/>
    <n v="29000"/>
    <n v="23981597"/>
    <x v="1"/>
    <s v="Décharge"/>
    <s v="Wildcat"/>
    <s v="PALF"/>
    <s v="CONGO"/>
    <m/>
    <m/>
    <m/>
  </r>
  <r>
    <d v="2021-11-30T00:00:00"/>
    <s v="Bonus Média/Télécongo"/>
    <x v="13"/>
    <s v="Media"/>
    <m/>
    <n v="150000"/>
    <n v="23831597"/>
    <x v="1"/>
    <s v="Décharge"/>
    <s v="Wildcat"/>
    <s v="PALF"/>
    <s v="CONGO"/>
    <m/>
    <m/>
    <m/>
  </r>
  <r>
    <d v="2021-11-30T00:00:00"/>
    <s v="P29"/>
    <x v="1"/>
    <m/>
    <m/>
    <n v="25000"/>
    <n v="23806597"/>
    <x v="1"/>
    <m/>
    <m/>
    <m/>
    <m/>
    <m/>
    <m/>
    <m/>
  </r>
  <r>
    <d v="2021-11-30T00:00:00"/>
    <s v="I23c"/>
    <x v="1"/>
    <m/>
    <m/>
    <n v="25000"/>
    <n v="23781597"/>
    <x v="1"/>
    <m/>
    <m/>
    <m/>
    <m/>
    <m/>
    <m/>
    <m/>
  </r>
  <r>
    <d v="2021-11-30T00:00:00"/>
    <s v="Cumul Transport Local du Mois de Novembre 2021/Tiffany"/>
    <x v="6"/>
    <s v="Management"/>
    <m/>
    <n v="21000"/>
    <n v="23760597"/>
    <x v="13"/>
    <s v="Décharge"/>
    <s v="UE"/>
    <s v="RALFF"/>
    <s v="CONGO"/>
    <s v="RALFF-CO2762"/>
    <s v="2.2"/>
    <m/>
  </r>
  <r>
    <d v="2021-11-30T00:00:00"/>
    <s v="Cumul Frais de transport local du mois de Novembre 2021/Grace"/>
    <x v="6"/>
    <s v="Management"/>
    <m/>
    <n v="29900"/>
    <n v="23730697"/>
    <x v="4"/>
    <s v="Décharge"/>
    <s v="UE"/>
    <s v="RALFF"/>
    <s v="CONGO"/>
    <s v="RALFF-CO2763"/>
    <s v="2.2"/>
    <m/>
  </r>
  <r>
    <d v="2021-11-30T00:00:00"/>
    <s v="Reçu Caisse"/>
    <x v="1"/>
    <m/>
    <n v="15000"/>
    <m/>
    <n v="23745697"/>
    <x v="4"/>
    <m/>
    <m/>
    <m/>
    <m/>
    <m/>
    <m/>
    <m/>
  </r>
  <r>
    <d v="2021-11-30T00:00:00"/>
    <s v="Cumul frais de transport local mois de Novembre 2021/Merveille"/>
    <x v="6"/>
    <s v="Management"/>
    <m/>
    <n v="24000"/>
    <n v="23721697"/>
    <x v="11"/>
    <s v="Décharge"/>
    <s v="UE"/>
    <s v="RALFF"/>
    <s v="CONGO"/>
    <s v="RALFF-CO2764"/>
    <s v="2.2"/>
    <m/>
  </r>
  <r>
    <d v="2021-11-30T00:00:00"/>
    <s v="Cumul Frais de Transport Local du Mois de novembre 2021/Evariste"/>
    <x v="6"/>
    <s v="Media"/>
    <m/>
    <n v="42500"/>
    <n v="23679197"/>
    <x v="12"/>
    <s v="Décharge"/>
    <s v="UE"/>
    <s v="RALFF"/>
    <s v="CONGO"/>
    <s v="RALFF-CO2765"/>
    <s v="2.2"/>
    <m/>
  </r>
  <r>
    <d v="2021-11-30T00:00:00"/>
    <s v="Réçu caisse"/>
    <x v="1"/>
    <m/>
    <n v="25000"/>
    <m/>
    <n v="23704197"/>
    <x v="3"/>
    <m/>
    <m/>
    <m/>
    <m/>
    <m/>
    <m/>
    <m/>
  </r>
  <r>
    <d v="2021-11-30T00:00:00"/>
    <s v="Cumul frais de transport local du mois de Novembre 2021/I23C"/>
    <x v="6"/>
    <s v="Investigation"/>
    <m/>
    <n v="91500"/>
    <n v="23612697"/>
    <x v="3"/>
    <s v="Décharge"/>
    <s v="UE"/>
    <s v="RALFF"/>
    <s v="CONGO"/>
    <s v="RALFF-CO2766"/>
    <s v="2.2"/>
    <m/>
  </r>
  <r>
    <d v="2021-11-30T00:00:00"/>
    <s v="Taxi Kintele-45km (départ pour 45)"/>
    <x v="6"/>
    <s v="Investigation"/>
    <m/>
    <n v="7000"/>
    <n v="23605697"/>
    <x v="3"/>
    <s v="Oui"/>
    <s v="UE"/>
    <s v="RALFF"/>
    <s v="CONGO"/>
    <s v="RALFF-CO2767"/>
    <s v="2.2"/>
    <m/>
  </r>
  <r>
    <d v="2021-11-30T00:00:00"/>
    <s v="Taxi 45 Km -Kintele (retour à Kintélé)"/>
    <x v="6"/>
    <s v="Investigation"/>
    <m/>
    <n v="7000"/>
    <n v="23598697"/>
    <x v="3"/>
    <s v="Oui"/>
    <s v="UE"/>
    <s v="RALFF"/>
    <s v="CONGO"/>
    <s v="RALFF-CO2768"/>
    <s v="2.2"/>
    <m/>
  </r>
  <r>
    <d v="2021-11-30T00:00:00"/>
    <s v="Taxi bureau-kintele,prospectionn"/>
    <x v="6"/>
    <s v="Investigation"/>
    <m/>
    <n v="3000"/>
    <n v="23595697"/>
    <x v="6"/>
    <s v="Oui"/>
    <s v="UE"/>
    <s v="RALFF"/>
    <s v="CONGO"/>
    <s v="RALFF-CO2769"/>
    <s v="2.2"/>
    <m/>
  </r>
  <r>
    <d v="2021-11-30T00:00:00"/>
    <s v="Taxi kintele-brazzaville,prospection"/>
    <x v="6"/>
    <s v="Investigation"/>
    <m/>
    <n v="3000"/>
    <n v="23592697"/>
    <x v="6"/>
    <s v="Oui"/>
    <s v="UE"/>
    <s v="RALFF"/>
    <s v="CONGO"/>
    <s v="RALFF-CO2770"/>
    <s v="2.2"/>
    <m/>
  </r>
  <r>
    <d v="2021-11-30T00:00:00"/>
    <s v="Cumul Frais de Transport Local du Mois de novembre 2021/P29"/>
    <x v="6"/>
    <s v="Investigation"/>
    <m/>
    <n v="84500"/>
    <n v="23508197"/>
    <x v="6"/>
    <s v="Décharge"/>
    <s v="UE"/>
    <s v="RALFF"/>
    <s v="CONGO"/>
    <s v="RALFF-CO2771"/>
    <s v="2.2"/>
    <m/>
  </r>
  <r>
    <d v="2021-11-30T00:00:00"/>
    <s v="Recu de caisse"/>
    <x v="1"/>
    <m/>
    <n v="25000"/>
    <m/>
    <n v="23533197"/>
    <x v="6"/>
    <m/>
    <m/>
    <m/>
    <m/>
    <m/>
    <m/>
    <m/>
  </r>
  <r>
    <d v="2021-11-30T00:00:00"/>
    <s v="Reçu Caisse"/>
    <x v="1"/>
    <m/>
    <n v="8000"/>
    <m/>
    <n v="23541197"/>
    <x v="5"/>
    <m/>
    <m/>
    <m/>
    <m/>
    <m/>
    <m/>
    <m/>
  </r>
  <r>
    <d v="2021-11-30T00:00:00"/>
    <s v="Cumul frais transport local du mois de novembre 2021/Godfré"/>
    <x v="6"/>
    <s v="Legal"/>
    <m/>
    <n v="15700"/>
    <n v="23525497"/>
    <x v="5"/>
    <s v="Décharge"/>
    <s v="UE"/>
    <s v="RALFF"/>
    <s v="CONGO"/>
    <s v="RALFF-CO2772"/>
    <s v="2.2"/>
    <m/>
  </r>
  <r>
    <d v="2021-11-30T00:00:00"/>
    <s v="Cumul frais jail visits du mois de novembre 2021/Godfré"/>
    <x v="14"/>
    <s v="Legal"/>
    <m/>
    <n v="1000"/>
    <n v="23524497"/>
    <x v="5"/>
    <s v="Décharge"/>
    <s v="Wildcat"/>
    <s v="PALF"/>
    <s v="CONGO"/>
    <m/>
    <m/>
    <m/>
  </r>
  <r>
    <d v="2021-11-30T00:00:00"/>
    <s v="Cumul frais de Transport local du mois de novembre 2021/Axel"/>
    <x v="6"/>
    <s v="Legal"/>
    <m/>
    <n v="87200"/>
    <n v="23437297"/>
    <x v="7"/>
    <s v="Décharge"/>
    <s v="Wildcat"/>
    <s v="PALF"/>
    <s v="CONGO"/>
    <m/>
    <m/>
    <m/>
  </r>
  <r>
    <d v="2021-11-30T00:00:00"/>
    <s v="Cumul frais de jail visit du mois de novembre 2021/Axel"/>
    <x v="14"/>
    <s v="Legal"/>
    <m/>
    <n v="8000"/>
    <n v="23429297"/>
    <x v="7"/>
    <s v="Décharge"/>
    <s v="Wildcat"/>
    <s v="PALF"/>
    <s v="CONGO"/>
    <m/>
    <m/>
    <m/>
  </r>
  <r>
    <d v="2021-11-30T00:00:00"/>
    <s v="Cumul frais ration journalière du mois de nombre 2021/B52"/>
    <x v="7"/>
    <s v="Investigation"/>
    <m/>
    <n v="15000"/>
    <n v="23414297"/>
    <x v="9"/>
    <s v="Décharge"/>
    <s v="Wildcat"/>
    <s v="PALF"/>
    <s v="CONGO"/>
    <m/>
    <m/>
    <m/>
  </r>
  <r>
    <d v="2021-11-30T00:00:00"/>
    <s v="Cumul frais transport local du mois de nombre 2021/B52"/>
    <x v="6"/>
    <s v="Investigation"/>
    <m/>
    <n v="75500"/>
    <n v="23338797"/>
    <x v="9"/>
    <s v="Décharge"/>
    <s v="Wildcat"/>
    <s v="PALF"/>
    <s v="CONGO"/>
    <m/>
    <m/>
    <m/>
  </r>
  <r>
    <d v="2021-11-30T00:00:00"/>
    <s v="Cumul frais trust bulding du mois de nombre 2021/B52"/>
    <x v="9"/>
    <s v="Investigation"/>
    <m/>
    <n v="13500"/>
    <n v="23325297"/>
    <x v="9"/>
    <s v="Décharge"/>
    <s v="Wildcat"/>
    <s v="PALF"/>
    <s v="CONGO"/>
    <m/>
    <m/>
    <m/>
  </r>
  <r>
    <d v="2021-11-30T00:00:00"/>
    <s v="Reçu Caisse"/>
    <x v="1"/>
    <m/>
    <n v="30000"/>
    <m/>
    <n v="23355297"/>
    <x v="7"/>
    <m/>
    <m/>
    <m/>
    <m/>
    <m/>
    <m/>
    <m/>
  </r>
  <r>
    <d v="2021-11-30T00:00:00"/>
    <s v="Reçu Caisse"/>
    <x v="1"/>
    <m/>
    <n v="12000"/>
    <m/>
    <n v="23367297"/>
    <x v="7"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0">
  <r>
    <d v="2021-11-01T00:00:00"/>
    <s v="Solde au 01/11/2021"/>
    <m/>
    <m/>
    <m/>
    <m/>
    <n v="32194988"/>
    <m/>
    <m/>
    <x v="0"/>
    <m/>
    <m/>
    <m/>
    <m/>
    <m/>
  </r>
  <r>
    <d v="2021-11-02T00:00:00"/>
    <s v="I23c"/>
    <s v="Versement"/>
    <m/>
    <m/>
    <n v="18000"/>
    <n v="32176988"/>
    <s v="Caisse"/>
    <m/>
    <x v="0"/>
    <m/>
    <m/>
    <m/>
    <m/>
    <m/>
  </r>
  <r>
    <d v="2021-11-02T00:00:00"/>
    <s v="Achat credit  teléphonique MTN/staff PALF/Première partie Novembre 2021/Management"/>
    <s v="Telephone "/>
    <s v="Management"/>
    <m/>
    <n v="52000"/>
    <n v="32124988"/>
    <s v="Caisse"/>
    <s v="Oui"/>
    <x v="1"/>
    <s v="RALFF"/>
    <s v="CONGO"/>
    <s v="RALFF-CO2692"/>
    <s v="4.6"/>
    <m/>
  </r>
  <r>
    <d v="2021-11-02T00:00:00"/>
    <s v="Achat credit  teléphonique MTN/staff PALF/Première partie Novembre 2021/Légal"/>
    <s v="Telephone "/>
    <s v="Legal"/>
    <m/>
    <n v="16000"/>
    <n v="32108988"/>
    <s v="Caisse"/>
    <s v="Oui"/>
    <x v="1"/>
    <s v="RALFF"/>
    <s v="CONGO"/>
    <s v="RALFF-CO2693"/>
    <s v="4.6"/>
    <m/>
  </r>
  <r>
    <d v="2021-11-02T00:00:00"/>
    <s v="Achat credit  teléphonique MTN/staff PALF/Première partie Novembre 2021/legal volontaire"/>
    <s v="Telephone "/>
    <s v="Legal"/>
    <m/>
    <n v="42000"/>
    <n v="32066988"/>
    <s v="Caisse"/>
    <s v="Oui"/>
    <x v="2"/>
    <s v="PALF"/>
    <s v="CONGO"/>
    <m/>
    <m/>
    <m/>
  </r>
  <r>
    <d v="2021-11-02T00:00:00"/>
    <s v="Achat credit  teléphonique MTN/staff PALF/Première partie Novembre 2021/Investigation"/>
    <s v="Telephone "/>
    <s v="Investigation"/>
    <m/>
    <n v="20000"/>
    <n v="32046988"/>
    <s v="Caisse"/>
    <s v="Oui"/>
    <x v="1"/>
    <s v="RALFF"/>
    <s v="CONGO"/>
    <s v="RALFF-CO2694"/>
    <s v="4.6"/>
    <m/>
  </r>
  <r>
    <d v="2021-11-02T00:00:00"/>
    <s v="Achat credit  teléphonique MTN/staff PALF/Première partie Novembre 2021/Investigation Volontaire"/>
    <s v="Telephone "/>
    <s v="Investigation"/>
    <m/>
    <n v="26000"/>
    <n v="32020988"/>
    <s v="Caisse"/>
    <s v="Oui"/>
    <x v="2"/>
    <s v="PALF"/>
    <s v="CONGO"/>
    <m/>
    <m/>
    <m/>
  </r>
  <r>
    <d v="2021-11-02T00:00:00"/>
    <s v="Achat credit  teléphonique MTN/staff PALF/Première partie Novembre 2021/Média"/>
    <s v="Telephone "/>
    <s v="Media"/>
    <m/>
    <n v="5000"/>
    <n v="32015988"/>
    <s v="Caisse"/>
    <s v="Oui"/>
    <x v="1"/>
    <s v="RALFF"/>
    <s v="CONGO"/>
    <s v="RALFF-CO2695"/>
    <s v="4.6"/>
    <m/>
  </r>
  <r>
    <d v="2021-11-02T00:00:00"/>
    <s v="Achat credit  teléphonique Airtel/staff PALF/Première partie Novembre  2021/Management"/>
    <s v="Telephone "/>
    <s v="Management"/>
    <m/>
    <n v="32000"/>
    <n v="31983988"/>
    <s v="Caisse"/>
    <s v="Oui"/>
    <x v="1"/>
    <s v="RALFF"/>
    <s v="CONGO"/>
    <s v="RALFF-CO2696"/>
    <s v="4.6"/>
    <m/>
  </r>
  <r>
    <d v="2021-11-02T00:00:00"/>
    <s v="Achat credit  teléphonique Airtel/staff PALF/Première partie Novembre  2021/Investigation"/>
    <s v="Telephone "/>
    <s v="Investigation"/>
    <m/>
    <n v="32000"/>
    <n v="31951988"/>
    <s v="Caisse"/>
    <s v="Oui"/>
    <x v="1"/>
    <s v="RALFF"/>
    <s v="CONGO"/>
    <s v="RALFF-CO2697"/>
    <s v="4.6"/>
    <m/>
  </r>
  <r>
    <d v="2021-11-02T00:00:00"/>
    <s v="Achat credit  teléphonique Airtel/staff PALF/Première partie Novembre  2021/Légal"/>
    <s v="Telephone "/>
    <s v="Legal"/>
    <m/>
    <n v="5000"/>
    <n v="31946988"/>
    <s v="Caisse"/>
    <s v="Oui"/>
    <x v="1"/>
    <s v="RALFF"/>
    <s v="CONGO"/>
    <s v="RALFF-CO2698"/>
    <s v="4.6"/>
    <m/>
  </r>
  <r>
    <d v="2021-11-02T00:00:00"/>
    <s v="Achat credit  teléphonique Airtel/staff PALF/Première partie Novembre  2021/Média"/>
    <s v="Telephone "/>
    <s v="Media"/>
    <m/>
    <n v="11000"/>
    <n v="31935988"/>
    <s v="Caisse"/>
    <s v="Oui"/>
    <x v="1"/>
    <s v="RALFF"/>
    <s v="CONGO"/>
    <s v="RALFF-CO2699"/>
    <s v="4.6"/>
    <m/>
  </r>
  <r>
    <d v="2021-11-02T00:00:00"/>
    <s v="Cumul frais bancaire d'octobre 2021/"/>
    <s v="Bank fees"/>
    <s v="Ofiice"/>
    <m/>
    <n v="14701"/>
    <n v="31921287"/>
    <s v="BCI-Sous Compte"/>
    <s v="Relevé"/>
    <x v="1"/>
    <s v="RALFF"/>
    <s v="CONGO"/>
    <s v="RALFF-CO2700"/>
    <s v="5.6"/>
    <m/>
  </r>
  <r>
    <d v="2021-11-02T00:00:00"/>
    <s v="Réçu caisse"/>
    <s v="Versement"/>
    <m/>
    <n v="18000"/>
    <m/>
    <n v="31939287"/>
    <s v="i23c"/>
    <m/>
    <x v="0"/>
    <m/>
    <m/>
    <m/>
    <m/>
    <m/>
  </r>
  <r>
    <d v="2021-11-03T00:00:00"/>
    <s v="Godfre"/>
    <s v="Versement"/>
    <m/>
    <m/>
    <n v="10000"/>
    <n v="31929287"/>
    <s v="Caisse"/>
    <m/>
    <x v="0"/>
    <m/>
    <m/>
    <m/>
    <m/>
    <m/>
  </r>
  <r>
    <d v="2021-11-03T00:00:00"/>
    <s v="Grace"/>
    <s v="Versement"/>
    <m/>
    <m/>
    <n v="2000"/>
    <n v="31927287"/>
    <s v="Caisse"/>
    <m/>
    <x v="0"/>
    <m/>
    <m/>
    <m/>
    <m/>
    <m/>
  </r>
  <r>
    <d v="2021-11-03T00:00:00"/>
    <s v="Reçu Caisse"/>
    <s v="Versement"/>
    <m/>
    <n v="2000"/>
    <m/>
    <n v="31929287"/>
    <s v="Grace"/>
    <m/>
    <x v="0"/>
    <m/>
    <m/>
    <m/>
    <m/>
    <m/>
  </r>
  <r>
    <d v="2021-11-03T00:00:00"/>
    <s v="Reçu Caisse"/>
    <s v="Versement"/>
    <m/>
    <n v="10000"/>
    <m/>
    <n v="31939287"/>
    <s v="Godfré"/>
    <m/>
    <x v="0"/>
    <m/>
    <m/>
    <m/>
    <m/>
    <m/>
  </r>
  <r>
    <d v="2021-11-04T00:00:00"/>
    <s v="P29"/>
    <s v="Versement"/>
    <m/>
    <m/>
    <n v="180000"/>
    <n v="31759287"/>
    <s v="Caisse"/>
    <m/>
    <x v="0"/>
    <m/>
    <m/>
    <m/>
    <m/>
    <m/>
  </r>
  <r>
    <d v="2021-11-04T00:00:00"/>
    <s v="I23c"/>
    <s v="Versement"/>
    <m/>
    <m/>
    <n v="142000"/>
    <n v="31617287"/>
    <s v="Caisse"/>
    <m/>
    <x v="0"/>
    <m/>
    <m/>
    <m/>
    <m/>
    <m/>
  </r>
  <r>
    <d v="2021-11-04T00:00:00"/>
    <s v="I23c"/>
    <s v="Versement"/>
    <m/>
    <m/>
    <n v="4000"/>
    <n v="31613287"/>
    <s v="Caisse"/>
    <m/>
    <x v="0"/>
    <m/>
    <m/>
    <m/>
    <m/>
    <m/>
  </r>
  <r>
    <d v="2021-11-04T00:00:00"/>
    <s v="Achat produit de Nettoyage,lait sucre,matinal, papier toilette et sac Poubelle"/>
    <s v="Office Materials"/>
    <s v="Ofiice"/>
    <m/>
    <n v="36750"/>
    <n v="31576537"/>
    <s v="Caisse"/>
    <s v="Oui"/>
    <x v="1"/>
    <s v="RALFF"/>
    <s v="CONGO"/>
    <s v="RALFF-CO2701"/>
    <s v="4.3"/>
    <m/>
  </r>
  <r>
    <d v="2021-11-04T00:00:00"/>
    <s v="Axel"/>
    <s v="Versement"/>
    <m/>
    <m/>
    <n v="10000"/>
    <n v="31566537"/>
    <s v="Caisse"/>
    <m/>
    <x v="0"/>
    <m/>
    <m/>
    <m/>
    <m/>
    <m/>
  </r>
  <r>
    <d v="2021-11-04T00:00:00"/>
    <s v="Solde honoraires contrat n°36/Dolisie/Maitre MOUYETI Scrutin/cas MANGUILA et BALENDA"/>
    <s v="Lawyer Fees"/>
    <s v="Legal"/>
    <m/>
    <n v="300000"/>
    <n v="31266537"/>
    <s v="BCI-Sous Compte"/>
    <n v="3643554"/>
    <x v="1"/>
    <s v="RALFF"/>
    <s v="CONGO"/>
    <s v="RALFF-CO2702"/>
    <s v="5.2.2"/>
    <m/>
  </r>
  <r>
    <d v="2021-11-04T00:00:00"/>
    <s v="Réçu caisse"/>
    <s v="Versement"/>
    <m/>
    <n v="4000"/>
    <m/>
    <n v="31270537"/>
    <s v="i23c"/>
    <m/>
    <x v="0"/>
    <m/>
    <m/>
    <m/>
    <m/>
    <m/>
  </r>
  <r>
    <d v="2021-11-04T00:00:00"/>
    <s v="Réçu caisse"/>
    <s v="Versement"/>
    <m/>
    <n v="142000"/>
    <m/>
    <n v="31412537"/>
    <s v="i23c"/>
    <m/>
    <x v="0"/>
    <m/>
    <m/>
    <m/>
    <m/>
    <m/>
  </r>
  <r>
    <d v="2021-11-04T00:00:00"/>
    <s v="Achat billet Brazzaville-Oyo (départ pour Oyo)"/>
    <s v="Transport"/>
    <s v="Investigation"/>
    <m/>
    <n v="10000"/>
    <n v="31402537"/>
    <s v="i23c"/>
    <s v="Oui"/>
    <x v="1"/>
    <s v="RALFF"/>
    <s v="CONGO"/>
    <s v="RALFF-CO2703"/>
    <s v="2.2"/>
    <m/>
  </r>
  <r>
    <d v="2021-11-04T00:00:00"/>
    <s v="Recu de caisse"/>
    <s v="Versement"/>
    <m/>
    <n v="180000"/>
    <m/>
    <n v="31582537"/>
    <s v="P29"/>
    <m/>
    <x v="0"/>
    <m/>
    <m/>
    <m/>
    <m/>
    <m/>
  </r>
  <r>
    <d v="2021-11-04T00:00:00"/>
    <s v="Achat billet brazzaville-Pointe Noire"/>
    <s v="Transport"/>
    <s v="Investigation"/>
    <m/>
    <n v="15000"/>
    <n v="31567537"/>
    <s v="P29"/>
    <s v="Oui"/>
    <x v="1"/>
    <s v="RALFF"/>
    <s v="CONGO"/>
    <s v="RALFF-CO2704"/>
    <s v="2.2"/>
    <m/>
  </r>
  <r>
    <d v="2021-11-04T00:00:00"/>
    <s v="Reçu Caisse"/>
    <s v="Versement"/>
    <m/>
    <n v="10000"/>
    <m/>
    <n v="31577537"/>
    <s v="Axel"/>
    <m/>
    <x v="0"/>
    <m/>
    <m/>
    <m/>
    <m/>
    <m/>
  </r>
  <r>
    <d v="2021-11-05T00:00:00"/>
    <s v="P29-CONGO Food allowance mission du 05 au 09/10"/>
    <s v="Travel Subsistence"/>
    <s v="Investigation"/>
    <m/>
    <n v="40000"/>
    <n v="31537537"/>
    <s v="P29"/>
    <s v="Décharge"/>
    <x v="1"/>
    <s v="RALFF"/>
    <s v="CONGO"/>
    <s v="RALFF-CO2705"/>
    <s v="1.3.2"/>
    <m/>
  </r>
  <r>
    <d v="2021-11-05T00:00:00"/>
    <s v="Axel"/>
    <s v="Versement"/>
    <m/>
    <m/>
    <n v="10000"/>
    <n v="31527537"/>
    <s v="Caisse"/>
    <m/>
    <x v="0"/>
    <m/>
    <m/>
    <m/>
    <m/>
    <m/>
  </r>
  <r>
    <d v="2021-11-05T00:00:00"/>
    <s v="Godfre"/>
    <s v="Versement"/>
    <m/>
    <m/>
    <n v="10000"/>
    <n v="31517537"/>
    <s v="Caisse"/>
    <m/>
    <x v="0"/>
    <m/>
    <m/>
    <m/>
    <m/>
    <m/>
  </r>
  <r>
    <d v="2021-11-05T00:00:00"/>
    <s v="Reglement facture E²C/Septembre-Octobre 2021/bureau PALF"/>
    <s v="Rent &amp; Utilities"/>
    <s v="Ofiice"/>
    <m/>
    <n v="48382"/>
    <n v="31469155"/>
    <s v="Caisse"/>
    <s v="Oui"/>
    <x v="1"/>
    <s v="RALFF"/>
    <s v="CONGO"/>
    <s v="RALFF-CO2706"/>
    <s v="4.4"/>
    <m/>
  </r>
  <r>
    <d v="2021-11-05T00:00:00"/>
    <s v="I23C-CONGO Food allowance mission Oyo-Lifoula du 5 au 9 novembre 2021"/>
    <s v="Travel Subsistence"/>
    <s v="Investigation"/>
    <m/>
    <n v="40000"/>
    <n v="31429155"/>
    <s v="i23c"/>
    <s v="Décharge"/>
    <x v="1"/>
    <s v="RALFF"/>
    <s v="CONGO"/>
    <s v="RALFF-CO2707"/>
    <s v="1.3.2"/>
    <m/>
  </r>
  <r>
    <d v="2021-11-05T00:00:00"/>
    <s v="Reçu Caisse"/>
    <s v="Versement"/>
    <m/>
    <n v="10000"/>
    <m/>
    <n v="31439155"/>
    <s v="Godfré"/>
    <m/>
    <x v="0"/>
    <m/>
    <m/>
    <m/>
    <m/>
    <m/>
  </r>
  <r>
    <d v="2021-11-05T00:00:00"/>
    <s v="Reçu Caisse"/>
    <s v="Versement"/>
    <m/>
    <n v="10000"/>
    <m/>
    <n v="31449155"/>
    <s v="Axel"/>
    <m/>
    <x v="0"/>
    <m/>
    <m/>
    <m/>
    <m/>
    <m/>
  </r>
  <r>
    <d v="2021-11-06T00:00:00"/>
    <s v="Location véhicule"/>
    <s v="Trust Building"/>
    <s v="Investigation"/>
    <m/>
    <n v="60000"/>
    <n v="31389155"/>
    <s v="P29"/>
    <s v="Oui"/>
    <x v="2"/>
    <s v="PALF"/>
    <s v="CONGO"/>
    <m/>
    <m/>
    <m/>
  </r>
  <r>
    <d v="2021-11-06T00:00:00"/>
    <s v="Achat essence"/>
    <s v="Trust Building"/>
    <s v="Investigation"/>
    <m/>
    <n v="12000"/>
    <n v="31377155"/>
    <s v="P29"/>
    <s v="Oui"/>
    <x v="2"/>
    <s v="PALF"/>
    <s v="CONGO"/>
    <m/>
    <m/>
    <m/>
  </r>
  <r>
    <d v="2021-11-08T00:00:00"/>
    <s v="Cumul Frais Ration Journalière du Mois de Novembre 2021/Godfré en volontariat"/>
    <s v="Travel Subsistence"/>
    <s v="Legal"/>
    <m/>
    <n v="5000"/>
    <n v="31372155"/>
    <s v="Godfré"/>
    <s v="Décharge"/>
    <x v="2"/>
    <s v="PALF"/>
    <s v="CONGO"/>
    <m/>
    <m/>
    <m/>
  </r>
  <r>
    <d v="2021-11-08T00:00:00"/>
    <s v="P29"/>
    <s v="Versement"/>
    <m/>
    <m/>
    <n v="44000"/>
    <n v="31328155"/>
    <s v="Caisse"/>
    <m/>
    <x v="0"/>
    <m/>
    <m/>
    <m/>
    <m/>
    <m/>
  </r>
  <r>
    <d v="2021-11-08T00:00:00"/>
    <s v="Frais de transfert charden farell à P29"/>
    <s v="Transfer fees"/>
    <s v="Ofiice"/>
    <m/>
    <n v="1320"/>
    <n v="31326835"/>
    <s v="Caisse"/>
    <s v="Oui"/>
    <x v="1"/>
    <s v="RALFF"/>
    <s v="CONGO"/>
    <s v="RALFF-CO2708"/>
    <s v="5.6"/>
    <m/>
  </r>
  <r>
    <d v="2021-11-08T00:00:00"/>
    <s v="Axel"/>
    <s v="Versement"/>
    <m/>
    <m/>
    <n v="124000"/>
    <n v="31202835"/>
    <s v="Caisse"/>
    <m/>
    <x v="0"/>
    <m/>
    <m/>
    <m/>
    <m/>
    <m/>
  </r>
  <r>
    <d v="2021-11-08T00:00:00"/>
    <s v="Cumul frais bancaire mois de Octobre 2021 &amp; Citisation Web Bank"/>
    <s v="Bank fees"/>
    <s v="Ofiice"/>
    <m/>
    <n v="23345"/>
    <n v="31179490"/>
    <s v="BCI"/>
    <s v="Relevé"/>
    <x v="2"/>
    <s v="PALF"/>
    <s v="CONGO"/>
    <m/>
    <m/>
    <m/>
  </r>
  <r>
    <d v="2021-11-08T00:00:00"/>
    <s v="Frais de consultation avocat Mois de Novembre 2021/LOCKO Christian/3643557"/>
    <s v="Lawyer Fees"/>
    <s v="Legal"/>
    <m/>
    <n v="150000"/>
    <n v="31029490"/>
    <s v="BCI-Sous Compte"/>
    <n v="3643557"/>
    <x v="1"/>
    <s v="RALFF"/>
    <s v="CONGO"/>
    <s v="RALFF-CO2709"/>
    <s v="5.2.1"/>
    <m/>
  </r>
  <r>
    <d v="2021-11-08T00:00:00"/>
    <s v="Achat billet Oyo-Brazzaville (lifoula)"/>
    <s v="Transport"/>
    <s v="Investigation"/>
    <m/>
    <n v="10000"/>
    <n v="31019490"/>
    <s v="i23c"/>
    <s v="Oui"/>
    <x v="1"/>
    <s v="RALFF"/>
    <s v="CONGO"/>
    <s v="RALFF-CO2710"/>
    <s v="2.2"/>
    <m/>
  </r>
  <r>
    <d v="2021-11-08T00:00:00"/>
    <s v="Recu de caisse"/>
    <s v="Versement"/>
    <m/>
    <n v="44000"/>
    <m/>
    <n v="31063490"/>
    <s v="P29"/>
    <m/>
    <x v="0"/>
    <m/>
    <m/>
    <m/>
    <m/>
    <m/>
  </r>
  <r>
    <d v="2021-11-08T00:00:00"/>
    <s v="Achat billet Pointe Noire - Brazzaville"/>
    <s v="Transport"/>
    <s v="Investigation"/>
    <m/>
    <n v="15000"/>
    <n v="31048490"/>
    <s v="P29"/>
    <s v="Oui"/>
    <x v="1"/>
    <s v="RALFF"/>
    <s v="CONGO"/>
    <s v="RALFF-CO2711"/>
    <s v="2.2"/>
    <m/>
  </r>
  <r>
    <d v="2021-11-08T00:00:00"/>
    <s v="Cumul Frais de Transport Local du Mois de Novembre 2021/Stagiaire/Godfré"/>
    <s v="Transport"/>
    <s v="Legal"/>
    <m/>
    <n v="18800"/>
    <n v="31029690"/>
    <s v="Godfré"/>
    <s v="Décharge"/>
    <x v="2"/>
    <s v="PALF"/>
    <s v="CONGO"/>
    <m/>
    <m/>
    <m/>
  </r>
  <r>
    <d v="2021-11-08T00:00:00"/>
    <s v="Reçu Caisse"/>
    <s v="Versement"/>
    <m/>
    <n v="124000"/>
    <m/>
    <n v="31153690"/>
    <s v="Axel"/>
    <m/>
    <x v="0"/>
    <m/>
    <m/>
    <m/>
    <m/>
    <m/>
  </r>
  <r>
    <d v="2021-11-09T00:00:00"/>
    <s v="Frais de mission à dolisie et Pointe Noire du 10 au 13 Novembre 2021 /Maitre Severin BIYOUDI"/>
    <s v="Lawyer Fees"/>
    <s v="Legal"/>
    <m/>
    <n v="113000"/>
    <n v="31040690"/>
    <s v="Caisse"/>
    <s v="Oui"/>
    <x v="1"/>
    <s v="RALFF"/>
    <s v="CONGO"/>
    <s v="RALFF-CO2712"/>
    <s v="5.2.2"/>
    <m/>
  </r>
  <r>
    <d v="2021-11-09T00:00:00"/>
    <s v="I23C-CONGO Paiment Hôtel 4 nuitées du 5 au 9 novembre 2021"/>
    <s v="Travel Subsistence"/>
    <s v="Investigation"/>
    <m/>
    <n v="60000"/>
    <n v="30980690"/>
    <s v="i23c"/>
    <s v="Oui"/>
    <x v="1"/>
    <s v="RALFF"/>
    <s v="CONGO"/>
    <s v="RALFF-CO2713"/>
    <s v="1.3.2"/>
    <m/>
  </r>
  <r>
    <d v="2021-11-09T00:00:00"/>
    <s v="P29 - CONGO Paiement 4 nuitées du 05 au 09/11/PNR"/>
    <s v="Travel Subsistence"/>
    <s v="Investigation"/>
    <m/>
    <n v="60000"/>
    <n v="30920690"/>
    <s v="P29"/>
    <s v="Oui"/>
    <x v="1"/>
    <s v="RALFF"/>
    <s v="CONGO"/>
    <s v="RALFF-CO2714"/>
    <s v="1.3.2"/>
    <m/>
  </r>
  <r>
    <d v="2021-11-09T00:00:00"/>
    <s v="Billet Brazzaville-Dolisie "/>
    <s v="Transport"/>
    <s v="Legal"/>
    <m/>
    <n v="10000"/>
    <n v="30910690"/>
    <s v="Axel"/>
    <s v="Oui"/>
    <x v="2"/>
    <s v="PALF"/>
    <s v="CONGO"/>
    <m/>
    <m/>
    <m/>
  </r>
  <r>
    <d v="2021-11-10T00:00:00"/>
    <s v="Entretien géneral jardin bureau"/>
    <s v="Services"/>
    <s v="Ofiice"/>
    <m/>
    <n v="12000"/>
    <n v="30898690"/>
    <s v="Caisse"/>
    <s v="Oui"/>
    <x v="2"/>
    <s v="PALF"/>
    <s v="CONGO"/>
    <m/>
    <m/>
    <m/>
  </r>
  <r>
    <d v="2021-11-10T00:00:00"/>
    <s v="Achat Eau /04 bonbonnes"/>
    <s v="Office Materials"/>
    <s v="Ofiice"/>
    <m/>
    <n v="18000"/>
    <n v="30880690"/>
    <s v="Caisse"/>
    <s v="Oui"/>
    <x v="2"/>
    <s v="PALF"/>
    <s v="CONGO"/>
    <m/>
    <m/>
    <m/>
  </r>
  <r>
    <d v="2021-11-10T00:00:00"/>
    <s v="AXEL-CONGO Frais d'hebergement 1 nuitée du 10-nov-2021/Dolisie"/>
    <s v="Travel Subsistence"/>
    <s v="Legal"/>
    <m/>
    <n v="15000"/>
    <n v="30865690"/>
    <s v="Axel"/>
    <s v="Oui"/>
    <x v="2"/>
    <s v="PALF"/>
    <s v="CONGO"/>
    <m/>
    <m/>
    <m/>
  </r>
  <r>
    <d v="2021-11-10T00:00:00"/>
    <s v="AXEL-CONGO Food allowance du 10 au 13 -nov-2021/PNR et NIARI"/>
    <s v="Travel Subsistence"/>
    <s v="Legal"/>
    <m/>
    <n v="30000"/>
    <n v="30835690"/>
    <s v="Axel"/>
    <s v="Décharge"/>
    <x v="2"/>
    <s v="PALF"/>
    <s v="CONGO"/>
    <m/>
    <m/>
    <m/>
  </r>
  <r>
    <d v="2021-11-11T00:00:00"/>
    <s v="Collation Coordination Anniversaire Crepin et Tiffany "/>
    <s v="Personnel "/>
    <s v="Team Bulding"/>
    <m/>
    <n v="65000"/>
    <n v="30770690"/>
    <s v="Caisse"/>
    <s v="Oui"/>
    <x v="2"/>
    <s v="PALF"/>
    <s v="CONGO"/>
    <m/>
    <m/>
    <m/>
  </r>
  <r>
    <d v="2021-11-11T00:00:00"/>
    <s v="B52"/>
    <s v="Versement"/>
    <m/>
    <m/>
    <n v="15000"/>
    <n v="30755690"/>
    <s v="Caisse"/>
    <m/>
    <x v="0"/>
    <m/>
    <m/>
    <m/>
    <m/>
    <m/>
  </r>
  <r>
    <d v="2021-11-11T00:00:00"/>
    <s v="I23c"/>
    <s v="Versement"/>
    <m/>
    <m/>
    <n v="10000"/>
    <n v="30745690"/>
    <s v="Caisse"/>
    <m/>
    <x v="0"/>
    <m/>
    <m/>
    <m/>
    <m/>
    <m/>
  </r>
  <r>
    <d v="2021-11-11T00:00:00"/>
    <s v="Billet Dolisie-PNR /Axel et Cage pour Crocodil de nil"/>
    <s v="Transport"/>
    <s v="Legal"/>
    <m/>
    <n v="10000"/>
    <n v="30735690"/>
    <s v="Axel"/>
    <s v="Oui"/>
    <x v="2"/>
    <s v="PALF"/>
    <s v="CONGO"/>
    <m/>
    <m/>
    <m/>
  </r>
  <r>
    <d v="2021-11-11T00:00:00"/>
    <s v="AXEL-CONGO Frais d'hebergement 2 nuitées du 11 au 13 nov/PNR"/>
    <s v="Travel Subsistence"/>
    <s v="Legal"/>
    <m/>
    <n v="30000"/>
    <n v="30705690"/>
    <s v="Axel"/>
    <s v="Décharge"/>
    <x v="2"/>
    <s v="PALF"/>
    <s v="CONGO"/>
    <m/>
    <m/>
    <m/>
  </r>
  <r>
    <d v="2021-11-11T00:00:00"/>
    <s v="Reçu Caisse"/>
    <s v="Versement"/>
    <m/>
    <n v="15000"/>
    <m/>
    <n v="30720690"/>
    <s v="B52"/>
    <m/>
    <x v="0"/>
    <m/>
    <m/>
    <m/>
    <m/>
    <m/>
  </r>
  <r>
    <d v="2021-11-12T00:00:00"/>
    <s v="Reglement loyer Tiffany mois de Novembre  2021/400USD"/>
    <s v="Personnel "/>
    <s v="Management"/>
    <m/>
    <n v="226329"/>
    <n v="30494361"/>
    <s v="Caisse"/>
    <s v="Oui"/>
    <x v="2"/>
    <s v="PALF"/>
    <s v="CONGO"/>
    <m/>
    <m/>
    <m/>
  </r>
  <r>
    <d v="2021-11-12T00:00:00"/>
    <s v="Crépin"/>
    <s v="Versement"/>
    <m/>
    <m/>
    <n v="10000"/>
    <n v="30484361"/>
    <s v="Caisse"/>
    <m/>
    <x v="0"/>
    <m/>
    <m/>
    <m/>
    <m/>
    <m/>
  </r>
  <r>
    <d v="2021-11-12T00:00:00"/>
    <s v="P29"/>
    <s v="Versement"/>
    <m/>
    <m/>
    <n v="120000"/>
    <n v="30364361"/>
    <s v="Caisse"/>
    <m/>
    <x v="0"/>
    <m/>
    <m/>
    <m/>
    <m/>
    <m/>
  </r>
  <r>
    <d v="2021-11-12T00:00:00"/>
    <s v="I23c"/>
    <s v="Versement"/>
    <m/>
    <m/>
    <n v="120000"/>
    <n v="30244361"/>
    <s v="Caisse"/>
    <m/>
    <x v="0"/>
    <m/>
    <m/>
    <m/>
    <m/>
    <m/>
  </r>
  <r>
    <d v="2021-11-12T00:00:00"/>
    <s v="Reçu de caisse"/>
    <s v="Versement"/>
    <m/>
    <n v="10000"/>
    <m/>
    <n v="30254361"/>
    <s v="Crépin"/>
    <m/>
    <x v="0"/>
    <m/>
    <m/>
    <m/>
    <m/>
    <m/>
  </r>
  <r>
    <d v="2021-11-12T00:00:00"/>
    <s v="Réçu caisse"/>
    <s v="Versement"/>
    <m/>
    <n v="10000"/>
    <m/>
    <n v="30264361"/>
    <s v="i23c"/>
    <m/>
    <x v="0"/>
    <m/>
    <m/>
    <m/>
    <m/>
    <m/>
  </r>
  <r>
    <d v="2021-11-12T00:00:00"/>
    <s v="Réçu caisse"/>
    <s v="Versement"/>
    <m/>
    <n v="120000"/>
    <m/>
    <n v="30384361"/>
    <s v="i23c"/>
    <m/>
    <x v="0"/>
    <m/>
    <m/>
    <m/>
    <m/>
    <m/>
  </r>
  <r>
    <d v="2021-11-12T00:00:00"/>
    <s v="Achat billet Bz-PN (cfr mission PN)"/>
    <s v="Transport"/>
    <s v="Investigation"/>
    <m/>
    <n v="15000"/>
    <n v="30369361"/>
    <s v="i23c"/>
    <s v="Oui"/>
    <x v="1"/>
    <s v="RALFF"/>
    <s v="CONGO"/>
    <s v="RALFF-CO2715"/>
    <s v="2.2"/>
    <m/>
  </r>
  <r>
    <d v="2021-11-12T00:00:00"/>
    <s v="Recu de caisse"/>
    <s v="Versement"/>
    <m/>
    <n v="120000"/>
    <m/>
    <n v="30489361"/>
    <s v="P29"/>
    <m/>
    <x v="0"/>
    <m/>
    <m/>
    <m/>
    <m/>
    <m/>
  </r>
  <r>
    <d v="2021-11-12T00:00:00"/>
    <s v="P29-CONGOFood allowance mission du 13 au 20/11"/>
    <s v="Travel Subsistence"/>
    <s v="Investigation"/>
    <m/>
    <n v="70000"/>
    <n v="30419361"/>
    <s v="P29"/>
    <s v="Décharge"/>
    <x v="1"/>
    <s v="RALFF"/>
    <s v="CONGO"/>
    <s v="RALFF-CO2716"/>
    <s v="1.3.2"/>
    <m/>
  </r>
  <r>
    <d v="2021-11-12T00:00:00"/>
    <s v="Achat billet Brazza-dolisie"/>
    <s v="Transport"/>
    <s v="Investigation"/>
    <m/>
    <n v="10000"/>
    <n v="30409361"/>
    <s v="P29"/>
    <s v="Oui"/>
    <x v="1"/>
    <s v="RALFF"/>
    <s v="CONGO"/>
    <s v="RALFF-CO2717"/>
    <s v="2.2"/>
    <m/>
  </r>
  <r>
    <d v="2021-11-12T00:00:00"/>
    <s v="Billet retour PNR-BZV du 13.11.2021"/>
    <s v="Transport"/>
    <s v="Legal"/>
    <m/>
    <n v="15000"/>
    <n v="30394361"/>
    <s v="Axel"/>
    <s v="Oui"/>
    <x v="2"/>
    <s v="PALF"/>
    <s v="CONGO"/>
    <m/>
    <m/>
    <m/>
  </r>
  <r>
    <d v="2021-11-13T00:00:00"/>
    <s v="I23C-CONGO Food allowance mission PN-Pounga du 13 au 20 novembre 2021"/>
    <s v="Travel Subsistence"/>
    <s v="Investigation"/>
    <m/>
    <n v="70000"/>
    <n v="30324361"/>
    <s v="i23c"/>
    <s v="Décharge"/>
    <x v="1"/>
    <s v="RALFF"/>
    <s v="CONGO"/>
    <s v="RALFF-CO2718"/>
    <s v="1.3.2"/>
    <m/>
  </r>
  <r>
    <d v="2021-11-15T00:00:00"/>
    <s v="Bonus Média portant sur audience"/>
    <s v="Bonus"/>
    <s v="Media"/>
    <m/>
    <n v="29000"/>
    <n v="30295361"/>
    <s v="Caisse"/>
    <s v="Décharge"/>
    <x v="2"/>
    <s v="PALF"/>
    <s v="CONGO"/>
    <m/>
    <m/>
    <m/>
  </r>
  <r>
    <d v="2021-11-15T00:00:00"/>
    <s v="Axel"/>
    <s v="Versement"/>
    <m/>
    <m/>
    <n v="15000"/>
    <n v="30280361"/>
    <s v="Caisse"/>
    <m/>
    <x v="0"/>
    <m/>
    <m/>
    <m/>
    <m/>
    <m/>
  </r>
  <r>
    <d v="2021-11-15T00:00:00"/>
    <s v="Merveille"/>
    <s v="Versement"/>
    <m/>
    <m/>
    <n v="10000"/>
    <n v="30270361"/>
    <s v="Caisse"/>
    <m/>
    <x v="0"/>
    <m/>
    <m/>
    <m/>
    <m/>
    <m/>
  </r>
  <r>
    <d v="2021-11-15T00:00:00"/>
    <s v="BCI sous Compte-3643558"/>
    <s v="Versement"/>
    <m/>
    <n v="1000000"/>
    <m/>
    <n v="31270361"/>
    <s v="Caisse"/>
    <m/>
    <x v="0"/>
    <m/>
    <m/>
    <m/>
    <m/>
    <m/>
  </r>
  <r>
    <d v="2021-11-15T00:00:00"/>
    <s v="BCI Compte Principale -3643562"/>
    <s v="Versement"/>
    <m/>
    <n v="1000000"/>
    <m/>
    <n v="32270361"/>
    <s v="Caisse"/>
    <m/>
    <x v="0"/>
    <m/>
    <m/>
    <m/>
    <m/>
    <m/>
  </r>
  <r>
    <d v="2021-11-15T00:00:00"/>
    <s v="Achat credit  teléphonique Airtel/staff PALF/Deuxième partie Novembre  2021/Management"/>
    <s v="Telephone "/>
    <s v="Management"/>
    <m/>
    <n v="5000"/>
    <n v="32265361"/>
    <s v="Caisse"/>
    <s v="Oui"/>
    <x v="1"/>
    <s v="RALFF"/>
    <s v="CONGO"/>
    <s v="RALFF-CO2719"/>
    <s v="4.6"/>
    <m/>
  </r>
  <r>
    <d v="2021-11-15T00:00:00"/>
    <s v="Achat credit  teléphonique Airtel/staff PALF/Deuxième partie Novembre  2021/Investigation"/>
    <s v="Telephone "/>
    <s v="Investigation"/>
    <m/>
    <n v="10000"/>
    <n v="32255361"/>
    <s v="Caisse"/>
    <s v="Oui"/>
    <x v="1"/>
    <s v="RALFF"/>
    <s v="CONGO"/>
    <s v="RALFF-CO2720"/>
    <s v="4.6"/>
    <m/>
  </r>
  <r>
    <d v="2021-11-15T00:00:00"/>
    <s v="Achat credit  teléphonique Airtel/staff PALF/Deuxième partie Novembre  2021/Légal"/>
    <s v="Telephone "/>
    <s v="Legal"/>
    <m/>
    <n v="5000"/>
    <n v="32250361"/>
    <s v="Caisse"/>
    <s v="Oui"/>
    <x v="1"/>
    <s v="RALFF"/>
    <s v="CONGO"/>
    <s v="RALFF-CO2721"/>
    <s v="4.6"/>
    <m/>
  </r>
  <r>
    <d v="2021-11-15T00:00:00"/>
    <s v="Achat credit  teléphonique MTN/staff PALF/Deuxième partie Novembre  2021/Investigation"/>
    <s v="Telephone "/>
    <s v="Investigation"/>
    <m/>
    <n v="20000"/>
    <n v="32230361"/>
    <s v="Caisse"/>
    <s v="Oui"/>
    <x v="1"/>
    <s v="RALFF"/>
    <s v="CONGO"/>
    <s v="RALFF-CO2722"/>
    <s v="4.6"/>
    <m/>
  </r>
  <r>
    <d v="2021-11-15T00:00:00"/>
    <s v="Achat credit  teléphonique MTN/staff PALF/Deuxième partie Novembre  2021/Investigation Volontaire"/>
    <s v="Telephone "/>
    <s v="Investigation"/>
    <m/>
    <n v="10000"/>
    <n v="32220361"/>
    <s v="Caisse"/>
    <s v="Oui"/>
    <x v="2"/>
    <s v="PALF"/>
    <s v="CONGO"/>
    <m/>
    <m/>
    <m/>
  </r>
  <r>
    <d v="2021-11-15T00:00:00"/>
    <s v="Achat credit  teléphonique MTN/staff PALF/Deuxième partie Novembre  2021/Légal"/>
    <s v="Telephone "/>
    <s v="Legal"/>
    <m/>
    <n v="15000"/>
    <n v="32205361"/>
    <s v="Caisse"/>
    <s v="Oui"/>
    <x v="1"/>
    <s v="RALFF"/>
    <s v="CONGO"/>
    <s v="RALFF-CO2723"/>
    <s v="4.6"/>
    <m/>
  </r>
  <r>
    <d v="2021-11-15T00:00:00"/>
    <s v="Achat credit  teléphonique MTN/staff PALF/Deuxième partie Novembre  2021/Légal Volontaire"/>
    <s v="Telephone "/>
    <s v="Legal"/>
    <m/>
    <n v="10000"/>
    <n v="32195361"/>
    <s v="Caisse"/>
    <s v="Oui"/>
    <x v="2"/>
    <s v="PALF"/>
    <s v="CONGO"/>
    <m/>
    <m/>
    <m/>
  </r>
  <r>
    <d v="2021-11-15T00:00:00"/>
    <s v="Achat credit  teléphonique MTN/staff PALF/Deuxième partie Novembre  2021/Management"/>
    <s v="Telephone "/>
    <s v="Management"/>
    <m/>
    <n v="5000"/>
    <n v="32190361"/>
    <s v="Caisse"/>
    <s v="Oui"/>
    <x v="1"/>
    <s v="RALFF"/>
    <s v="CONGO"/>
    <s v="RALFF-CO2724"/>
    <s v="4.6"/>
    <m/>
  </r>
  <r>
    <d v="2021-11-15T00:00:00"/>
    <s v="Achat credit  teléphonique MTN/staff PALF/Deuxième partie Novembre  2021/Média"/>
    <s v="Telephone "/>
    <s v="Media"/>
    <m/>
    <n v="10000"/>
    <n v="32180361"/>
    <s v="Caisse"/>
    <s v="Oui"/>
    <x v="1"/>
    <s v="RALFF"/>
    <s v="CONGO"/>
    <s v="RALFF-CO2725"/>
    <s v="4.6"/>
    <m/>
  </r>
  <r>
    <d v="2021-11-15T00:00:00"/>
    <s v="Frais de transfert charden farell à P29 et I23C"/>
    <s v="Transfer fees"/>
    <s v="Ofiice"/>
    <m/>
    <n v="7890"/>
    <n v="32172471"/>
    <s v="Caisse"/>
    <s v="Oui"/>
    <x v="1"/>
    <s v="RALFF"/>
    <s v="CONGO"/>
    <s v="RALFF-CO2726"/>
    <s v="5.6"/>
    <m/>
  </r>
  <r>
    <d v="2021-11-15T00:00:00"/>
    <s v="P29"/>
    <s v="Versement"/>
    <m/>
    <m/>
    <n v="127000"/>
    <n v="32045471"/>
    <s v="Caisse"/>
    <m/>
    <x v="0"/>
    <m/>
    <m/>
    <m/>
    <m/>
    <m/>
  </r>
  <r>
    <d v="2021-11-15T00:00:00"/>
    <s v="I23c"/>
    <s v="Versement"/>
    <m/>
    <m/>
    <n v="136000"/>
    <n v="31909471"/>
    <s v="Caisse"/>
    <m/>
    <x v="0"/>
    <m/>
    <m/>
    <m/>
    <m/>
    <m/>
  </r>
  <r>
    <d v="2021-11-15T00:00:00"/>
    <s v="Retrait especes/appro caisse/bord n°3654462"/>
    <s v="Versement"/>
    <m/>
    <m/>
    <n v="1000000"/>
    <n v="30909471"/>
    <s v="BCI"/>
    <m/>
    <x v="0"/>
    <m/>
    <m/>
    <m/>
    <m/>
    <m/>
  </r>
  <r>
    <d v="2021-11-15T00:00:00"/>
    <s v="Retrait especes/appro caisse/bord n°3643558"/>
    <s v="Versement"/>
    <m/>
    <m/>
    <n v="1000000"/>
    <n v="29909471"/>
    <s v="BCI-Sous Compte"/>
    <m/>
    <x v="0"/>
    <m/>
    <m/>
    <m/>
    <m/>
    <m/>
  </r>
  <r>
    <d v="2021-11-15T00:00:00"/>
    <s v="Reçu caisse"/>
    <s v="Versement"/>
    <m/>
    <n v="10000"/>
    <m/>
    <n v="29919471"/>
    <s v="Merveille"/>
    <m/>
    <x v="0"/>
    <m/>
    <m/>
    <m/>
    <m/>
    <m/>
  </r>
  <r>
    <d v="2021-11-15T00:00:00"/>
    <s v="Réçu caisse"/>
    <s v="Versement"/>
    <m/>
    <n v="136000"/>
    <m/>
    <n v="30055471"/>
    <s v="i23c"/>
    <m/>
    <x v="0"/>
    <m/>
    <m/>
    <m/>
    <m/>
    <m/>
  </r>
  <r>
    <d v="2021-11-15T00:00:00"/>
    <s v="Recu de caisse"/>
    <s v="Versement"/>
    <m/>
    <n v="127000"/>
    <m/>
    <n v="30182471"/>
    <s v="P29"/>
    <m/>
    <x v="0"/>
    <m/>
    <m/>
    <m/>
    <m/>
    <m/>
  </r>
  <r>
    <d v="2021-11-15T00:00:00"/>
    <s v="Reçu Caisse"/>
    <s v="Versement"/>
    <m/>
    <n v="15000"/>
    <m/>
    <n v="30197471"/>
    <s v="Axel"/>
    <m/>
    <x v="0"/>
    <m/>
    <m/>
    <m/>
    <m/>
    <m/>
  </r>
  <r>
    <d v="2021-11-16T00:00:00"/>
    <s v="B52"/>
    <s v="Versement"/>
    <m/>
    <m/>
    <n v="10000"/>
    <n v="30187471"/>
    <s v="Caisse"/>
    <m/>
    <x v="0"/>
    <m/>
    <m/>
    <m/>
    <m/>
    <m/>
  </r>
  <r>
    <d v="2021-11-16T00:00:00"/>
    <s v="reçu caisse"/>
    <s v="Versement"/>
    <m/>
    <n v="10000"/>
    <m/>
    <n v="30197471"/>
    <s v="B52"/>
    <m/>
    <x v="0"/>
    <m/>
    <m/>
    <m/>
    <m/>
    <m/>
  </r>
  <r>
    <d v="2021-11-17T00:00:00"/>
    <s v="B52"/>
    <s v="Versement"/>
    <m/>
    <m/>
    <n v="5000"/>
    <n v="30192471"/>
    <s v="Caisse"/>
    <m/>
    <x v="0"/>
    <m/>
    <m/>
    <m/>
    <m/>
    <m/>
  </r>
  <r>
    <d v="2021-11-17T00:00:00"/>
    <s v="Frais de traitement de dossier pour validation contrat à l'ACPE/Merveille"/>
    <s v="Personnel "/>
    <s v="Management"/>
    <m/>
    <n v="10500"/>
    <n v="30181971"/>
    <s v="Caisse"/>
    <s v="Oui"/>
    <x v="2"/>
    <s v="PALF"/>
    <s v="CONGO"/>
    <m/>
    <m/>
    <m/>
  </r>
  <r>
    <d v="2021-11-17T00:00:00"/>
    <s v="Frais de traitement de dossier pour validation contrat à l'ACPE/GODFRE"/>
    <s v="Personnel "/>
    <s v="Management"/>
    <m/>
    <n v="10500"/>
    <n v="30171471"/>
    <s v="Caisse"/>
    <s v="Oui"/>
    <x v="2"/>
    <s v="PALF"/>
    <s v="CONGO"/>
    <m/>
    <m/>
    <m/>
  </r>
  <r>
    <d v="2021-11-17T00:00:00"/>
    <s v="Bonus operation deux Informateurs à Kinshasa/500$  (1$=647,502 XAF)"/>
    <s v="Bonus"/>
    <s v="Operation"/>
    <m/>
    <n v="323751"/>
    <n v="29847720"/>
    <s v="Caisse"/>
    <s v="Oui"/>
    <x v="2"/>
    <s v="PALF"/>
    <s v="CONGO"/>
    <m/>
    <m/>
    <m/>
  </r>
  <r>
    <d v="2021-11-17T00:00:00"/>
    <s v="Frais de transfert westen union pour Enqueteurs à Kinshasa"/>
    <s v="Transfer fees"/>
    <s v="Ofiice"/>
    <m/>
    <n v="21063"/>
    <n v="29826657"/>
    <s v="Caisse"/>
    <s v="Oui"/>
    <x v="2"/>
    <s v="PALF"/>
    <s v="CONGO"/>
    <m/>
    <m/>
    <m/>
  </r>
  <r>
    <d v="2021-11-17T00:00:00"/>
    <s v="Reçu Caisse"/>
    <s v="Versement"/>
    <m/>
    <n v="5000"/>
    <m/>
    <n v="29831657"/>
    <s v="B52"/>
    <m/>
    <x v="0"/>
    <m/>
    <m/>
    <m/>
    <m/>
    <m/>
  </r>
  <r>
    <d v="2021-11-18T00:00:00"/>
    <s v="Axel"/>
    <s v="Versement"/>
    <m/>
    <m/>
    <n v="10000"/>
    <n v="29821657"/>
    <s v="Caisse"/>
    <m/>
    <x v="0"/>
    <m/>
    <m/>
    <m/>
    <m/>
    <m/>
  </r>
  <r>
    <d v="2021-11-18T00:00:00"/>
    <s v="Evariste"/>
    <s v="Versement"/>
    <m/>
    <m/>
    <n v="15000"/>
    <n v="29806657"/>
    <s v="Caisse"/>
    <m/>
    <x v="0"/>
    <m/>
    <m/>
    <m/>
    <m/>
    <m/>
  </r>
  <r>
    <d v="2021-11-18T00:00:00"/>
    <s v="B52"/>
    <s v="Versement"/>
    <m/>
    <m/>
    <n v="6000"/>
    <n v="29800657"/>
    <s v="Caisse"/>
    <m/>
    <x v="0"/>
    <m/>
    <m/>
    <m/>
    <m/>
    <m/>
  </r>
  <r>
    <d v="2021-11-18T00:00:00"/>
    <s v="Reçu de la caisse "/>
    <s v="Versement"/>
    <m/>
    <n v="15000"/>
    <m/>
    <n v="29815657"/>
    <s v="Evariste"/>
    <m/>
    <x v="0"/>
    <m/>
    <m/>
    <m/>
    <m/>
    <m/>
  </r>
  <r>
    <d v="2021-11-18T00:00:00"/>
    <s v="I23C-CONGO Paiement hôtel 5 nuitées du 13 au 18/11/2021"/>
    <s v="Travel Subsistence"/>
    <s v="Investigation"/>
    <m/>
    <n v="75000"/>
    <n v="29740657"/>
    <s v="i23c"/>
    <s v="Oui"/>
    <x v="1"/>
    <s v="RALFF"/>
    <s v="CONGO"/>
    <s v="RALFF-CO2728"/>
    <s v="1.3.2"/>
    <m/>
  </r>
  <r>
    <d v="2021-11-18T00:00:00"/>
    <s v="Taxi PN-Pounga (départ pour Pounga)"/>
    <s v="Transport"/>
    <s v="Investigation"/>
    <m/>
    <n v="6000"/>
    <n v="29734657"/>
    <s v="i23c"/>
    <s v="Oui"/>
    <x v="1"/>
    <s v="RALFF"/>
    <s v="CONGO"/>
    <s v="RALFF-CO2729"/>
    <s v="2.2"/>
    <m/>
  </r>
  <r>
    <d v="2021-11-18T00:00:00"/>
    <s v="Taxi Pounga-Dolisie (départ pour Dolisie)"/>
    <s v="Transport"/>
    <s v="Investigation"/>
    <m/>
    <n v="3000"/>
    <n v="29731657"/>
    <s v="i23c"/>
    <s v="Oui"/>
    <x v="1"/>
    <s v="RALFF"/>
    <s v="CONGO"/>
    <s v="RALFF-CO2730"/>
    <s v="2.2"/>
    <m/>
  </r>
  <r>
    <d v="2021-11-18T00:00:00"/>
    <s v="P29-CONGOPaiement de 5 nuitées du 13 au 18/11"/>
    <s v="Travel Subsistence"/>
    <s v="Investigation"/>
    <m/>
    <n v="75000"/>
    <n v="29656657"/>
    <s v="P29"/>
    <s v="Oui"/>
    <x v="1"/>
    <s v="RALFF"/>
    <s v="CONGO"/>
    <s v="RALFF-CO2731"/>
    <s v="1.3.2"/>
    <m/>
  </r>
  <r>
    <d v="2021-11-18T00:00:00"/>
    <s v="Achat billet dolisie-p/n"/>
    <s v="Transport"/>
    <s v="Investigation"/>
    <m/>
    <n v="5000"/>
    <n v="29651657"/>
    <s v="P29"/>
    <s v="Oui"/>
    <x v="1"/>
    <s v="RALFF"/>
    <s v="CONGO"/>
    <s v="RALFF-CO2732"/>
    <s v="2.2"/>
    <m/>
  </r>
  <r>
    <d v="2021-11-18T00:00:00"/>
    <s v="Reçu Caisse"/>
    <s v="Versement"/>
    <m/>
    <n v="10000"/>
    <m/>
    <n v="29661657"/>
    <s v="Axel"/>
    <m/>
    <x v="0"/>
    <m/>
    <m/>
    <m/>
    <m/>
    <m/>
  </r>
  <r>
    <d v="2021-11-18T00:00:00"/>
    <s v="reçu de caisse"/>
    <s v="Versement"/>
    <m/>
    <n v="6000"/>
    <m/>
    <n v="29667657"/>
    <s v="B52"/>
    <m/>
    <x v="0"/>
    <m/>
    <m/>
    <m/>
    <m/>
    <m/>
  </r>
  <r>
    <d v="2021-11-19T00:00:00"/>
    <s v="Crépin"/>
    <s v="Versement"/>
    <m/>
    <m/>
    <n v="100000"/>
    <n v="29567657"/>
    <s v="Caisse"/>
    <m/>
    <x v="0"/>
    <m/>
    <m/>
    <m/>
    <m/>
    <m/>
  </r>
  <r>
    <d v="2021-11-19T00:00:00"/>
    <s v="B52"/>
    <s v="Versement"/>
    <m/>
    <m/>
    <n v="20000"/>
    <n v="29547657"/>
    <s v="Caisse"/>
    <m/>
    <x v="0"/>
    <m/>
    <m/>
    <m/>
    <m/>
    <m/>
  </r>
  <r>
    <d v="2021-11-19T00:00:00"/>
    <s v="B52"/>
    <s v="Versement"/>
    <m/>
    <m/>
    <n v="10000"/>
    <n v="29537657"/>
    <s v="Caisse"/>
    <m/>
    <x v="0"/>
    <m/>
    <m/>
    <m/>
    <m/>
    <m/>
  </r>
  <r>
    <d v="2021-11-19T00:00:00"/>
    <s v="Godfre"/>
    <s v="Versement"/>
    <m/>
    <m/>
    <n v="15000"/>
    <n v="29522657"/>
    <s v="Caisse"/>
    <m/>
    <x v="0"/>
    <m/>
    <m/>
    <m/>
    <m/>
    <m/>
  </r>
  <r>
    <d v="2021-11-19T00:00:00"/>
    <s v="Grace"/>
    <s v="Versement"/>
    <m/>
    <m/>
    <n v="10000"/>
    <n v="29512657"/>
    <s v="Caisse"/>
    <m/>
    <x v="0"/>
    <m/>
    <m/>
    <m/>
    <m/>
    <m/>
  </r>
  <r>
    <d v="2021-11-19T00:00:00"/>
    <s v="Achat 02 cartes mémoires 8GB/Pour camera "/>
    <s v="Office Materials"/>
    <s v="Ofiice"/>
    <m/>
    <n v="8000"/>
    <n v="29504657"/>
    <s v="Caisse"/>
    <s v="Oui"/>
    <x v="1"/>
    <s v="RALFF"/>
    <s v="CONGO"/>
    <s v="RALFF-CO2733"/>
    <s v="4.3"/>
    <m/>
  </r>
  <r>
    <d v="2021-11-19T00:00:00"/>
    <s v="Reçu de caisse"/>
    <s v="Versement"/>
    <m/>
    <n v="100000"/>
    <m/>
    <n v="29604657"/>
    <s v="Crépin"/>
    <m/>
    <x v="0"/>
    <m/>
    <m/>
    <m/>
    <m/>
    <m/>
  </r>
  <r>
    <d v="2021-11-19T00:00:00"/>
    <s v="Frais achat produits pharmaceutiques du Prévenu"/>
    <s v="Jail Visits"/>
    <s v="Management"/>
    <m/>
    <n v="15100"/>
    <n v="29589557"/>
    <s v="Crépin"/>
    <s v="Oui"/>
    <x v="2"/>
    <s v="PALF"/>
    <s v="CONGO"/>
    <m/>
    <m/>
    <m/>
  </r>
  <r>
    <d v="2021-11-19T00:00:00"/>
    <s v="Frais agents de force de l'ordre pour la surveillance du prévenu à l'hopital"/>
    <s v="Jail Visits"/>
    <s v="Management"/>
    <m/>
    <n v="10000"/>
    <n v="29579557"/>
    <s v="Crépin"/>
    <s v="Oui"/>
    <x v="2"/>
    <s v="PALF"/>
    <s v="CONGO"/>
    <m/>
    <m/>
    <m/>
  </r>
  <r>
    <d v="2021-11-19T00:00:00"/>
    <s v="Reçu Caisse"/>
    <s v="Versement"/>
    <m/>
    <n v="10000"/>
    <m/>
    <n v="29589557"/>
    <s v="Grace"/>
    <m/>
    <x v="0"/>
    <m/>
    <m/>
    <m/>
    <m/>
    <m/>
  </r>
  <r>
    <d v="2021-11-19T00:00:00"/>
    <s v="Achat billet Dolisie-BZ"/>
    <s v="Transport"/>
    <s v="Investigation"/>
    <m/>
    <n v="10000"/>
    <n v="29579557"/>
    <s v="i23c"/>
    <s v="Oui"/>
    <x v="1"/>
    <s v="RALFF"/>
    <s v="CONGO"/>
    <s v="RALFF-CO2734"/>
    <s v="2.2"/>
    <m/>
  </r>
  <r>
    <d v="2021-11-19T00:00:00"/>
    <s v="Achat billet pn-bz"/>
    <s v="Transport"/>
    <s v="Investigation"/>
    <m/>
    <n v="15000"/>
    <n v="29564557"/>
    <s v="P29"/>
    <s v="Oui"/>
    <x v="1"/>
    <s v="RALFF"/>
    <s v="CONGO"/>
    <s v="RALFF-CO2735"/>
    <s v="2.2"/>
    <m/>
  </r>
  <r>
    <d v="2021-11-19T00:00:00"/>
    <s v="Reçu Caisse"/>
    <s v="Versement"/>
    <m/>
    <n v="15000"/>
    <m/>
    <n v="29579557"/>
    <s v="Godfré"/>
    <m/>
    <x v="0"/>
    <m/>
    <m/>
    <m/>
    <m/>
    <m/>
  </r>
  <r>
    <d v="2021-11-19T00:00:00"/>
    <s v="reçu de caisse"/>
    <s v="Versement"/>
    <m/>
    <n v="30000"/>
    <m/>
    <n v="29609557"/>
    <s v="B52"/>
    <m/>
    <x v="0"/>
    <m/>
    <m/>
    <m/>
    <m/>
    <m/>
  </r>
  <r>
    <d v="2021-11-20T00:00:00"/>
    <s v="Crépin"/>
    <s v="Versement"/>
    <m/>
    <m/>
    <n v="150000"/>
    <n v="29459557"/>
    <s v="Caisse"/>
    <m/>
    <x v="0"/>
    <m/>
    <m/>
    <m/>
    <m/>
    <m/>
  </r>
  <r>
    <d v="2021-11-20T00:00:00"/>
    <s v="Frais d'examen (NFS/GERH)/Labo du Prévenu"/>
    <s v="Jail Visits"/>
    <s v="Management"/>
    <m/>
    <n v="4500"/>
    <n v="29455057"/>
    <s v="Crépin"/>
    <s v="Oui"/>
    <x v="2"/>
    <s v="PALF"/>
    <s v="CONGO"/>
    <m/>
    <m/>
    <m/>
  </r>
  <r>
    <d v="2021-11-20T00:00:00"/>
    <s v="Frais radiographie &amp; Echographie /Labo du prévenu"/>
    <s v="Jail Visits"/>
    <s v="Management"/>
    <m/>
    <n v="15000"/>
    <n v="29440057"/>
    <s v="Crépin"/>
    <s v="Oui"/>
    <x v="2"/>
    <s v="PALF"/>
    <s v="CONGO"/>
    <m/>
    <m/>
    <m/>
  </r>
  <r>
    <d v="2021-11-20T00:00:00"/>
    <s v="Frais achat produits pharmaceutiques du Prévenu"/>
    <s v="Jail Visits"/>
    <s v="Management"/>
    <m/>
    <n v="41200"/>
    <n v="29398857"/>
    <s v="Crépin"/>
    <s v="Oui"/>
    <x v="2"/>
    <s v="PALF"/>
    <s v="CONGO"/>
    <m/>
    <m/>
    <m/>
  </r>
  <r>
    <d v="2021-11-20T00:00:00"/>
    <s v="Frais achat Fournitures Medicales (Gants, Perfuseur, Thermomètre) du prévenu"/>
    <s v="Jail Visits"/>
    <s v="Management"/>
    <m/>
    <n v="2500"/>
    <n v="29396357"/>
    <s v="Crépin"/>
    <s v="Oui"/>
    <x v="2"/>
    <s v="PALF"/>
    <s v="CONGO"/>
    <m/>
    <m/>
    <m/>
  </r>
  <r>
    <d v="2021-11-20T00:00:00"/>
    <s v="Frais de surveillance du prévenu / l'agent de force de l'ordre "/>
    <s v="Jail Visits"/>
    <s v="Management"/>
    <m/>
    <n v="5000"/>
    <n v="29391357"/>
    <s v="Crépin"/>
    <s v="Oui"/>
    <x v="2"/>
    <s v="PALF"/>
    <s v="CONGO"/>
    <m/>
    <m/>
    <m/>
  </r>
  <r>
    <d v="2021-11-20T00:00:00"/>
    <s v="I23C-CONGO Paiement hôtel 2 nuitées du 18 au 20/11/2021"/>
    <s v="Travel Subsistence"/>
    <s v="Investigation"/>
    <m/>
    <n v="30000"/>
    <n v="29361357"/>
    <s v="i23c"/>
    <s v="Oui"/>
    <x v="1"/>
    <s v="RALFF"/>
    <s v="CONGO"/>
    <s v="RALFF-CO2736"/>
    <s v="1.3.2"/>
    <m/>
  </r>
  <r>
    <d v="2021-11-20T00:00:00"/>
    <s v="P29-CONGOPaiement 2 nuitées du 18 au 20/11"/>
    <s v="Travel Subsistence"/>
    <s v="Investigation"/>
    <m/>
    <n v="30000"/>
    <n v="29331357"/>
    <s v="P29"/>
    <s v="Oui"/>
    <x v="1"/>
    <s v="RALFF"/>
    <s v="CONGO"/>
    <s v="RALFF-CO2737"/>
    <s v="1.3.2"/>
    <m/>
  </r>
  <r>
    <d v="2021-11-21T00:00:00"/>
    <s v="Frais achat: spardra, paire de gants,sering et catlan du prévenu"/>
    <s v="Jail Visits"/>
    <s v="Management"/>
    <m/>
    <n v="1700"/>
    <n v="29329657"/>
    <s v="Crépin"/>
    <s v="Oui"/>
    <x v="2"/>
    <s v="PALF"/>
    <s v="CONGO"/>
    <m/>
    <m/>
    <m/>
  </r>
  <r>
    <d v="2021-11-21T00:00:00"/>
    <s v="Reçu de caisse"/>
    <s v="Versement"/>
    <m/>
    <n v="150000"/>
    <m/>
    <n v="29479657"/>
    <s v="Crépin"/>
    <m/>
    <x v="0"/>
    <m/>
    <m/>
    <m/>
    <m/>
    <m/>
  </r>
  <r>
    <d v="2021-11-21T00:00:00"/>
    <s v="Achat produits pharmaceutiques du prévenu"/>
    <s v="Jail Visits"/>
    <s v="Management"/>
    <m/>
    <n v="6475"/>
    <n v="29473182"/>
    <s v="Crépin"/>
    <s v="Oui"/>
    <x v="2"/>
    <s v="PALF"/>
    <s v="CONGO"/>
    <m/>
    <m/>
    <m/>
  </r>
  <r>
    <d v="2021-11-21T00:00:00"/>
    <s v="Frais de surveillance du prévenu  pour l'agent de force de l'ordre"/>
    <s v="Jail Visits"/>
    <s v="Management"/>
    <m/>
    <n v="5000"/>
    <n v="29468182"/>
    <s v="Crépin"/>
    <s v="Oui"/>
    <x v="2"/>
    <s v="PALF"/>
    <s v="CONGO"/>
    <m/>
    <m/>
    <m/>
  </r>
  <r>
    <d v="2021-11-22T00:00:00"/>
    <s v="Crépin"/>
    <s v="Versement"/>
    <m/>
    <n v="70000"/>
    <m/>
    <n v="29538182"/>
    <s v="Caisse"/>
    <m/>
    <x v="0"/>
    <m/>
    <m/>
    <m/>
    <m/>
    <m/>
  </r>
  <r>
    <d v="2021-11-22T00:00:00"/>
    <s v="Axel"/>
    <s v="Versement"/>
    <m/>
    <m/>
    <n v="20000"/>
    <n v="29518182"/>
    <s v="Caisse"/>
    <m/>
    <x v="0"/>
    <m/>
    <m/>
    <m/>
    <m/>
    <m/>
  </r>
  <r>
    <d v="2021-11-22T00:00:00"/>
    <s v="Frais d'hospitalisation du prévenu NGOMBELE"/>
    <s v="Jail Visits"/>
    <s v="Management"/>
    <m/>
    <n v="30000"/>
    <n v="29488182"/>
    <s v="Crépin"/>
    <s v="Oui"/>
    <x v="2"/>
    <s v="PALF"/>
    <s v="CONGO"/>
    <m/>
    <m/>
    <m/>
  </r>
  <r>
    <d v="2021-11-22T00:00:00"/>
    <s v="Frais pour le certificat médical du prévenu"/>
    <s v="Jail Visits"/>
    <s v="Management"/>
    <m/>
    <n v="10000"/>
    <n v="29478182"/>
    <s v="Crépin"/>
    <s v="Oui"/>
    <x v="2"/>
    <s v="PALF"/>
    <s v="CONGO"/>
    <m/>
    <m/>
    <m/>
  </r>
  <r>
    <d v="2021-11-22T00:00:00"/>
    <s v="Frais escote et surveillance du prévenu/ l'agent de force de l'ordre"/>
    <s v="Jail Visits"/>
    <s v="Management"/>
    <m/>
    <n v="5000"/>
    <n v="29473182"/>
    <s v="Crépin"/>
    <s v="Oui"/>
    <x v="2"/>
    <s v="PALF"/>
    <s v="CONGO"/>
    <m/>
    <m/>
    <m/>
  </r>
  <r>
    <d v="2021-11-22T00:00:00"/>
    <s v="Retour caisse"/>
    <s v="Versement"/>
    <m/>
    <m/>
    <n v="70000"/>
    <n v="29403182"/>
    <s v="Crépin"/>
    <m/>
    <x v="0"/>
    <m/>
    <m/>
    <m/>
    <m/>
    <m/>
  </r>
  <r>
    <d v="2021-11-22T00:00:00"/>
    <s v="Reçu Caisse"/>
    <s v="Versement"/>
    <m/>
    <n v="20000"/>
    <m/>
    <n v="29423182"/>
    <s v="Axel"/>
    <m/>
    <x v="0"/>
    <m/>
    <m/>
    <m/>
    <m/>
    <m/>
  </r>
  <r>
    <d v="2021-11-23T00:00:00"/>
    <s v="Achat 01 Coffre fort"/>
    <s v="Equipement"/>
    <s v="Ofiice"/>
    <m/>
    <n v="200000"/>
    <n v="29223182"/>
    <s v="Caisse"/>
    <s v="Oui"/>
    <x v="1"/>
    <s v="RALFF"/>
    <s v="CONGO"/>
    <s v="RALFF-CO2738"/>
    <s v="3.2"/>
    <m/>
  </r>
  <r>
    <d v="2021-11-23T00:00:00"/>
    <s v="Achat Canons pour Serrures portes bureau"/>
    <s v="Office Materials"/>
    <s v="Ofiice"/>
    <m/>
    <n v="60000"/>
    <n v="29163182"/>
    <s v="Caisse"/>
    <s v="Oui"/>
    <x v="1"/>
    <s v="RALFF"/>
    <s v="CONGO"/>
    <s v="RALFF-CO2739"/>
    <s v="4.3"/>
    <m/>
  </r>
  <r>
    <d v="2021-11-23T00:00:00"/>
    <s v="I23c"/>
    <s v="Versement"/>
    <m/>
    <m/>
    <n v="8000"/>
    <n v="29155182"/>
    <s v="Caisse"/>
    <m/>
    <x v="0"/>
    <m/>
    <m/>
    <m/>
    <m/>
    <m/>
  </r>
  <r>
    <d v="2021-11-23T00:00:00"/>
    <s v="Achat crédit pour appel vers la RDC/P29"/>
    <s v="Telephone "/>
    <s v="Investigation"/>
    <m/>
    <n v="5000"/>
    <n v="29150182"/>
    <s v="Caisse"/>
    <s v="Oui"/>
    <x v="2"/>
    <s v="PALF"/>
    <s v="CONGO"/>
    <m/>
    <m/>
    <m/>
  </r>
  <r>
    <d v="2021-11-23T00:00:00"/>
    <s v="Réçu caisse"/>
    <s v="Versement"/>
    <m/>
    <n v="8000"/>
    <m/>
    <n v="29158182"/>
    <s v="i23c"/>
    <m/>
    <x v="0"/>
    <m/>
    <m/>
    <m/>
    <m/>
    <m/>
  </r>
  <r>
    <d v="2021-11-24T00:00:00"/>
    <s v="Grace"/>
    <s v="Versement"/>
    <m/>
    <m/>
    <n v="10000"/>
    <n v="29148182"/>
    <s v="Caisse"/>
    <m/>
    <x v="0"/>
    <m/>
    <m/>
    <m/>
    <m/>
    <m/>
  </r>
  <r>
    <d v="2021-11-24T00:00:00"/>
    <s v="Axel"/>
    <s v="Versement"/>
    <m/>
    <m/>
    <n v="84000"/>
    <n v="29064182"/>
    <s v="Caisse"/>
    <m/>
    <x v="0"/>
    <m/>
    <m/>
    <m/>
    <m/>
    <m/>
  </r>
  <r>
    <d v="2021-11-24T00:00:00"/>
    <s v="Frais de mission à Dolisie du 25 au 27/11/2021/Maitre Scrutin"/>
    <s v="Lawyer Fees"/>
    <s v="Legal"/>
    <m/>
    <n v="76000"/>
    <n v="28988182"/>
    <s v="Caisse"/>
    <s v="Oui"/>
    <x v="1"/>
    <s v="RALFF"/>
    <s v="CONGO"/>
    <s v="RALFF-CO2740"/>
    <s v="5.2.2"/>
    <m/>
  </r>
  <r>
    <d v="2021-11-24T00:00:00"/>
    <s v="B52"/>
    <s v="Versement"/>
    <m/>
    <m/>
    <n v="15000"/>
    <n v="28973182"/>
    <s v="Caisse"/>
    <m/>
    <x v="0"/>
    <m/>
    <m/>
    <m/>
    <m/>
    <m/>
  </r>
  <r>
    <d v="2021-11-24T00:00:00"/>
    <s v="P29"/>
    <s v="Versement"/>
    <m/>
    <m/>
    <n v="15000"/>
    <n v="28958182"/>
    <s v="Caisse"/>
    <m/>
    <x v="0"/>
    <m/>
    <m/>
    <m/>
    <m/>
    <m/>
  </r>
  <r>
    <d v="2021-11-24T00:00:00"/>
    <s v="Achat Factures autocopiant et carnet autocopiant"/>
    <s v="Office Materials"/>
    <s v="Ofiice"/>
    <m/>
    <n v="27500"/>
    <n v="28930682"/>
    <s v="Caisse"/>
    <s v="Oui"/>
    <x v="1"/>
    <s v="RALFF"/>
    <s v="CONGO"/>
    <s v="RALFF-CO2741"/>
    <s v="4.3"/>
    <m/>
  </r>
  <r>
    <d v="2021-11-24T00:00:00"/>
    <s v="Achat 01 paquet stylo bleu"/>
    <s v="Office Materials"/>
    <s v="Ofiice"/>
    <m/>
    <n v="4000"/>
    <n v="28926682"/>
    <s v="Caisse"/>
    <s v="Oui"/>
    <x v="1"/>
    <s v="RALFF"/>
    <s v="CONGO"/>
    <s v="RALFF-CO2742"/>
    <s v="4.3"/>
    <m/>
  </r>
  <r>
    <d v="2021-11-24T00:00:00"/>
    <s v="Reçu Caisse"/>
    <s v="Versement"/>
    <m/>
    <n v="10000"/>
    <m/>
    <n v="28936682"/>
    <s v="Grace"/>
    <m/>
    <x v="0"/>
    <m/>
    <m/>
    <m/>
    <m/>
    <m/>
  </r>
  <r>
    <d v="2021-11-24T00:00:00"/>
    <s v="Recu de caisse "/>
    <s v="Versement"/>
    <m/>
    <n v="15000"/>
    <m/>
    <n v="28951682"/>
    <s v="P29"/>
    <m/>
    <x v="0"/>
    <m/>
    <m/>
    <m/>
    <m/>
    <m/>
  </r>
  <r>
    <d v="2021-11-24T00:00:00"/>
    <s v="Reçu Caisse/mission Dolisie du 25-27 nov"/>
    <s v="Versement"/>
    <m/>
    <n v="84000"/>
    <m/>
    <n v="29035682"/>
    <s v="Axel"/>
    <m/>
    <x v="0"/>
    <m/>
    <m/>
    <m/>
    <m/>
    <m/>
  </r>
  <r>
    <d v="2021-11-24T00:00:00"/>
    <s v="Billet Brazzaville-Dolisie "/>
    <s v="Transport"/>
    <s v="Legal"/>
    <m/>
    <n v="10000"/>
    <n v="29025682"/>
    <s v="Axel"/>
    <s v="Oui"/>
    <x v="2"/>
    <s v="PALF"/>
    <s v="CONGO"/>
    <m/>
    <m/>
    <m/>
  </r>
  <r>
    <d v="2021-11-24T00:00:00"/>
    <s v="reçu de caisse"/>
    <s v="Versement"/>
    <m/>
    <n v="15000"/>
    <m/>
    <n v="29040682"/>
    <s v="B52"/>
    <m/>
    <x v="0"/>
    <m/>
    <m/>
    <m/>
    <m/>
    <m/>
  </r>
  <r>
    <d v="2021-11-25T00:00:00"/>
    <s v="I23c"/>
    <s v="Versement"/>
    <m/>
    <m/>
    <n v="25000"/>
    <n v="29015682"/>
    <s v="Caisse"/>
    <m/>
    <x v="0"/>
    <m/>
    <m/>
    <m/>
    <m/>
    <m/>
  </r>
  <r>
    <d v="2021-11-25T00:00:00"/>
    <s v="P29"/>
    <s v="Versement"/>
    <m/>
    <m/>
    <n v="11000"/>
    <n v="29004682"/>
    <s v="Caisse"/>
    <m/>
    <x v="0"/>
    <m/>
    <m/>
    <m/>
    <m/>
    <m/>
  </r>
  <r>
    <d v="2021-11-25T00:00:00"/>
    <s v="P29"/>
    <s v="Versement"/>
    <m/>
    <m/>
    <n v="10000"/>
    <n v="28994682"/>
    <s v="Caisse"/>
    <m/>
    <x v="0"/>
    <m/>
    <m/>
    <m/>
    <m/>
    <m/>
  </r>
  <r>
    <d v="2021-11-25T00:00:00"/>
    <s v="Achat 03 bonbonnes d'eau minérale Mayo"/>
    <s v="Office Materials"/>
    <s v="Ofiice"/>
    <m/>
    <n v="13500"/>
    <n v="28981182"/>
    <s v="Caisse"/>
    <s v="Oui"/>
    <x v="2"/>
    <s v="PALF"/>
    <s v="CONGO"/>
    <m/>
    <m/>
    <m/>
  </r>
  <r>
    <d v="2021-11-25T00:00:00"/>
    <s v="Paiement prime de fin d'année Merveille"/>
    <s v="Personnel "/>
    <s v="Management"/>
    <m/>
    <n v="57333"/>
    <n v="28923849"/>
    <s v="Caisse"/>
    <s v="Décharge"/>
    <x v="2"/>
    <s v="PALF"/>
    <s v="CONGO"/>
    <m/>
    <m/>
    <m/>
  </r>
  <r>
    <d v="2021-11-25T00:00:00"/>
    <s v="BCI-3643559"/>
    <s v="Versement"/>
    <m/>
    <n v="2000000"/>
    <m/>
    <n v="30923849"/>
    <s v="Caisse"/>
    <m/>
    <x v="0"/>
    <m/>
    <m/>
    <m/>
    <m/>
    <m/>
  </r>
  <r>
    <d v="2021-11-25T00:00:00"/>
    <s v="B52"/>
    <s v="Versement"/>
    <m/>
    <m/>
    <n v="11500"/>
    <n v="30912349"/>
    <s v="Caisse"/>
    <m/>
    <x v="0"/>
    <m/>
    <m/>
    <m/>
    <m/>
    <m/>
  </r>
  <r>
    <d v="2021-11-25T00:00:00"/>
    <s v="Retrait especes/appro caisse/bord n°3643559"/>
    <s v="Versement"/>
    <m/>
    <m/>
    <n v="2000000"/>
    <n v="28912349"/>
    <s v="BCI-Sous Compte"/>
    <m/>
    <x v="0"/>
    <m/>
    <m/>
    <m/>
    <m/>
    <m/>
  </r>
  <r>
    <d v="2021-11-25T00:00:00"/>
    <s v="Paiment Salaire Mois de Novembre 2021/Grace"/>
    <s v="Personnel "/>
    <s v="Management"/>
    <m/>
    <n v="350000"/>
    <n v="28562349"/>
    <s v="BCI-Sous Compte"/>
    <n v="3643560"/>
    <x v="1"/>
    <s v="RALFF"/>
    <s v="CONGO"/>
    <s v="RALFF-CO2743"/>
    <s v="1.1.2.1"/>
    <m/>
  </r>
  <r>
    <d v="2021-11-25T00:00:00"/>
    <s v="Paiment Salaire Mois de Novembre 2021/Crépin IBOUILI IBOUILI"/>
    <s v="Personnel "/>
    <s v="Legal"/>
    <m/>
    <n v="357982"/>
    <n v="28204367"/>
    <s v="BCI-Sous Compte"/>
    <n v="3643561"/>
    <x v="1"/>
    <s v="RALFF"/>
    <s v="CONGO"/>
    <s v="RALFF-CO2744"/>
    <s v="1.1.1.7"/>
    <m/>
  </r>
  <r>
    <d v="2021-11-25T00:00:00"/>
    <s v="Paiment Salaire Mois de Novembre 2021/Evariste LELOUSSI"/>
    <s v="Personnel "/>
    <s v="Media"/>
    <m/>
    <n v="234309"/>
    <n v="27970058"/>
    <s v="BCI-Sous Compte"/>
    <n v="3643562"/>
    <x v="1"/>
    <s v="RALFF"/>
    <s v="CONGO"/>
    <s v="RALFF-CO2745"/>
    <s v="1.1.1.4"/>
    <m/>
  </r>
  <r>
    <d v="2021-11-25T00:00:00"/>
    <s v="Paiment Salaire Mois de Novembre 2021/Godfré MALONGA"/>
    <s v="Personnel "/>
    <s v="Legal"/>
    <m/>
    <n v="96800"/>
    <n v="27873258"/>
    <s v="BCI-Sous Compte"/>
    <n v="3643563"/>
    <x v="1"/>
    <s v="RALFF"/>
    <s v="CONGO"/>
    <s v="RALFF-CO2746"/>
    <s v="1.1.1.7"/>
    <m/>
  </r>
  <r>
    <d v="2021-11-25T00:00:00"/>
    <s v="Paiment Salaire Mois de Novembre 2021 et la prime de congé/Merveille MAHANGA"/>
    <s v="Personnel "/>
    <s v="Management"/>
    <m/>
    <n v="509927"/>
    <n v="27363331"/>
    <s v="BCI-Sous Compte"/>
    <n v="3643564"/>
    <x v="1"/>
    <s v="RALFF"/>
    <s v="CONGO"/>
    <s v="RALFF-CO2747"/>
    <s v="1.1.2.1"/>
    <m/>
  </r>
  <r>
    <d v="2021-11-25T00:00:00"/>
    <s v="Paiment Salaire Mois de Novembre 2021/Tiffany GOBERT"/>
    <s v="Personnel "/>
    <s v="Management"/>
    <m/>
    <n v="1311914"/>
    <n v="26051417"/>
    <s v="BCI-Sous Compte"/>
    <n v="3643566"/>
    <x v="1"/>
    <s v="RALFF"/>
    <s v="CONGO"/>
    <s v="RALFF-CO2748"/>
    <s v="1.1.1.1"/>
    <m/>
  </r>
  <r>
    <d v="2021-11-25T00:00:00"/>
    <s v="Réçu caisse"/>
    <s v="Versement"/>
    <m/>
    <n v="25000"/>
    <m/>
    <n v="26076417"/>
    <s v="i23c"/>
    <m/>
    <x v="0"/>
    <m/>
    <m/>
    <m/>
    <m/>
    <m/>
  </r>
  <r>
    <d v="2021-11-25T00:00:00"/>
    <s v="Cumul Frais de Trust Building du mois de Novembre 2021/I23C"/>
    <s v="Trust Building"/>
    <s v="Investigation"/>
    <m/>
    <n v="57500"/>
    <n v="26018917"/>
    <s v="i23c"/>
    <s v="Oui"/>
    <x v="2"/>
    <s v="PALF"/>
    <s v="CONGO"/>
    <m/>
    <m/>
    <m/>
  </r>
  <r>
    <d v="2021-11-25T00:00:00"/>
    <s v="Recu de caisse"/>
    <s v="Versement"/>
    <m/>
    <n v="21000"/>
    <m/>
    <n v="26039917"/>
    <s v="P29"/>
    <m/>
    <x v="0"/>
    <m/>
    <m/>
    <m/>
    <m/>
    <m/>
  </r>
  <r>
    <d v="2021-11-25T00:00:00"/>
    <s v="reçu de caisse"/>
    <s v="Versement"/>
    <m/>
    <n v="11500"/>
    <m/>
    <n v="26051417"/>
    <s v="B52"/>
    <m/>
    <x v="0"/>
    <m/>
    <m/>
    <m/>
    <m/>
    <m/>
  </r>
  <r>
    <d v="2021-11-25T00:00:00"/>
    <s v="AXEL-CONGO Food allowance du 25 au 27 -nov-2021/Dolisie"/>
    <s v="Travel Subsistence"/>
    <s v="Legal"/>
    <m/>
    <n v="20000"/>
    <n v="26031417"/>
    <s v="Axel"/>
    <s v="Décharge"/>
    <x v="2"/>
    <s v="PALF"/>
    <s v="CONGO"/>
    <m/>
    <m/>
    <m/>
  </r>
  <r>
    <d v="2021-11-26T00:00:00"/>
    <s v="Reglement Facture Internet redevance Décembre 2021 /CONGO TELCOM"/>
    <s v="Internet"/>
    <s v="Ofiice"/>
    <m/>
    <n v="89175"/>
    <n v="25942242"/>
    <s v="Caisse"/>
    <s v="Oui"/>
    <x v="1"/>
    <s v="RALFF"/>
    <s v="CONGO"/>
    <s v="RALFF-CO2749"/>
    <s v="4.5"/>
    <m/>
  </r>
  <r>
    <d v="2021-11-26T00:00:00"/>
    <s v="Evariste"/>
    <s v="Versement"/>
    <m/>
    <m/>
    <n v="10500"/>
    <n v="25931742"/>
    <s v="Caisse"/>
    <m/>
    <x v="0"/>
    <m/>
    <m/>
    <m/>
    <m/>
    <m/>
  </r>
  <r>
    <d v="2021-11-26T00:00:00"/>
    <s v="Bonus Média portant sur audience"/>
    <s v="Bonus"/>
    <s v="Media"/>
    <m/>
    <n v="29000"/>
    <n v="25902742"/>
    <s v="Caisse"/>
    <s v="Décharge"/>
    <x v="2"/>
    <s v="PALF"/>
    <s v="CONGO"/>
    <m/>
    <m/>
    <m/>
  </r>
  <r>
    <d v="2021-11-26T00:00:00"/>
    <s v="Achat 04 paires de gants"/>
    <s v="Equipement"/>
    <s v="Ofiice"/>
    <m/>
    <n v="10000"/>
    <n v="25892742"/>
    <s v="Caisse"/>
    <s v="Oui"/>
    <x v="2"/>
    <s v="PALF"/>
    <s v="CONGO"/>
    <m/>
    <m/>
    <m/>
  </r>
  <r>
    <d v="2021-11-26T00:00:00"/>
    <s v="Merveille"/>
    <s v="Versement"/>
    <m/>
    <m/>
    <n v="10000"/>
    <n v="25882742"/>
    <s v="Caisse"/>
    <m/>
    <x v="0"/>
    <m/>
    <m/>
    <m/>
    <m/>
    <m/>
  </r>
  <r>
    <d v="2021-11-26T00:00:00"/>
    <s v="P29"/>
    <s v="Versement"/>
    <m/>
    <m/>
    <n v="11000"/>
    <n v="25871742"/>
    <s v="Caisse"/>
    <m/>
    <x v="0"/>
    <m/>
    <m/>
    <m/>
    <m/>
    <m/>
  </r>
  <r>
    <d v="2021-11-26T00:00:00"/>
    <s v="Achat 02 cages pour animaux"/>
    <s v="Equipement"/>
    <s v="Ofiice"/>
    <m/>
    <n v="97860"/>
    <n v="25773882"/>
    <s v="Caisse"/>
    <s v="Oui"/>
    <x v="2"/>
    <s v="PALF"/>
    <s v="CONGO"/>
    <m/>
    <m/>
    <m/>
  </r>
  <r>
    <d v="2021-11-26T00:00:00"/>
    <s v="Reçu caisse"/>
    <s v="Versement"/>
    <m/>
    <n v="10000"/>
    <m/>
    <n v="25783882"/>
    <s v="Merveille"/>
    <m/>
    <x v="0"/>
    <m/>
    <m/>
    <m/>
    <m/>
    <m/>
  </r>
  <r>
    <d v="2021-11-26T00:00:00"/>
    <s v="Reçu de la caisse"/>
    <s v="Versement"/>
    <m/>
    <n v="10500"/>
    <m/>
    <n v="25794382"/>
    <s v="Evariste"/>
    <m/>
    <x v="0"/>
    <m/>
    <m/>
    <m/>
    <m/>
    <m/>
  </r>
  <r>
    <d v="2021-11-26T00:00:00"/>
    <s v="Achat désodorisant et savon liquide"/>
    <s v="Office Materials"/>
    <s v="Ofiice"/>
    <m/>
    <n v="8000"/>
    <n v="25786382"/>
    <s v="Caisse"/>
    <s v="Oui"/>
    <x v="1"/>
    <s v="RALFF"/>
    <s v="CONGO"/>
    <s v="RALFF-CO2750"/>
    <s v="4.3"/>
    <m/>
  </r>
  <r>
    <d v="2021-11-26T00:00:00"/>
    <s v="Recu de caisse "/>
    <s v="Versement"/>
    <m/>
    <n v="11000"/>
    <m/>
    <n v="25797382"/>
    <s v="P29"/>
    <m/>
    <x v="0"/>
    <m/>
    <m/>
    <m/>
    <m/>
    <m/>
  </r>
  <r>
    <d v="2021-11-26T00:00:00"/>
    <s v="Cumul Frais de Trust Building Novembre 2021/Evariste"/>
    <s v="Trust Building"/>
    <s v="Operation"/>
    <m/>
    <n v="500"/>
    <n v="25796882"/>
    <s v="Evariste"/>
    <s v="Décharge"/>
    <x v="2"/>
    <s v="PALF"/>
    <s v="CONGO"/>
    <m/>
    <m/>
    <m/>
  </r>
  <r>
    <d v="2021-11-26T00:00:00"/>
    <s v="Billet Dolisie-Brazzaville"/>
    <s v="Transport"/>
    <s v="Legal"/>
    <m/>
    <n v="10000"/>
    <n v="25786882"/>
    <s v="Axel"/>
    <s v="Oui"/>
    <x v="2"/>
    <s v="PALF"/>
    <s v="CONGO"/>
    <m/>
    <m/>
    <m/>
  </r>
  <r>
    <d v="2021-11-27T00:00:00"/>
    <s v="AXEL-CONGO Frais d'hébergement nuitées du 25 au 27-nov-2021"/>
    <s v="Travel Subsistence"/>
    <s v="Legal"/>
    <m/>
    <n v="30000"/>
    <n v="25756882"/>
    <s v="Axel"/>
    <s v="Décharge"/>
    <x v="2"/>
    <s v="PALF"/>
    <s v="CONGO"/>
    <m/>
    <m/>
    <m/>
  </r>
  <r>
    <d v="2021-11-27T00:00:00"/>
    <s v="Cumul Frais de Trust Building du Mois de novembre 2021/P29"/>
    <s v="Trust Building"/>
    <s v="Investigation"/>
    <m/>
    <n v="36000"/>
    <n v="25720882"/>
    <s v="P29"/>
    <s v="Décharge"/>
    <x v="2"/>
    <s v="PALF"/>
    <s v="CONGO"/>
    <m/>
    <m/>
    <m/>
  </r>
  <r>
    <d v="2021-11-28T00:00:00"/>
    <s v="Grace"/>
    <s v="Versement"/>
    <m/>
    <m/>
    <n v="16000"/>
    <n v="25704882"/>
    <s v="Caisse"/>
    <m/>
    <x v="0"/>
    <m/>
    <m/>
    <m/>
    <m/>
    <m/>
  </r>
  <r>
    <d v="2021-11-28T00:00:00"/>
    <s v="Crépin"/>
    <s v="Versement"/>
    <m/>
    <m/>
    <n v="26000"/>
    <n v="25678882"/>
    <s v="Caisse"/>
    <m/>
    <x v="0"/>
    <m/>
    <m/>
    <m/>
    <m/>
    <m/>
  </r>
  <r>
    <d v="2021-11-28T00:00:00"/>
    <s v="Evariste/pour achat carburant BJ"/>
    <s v="Versement"/>
    <m/>
    <m/>
    <n v="30000"/>
    <n v="25648882"/>
    <s v="Caisse"/>
    <m/>
    <x v="0"/>
    <m/>
    <m/>
    <m/>
    <m/>
    <m/>
  </r>
  <r>
    <d v="2021-11-28T00:00:00"/>
    <s v="Axel"/>
    <s v="Versement"/>
    <m/>
    <m/>
    <n v="22000"/>
    <n v="25626882"/>
    <s v="Caisse"/>
    <m/>
    <x v="0"/>
    <m/>
    <m/>
    <m/>
    <m/>
    <m/>
  </r>
  <r>
    <d v="2021-11-28T00:00:00"/>
    <s v="Achat crédit télephone Agents (Bureau)"/>
    <s v="Telephone "/>
    <s v="Operation"/>
    <m/>
    <n v="35000"/>
    <n v="25591882"/>
    <s v="Caisse"/>
    <s v="Oui"/>
    <x v="2"/>
    <s v="PALF"/>
    <s v="CONGO"/>
    <m/>
    <m/>
    <m/>
  </r>
  <r>
    <d v="2021-11-28T00:00:00"/>
    <s v="Achat boisson eau et amuse bouche (Pour Autorités)"/>
    <s v="Trust Building"/>
    <s v="Operation"/>
    <m/>
    <n v="15900"/>
    <n v="25575982"/>
    <s v="Caisse"/>
    <s v="Oui"/>
    <x v="2"/>
    <s v="PALF"/>
    <s v="CONGO"/>
    <m/>
    <m/>
    <m/>
  </r>
  <r>
    <d v="2021-11-28T00:00:00"/>
    <s v="Evariste"/>
    <s v="Versement"/>
    <m/>
    <m/>
    <n v="15000"/>
    <n v="25560982"/>
    <s v="Caisse"/>
    <m/>
    <x v="0"/>
    <m/>
    <m/>
    <m/>
    <m/>
    <m/>
  </r>
  <r>
    <d v="2021-11-28T00:00:00"/>
    <s v="B52"/>
    <s v="Versement"/>
    <m/>
    <m/>
    <n v="10500"/>
    <n v="25550482"/>
    <s v="Caisse"/>
    <m/>
    <x v="0"/>
    <m/>
    <m/>
    <m/>
    <m/>
    <m/>
  </r>
  <r>
    <d v="2021-11-28T00:00:00"/>
    <s v="Tiffany"/>
    <s v="Versement"/>
    <m/>
    <m/>
    <n v="30000"/>
    <n v="25520482"/>
    <s v="Caisse"/>
    <m/>
    <x v="0"/>
    <m/>
    <m/>
    <m/>
    <m/>
    <m/>
  </r>
  <r>
    <d v="2021-11-28T00:00:00"/>
    <s v="Tiffany"/>
    <s v="Versement"/>
    <m/>
    <m/>
    <n v="6000"/>
    <n v="25514482"/>
    <s v="Caisse"/>
    <m/>
    <x v="0"/>
    <m/>
    <m/>
    <m/>
    <m/>
    <m/>
  </r>
  <r>
    <d v="2021-11-28T00:00:00"/>
    <s v="Taxi à la journée/Tiffany"/>
    <s v="Transport"/>
    <s v="Operation"/>
    <m/>
    <n v="30000"/>
    <n v="25484482"/>
    <s v="Tiffany"/>
    <s v="Oui"/>
    <x v="2"/>
    <s v="PALF"/>
    <s v="CONGO"/>
    <m/>
    <m/>
    <m/>
  </r>
  <r>
    <d v="2021-11-28T00:00:00"/>
    <s v="Cumul Trust Building du Mois de Novembre 2021/Tiffany"/>
    <s v="Trust Building"/>
    <s v="Operation"/>
    <m/>
    <n v="2000"/>
    <n v="25482482"/>
    <s v="Tiffany"/>
    <s v="Décharge"/>
    <x v="2"/>
    <s v="PALF"/>
    <s v="CONGO"/>
    <m/>
    <m/>
    <m/>
  </r>
  <r>
    <d v="2021-11-28T00:00:00"/>
    <s v="Reçu Caisse/ Tiffany"/>
    <s v="Versement"/>
    <m/>
    <n v="30000"/>
    <m/>
    <n v="25512482"/>
    <s v="Tiffany"/>
    <m/>
    <x v="0"/>
    <m/>
    <m/>
    <m/>
    <m/>
    <m/>
  </r>
  <r>
    <d v="2021-11-28T00:00:00"/>
    <s v="Reçu Caisse/ Tiffany"/>
    <s v="Versement"/>
    <m/>
    <n v="6000"/>
    <m/>
    <n v="25518482"/>
    <s v="Tiffany"/>
    <m/>
    <x v="0"/>
    <m/>
    <m/>
    <m/>
    <m/>
    <m/>
  </r>
  <r>
    <d v="2021-11-28T00:00:00"/>
    <s v="Reçu de caisse"/>
    <s v="Versement"/>
    <m/>
    <n v="26000"/>
    <m/>
    <n v="25544482"/>
    <s v="Crépin"/>
    <m/>
    <x v="0"/>
    <m/>
    <m/>
    <m/>
    <m/>
    <m/>
  </r>
  <r>
    <d v="2021-11-28T00:00:00"/>
    <s v="Carburant de la voiture de l'équipe 1 pour l'operation"/>
    <s v="Transport"/>
    <s v="Operation"/>
    <m/>
    <n v="25000"/>
    <n v="25519482"/>
    <s v="Crépin"/>
    <s v="Oui"/>
    <x v="2"/>
    <s v="PALF"/>
    <s v="CONGO"/>
    <m/>
    <m/>
    <m/>
  </r>
  <r>
    <d v="2021-11-28T00:00:00"/>
    <s v="Cumul Trust Building du Mois de Novembre 2021/Crépin"/>
    <s v="Trust Building"/>
    <s v="Operation"/>
    <m/>
    <n v="12000"/>
    <n v="25507482"/>
    <s v="Crépin"/>
    <s v="Décharge"/>
    <x v="2"/>
    <s v="PALF"/>
    <s v="CONGO"/>
    <m/>
    <m/>
    <m/>
  </r>
  <r>
    <d v="2021-11-28T00:00:00"/>
    <s v="Cumul frais de transport local du Novembre 2021/Crépin"/>
    <s v="Transport"/>
    <s v="Management"/>
    <m/>
    <n v="38400"/>
    <n v="25469082"/>
    <s v="Crépin"/>
    <s v="Décharge"/>
    <x v="1"/>
    <s v="RALFF"/>
    <s v="CONGO"/>
    <s v="RALFF-CO2751"/>
    <s v="2.2"/>
    <m/>
  </r>
  <r>
    <d v="2021-11-28T00:00:00"/>
    <s v="Taxi: Bureau-Lifoula (Equipe Guet)"/>
    <s v="Transport"/>
    <s v="Operation"/>
    <m/>
    <n v="5000"/>
    <n v="25464082"/>
    <s v="Grace"/>
    <s v="Oui"/>
    <x v="2"/>
    <s v="PALF"/>
    <s v="CONGO"/>
    <m/>
    <m/>
    <m/>
  </r>
  <r>
    <d v="2021-11-28T00:00:00"/>
    <s v="Reçu Caisse"/>
    <s v="Versement"/>
    <m/>
    <n v="16000"/>
    <m/>
    <n v="25480082"/>
    <s v="Grace"/>
    <m/>
    <x v="0"/>
    <m/>
    <m/>
    <m/>
    <m/>
    <m/>
  </r>
  <r>
    <d v="2021-11-28T00:00:00"/>
    <s v="Taxi: Lifoula-Moungali (Diversion Equipe Guet)"/>
    <s v="Transport"/>
    <s v="Operation"/>
    <m/>
    <n v="5000"/>
    <n v="25475082"/>
    <s v="Grace"/>
    <s v="Oui"/>
    <x v="2"/>
    <s v="PALF"/>
    <s v="CONGO"/>
    <m/>
    <m/>
    <m/>
  </r>
  <r>
    <d v="2021-11-28T00:00:00"/>
    <s v="Cumul Frais de trust building mois de Novembre 2021/Grace"/>
    <s v="Trust Building"/>
    <s v="Operation"/>
    <m/>
    <n v="6000"/>
    <n v="25469082"/>
    <s v="Grace"/>
    <s v="Décharge"/>
    <x v="2"/>
    <s v="PALF"/>
    <s v="CONGO"/>
    <m/>
    <m/>
    <m/>
  </r>
  <r>
    <d v="2021-11-28T00:00:00"/>
    <s v="Reçu de la caisse"/>
    <s v="Versement"/>
    <m/>
    <n v="15000"/>
    <m/>
    <n v="25484082"/>
    <s v="Evariste"/>
    <m/>
    <x v="0"/>
    <m/>
    <m/>
    <m/>
    <m/>
    <m/>
  </r>
  <r>
    <d v="2021-11-28T00:00:00"/>
    <s v="Reçu de la caisse"/>
    <s v="Versement"/>
    <m/>
    <n v="30000"/>
    <m/>
    <n v="25514082"/>
    <s v="Evariste"/>
    <m/>
    <x v="0"/>
    <m/>
    <m/>
    <m/>
    <m/>
    <m/>
  </r>
  <r>
    <d v="2021-11-28T00:00:00"/>
    <s v="Achat du carburant pour la BJ des Gendarmes"/>
    <s v="Transport"/>
    <s v="Operation"/>
    <m/>
    <n v="30000"/>
    <n v="25484082"/>
    <s v="Evariste"/>
    <s v="Oui"/>
    <x v="2"/>
    <s v="PALF"/>
    <s v="CONGO"/>
    <m/>
    <m/>
    <m/>
  </r>
  <r>
    <d v="2021-11-28T00:00:00"/>
    <s v="Achat Divers (Bananes, Papaye, Eau Minerale)"/>
    <s v="Office Materials"/>
    <s v="Operation"/>
    <m/>
    <n v="3550"/>
    <n v="25480532"/>
    <s v="Godfré"/>
    <s v="Oui"/>
    <x v="2"/>
    <s v="PALF"/>
    <s v="CONGO"/>
    <m/>
    <m/>
    <m/>
  </r>
  <r>
    <d v="2021-11-28T00:00:00"/>
    <s v="Reçu caisse/OP lifoula du 28-nov-2021"/>
    <s v="Versement"/>
    <m/>
    <n v="22000"/>
    <m/>
    <n v="25502532"/>
    <s v="Axel"/>
    <m/>
    <x v="0"/>
    <m/>
    <m/>
    <m/>
    <m/>
    <m/>
  </r>
  <r>
    <d v="2021-11-28T00:00:00"/>
    <s v="Taxi:Gendarmerie-lifoula"/>
    <s v="Transport"/>
    <s v="Operation"/>
    <m/>
    <n v="5000"/>
    <n v="25497532"/>
    <s v="Axel"/>
    <s v="Oui"/>
    <x v="2"/>
    <s v="PALF"/>
    <s v="CONGO"/>
    <m/>
    <m/>
    <m/>
  </r>
  <r>
    <d v="2021-11-28T00:00:00"/>
    <s v="Cumul frais de Trust Building du mois de novembre 2021/Axel"/>
    <s v="Trust Building"/>
    <s v="Operation"/>
    <m/>
    <n v="12000"/>
    <n v="25485532"/>
    <s v="Axel"/>
    <s v="Décharge"/>
    <x v="2"/>
    <s v="PALF"/>
    <s v="CONGO"/>
    <m/>
    <m/>
    <m/>
  </r>
  <r>
    <d v="2021-11-28T00:00:00"/>
    <s v="Taxi: Lifoula-Gendarmerie"/>
    <s v="Transport"/>
    <s v="Operation"/>
    <m/>
    <n v="5000"/>
    <n v="25480532"/>
    <s v="Axel"/>
    <s v="Oui"/>
    <x v="2"/>
    <s v="PALF"/>
    <s v="CONGO"/>
    <m/>
    <m/>
    <m/>
  </r>
  <r>
    <d v="2021-11-28T00:00:00"/>
    <s v="reçu de caisse"/>
    <s v="Versement"/>
    <m/>
    <n v="10500"/>
    <m/>
    <n v="25491032"/>
    <s v="B52"/>
    <m/>
    <x v="0"/>
    <m/>
    <m/>
    <m/>
    <m/>
    <m/>
  </r>
  <r>
    <d v="2021-11-28T00:00:00"/>
    <s v=" Taxi: Brazzaville (Bureau)- Lifoula site"/>
    <s v="Transport"/>
    <s v="Investigation"/>
    <m/>
    <n v="5000"/>
    <n v="25486032"/>
    <s v="B52"/>
    <s v="Oui"/>
    <x v="2"/>
    <s v="PALF"/>
    <s v="CONGO"/>
    <m/>
    <m/>
    <m/>
  </r>
  <r>
    <d v="2021-11-28T00:00:00"/>
    <s v="Taxi: Lifoula-Brazzaville(bureau)"/>
    <s v="Transport"/>
    <s v="Investigation"/>
    <m/>
    <n v="5000"/>
    <n v="25481032"/>
    <s v="B52"/>
    <s v="Oui"/>
    <x v="2"/>
    <s v="PALF"/>
    <s v="CONGO"/>
    <m/>
    <m/>
    <m/>
  </r>
  <r>
    <d v="2021-11-29T00:00:00"/>
    <s v="B52"/>
    <s v="Versement"/>
    <m/>
    <m/>
    <n v="15000"/>
    <n v="25466032"/>
    <s v="Caisse"/>
    <m/>
    <x v="0"/>
    <m/>
    <m/>
    <m/>
    <m/>
    <m/>
  </r>
  <r>
    <d v="2021-11-29T00:00:00"/>
    <s v="Bonus autorité gendarme et Ef/opération à Lifoula"/>
    <s v="Bonus"/>
    <s v="Operation"/>
    <m/>
    <n v="140000"/>
    <n v="25326032"/>
    <s v="Caisse"/>
    <s v="Décharge"/>
    <x v="2"/>
    <s v="PALF"/>
    <s v="CONGO"/>
    <m/>
    <m/>
    <m/>
  </r>
  <r>
    <d v="2021-11-29T00:00:00"/>
    <s v="Achat laitu ,pastèque carotte et banqne pour peroquet"/>
    <s v="Trust Building"/>
    <s v="Operation"/>
    <m/>
    <n v="5000"/>
    <n v="25321032"/>
    <s v="Caisse"/>
    <s v="Oui"/>
    <x v="2"/>
    <s v="PALF"/>
    <s v="CONGO"/>
    <m/>
    <m/>
    <m/>
  </r>
  <r>
    <d v="2021-11-29T00:00:00"/>
    <s v="Reglement prestation Technicienne de Surface mois de Novembre 2021/MFIELO"/>
    <s v="Services"/>
    <s v="Ofiice"/>
    <m/>
    <n v="75625"/>
    <n v="25245407"/>
    <s v="Caisse"/>
    <s v="Oui"/>
    <x v="2"/>
    <s v="PALF"/>
    <s v="CONGO"/>
    <m/>
    <m/>
    <m/>
  </r>
  <r>
    <d v="2021-11-29T00:00:00"/>
    <s v="approv caisse/remboursement  frais télephone 1ere Tranche Grace"/>
    <s v="Versement"/>
    <m/>
    <n v="20000"/>
    <m/>
    <n v="25265407"/>
    <s v="Caisse"/>
    <m/>
    <x v="0"/>
    <m/>
    <m/>
    <m/>
    <m/>
    <m/>
  </r>
  <r>
    <d v="2021-11-29T00:00:00"/>
    <s v="Achat serum salé 500ML et aiguille bleu/pour peroquet"/>
    <s v="Trust Building"/>
    <s v="Operation"/>
    <m/>
    <n v="6500"/>
    <n v="25258907"/>
    <s v="Caisse"/>
    <s v="Oui"/>
    <x v="2"/>
    <s v="PALF"/>
    <s v="CONGO"/>
    <m/>
    <m/>
    <m/>
  </r>
  <r>
    <d v="2021-11-29T00:00:00"/>
    <s v="Achat serum salé 500ML et Seringue 5ml/pour peroquet"/>
    <s v="Trust Building"/>
    <s v="Operation"/>
    <m/>
    <n v="2150"/>
    <n v="25256757"/>
    <s v="Caisse"/>
    <s v="Oui"/>
    <x v="2"/>
    <s v="PALF"/>
    <s v="CONGO"/>
    <m/>
    <m/>
    <m/>
  </r>
  <r>
    <d v="2021-11-29T00:00:00"/>
    <s v="Achat billet d'avion aller  pour la DDEF/Brazzaville-Pointre Noire -Brazzaville"/>
    <s v="Flight"/>
    <s v="Operation"/>
    <m/>
    <n v="40000"/>
    <n v="25216757"/>
    <s v="Caisse"/>
    <s v="Oui"/>
    <x v="2"/>
    <s v="PALF"/>
    <s v="CONGO"/>
    <m/>
    <m/>
    <m/>
  </r>
  <r>
    <d v="2021-11-29T00:00:00"/>
    <s v="Achat billet d'avion retour  pour la DDEF/Pointre Noire -Brazzaville"/>
    <s v="Flight"/>
    <s v="Operation"/>
    <m/>
    <n v="38000"/>
    <n v="25178757"/>
    <s v="Caisse"/>
    <s v="Oui"/>
    <x v="2"/>
    <s v="PALF"/>
    <s v="CONGO"/>
    <m/>
    <m/>
    <m/>
  </r>
  <r>
    <d v="2021-11-29T00:00:00"/>
    <s v="Achat eau mineral pour les péroquets"/>
    <s v="Office Materials"/>
    <s v="Operation"/>
    <m/>
    <n v="5000"/>
    <n v="25173757"/>
    <s v="Caisse"/>
    <s v="Oui"/>
    <x v="2"/>
    <s v="PALF"/>
    <s v="CONGO"/>
    <m/>
    <m/>
    <m/>
  </r>
  <r>
    <d v="2021-11-29T00:00:00"/>
    <s v="Achat Fruits pastèques choux papaye,carotte pour peroquets"/>
    <s v="Office Materials"/>
    <s v="Operation"/>
    <m/>
    <n v="23285"/>
    <n v="25150472"/>
    <s v="Caisse"/>
    <s v="Oui"/>
    <x v="2"/>
    <s v="PALF"/>
    <s v="CONGO"/>
    <m/>
    <m/>
    <m/>
  </r>
  <r>
    <d v="2021-11-29T00:00:00"/>
    <s v="Achat pommade desinfectant et gants/pour peroquet"/>
    <s v="Office Materials"/>
    <s v="Operation"/>
    <m/>
    <n v="24925"/>
    <n v="25125547"/>
    <s v="Caisse"/>
    <s v="Oui"/>
    <x v="2"/>
    <s v="PALF"/>
    <s v="CONGO"/>
    <m/>
    <m/>
    <m/>
  </r>
  <r>
    <d v="2021-11-29T00:00:00"/>
    <s v="Reglement facture honoraire du mois Novembre 2021/I23C/chq n°3643576"/>
    <s v="Personnel "/>
    <s v="Investigation"/>
    <m/>
    <n v="450000"/>
    <n v="24675547"/>
    <s v="BCI-Sous Compte"/>
    <n v="3643576"/>
    <x v="1"/>
    <s v="RALFF"/>
    <s v="CONGO"/>
    <s v="RALFF-CO2752"/>
    <s v="1.1.1.9"/>
    <m/>
  </r>
  <r>
    <d v="2021-11-29T00:00:00"/>
    <s v="Reglement facture honoraire du mois Novembre 2021/P29/chq n°3643577"/>
    <s v="Personnel "/>
    <s v="Investigation"/>
    <m/>
    <n v="245000"/>
    <n v="24430547"/>
    <s v="BCI-Sous Compte"/>
    <n v="3643577"/>
    <x v="1"/>
    <s v="RALFF"/>
    <s v="CONGO"/>
    <s v="RALFF-CO2753"/>
    <s v="1.1.1.9"/>
    <m/>
  </r>
  <r>
    <d v="2021-11-29T00:00:00"/>
    <s v="Achat fourniture(Servitte, Savon liquide, Lampe torche)"/>
    <s v="Office Materials"/>
    <s v="Operation"/>
    <m/>
    <n v="4300"/>
    <n v="24426247"/>
    <s v="Godfré"/>
    <s v="Oui"/>
    <x v="2"/>
    <s v="PALF"/>
    <s v="CONGO"/>
    <m/>
    <m/>
    <m/>
  </r>
  <r>
    <d v="2021-11-29T00:00:00"/>
    <s v="Achat produit pharmaceutiques"/>
    <s v="Office Materials"/>
    <s v="Operation"/>
    <m/>
    <n v="4200"/>
    <n v="24422047"/>
    <s v="Godfré"/>
    <s v="Oui"/>
    <x v="2"/>
    <s v="PALF"/>
    <s v="CONGO"/>
    <m/>
    <m/>
    <m/>
  </r>
  <r>
    <d v="2021-11-29T00:00:00"/>
    <s v="Impression documents pour transfert perroquets et cerco"/>
    <s v="Office Materials"/>
    <s v="Ofiice"/>
    <m/>
    <n v="450"/>
    <n v="24421597"/>
    <s v="Axel"/>
    <s v="Décharge"/>
    <x v="2"/>
    <s v="PALF"/>
    <s v="CONGO"/>
    <m/>
    <m/>
    <m/>
  </r>
  <r>
    <d v="2021-11-29T00:00:00"/>
    <s v="reçu de caisse"/>
    <s v="Versement"/>
    <m/>
    <n v="15000"/>
    <m/>
    <n v="24436597"/>
    <s v="B52"/>
    <m/>
    <x v="0"/>
    <m/>
    <m/>
    <m/>
    <m/>
    <m/>
  </r>
  <r>
    <d v="2021-11-29T00:00:00"/>
    <s v="Rembourssement 1ere tranche de telephone acquis"/>
    <s v="Versement"/>
    <s v="Operation"/>
    <m/>
    <n v="20000"/>
    <n v="24416597"/>
    <s v="Grace"/>
    <s v="Décharge"/>
    <x v="2"/>
    <s v="PALF"/>
    <s v="CONGO"/>
    <m/>
    <m/>
    <m/>
  </r>
  <r>
    <d v="2021-11-30T00:00:00"/>
    <s v="Cumul frais de ration journalière du mois de novembre 2021/Axel"/>
    <s v="Travel Subsistence"/>
    <s v="Legal"/>
    <m/>
    <n v="17000"/>
    <n v="24399597"/>
    <s v="Axel"/>
    <s v="Décharge"/>
    <x v="2"/>
    <s v="PALF"/>
    <s v="CONGO"/>
    <m/>
    <m/>
    <m/>
  </r>
  <r>
    <d v="2021-11-30T00:00:00"/>
    <s v="Axel"/>
    <s v="Versement"/>
    <m/>
    <m/>
    <n v="30000"/>
    <n v="24369597"/>
    <s v="Caisse"/>
    <m/>
    <x v="0"/>
    <m/>
    <m/>
    <m/>
    <m/>
    <m/>
  </r>
  <r>
    <d v="2021-11-30T00:00:00"/>
    <s v="Axel"/>
    <s v="Versement"/>
    <m/>
    <m/>
    <n v="12000"/>
    <n v="24357597"/>
    <s v="Caisse"/>
    <m/>
    <x v="0"/>
    <m/>
    <m/>
    <m/>
    <m/>
    <m/>
  </r>
  <r>
    <d v="2021-11-30T00:00:00"/>
    <s v="Achat credit  teléphonique MTN/staff PALF/Première partie Décembre 2021/Management"/>
    <s v="Telephone "/>
    <s v="Management"/>
    <m/>
    <n v="41000"/>
    <n v="24316597"/>
    <s v="Caisse"/>
    <s v="Oui"/>
    <x v="1"/>
    <s v="RALFF"/>
    <s v="CONGO"/>
    <s v="RALFF-CO2754"/>
    <s v="4.6"/>
    <m/>
  </r>
  <r>
    <d v="2021-11-30T00:00:00"/>
    <s v="Achat credit  teléphonique MTN/staff PALF/Première partie Décembre 2021/Légal"/>
    <s v="Telephone "/>
    <s v="Legal"/>
    <m/>
    <n v="37000"/>
    <n v="24279597"/>
    <s v="Caisse"/>
    <s v="Oui"/>
    <x v="1"/>
    <s v="RALFF"/>
    <s v="CONGO"/>
    <s v="RALFF-CO2755"/>
    <s v="4.6"/>
    <m/>
  </r>
  <r>
    <d v="2021-11-30T00:00:00"/>
    <s v="Achat credit  teléphonique MTN/staff PALF/Première partie Décembre 2021/legal volontaire"/>
    <s v="Telephone "/>
    <s v="Legal"/>
    <m/>
    <n v="21000"/>
    <n v="24258597"/>
    <s v="Caisse"/>
    <s v="Oui"/>
    <x v="2"/>
    <s v="PALF"/>
    <s v="CONGO"/>
    <m/>
    <m/>
    <m/>
  </r>
  <r>
    <d v="2021-11-30T00:00:00"/>
    <s v="Achat credit  teléphonique MTN/staff PALF/Première partie Décembre 2021/Investigation"/>
    <s v="Telephone "/>
    <s v="Investigation"/>
    <m/>
    <n v="20000"/>
    <n v="24238597"/>
    <s v="Caisse"/>
    <s v="Oui"/>
    <x v="1"/>
    <s v="RALFF"/>
    <s v="CONGO"/>
    <s v="RALFF-CO2756"/>
    <s v="4.6"/>
    <m/>
  </r>
  <r>
    <d v="2021-11-30T00:00:00"/>
    <s v="Achat credit  teléphonique MTN/staff PALF/Première partie Décembre 2021/Investigation Volontaire"/>
    <s v="Telephone "/>
    <s v="Investigation"/>
    <m/>
    <n v="10000"/>
    <n v="24228597"/>
    <s v="Caisse"/>
    <s v="Oui"/>
    <x v="2"/>
    <s v="PALF"/>
    <s v="CONGO"/>
    <m/>
    <m/>
    <m/>
  </r>
  <r>
    <d v="2021-11-30T00:00:00"/>
    <s v="Achat credit  teléphonique MTN/staff PALF/Première partie Décembre 2021/Média"/>
    <s v="Telephone "/>
    <s v="Media"/>
    <m/>
    <n v="5000"/>
    <n v="24223597"/>
    <s v="Caisse"/>
    <s v="Oui"/>
    <x v="1"/>
    <s v="RALFF"/>
    <s v="CONGO"/>
    <s v="RALFF-CO2757"/>
    <s v="4.6"/>
    <m/>
  </r>
  <r>
    <d v="2021-11-30T00:00:00"/>
    <s v="Achat credit  teléphonique Airtel/staff PALF/Première partie Décemembre  2021/Management"/>
    <s v="Telephone "/>
    <s v="Management"/>
    <m/>
    <n v="32000"/>
    <n v="24191597"/>
    <s v="Caisse"/>
    <s v="Oui"/>
    <x v="1"/>
    <s v="RALFF"/>
    <s v="CONGO"/>
    <s v="RALFF-CO2758"/>
    <s v="4.6"/>
    <m/>
  </r>
  <r>
    <d v="2021-11-30T00:00:00"/>
    <s v="Achat credit  teléphonique Airtel/staff PALF/Première partie Décembre  2021/Investigation"/>
    <s v="Telephone "/>
    <s v="Investigation"/>
    <m/>
    <n v="32000"/>
    <n v="24159597"/>
    <s v="Caisse"/>
    <s v="Oui"/>
    <x v="1"/>
    <s v="RALFF"/>
    <s v="CONGO"/>
    <s v="RALFF-CO2759"/>
    <s v="4.6"/>
    <m/>
  </r>
  <r>
    <d v="2021-11-30T00:00:00"/>
    <s v="Achat credit  teléphonique Airtel/staff PALF/Première partie Décembre  2021/Investigation Volontaire"/>
    <s v="Telephone "/>
    <s v="Investigation"/>
    <m/>
    <n v="16000"/>
    <n v="24143597"/>
    <s v="Caisse"/>
    <s v="Oui"/>
    <x v="2"/>
    <s v="PALF"/>
    <s v="CONGO"/>
    <m/>
    <m/>
    <m/>
  </r>
  <r>
    <d v="2021-11-30T00:00:00"/>
    <s v="Achat credit  teléphonique Airtel/staff PALF/Première partie Novembre  2021/Légal"/>
    <s v="Telephone "/>
    <s v="Legal"/>
    <m/>
    <n v="5000"/>
    <n v="24138597"/>
    <s v="Caisse"/>
    <s v="Oui"/>
    <x v="1"/>
    <s v="RALFF"/>
    <s v="CONGO"/>
    <s v="RALFF-CO2760"/>
    <s v="4.6"/>
    <m/>
  </r>
  <r>
    <d v="2021-11-30T00:00:00"/>
    <s v="Achat credit  teléphonique Airtel/staff PALF/Première partie Novembre  2021/Média"/>
    <s v="Telephone "/>
    <s v="Media"/>
    <m/>
    <n v="11000"/>
    <n v="24127597"/>
    <s v="Caisse"/>
    <s v="Oui"/>
    <x v="1"/>
    <s v="RALFF"/>
    <s v="CONGO"/>
    <s v="RALFF-CO2761"/>
    <s v="4.6"/>
    <m/>
  </r>
  <r>
    <d v="2021-11-30T00:00:00"/>
    <s v="Grace"/>
    <s v="Versement"/>
    <m/>
    <m/>
    <n v="15000"/>
    <n v="24112597"/>
    <s v="Caisse"/>
    <m/>
    <x v="0"/>
    <m/>
    <m/>
    <m/>
    <m/>
    <m/>
  </r>
  <r>
    <d v="2021-11-30T00:00:00"/>
    <s v="Godfre"/>
    <s v="Versement"/>
    <m/>
    <m/>
    <n v="8000"/>
    <n v="24104597"/>
    <s v="Caisse"/>
    <m/>
    <x v="0"/>
    <m/>
    <m/>
    <m/>
    <m/>
    <m/>
  </r>
  <r>
    <d v="2021-11-30T00:00:00"/>
    <s v="Bonus mois de Novembre 2021/Godfré"/>
    <s v="Bonus"/>
    <s v="Legal"/>
    <m/>
    <n v="20000"/>
    <n v="24084597"/>
    <s v="Caisse"/>
    <s v="Décharge"/>
    <x v="2"/>
    <s v="PALF"/>
    <s v="CONGO"/>
    <m/>
    <m/>
    <m/>
  </r>
  <r>
    <d v="2021-11-30T00:00:00"/>
    <s v="Bonus mois de Novembre 2021/Crépin"/>
    <s v="Bonus"/>
    <s v="Legal"/>
    <m/>
    <n v="30000"/>
    <n v="24054597"/>
    <s v="Caisse"/>
    <s v="Décharge"/>
    <x v="2"/>
    <s v="PALF"/>
    <s v="CONGO"/>
    <m/>
    <m/>
    <m/>
  </r>
  <r>
    <d v="2021-11-30T00:00:00"/>
    <s v="Bonus mois de Novembre 2021/Evariste"/>
    <s v="Bonus"/>
    <s v="Media"/>
    <m/>
    <n v="15000"/>
    <n v="24039597"/>
    <s v="Caisse"/>
    <s v="Décharge"/>
    <x v="2"/>
    <s v="PALF"/>
    <s v="CONGO"/>
    <m/>
    <m/>
    <m/>
  </r>
  <r>
    <d v="2021-11-30T00:00:00"/>
    <s v="Bonus média portant sur audience du 29/11/2021"/>
    <s v="Bonus"/>
    <s v="Media"/>
    <m/>
    <n v="29000"/>
    <n v="24010597"/>
    <s v="Caisse"/>
    <s v="Décharge"/>
    <x v="2"/>
    <s v="PALF"/>
    <s v="CONGO"/>
    <m/>
    <m/>
    <m/>
  </r>
  <r>
    <d v="2021-11-30T00:00:00"/>
    <s v="Bonus média portant sur audience du 30/11/2021"/>
    <s v="Bonus"/>
    <s v="Media"/>
    <m/>
    <n v="29000"/>
    <n v="23981597"/>
    <s v="Caisse"/>
    <s v="Décharge"/>
    <x v="2"/>
    <s v="PALF"/>
    <s v="CONGO"/>
    <m/>
    <m/>
    <m/>
  </r>
  <r>
    <d v="2021-11-30T00:00:00"/>
    <s v="Bonus Média/Télécongo"/>
    <s v="Bonus"/>
    <s v="Media"/>
    <m/>
    <n v="150000"/>
    <n v="23831597"/>
    <s v="Caisse"/>
    <s v="Décharge"/>
    <x v="2"/>
    <s v="PALF"/>
    <s v="CONGO"/>
    <m/>
    <m/>
    <m/>
  </r>
  <r>
    <d v="2021-11-30T00:00:00"/>
    <s v="P29"/>
    <s v="Versement"/>
    <m/>
    <m/>
    <n v="25000"/>
    <n v="23806597"/>
    <s v="Caisse"/>
    <m/>
    <x v="0"/>
    <m/>
    <m/>
    <m/>
    <m/>
    <m/>
  </r>
  <r>
    <d v="2021-11-30T00:00:00"/>
    <s v="I23c"/>
    <s v="Versement"/>
    <m/>
    <m/>
    <n v="25000"/>
    <n v="23781597"/>
    <s v="Caisse"/>
    <m/>
    <x v="0"/>
    <m/>
    <m/>
    <m/>
    <m/>
    <m/>
  </r>
  <r>
    <d v="2021-11-30T00:00:00"/>
    <s v="Cumul Transport Local du Mois de Novembre 2021/Tiffany"/>
    <s v="Transport"/>
    <s v="Management"/>
    <m/>
    <n v="21000"/>
    <n v="23760597"/>
    <s v="Tiffany"/>
    <s v="Décharge"/>
    <x v="1"/>
    <s v="RALFF"/>
    <s v="CONGO"/>
    <s v="RALFF-CO2762"/>
    <s v="2.2"/>
    <m/>
  </r>
  <r>
    <d v="2021-11-30T00:00:00"/>
    <s v="Cumul Frais de transport local du mois de Novembre 2021/Grace"/>
    <s v="Transport"/>
    <s v="Management"/>
    <m/>
    <n v="29900"/>
    <n v="23730697"/>
    <s v="Grace"/>
    <s v="Décharge"/>
    <x v="1"/>
    <s v="RALFF"/>
    <s v="CONGO"/>
    <s v="RALFF-CO2763"/>
    <s v="2.2"/>
    <m/>
  </r>
  <r>
    <d v="2021-11-30T00:00:00"/>
    <s v="Reçu Caisse"/>
    <s v="Versement"/>
    <m/>
    <n v="15000"/>
    <m/>
    <n v="23745697"/>
    <s v="Grace"/>
    <m/>
    <x v="0"/>
    <m/>
    <m/>
    <m/>
    <m/>
    <m/>
  </r>
  <r>
    <d v="2021-11-30T00:00:00"/>
    <s v="Cumul frais de transport local mois de Novembre 2021/Merveille"/>
    <s v="Transport"/>
    <s v="Management"/>
    <m/>
    <n v="24000"/>
    <n v="23721697"/>
    <s v="Merveille"/>
    <s v="Décharge"/>
    <x v="1"/>
    <s v="RALFF"/>
    <s v="CONGO"/>
    <s v="RALFF-CO2764"/>
    <s v="2.2"/>
    <m/>
  </r>
  <r>
    <d v="2021-11-30T00:00:00"/>
    <s v="Cumul Frais de Transport Local du Mois de novembre 2021/Evariste"/>
    <s v="Transport"/>
    <s v="Media"/>
    <m/>
    <n v="42500"/>
    <n v="23679197"/>
    <s v="Evariste"/>
    <s v="Décharge"/>
    <x v="1"/>
    <s v="RALFF"/>
    <s v="CONGO"/>
    <s v="RALFF-CO2765"/>
    <s v="2.2"/>
    <m/>
  </r>
  <r>
    <d v="2021-11-30T00:00:00"/>
    <s v="Réçu caisse"/>
    <s v="Versement"/>
    <m/>
    <n v="25000"/>
    <m/>
    <n v="23704197"/>
    <s v="i23c"/>
    <m/>
    <x v="0"/>
    <m/>
    <m/>
    <m/>
    <m/>
    <m/>
  </r>
  <r>
    <d v="2021-11-30T00:00:00"/>
    <s v="Cumul frais de transport local du mois de Novembre 2021/I23C"/>
    <s v="Transport"/>
    <s v="Investigation"/>
    <m/>
    <n v="91500"/>
    <n v="23612697"/>
    <s v="i23c"/>
    <s v="Décharge"/>
    <x v="1"/>
    <s v="RALFF"/>
    <s v="CONGO"/>
    <s v="RALFF-CO2766"/>
    <s v="2.2"/>
    <m/>
  </r>
  <r>
    <d v="2021-11-30T00:00:00"/>
    <s v="Taxi Kintele-45km (départ pour 45)"/>
    <s v="Transport"/>
    <s v="Investigation"/>
    <m/>
    <n v="7000"/>
    <n v="23605697"/>
    <s v="i23c"/>
    <s v="Oui"/>
    <x v="1"/>
    <s v="RALFF"/>
    <s v="CONGO"/>
    <s v="RALFF-CO2767"/>
    <s v="2.2"/>
    <m/>
  </r>
  <r>
    <d v="2021-11-30T00:00:00"/>
    <s v="Taxi 45 Km -Kintele (retour à Kintélé)"/>
    <s v="Transport"/>
    <s v="Investigation"/>
    <m/>
    <n v="7000"/>
    <n v="23598697"/>
    <s v="i23c"/>
    <s v="Oui"/>
    <x v="1"/>
    <s v="RALFF"/>
    <s v="CONGO"/>
    <s v="RALFF-CO2768"/>
    <s v="2.2"/>
    <m/>
  </r>
  <r>
    <d v="2021-11-30T00:00:00"/>
    <s v="Taxi bureau-kintele,prospectionn"/>
    <s v="Transport"/>
    <s v="Investigation"/>
    <m/>
    <n v="3000"/>
    <n v="23595697"/>
    <s v="P29"/>
    <s v="Oui"/>
    <x v="1"/>
    <s v="RALFF"/>
    <s v="CONGO"/>
    <s v="RALFF-CO2769"/>
    <s v="2.2"/>
    <m/>
  </r>
  <r>
    <d v="2021-11-30T00:00:00"/>
    <s v="Taxi kintele-brazzaville,prospection"/>
    <s v="Transport"/>
    <s v="Investigation"/>
    <m/>
    <n v="3000"/>
    <n v="23592697"/>
    <s v="P29"/>
    <s v="Oui"/>
    <x v="1"/>
    <s v="RALFF"/>
    <s v="CONGO"/>
    <s v="RALFF-CO2770"/>
    <s v="2.2"/>
    <m/>
  </r>
  <r>
    <d v="2021-11-30T00:00:00"/>
    <s v="Cumul Frais de Transport Local du Mois de novembre 2021/P29"/>
    <s v="Transport"/>
    <s v="Investigation"/>
    <m/>
    <n v="84500"/>
    <n v="23508197"/>
    <s v="P29"/>
    <s v="Décharge"/>
    <x v="1"/>
    <s v="RALFF"/>
    <s v="CONGO"/>
    <s v="RALFF-CO2771"/>
    <s v="2.2"/>
    <m/>
  </r>
  <r>
    <d v="2021-11-30T00:00:00"/>
    <s v="Recu de caisse"/>
    <s v="Versement"/>
    <m/>
    <n v="25000"/>
    <m/>
    <n v="23533197"/>
    <s v="P29"/>
    <m/>
    <x v="0"/>
    <m/>
    <m/>
    <m/>
    <m/>
    <m/>
  </r>
  <r>
    <d v="2021-11-30T00:00:00"/>
    <s v="Reçu Caisse"/>
    <s v="Versement"/>
    <m/>
    <n v="8000"/>
    <m/>
    <n v="23541197"/>
    <s v="Godfré"/>
    <m/>
    <x v="0"/>
    <m/>
    <m/>
    <m/>
    <m/>
    <m/>
  </r>
  <r>
    <d v="2021-11-30T00:00:00"/>
    <s v="Cumul frais transport local du mois de novembre 2021/Godfré"/>
    <s v="Transport"/>
    <s v="Legal"/>
    <m/>
    <n v="15700"/>
    <n v="23525497"/>
    <s v="Godfré"/>
    <s v="Décharge"/>
    <x v="1"/>
    <s v="RALFF"/>
    <s v="CONGO"/>
    <s v="RALFF-CO2772"/>
    <s v="2.2"/>
    <m/>
  </r>
  <r>
    <d v="2021-11-30T00:00:00"/>
    <s v="Cumul frais jail visits du mois de novembre 2021/Godfré"/>
    <s v="Jail Visits"/>
    <s v="Legal"/>
    <m/>
    <n v="1000"/>
    <n v="23524497"/>
    <s v="Godfré"/>
    <s v="Décharge"/>
    <x v="2"/>
    <s v="PALF"/>
    <s v="CONGO"/>
    <m/>
    <m/>
    <m/>
  </r>
  <r>
    <d v="2021-11-30T00:00:00"/>
    <s v="Cumul frais de Transport local du mois de novembre 2021/Axel"/>
    <s v="Transport"/>
    <s v="Legal"/>
    <m/>
    <n v="87200"/>
    <n v="23437297"/>
    <s v="Axel"/>
    <s v="Décharge"/>
    <x v="2"/>
    <s v="PALF"/>
    <s v="CONGO"/>
    <m/>
    <m/>
    <m/>
  </r>
  <r>
    <d v="2021-11-30T00:00:00"/>
    <s v="Cumul frais de jail visit du mois de novembre 2021/Axel"/>
    <s v="Jail Visits"/>
    <s v="Legal"/>
    <m/>
    <n v="8000"/>
    <n v="23429297"/>
    <s v="Axel"/>
    <s v="Décharge"/>
    <x v="2"/>
    <s v="PALF"/>
    <s v="CONGO"/>
    <m/>
    <m/>
    <m/>
  </r>
  <r>
    <d v="2021-11-30T00:00:00"/>
    <s v="Cumul frais ration journalière du mois de nombre 2021/B52"/>
    <s v="Travel Subsistence"/>
    <s v="Investigation"/>
    <m/>
    <n v="15000"/>
    <n v="23414297"/>
    <s v="B52"/>
    <s v="Décharge"/>
    <x v="2"/>
    <s v="PALF"/>
    <s v="CONGO"/>
    <m/>
    <m/>
    <m/>
  </r>
  <r>
    <d v="2021-11-30T00:00:00"/>
    <s v="Cumul frais transport local du mois de nombre 2021/B52"/>
    <s v="Transport"/>
    <s v="Investigation"/>
    <m/>
    <n v="75500"/>
    <n v="23338797"/>
    <s v="B52"/>
    <s v="Décharge"/>
    <x v="2"/>
    <s v="PALF"/>
    <s v="CONGO"/>
    <m/>
    <m/>
    <m/>
  </r>
  <r>
    <d v="2021-11-30T00:00:00"/>
    <s v="Cumul frais trust bulding du mois de nombre 2021/B52"/>
    <s v="Trust Building"/>
    <s v="Investigation"/>
    <m/>
    <n v="13500"/>
    <n v="23325297"/>
    <s v="B52"/>
    <s v="Décharge"/>
    <x v="2"/>
    <s v="PALF"/>
    <s v="CONGO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9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6" firstHeaderRow="1" firstDataRow="1" firstDataCol="1"/>
  <pivotFields count="15">
    <pivotField numFmtId="15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Somme de Spent" fld="5" baseField="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8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AK19" firstHeaderRow="1" firstDataRow="3" firstDataCol="1"/>
  <pivotFields count="15">
    <pivotField numFmtId="15" showAll="0"/>
    <pivotField showAll="0"/>
    <pivotField axis="axisCol" showAll="0">
      <items count="19">
        <item x="3"/>
        <item x="13"/>
        <item x="15"/>
        <item x="17"/>
        <item x="16"/>
        <item x="14"/>
        <item x="5"/>
        <item x="4"/>
        <item x="12"/>
        <item x="8"/>
        <item x="11"/>
        <item x="2"/>
        <item x="10"/>
        <item x="6"/>
        <item x="7"/>
        <item x="9"/>
        <item x="1"/>
        <item x="0"/>
        <item t="default"/>
      </items>
    </pivotField>
    <pivotField showAll="0"/>
    <pivotField dataField="1" showAll="0"/>
    <pivotField dataField="1" showAll="0"/>
    <pivotField showAll="0"/>
    <pivotField axis="axisRow" showAll="0">
      <items count="15">
        <item x="7"/>
        <item x="9"/>
        <item x="8"/>
        <item x="2"/>
        <item x="1"/>
        <item x="10"/>
        <item x="12"/>
        <item x="5"/>
        <item x="4"/>
        <item x="3"/>
        <item x="11"/>
        <item x="6"/>
        <item x="1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2">
    <field x="2"/>
    <field x="-2"/>
  </colFields>
  <colItems count="3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 t="grand">
      <x/>
    </i>
    <i t="grand" i="1">
      <x/>
    </i>
  </colItems>
  <dataFields count="2">
    <dataField name="Somme de Spent" fld="5" baseField="7" baseItem="0"/>
    <dataField name="Somme de Received" fld="4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459"/>
  <sheetViews>
    <sheetView zoomScale="73" zoomScaleNormal="73" workbookViewId="0">
      <pane xSplit="1" topLeftCell="B1" activePane="topRight" state="frozen"/>
      <selection pane="topRight" activeCell="A9" sqref="A9:XFD9"/>
    </sheetView>
  </sheetViews>
  <sheetFormatPr baseColWidth="10" defaultColWidth="11.42578125" defaultRowHeight="15"/>
  <cols>
    <col min="1" max="1" width="43.140625" style="5" customWidth="1"/>
    <col min="2" max="2" width="21.42578125" style="5" customWidth="1"/>
    <col min="3" max="3" width="28.28515625" style="5" customWidth="1"/>
    <col min="4" max="4" width="29.42578125" style="5" customWidth="1"/>
    <col min="5" max="5" width="19.5703125" style="5" customWidth="1"/>
    <col min="6" max="6" width="21" style="5" customWidth="1"/>
    <col min="7" max="7" width="21.85546875" style="5" customWidth="1"/>
    <col min="8" max="8" width="20.5703125" style="5" customWidth="1"/>
    <col min="9" max="9" width="19.7109375" style="5" customWidth="1"/>
    <col min="10" max="10" width="16.7109375" style="5" customWidth="1"/>
    <col min="11" max="11" width="18.7109375" style="5" customWidth="1"/>
    <col min="12" max="12" width="16" style="48" customWidth="1"/>
    <col min="13" max="13" width="18.7109375" style="48" customWidth="1"/>
    <col min="14" max="14" width="14.140625" style="48" customWidth="1"/>
    <col min="15" max="15" width="14.85546875" style="48" customWidth="1"/>
    <col min="16" max="16384" width="11.42578125" style="5"/>
  </cols>
  <sheetData>
    <row r="1" spans="1:15">
      <c r="A1" s="4">
        <v>44530</v>
      </c>
    </row>
    <row r="2" spans="1:15" ht="15.75">
      <c r="A2" s="6" t="s">
        <v>38</v>
      </c>
      <c r="B2" s="6" t="s">
        <v>1</v>
      </c>
      <c r="C2" s="6">
        <v>44501</v>
      </c>
      <c r="D2" s="7" t="s">
        <v>39</v>
      </c>
      <c r="E2" s="7" t="s">
        <v>40</v>
      </c>
      <c r="F2" s="7" t="s">
        <v>41</v>
      </c>
      <c r="G2" s="7" t="s">
        <v>42</v>
      </c>
      <c r="H2" s="6" t="s">
        <v>179</v>
      </c>
      <c r="I2" s="7" t="s">
        <v>43</v>
      </c>
      <c r="K2" s="47"/>
      <c r="L2" s="47" t="s">
        <v>44</v>
      </c>
      <c r="M2" s="47" t="s">
        <v>45</v>
      </c>
      <c r="N2" s="47" t="s">
        <v>46</v>
      </c>
      <c r="O2" s="47" t="s">
        <v>47</v>
      </c>
    </row>
    <row r="3" spans="1:15" s="186" customFormat="1" ht="16.5">
      <c r="A3" s="60" t="str">
        <f>+K3</f>
        <v>Axel</v>
      </c>
      <c r="B3" s="188" t="s">
        <v>169</v>
      </c>
      <c r="C3" s="62">
        <v>6757</v>
      </c>
      <c r="D3" s="63">
        <f t="shared" ref="D3:D16" si="0">+L3</f>
        <v>337000</v>
      </c>
      <c r="E3" s="63">
        <f>+N3</f>
        <v>314650</v>
      </c>
      <c r="F3" s="63">
        <f>+M3</f>
        <v>0</v>
      </c>
      <c r="G3" s="63">
        <f t="shared" ref="G3:G5" si="1">+O3</f>
        <v>0</v>
      </c>
      <c r="H3" s="63">
        <v>29107</v>
      </c>
      <c r="I3" s="63">
        <f>+C3+D3-E3-F3+G3</f>
        <v>29107</v>
      </c>
      <c r="J3" s="9">
        <f>I3-H3</f>
        <v>0</v>
      </c>
      <c r="K3" s="187" t="s">
        <v>168</v>
      </c>
      <c r="L3" s="187">
        <v>337000</v>
      </c>
      <c r="M3" s="187">
        <v>0</v>
      </c>
      <c r="N3" s="187">
        <v>314650</v>
      </c>
      <c r="O3" s="187">
        <v>0</v>
      </c>
    </row>
    <row r="4" spans="1:15" ht="16.5">
      <c r="A4" s="60" t="str">
        <f>+K4</f>
        <v>B52</v>
      </c>
      <c r="B4" s="61" t="s">
        <v>48</v>
      </c>
      <c r="C4" s="62">
        <v>0</v>
      </c>
      <c r="D4" s="63">
        <f t="shared" si="0"/>
        <v>118000</v>
      </c>
      <c r="E4" s="63">
        <f>+N4</f>
        <v>114000</v>
      </c>
      <c r="F4" s="63">
        <f>+M4</f>
        <v>0</v>
      </c>
      <c r="G4" s="63">
        <f t="shared" si="1"/>
        <v>0</v>
      </c>
      <c r="H4" s="63">
        <v>4000</v>
      </c>
      <c r="I4" s="63">
        <f>+C4+D4-E4-F4+G4</f>
        <v>4000</v>
      </c>
      <c r="J4" s="9">
        <f>I4-H4</f>
        <v>0</v>
      </c>
      <c r="K4" s="47" t="s">
        <v>204</v>
      </c>
      <c r="L4" s="49">
        <v>118000</v>
      </c>
      <c r="M4" s="49">
        <v>0</v>
      </c>
      <c r="N4" s="49">
        <v>114000</v>
      </c>
      <c r="O4" s="49">
        <v>0</v>
      </c>
    </row>
    <row r="5" spans="1:15" ht="16.5">
      <c r="A5" s="60" t="str">
        <f>+K5</f>
        <v>BCI</v>
      </c>
      <c r="B5" s="61" t="s">
        <v>48</v>
      </c>
      <c r="C5" s="62">
        <v>6762063</v>
      </c>
      <c r="D5" s="63">
        <f t="shared" si="0"/>
        <v>0</v>
      </c>
      <c r="E5" s="63">
        <f>+N5</f>
        <v>23345</v>
      </c>
      <c r="F5" s="63">
        <f>+M5</f>
        <v>1000000</v>
      </c>
      <c r="G5" s="63">
        <f t="shared" si="1"/>
        <v>0</v>
      </c>
      <c r="H5" s="63">
        <v>5738718</v>
      </c>
      <c r="I5" s="63">
        <f>+C5+D5-E5-F5+G5</f>
        <v>5738718</v>
      </c>
      <c r="J5" s="9">
        <f t="shared" ref="J5:J12" si="2">I5-H5</f>
        <v>0</v>
      </c>
      <c r="K5" s="47" t="s">
        <v>25</v>
      </c>
      <c r="L5" s="49">
        <v>0</v>
      </c>
      <c r="M5" s="49">
        <v>1000000</v>
      </c>
      <c r="N5" s="49">
        <v>23345</v>
      </c>
      <c r="O5" s="49">
        <v>0</v>
      </c>
    </row>
    <row r="6" spans="1:15" ht="16.5">
      <c r="A6" s="60" t="str">
        <f t="shared" ref="A6:A8" si="3">+K6</f>
        <v>BCI-Sous Compte</v>
      </c>
      <c r="B6" s="61" t="s">
        <v>26</v>
      </c>
      <c r="C6" s="62">
        <v>23107840</v>
      </c>
      <c r="D6" s="63">
        <f t="shared" si="0"/>
        <v>0</v>
      </c>
      <c r="E6" s="63">
        <f>+N6</f>
        <v>4020633</v>
      </c>
      <c r="F6" s="63">
        <f>+M6</f>
        <v>3000000</v>
      </c>
      <c r="G6" s="63">
        <f t="shared" ref="G6:G17" si="4">+O6</f>
        <v>0</v>
      </c>
      <c r="H6" s="63">
        <v>16087207</v>
      </c>
      <c r="I6" s="63">
        <f>+C6+D6-E6-F6+G6</f>
        <v>16087207</v>
      </c>
      <c r="J6" s="108">
        <f t="shared" si="2"/>
        <v>0</v>
      </c>
      <c r="K6" s="47" t="s">
        <v>163</v>
      </c>
      <c r="L6" s="49">
        <v>0</v>
      </c>
      <c r="M6" s="49">
        <v>3000000</v>
      </c>
      <c r="N6" s="49">
        <v>4020633</v>
      </c>
      <c r="O6" s="49">
        <v>0</v>
      </c>
    </row>
    <row r="7" spans="1:15" ht="16.5">
      <c r="A7" s="60" t="str">
        <f t="shared" si="3"/>
        <v>Caisse</v>
      </c>
      <c r="B7" s="61" t="s">
        <v>169</v>
      </c>
      <c r="C7" s="62">
        <v>1685107</v>
      </c>
      <c r="D7" s="63">
        <f t="shared" si="0"/>
        <v>4090000</v>
      </c>
      <c r="E7" s="63">
        <f t="shared" ref="E7" si="5">+N7</f>
        <v>2854238</v>
      </c>
      <c r="F7" s="63">
        <f t="shared" ref="F7:F14" si="6">+M7</f>
        <v>1994500</v>
      </c>
      <c r="G7" s="63">
        <f t="shared" si="4"/>
        <v>0</v>
      </c>
      <c r="H7" s="63">
        <v>926369</v>
      </c>
      <c r="I7" s="63">
        <f>+C7+D7-E7-F7+G7</f>
        <v>926369</v>
      </c>
      <c r="J7" s="9">
        <f t="shared" si="2"/>
        <v>0</v>
      </c>
      <c r="K7" s="47" t="s">
        <v>26</v>
      </c>
      <c r="L7" s="49">
        <v>4090000</v>
      </c>
      <c r="M7" s="49">
        <v>1994500</v>
      </c>
      <c r="N7" s="49">
        <v>2854238</v>
      </c>
      <c r="O7" s="49">
        <v>0</v>
      </c>
    </row>
    <row r="8" spans="1:15" ht="16.5">
      <c r="A8" s="60" t="str">
        <f t="shared" si="3"/>
        <v>Crépin</v>
      </c>
      <c r="B8" s="61" t="s">
        <v>171</v>
      </c>
      <c r="C8" s="62">
        <v>7200</v>
      </c>
      <c r="D8" s="63">
        <f t="shared" si="0"/>
        <v>286000</v>
      </c>
      <c r="E8" s="63">
        <f>+N8</f>
        <v>226875</v>
      </c>
      <c r="F8" s="63">
        <f t="shared" si="6"/>
        <v>70000</v>
      </c>
      <c r="G8" s="63">
        <f t="shared" si="4"/>
        <v>0</v>
      </c>
      <c r="H8" s="63">
        <v>-3675</v>
      </c>
      <c r="I8" s="63">
        <f t="shared" ref="I8" si="7">+C8+D8-E8-F8+G8</f>
        <v>-3675</v>
      </c>
      <c r="J8" s="9">
        <f t="shared" si="2"/>
        <v>0</v>
      </c>
      <c r="K8" s="47" t="s">
        <v>49</v>
      </c>
      <c r="L8" s="49">
        <v>286000</v>
      </c>
      <c r="M8" s="49">
        <v>70000</v>
      </c>
      <c r="N8" s="49">
        <v>226875</v>
      </c>
      <c r="O8" s="49">
        <v>0</v>
      </c>
    </row>
    <row r="9" spans="1:15" ht="16.5">
      <c r="A9" s="60" t="str">
        <f>K9</f>
        <v>Evariste</v>
      </c>
      <c r="B9" s="61" t="s">
        <v>169</v>
      </c>
      <c r="C9" s="62">
        <v>10095</v>
      </c>
      <c r="D9" s="63">
        <f t="shared" si="0"/>
        <v>70500</v>
      </c>
      <c r="E9" s="63">
        <f t="shared" ref="E9" si="8">+N9</f>
        <v>73000</v>
      </c>
      <c r="F9" s="63">
        <f t="shared" si="6"/>
        <v>0</v>
      </c>
      <c r="G9" s="63">
        <f t="shared" si="4"/>
        <v>0</v>
      </c>
      <c r="H9" s="63">
        <v>7595</v>
      </c>
      <c r="I9" s="63">
        <f>+C9+D9-E9-F9+G9</f>
        <v>7595</v>
      </c>
      <c r="J9" s="9">
        <f t="shared" si="2"/>
        <v>0</v>
      </c>
      <c r="K9" s="47" t="s">
        <v>32</v>
      </c>
      <c r="L9" s="49">
        <v>70500</v>
      </c>
      <c r="M9" s="49">
        <v>0</v>
      </c>
      <c r="N9" s="49">
        <v>73000</v>
      </c>
      <c r="O9" s="49">
        <v>0</v>
      </c>
    </row>
    <row r="10" spans="1:15" ht="16.5">
      <c r="A10" s="123" t="str">
        <f t="shared" ref="A10:A17" si="9">+K10</f>
        <v>I55S</v>
      </c>
      <c r="B10" s="124" t="s">
        <v>5</v>
      </c>
      <c r="C10" s="125">
        <v>233614</v>
      </c>
      <c r="D10" s="126">
        <f t="shared" si="0"/>
        <v>0</v>
      </c>
      <c r="E10" s="126">
        <f>+N10</f>
        <v>0</v>
      </c>
      <c r="F10" s="126">
        <f t="shared" si="6"/>
        <v>0</v>
      </c>
      <c r="G10" s="126">
        <f t="shared" si="4"/>
        <v>0</v>
      </c>
      <c r="H10" s="126">
        <v>233614</v>
      </c>
      <c r="I10" s="126">
        <f>+C10+D10-E10-F10+G10</f>
        <v>233614</v>
      </c>
      <c r="J10" s="9">
        <f t="shared" si="2"/>
        <v>0</v>
      </c>
      <c r="K10" s="47" t="s">
        <v>86</v>
      </c>
      <c r="L10" s="49">
        <v>0</v>
      </c>
      <c r="M10" s="49">
        <v>0</v>
      </c>
      <c r="N10" s="49">
        <v>0</v>
      </c>
      <c r="O10" s="49">
        <v>0</v>
      </c>
    </row>
    <row r="11" spans="1:15" ht="16.5">
      <c r="A11" s="123" t="str">
        <f t="shared" si="9"/>
        <v>I73X</v>
      </c>
      <c r="B11" s="124" t="s">
        <v>5</v>
      </c>
      <c r="C11" s="125">
        <v>249769</v>
      </c>
      <c r="D11" s="126">
        <f t="shared" si="0"/>
        <v>0</v>
      </c>
      <c r="E11" s="126">
        <f>+N11</f>
        <v>0</v>
      </c>
      <c r="F11" s="126">
        <f t="shared" si="6"/>
        <v>0</v>
      </c>
      <c r="G11" s="126">
        <f t="shared" si="4"/>
        <v>0</v>
      </c>
      <c r="H11" s="126">
        <v>249769</v>
      </c>
      <c r="I11" s="126">
        <f t="shared" ref="I11:I14" si="10">+C11+D11-E11-F11+G11</f>
        <v>249769</v>
      </c>
      <c r="J11" s="9">
        <f t="shared" si="2"/>
        <v>0</v>
      </c>
      <c r="K11" s="47" t="s">
        <v>85</v>
      </c>
      <c r="L11" s="49">
        <v>0</v>
      </c>
      <c r="M11" s="49">
        <v>0</v>
      </c>
      <c r="N11" s="49">
        <v>0</v>
      </c>
      <c r="O11" s="49">
        <v>0</v>
      </c>
    </row>
    <row r="12" spans="1:15" ht="16.5">
      <c r="A12" s="60" t="str">
        <f t="shared" si="9"/>
        <v>Godfré</v>
      </c>
      <c r="B12" s="104" t="s">
        <v>3</v>
      </c>
      <c r="C12" s="62">
        <v>3550</v>
      </c>
      <c r="D12" s="63">
        <f t="shared" si="0"/>
        <v>43000</v>
      </c>
      <c r="E12" s="180">
        <f t="shared" ref="E12:E17" si="11">+N12</f>
        <v>52550</v>
      </c>
      <c r="F12" s="63">
        <f t="shared" si="6"/>
        <v>0</v>
      </c>
      <c r="G12" s="63">
        <f t="shared" si="4"/>
        <v>0</v>
      </c>
      <c r="H12" s="63">
        <v>-6000</v>
      </c>
      <c r="I12" s="63">
        <f t="shared" si="10"/>
        <v>-6000</v>
      </c>
      <c r="J12" s="9">
        <f t="shared" si="2"/>
        <v>0</v>
      </c>
      <c r="K12" s="47" t="s">
        <v>157</v>
      </c>
      <c r="L12" s="49">
        <v>43000</v>
      </c>
      <c r="M12" s="49">
        <v>0</v>
      </c>
      <c r="N12" s="49">
        <v>52550</v>
      </c>
      <c r="O12" s="49">
        <v>0</v>
      </c>
    </row>
    <row r="13" spans="1:15" ht="16.5">
      <c r="A13" s="60" t="str">
        <f t="shared" si="9"/>
        <v>Grace</v>
      </c>
      <c r="B13" s="61" t="s">
        <v>5</v>
      </c>
      <c r="C13" s="62">
        <v>61300</v>
      </c>
      <c r="D13" s="63">
        <f t="shared" si="0"/>
        <v>53000</v>
      </c>
      <c r="E13" s="180">
        <f t="shared" si="11"/>
        <v>45900</v>
      </c>
      <c r="F13" s="63">
        <f t="shared" si="6"/>
        <v>20000</v>
      </c>
      <c r="G13" s="63">
        <f t="shared" si="4"/>
        <v>0</v>
      </c>
      <c r="H13" s="63">
        <v>48400</v>
      </c>
      <c r="I13" s="63">
        <f t="shared" si="10"/>
        <v>48400</v>
      </c>
      <c r="J13" s="9">
        <f>I13-H13</f>
        <v>0</v>
      </c>
      <c r="K13" s="47" t="s">
        <v>156</v>
      </c>
      <c r="L13" s="49">
        <v>53000</v>
      </c>
      <c r="M13" s="49">
        <v>20000</v>
      </c>
      <c r="N13" s="49">
        <v>45900</v>
      </c>
      <c r="O13" s="49">
        <v>0</v>
      </c>
    </row>
    <row r="14" spans="1:15" ht="16.5">
      <c r="A14" s="60" t="str">
        <f t="shared" si="9"/>
        <v>I23C</v>
      </c>
      <c r="B14" s="104" t="s">
        <v>3</v>
      </c>
      <c r="C14" s="62">
        <v>10800</v>
      </c>
      <c r="D14" s="63">
        <f t="shared" si="0"/>
        <v>488000</v>
      </c>
      <c r="E14" s="180">
        <f t="shared" si="11"/>
        <v>492000</v>
      </c>
      <c r="F14" s="63">
        <f t="shared" si="6"/>
        <v>0</v>
      </c>
      <c r="G14" s="63">
        <f t="shared" si="4"/>
        <v>0</v>
      </c>
      <c r="H14" s="63">
        <v>6800</v>
      </c>
      <c r="I14" s="63">
        <f t="shared" si="10"/>
        <v>6800</v>
      </c>
      <c r="J14" s="9">
        <f t="shared" ref="J14" si="12">I14-H14</f>
        <v>0</v>
      </c>
      <c r="K14" s="47" t="s">
        <v>31</v>
      </c>
      <c r="L14" s="49">
        <v>488000</v>
      </c>
      <c r="M14" s="49">
        <v>0</v>
      </c>
      <c r="N14" s="49">
        <v>492000</v>
      </c>
      <c r="O14" s="49">
        <v>0</v>
      </c>
    </row>
    <row r="15" spans="1:15" ht="16.5">
      <c r="A15" s="60" t="str">
        <f t="shared" si="9"/>
        <v>Merveille</v>
      </c>
      <c r="B15" s="61" t="s">
        <v>5</v>
      </c>
      <c r="C15" s="62">
        <v>9500</v>
      </c>
      <c r="D15" s="63">
        <f t="shared" si="0"/>
        <v>20000</v>
      </c>
      <c r="E15" s="180">
        <f t="shared" si="11"/>
        <v>24000</v>
      </c>
      <c r="F15" s="63">
        <f t="shared" ref="F15" si="13">+M15</f>
        <v>0</v>
      </c>
      <c r="G15" s="63">
        <f t="shared" ref="G15" si="14">+O15</f>
        <v>0</v>
      </c>
      <c r="H15" s="63">
        <v>5500</v>
      </c>
      <c r="I15" s="63">
        <f t="shared" ref="I15" si="15">+C15+D15-E15-F15+G15</f>
        <v>5500</v>
      </c>
      <c r="J15" s="9">
        <f t="shared" ref="J15" si="16">I15-H15</f>
        <v>0</v>
      </c>
      <c r="K15" s="47" t="s">
        <v>95</v>
      </c>
      <c r="L15" s="49">
        <v>20000</v>
      </c>
      <c r="M15" s="49">
        <v>0</v>
      </c>
      <c r="N15" s="49">
        <v>24000</v>
      </c>
      <c r="O15" s="49"/>
    </row>
    <row r="16" spans="1:15" ht="16.5">
      <c r="A16" s="60" t="str">
        <f t="shared" si="9"/>
        <v>P29</v>
      </c>
      <c r="B16" s="61" t="s">
        <v>169</v>
      </c>
      <c r="C16" s="62">
        <v>21200</v>
      </c>
      <c r="D16" s="63">
        <f t="shared" si="0"/>
        <v>543000</v>
      </c>
      <c r="E16" s="180">
        <f t="shared" si="11"/>
        <v>533500</v>
      </c>
      <c r="F16" s="63">
        <f>+M16</f>
        <v>0</v>
      </c>
      <c r="G16" s="63">
        <f>+O16</f>
        <v>0</v>
      </c>
      <c r="H16" s="63">
        <v>30700</v>
      </c>
      <c r="I16" s="63">
        <f>+C16+D16-E16-F16+G16</f>
        <v>30700</v>
      </c>
      <c r="J16" s="9">
        <f>I16-H16</f>
        <v>0</v>
      </c>
      <c r="K16" s="47" t="s">
        <v>30</v>
      </c>
      <c r="L16" s="49">
        <v>543000</v>
      </c>
      <c r="M16" s="49">
        <v>0</v>
      </c>
      <c r="N16" s="49">
        <v>533500</v>
      </c>
      <c r="O16" s="49">
        <v>0</v>
      </c>
    </row>
    <row r="17" spans="1:15" ht="16.5">
      <c r="A17" s="60" t="str">
        <f t="shared" si="9"/>
        <v>Tiffany</v>
      </c>
      <c r="B17" s="61" t="s">
        <v>3</v>
      </c>
      <c r="C17" s="62">
        <v>26193</v>
      </c>
      <c r="D17" s="63">
        <f t="shared" ref="D17" si="17">+L17</f>
        <v>36000</v>
      </c>
      <c r="E17" s="180">
        <f t="shared" si="11"/>
        <v>53000</v>
      </c>
      <c r="F17" s="63">
        <f t="shared" ref="F17" si="18">+M17</f>
        <v>0</v>
      </c>
      <c r="G17" s="63">
        <f t="shared" si="4"/>
        <v>0</v>
      </c>
      <c r="H17" s="63">
        <v>9193</v>
      </c>
      <c r="I17" s="63">
        <f t="shared" ref="I17" si="19">+C17+D17-E17-F17+G17</f>
        <v>9193</v>
      </c>
      <c r="J17" s="9">
        <f t="shared" ref="J17" si="20">I17-H17</f>
        <v>0</v>
      </c>
      <c r="K17" s="47" t="s">
        <v>115</v>
      </c>
      <c r="L17" s="49">
        <v>36000</v>
      </c>
      <c r="M17" s="49">
        <v>0</v>
      </c>
      <c r="N17" s="49">
        <v>53000</v>
      </c>
      <c r="O17" s="49">
        <v>0</v>
      </c>
    </row>
    <row r="18" spans="1:15" ht="16.5">
      <c r="A18" s="10" t="s">
        <v>52</v>
      </c>
      <c r="B18" s="11"/>
      <c r="C18" s="12">
        <f>SUM(C3:C17)</f>
        <v>32194988</v>
      </c>
      <c r="D18" s="59">
        <f t="shared" ref="D18:G18" si="21">SUM(D3:D17)</f>
        <v>6084500</v>
      </c>
      <c r="E18" s="59">
        <f t="shared" si="21"/>
        <v>8827691</v>
      </c>
      <c r="F18" s="59">
        <f t="shared" si="21"/>
        <v>6084500</v>
      </c>
      <c r="G18" s="59">
        <f t="shared" si="21"/>
        <v>0</v>
      </c>
      <c r="H18" s="59">
        <f>SUM(H3:H17)</f>
        <v>23367297</v>
      </c>
      <c r="I18" s="59">
        <f>SUM(I3:I17)</f>
        <v>23367297</v>
      </c>
      <c r="J18" s="9">
        <f>I18-H18</f>
        <v>0</v>
      </c>
      <c r="K18" s="3"/>
      <c r="L18" s="49">
        <v>6084500</v>
      </c>
      <c r="M18" s="49">
        <v>6084500</v>
      </c>
      <c r="N18" s="49">
        <v>8828291</v>
      </c>
      <c r="O18" s="49">
        <v>0</v>
      </c>
    </row>
    <row r="19" spans="1:15" ht="16.5">
      <c r="A19" s="10"/>
      <c r="B19" s="11"/>
      <c r="C19" s="12"/>
      <c r="D19" s="13"/>
      <c r="E19" s="12"/>
      <c r="F19" s="13"/>
      <c r="G19" s="12"/>
      <c r="H19" s="12"/>
      <c r="I19" s="143" t="b">
        <f>I18=D21</f>
        <v>1</v>
      </c>
      <c r="L19" s="5"/>
      <c r="M19" s="5"/>
      <c r="N19" s="5"/>
      <c r="O19" s="5"/>
    </row>
    <row r="20" spans="1:15" ht="16.5">
      <c r="A20" s="10" t="s">
        <v>177</v>
      </c>
      <c r="B20" s="11" t="s">
        <v>180</v>
      </c>
      <c r="C20" s="12" t="s">
        <v>439</v>
      </c>
      <c r="D20" s="12" t="s">
        <v>176</v>
      </c>
      <c r="E20" s="12" t="s">
        <v>53</v>
      </c>
      <c r="F20" s="12"/>
      <c r="G20" s="12">
        <f>+D18-F18</f>
        <v>0</v>
      </c>
      <c r="H20" s="12"/>
      <c r="I20" s="12"/>
    </row>
    <row r="21" spans="1:15" ht="16.5">
      <c r="A21" s="14">
        <f>C18</f>
        <v>32194988</v>
      </c>
      <c r="B21" s="15">
        <f>G18</f>
        <v>0</v>
      </c>
      <c r="C21" s="12">
        <f>E18</f>
        <v>8827691</v>
      </c>
      <c r="D21" s="12">
        <f>A21+B21-C21</f>
        <v>23367297</v>
      </c>
      <c r="E21" s="13">
        <f>I18-D21</f>
        <v>0</v>
      </c>
      <c r="F21" s="12"/>
      <c r="G21" s="12"/>
      <c r="H21" s="12"/>
      <c r="I21" s="12"/>
    </row>
    <row r="22" spans="1:15" ht="16.5">
      <c r="A22" s="14"/>
      <c r="B22" s="15"/>
      <c r="C22" s="12"/>
      <c r="D22" s="12"/>
      <c r="E22" s="13"/>
      <c r="F22" s="12"/>
      <c r="G22" s="12"/>
      <c r="H22" s="12"/>
      <c r="I22" s="12"/>
    </row>
    <row r="23" spans="1:15">
      <c r="A23" s="16" t="s">
        <v>54</v>
      </c>
      <c r="B23" s="16"/>
      <c r="C23" s="16"/>
      <c r="D23" s="17"/>
      <c r="E23" s="17"/>
      <c r="F23" s="17"/>
      <c r="G23" s="17"/>
      <c r="H23" s="17"/>
      <c r="I23" s="17"/>
    </row>
    <row r="24" spans="1:15">
      <c r="A24" s="18" t="s">
        <v>178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5">
      <c r="A25" s="19"/>
      <c r="B25" s="20"/>
      <c r="C25" s="21"/>
      <c r="D25" s="21"/>
      <c r="E25" s="21"/>
      <c r="F25" s="21"/>
      <c r="G25" s="21"/>
      <c r="H25" s="20"/>
      <c r="I25" s="20"/>
    </row>
    <row r="26" spans="1:15">
      <c r="A26" s="239" t="s">
        <v>55</v>
      </c>
      <c r="B26" s="241" t="s">
        <v>56</v>
      </c>
      <c r="C26" s="243" t="s">
        <v>181</v>
      </c>
      <c r="D26" s="245" t="s">
        <v>57</v>
      </c>
      <c r="E26" s="246"/>
      <c r="F26" s="246"/>
      <c r="G26" s="247"/>
      <c r="H26" s="248" t="s">
        <v>58</v>
      </c>
      <c r="I26" s="235" t="s">
        <v>59</v>
      </c>
      <c r="J26" s="20"/>
    </row>
    <row r="27" spans="1:15" ht="28.5" customHeight="1">
      <c r="A27" s="240"/>
      <c r="B27" s="242"/>
      <c r="C27" s="244"/>
      <c r="D27" s="22" t="s">
        <v>25</v>
      </c>
      <c r="E27" s="22" t="s">
        <v>26</v>
      </c>
      <c r="F27" s="189" t="s">
        <v>125</v>
      </c>
      <c r="G27" s="22" t="s">
        <v>60</v>
      </c>
      <c r="H27" s="249"/>
      <c r="I27" s="236"/>
      <c r="J27" s="237" t="s">
        <v>182</v>
      </c>
      <c r="K27" s="155"/>
    </row>
    <row r="28" spans="1:15">
      <c r="A28" s="24"/>
      <c r="B28" s="25" t="s">
        <v>61</v>
      </c>
      <c r="C28" s="26"/>
      <c r="D28" s="26"/>
      <c r="E28" s="26"/>
      <c r="F28" s="26"/>
      <c r="G28" s="26"/>
      <c r="H28" s="26"/>
      <c r="I28" s="27"/>
      <c r="J28" s="238"/>
      <c r="K28" s="155"/>
    </row>
    <row r="29" spans="1:15">
      <c r="A29" s="130" t="s">
        <v>100</v>
      </c>
      <c r="B29" s="135" t="s">
        <v>168</v>
      </c>
      <c r="C29" s="33">
        <f>+C3</f>
        <v>6757</v>
      </c>
      <c r="D29" s="32"/>
      <c r="E29" s="33">
        <f>D3</f>
        <v>337000</v>
      </c>
      <c r="F29" s="33"/>
      <c r="G29" s="33"/>
      <c r="H29" s="57">
        <f>+F3</f>
        <v>0</v>
      </c>
      <c r="I29" s="33">
        <f>+E3</f>
        <v>314650</v>
      </c>
      <c r="J29" s="31">
        <f>+SUM(C29:G29)-(H29+I29)</f>
        <v>29107</v>
      </c>
      <c r="K29" s="156" t="b">
        <f>J29=I3</f>
        <v>1</v>
      </c>
    </row>
    <row r="30" spans="1:15">
      <c r="A30" s="130" t="str">
        <f>A29</f>
        <v>NOVEMBRE</v>
      </c>
      <c r="B30" s="135" t="s">
        <v>204</v>
      </c>
      <c r="C30" s="33">
        <f>+C4</f>
        <v>0</v>
      </c>
      <c r="D30" s="32"/>
      <c r="E30" s="33">
        <f>+D4</f>
        <v>118000</v>
      </c>
      <c r="F30" s="33"/>
      <c r="G30" s="33"/>
      <c r="H30" s="57">
        <f>+F4</f>
        <v>0</v>
      </c>
      <c r="I30" s="33">
        <f>+E4</f>
        <v>114000</v>
      </c>
      <c r="J30" s="31">
        <f t="shared" ref="J30:J31" si="22">+SUM(C30:G30)-(H30+I30)</f>
        <v>4000</v>
      </c>
      <c r="K30" s="156" t="b">
        <f>J30=I4</f>
        <v>1</v>
      </c>
    </row>
    <row r="31" spans="1:15">
      <c r="A31" s="130" t="str">
        <f>+A30</f>
        <v>NOVEMBRE</v>
      </c>
      <c r="B31" s="135" t="s">
        <v>49</v>
      </c>
      <c r="C31" s="33">
        <f>+C8</f>
        <v>7200</v>
      </c>
      <c r="D31" s="32"/>
      <c r="E31" s="33">
        <f>+D8</f>
        <v>286000</v>
      </c>
      <c r="F31" s="33"/>
      <c r="G31" s="33"/>
      <c r="H31" s="57">
        <f>+F8</f>
        <v>70000</v>
      </c>
      <c r="I31" s="33">
        <f>+E8</f>
        <v>226875</v>
      </c>
      <c r="J31" s="107">
        <f t="shared" si="22"/>
        <v>-3675</v>
      </c>
      <c r="K31" s="156" t="b">
        <f>J31=I8</f>
        <v>1</v>
      </c>
    </row>
    <row r="32" spans="1:15">
      <c r="A32" s="130" t="str">
        <f t="shared" ref="A32:A40" si="23">+A31</f>
        <v>NOVEMBRE</v>
      </c>
      <c r="B32" s="136" t="s">
        <v>32</v>
      </c>
      <c r="C32" s="33">
        <f>+C9</f>
        <v>10095</v>
      </c>
      <c r="D32" s="127"/>
      <c r="E32" s="33">
        <f>+D9</f>
        <v>70500</v>
      </c>
      <c r="F32" s="53"/>
      <c r="G32" s="53"/>
      <c r="H32" s="57">
        <f>+F9</f>
        <v>0</v>
      </c>
      <c r="I32" s="33">
        <f>+E9</f>
        <v>73000</v>
      </c>
      <c r="J32" s="132">
        <f>+SUM(C32:G32)-(H32+I32)</f>
        <v>7595</v>
      </c>
      <c r="K32" s="156" t="b">
        <f t="shared" ref="K32:K40" si="24">J32=I9</f>
        <v>1</v>
      </c>
    </row>
    <row r="33" spans="1:11">
      <c r="A33" s="130" t="str">
        <f t="shared" si="23"/>
        <v>NOVEMBRE</v>
      </c>
      <c r="B33" s="137" t="s">
        <v>86</v>
      </c>
      <c r="C33" s="128">
        <f>+C10</f>
        <v>233614</v>
      </c>
      <c r="D33" s="131"/>
      <c r="E33" s="128">
        <f>+D10</f>
        <v>0</v>
      </c>
      <c r="F33" s="146"/>
      <c r="G33" s="146"/>
      <c r="H33" s="181">
        <f>+F10</f>
        <v>0</v>
      </c>
      <c r="I33" s="128">
        <f>+E10</f>
        <v>0</v>
      </c>
      <c r="J33" s="129">
        <f>+SUM(C33:G33)-(H33+I33)</f>
        <v>233614</v>
      </c>
      <c r="K33" s="156" t="b">
        <f t="shared" si="24"/>
        <v>1</v>
      </c>
    </row>
    <row r="34" spans="1:11">
      <c r="A34" s="130" t="str">
        <f t="shared" si="23"/>
        <v>NOVEMBRE</v>
      </c>
      <c r="B34" s="137" t="s">
        <v>85</v>
      </c>
      <c r="C34" s="128">
        <f>+C11</f>
        <v>249769</v>
      </c>
      <c r="D34" s="131"/>
      <c r="E34" s="128">
        <f>+D11</f>
        <v>0</v>
      </c>
      <c r="F34" s="146"/>
      <c r="G34" s="146"/>
      <c r="H34" s="181">
        <f>+F11</f>
        <v>0</v>
      </c>
      <c r="I34" s="128">
        <f>+E11</f>
        <v>0</v>
      </c>
      <c r="J34" s="129">
        <f t="shared" ref="J34:J40" si="25">+SUM(C34:G34)-(H34+I34)</f>
        <v>249769</v>
      </c>
      <c r="K34" s="156" t="b">
        <f t="shared" si="24"/>
        <v>1</v>
      </c>
    </row>
    <row r="35" spans="1:11">
      <c r="A35" s="130" t="str">
        <f t="shared" si="23"/>
        <v>NOVEMBRE</v>
      </c>
      <c r="B35" s="135" t="s">
        <v>157</v>
      </c>
      <c r="C35" s="33">
        <f>+C12</f>
        <v>3550</v>
      </c>
      <c r="D35" s="32"/>
      <c r="E35" s="33">
        <f>+D12</f>
        <v>43000</v>
      </c>
      <c r="F35" s="33"/>
      <c r="G35" s="110"/>
      <c r="H35" s="57">
        <f>+F12</f>
        <v>0</v>
      </c>
      <c r="I35" s="33">
        <f>+E12</f>
        <v>52550</v>
      </c>
      <c r="J35" s="31">
        <f t="shared" si="25"/>
        <v>-6000</v>
      </c>
      <c r="K35" s="156" t="b">
        <f t="shared" si="24"/>
        <v>1</v>
      </c>
    </row>
    <row r="36" spans="1:11">
      <c r="A36" s="130" t="str">
        <f t="shared" si="23"/>
        <v>NOVEMBRE</v>
      </c>
      <c r="B36" s="135" t="s">
        <v>156</v>
      </c>
      <c r="C36" s="33">
        <f t="shared" ref="C36:C40" si="26">+C13</f>
        <v>61300</v>
      </c>
      <c r="D36" s="32"/>
      <c r="E36" s="33">
        <f t="shared" ref="E36:E40" si="27">+D13</f>
        <v>53000</v>
      </c>
      <c r="F36" s="33"/>
      <c r="G36" s="110"/>
      <c r="H36" s="57">
        <f t="shared" ref="H36:H40" si="28">+F13</f>
        <v>20000</v>
      </c>
      <c r="I36" s="33">
        <f t="shared" ref="I36:I40" si="29">+E13</f>
        <v>45900</v>
      </c>
      <c r="J36" s="31">
        <f t="shared" si="25"/>
        <v>48400</v>
      </c>
      <c r="K36" s="156" t="b">
        <f t="shared" si="24"/>
        <v>1</v>
      </c>
    </row>
    <row r="37" spans="1:11">
      <c r="A37" s="130" t="str">
        <f t="shared" si="23"/>
        <v>NOVEMBRE</v>
      </c>
      <c r="B37" s="135" t="s">
        <v>31</v>
      </c>
      <c r="C37" s="33">
        <f t="shared" si="26"/>
        <v>10800</v>
      </c>
      <c r="D37" s="32"/>
      <c r="E37" s="33">
        <f t="shared" si="27"/>
        <v>488000</v>
      </c>
      <c r="F37" s="33"/>
      <c r="G37" s="110"/>
      <c r="H37" s="57">
        <f t="shared" si="28"/>
        <v>0</v>
      </c>
      <c r="I37" s="33">
        <f t="shared" si="29"/>
        <v>492000</v>
      </c>
      <c r="J37" s="31">
        <f t="shared" si="25"/>
        <v>6800</v>
      </c>
      <c r="K37" s="156" t="b">
        <f t="shared" si="24"/>
        <v>1</v>
      </c>
    </row>
    <row r="38" spans="1:11">
      <c r="A38" s="130" t="str">
        <f>+A36</f>
        <v>NOVEMBRE</v>
      </c>
      <c r="B38" s="135" t="s">
        <v>95</v>
      </c>
      <c r="C38" s="33">
        <f t="shared" si="26"/>
        <v>9500</v>
      </c>
      <c r="D38" s="32"/>
      <c r="E38" s="33">
        <f t="shared" si="27"/>
        <v>20000</v>
      </c>
      <c r="F38" s="33"/>
      <c r="G38" s="110"/>
      <c r="H38" s="57">
        <f t="shared" si="28"/>
        <v>0</v>
      </c>
      <c r="I38" s="33">
        <f t="shared" si="29"/>
        <v>24000</v>
      </c>
      <c r="J38" s="31">
        <f t="shared" si="25"/>
        <v>5500</v>
      </c>
      <c r="K38" s="156" t="b">
        <f t="shared" si="24"/>
        <v>1</v>
      </c>
    </row>
    <row r="39" spans="1:11">
      <c r="A39" s="130" t="str">
        <f>+A37</f>
        <v>NOVEMBRE</v>
      </c>
      <c r="B39" s="135" t="s">
        <v>30</v>
      </c>
      <c r="C39" s="33">
        <f t="shared" si="26"/>
        <v>21200</v>
      </c>
      <c r="D39" s="32"/>
      <c r="E39" s="33">
        <f t="shared" si="27"/>
        <v>543000</v>
      </c>
      <c r="F39" s="33"/>
      <c r="G39" s="110"/>
      <c r="H39" s="57">
        <f t="shared" si="28"/>
        <v>0</v>
      </c>
      <c r="I39" s="33">
        <f t="shared" si="29"/>
        <v>533500</v>
      </c>
      <c r="J39" s="31">
        <f t="shared" si="25"/>
        <v>30700</v>
      </c>
      <c r="K39" s="156" t="b">
        <f t="shared" si="24"/>
        <v>1</v>
      </c>
    </row>
    <row r="40" spans="1:11">
      <c r="A40" s="130" t="str">
        <f t="shared" si="23"/>
        <v>NOVEMBRE</v>
      </c>
      <c r="B40" s="136" t="s">
        <v>115</v>
      </c>
      <c r="C40" s="33">
        <f t="shared" si="26"/>
        <v>26193</v>
      </c>
      <c r="D40" s="127"/>
      <c r="E40" s="33">
        <f t="shared" si="27"/>
        <v>36000</v>
      </c>
      <c r="F40" s="53"/>
      <c r="G40" s="147"/>
      <c r="H40" s="57">
        <f t="shared" si="28"/>
        <v>0</v>
      </c>
      <c r="I40" s="33">
        <f t="shared" si="29"/>
        <v>53000</v>
      </c>
      <c r="J40" s="31">
        <f t="shared" si="25"/>
        <v>9193</v>
      </c>
      <c r="K40" s="156" t="b">
        <f t="shared" si="24"/>
        <v>1</v>
      </c>
    </row>
    <row r="41" spans="1:11">
      <c r="A41" s="35" t="s">
        <v>62</v>
      </c>
      <c r="B41" s="36"/>
      <c r="C41" s="36"/>
      <c r="D41" s="36"/>
      <c r="E41" s="36"/>
      <c r="F41" s="36"/>
      <c r="G41" s="36"/>
      <c r="H41" s="36"/>
      <c r="I41" s="36"/>
      <c r="J41" s="37"/>
      <c r="K41" s="155"/>
    </row>
    <row r="42" spans="1:11">
      <c r="A42" s="130" t="str">
        <f>+A40</f>
        <v>NOVEMBRE</v>
      </c>
      <c r="B42" s="38" t="s">
        <v>63</v>
      </c>
      <c r="C42" s="39">
        <f>+C7</f>
        <v>1685107</v>
      </c>
      <c r="D42" s="51"/>
      <c r="E42" s="51">
        <f>D7</f>
        <v>4090000</v>
      </c>
      <c r="F42" s="51"/>
      <c r="G42" s="133"/>
      <c r="H42" s="53">
        <f>+F7</f>
        <v>1994500</v>
      </c>
      <c r="I42" s="134">
        <f>+E7</f>
        <v>2854238</v>
      </c>
      <c r="J42" s="46">
        <f>+SUM(C42:G42)-(H42+I42)</f>
        <v>926369</v>
      </c>
      <c r="K42" s="156" t="b">
        <f>J42=I7</f>
        <v>1</v>
      </c>
    </row>
    <row r="43" spans="1:11">
      <c r="A43" s="44" t="s">
        <v>64</v>
      </c>
      <c r="B43" s="25"/>
      <c r="C43" s="36"/>
      <c r="D43" s="25"/>
      <c r="E43" s="25"/>
      <c r="F43" s="25"/>
      <c r="G43" s="25"/>
      <c r="H43" s="25"/>
      <c r="I43" s="25"/>
      <c r="J43" s="37"/>
      <c r="K43" s="155"/>
    </row>
    <row r="44" spans="1:11">
      <c r="A44" s="130" t="str">
        <f>+A42</f>
        <v>NOVEMBRE</v>
      </c>
      <c r="B44" s="38" t="s">
        <v>174</v>
      </c>
      <c r="C44" s="133">
        <f>+C5</f>
        <v>6762063</v>
      </c>
      <c r="D44" s="140">
        <f>+G5</f>
        <v>0</v>
      </c>
      <c r="E44" s="51"/>
      <c r="F44" s="51"/>
      <c r="G44" s="51"/>
      <c r="H44" s="53">
        <f>+F5</f>
        <v>1000000</v>
      </c>
      <c r="I44" s="55">
        <f>+E5</f>
        <v>23345</v>
      </c>
      <c r="J44" s="46">
        <f>+SUM(C44:G44)-(H44+I44)</f>
        <v>5738718</v>
      </c>
      <c r="K44" s="156" t="b">
        <f>+J44=I5</f>
        <v>1</v>
      </c>
    </row>
    <row r="45" spans="1:11">
      <c r="A45" s="130" t="str">
        <f t="shared" ref="A45" si="30">+A44</f>
        <v>NOVEMBRE</v>
      </c>
      <c r="B45" s="38" t="s">
        <v>66</v>
      </c>
      <c r="C45" s="133">
        <f>+C6</f>
        <v>23107840</v>
      </c>
      <c r="D45" s="51">
        <f>+G6</f>
        <v>0</v>
      </c>
      <c r="E45" s="50"/>
      <c r="F45" s="50"/>
      <c r="G45" s="50"/>
      <c r="H45" s="33">
        <f>+F6</f>
        <v>3000000</v>
      </c>
      <c r="I45" s="52">
        <f>+E6</f>
        <v>4020633</v>
      </c>
      <c r="J45" s="46">
        <f>SUM(C45:G45)-(H45+I45)</f>
        <v>16087207</v>
      </c>
      <c r="K45" s="156" t="b">
        <f>+J45=I6</f>
        <v>1</v>
      </c>
    </row>
    <row r="46" spans="1:11" ht="15.75">
      <c r="C46" s="151">
        <f>SUM(C30:C45)</f>
        <v>32188231</v>
      </c>
      <c r="I46" s="149">
        <f>SUM(I30:I45)</f>
        <v>8513041</v>
      </c>
      <c r="J46" s="111">
        <f>+SUM(J29:J45)</f>
        <v>23367297</v>
      </c>
      <c r="K46" s="5" t="b">
        <f>J46=I18</f>
        <v>1</v>
      </c>
    </row>
    <row r="47" spans="1:11">
      <c r="G47" s="9"/>
    </row>
    <row r="48" spans="1:11">
      <c r="A48" s="16" t="s">
        <v>54</v>
      </c>
      <c r="B48" s="16"/>
      <c r="C48" s="16"/>
      <c r="D48" s="17"/>
      <c r="E48" s="17"/>
      <c r="F48" s="17"/>
      <c r="G48" s="17"/>
      <c r="H48" s="17"/>
      <c r="I48" s="17"/>
    </row>
    <row r="49" spans="1:11">
      <c r="A49" s="18" t="s">
        <v>167</v>
      </c>
      <c r="B49" s="18"/>
      <c r="C49" s="18"/>
      <c r="D49" s="18"/>
      <c r="E49" s="18"/>
      <c r="F49" s="18"/>
      <c r="G49" s="18"/>
      <c r="H49" s="18"/>
      <c r="I49" s="18"/>
      <c r="J49" s="18"/>
    </row>
    <row r="50" spans="1:11">
      <c r="A50" s="19"/>
      <c r="B50" s="20"/>
      <c r="C50" s="21"/>
      <c r="D50" s="21"/>
      <c r="E50" s="21"/>
      <c r="F50" s="21"/>
      <c r="G50" s="21"/>
      <c r="H50" s="20"/>
      <c r="I50" s="20"/>
    </row>
    <row r="51" spans="1:11">
      <c r="A51" s="239" t="s">
        <v>55</v>
      </c>
      <c r="B51" s="241" t="s">
        <v>56</v>
      </c>
      <c r="C51" s="243" t="s">
        <v>164</v>
      </c>
      <c r="D51" s="245" t="s">
        <v>57</v>
      </c>
      <c r="E51" s="246"/>
      <c r="F51" s="246"/>
      <c r="G51" s="247"/>
      <c r="H51" s="248" t="s">
        <v>58</v>
      </c>
      <c r="I51" s="235" t="s">
        <v>59</v>
      </c>
      <c r="J51" s="20"/>
    </row>
    <row r="52" spans="1:11">
      <c r="A52" s="240"/>
      <c r="B52" s="242"/>
      <c r="C52" s="244"/>
      <c r="D52" s="22" t="s">
        <v>25</v>
      </c>
      <c r="E52" s="22" t="s">
        <v>26</v>
      </c>
      <c r="F52" s="183" t="s">
        <v>125</v>
      </c>
      <c r="G52" s="22" t="s">
        <v>60</v>
      </c>
      <c r="H52" s="249"/>
      <c r="I52" s="236"/>
      <c r="J52" s="237" t="s">
        <v>165</v>
      </c>
      <c r="K52" s="155"/>
    </row>
    <row r="53" spans="1:11">
      <c r="A53" s="24"/>
      <c r="B53" s="25" t="s">
        <v>61</v>
      </c>
      <c r="C53" s="26"/>
      <c r="D53" s="26"/>
      <c r="E53" s="26"/>
      <c r="F53" s="26"/>
      <c r="G53" s="26"/>
      <c r="H53" s="26"/>
      <c r="I53" s="27"/>
      <c r="J53" s="238"/>
      <c r="K53" s="155"/>
    </row>
    <row r="54" spans="1:11">
      <c r="A54" s="130" t="s">
        <v>92</v>
      </c>
      <c r="B54" s="135" t="s">
        <v>168</v>
      </c>
      <c r="C54" s="33">
        <f>+C3</f>
        <v>6757</v>
      </c>
      <c r="D54" s="32"/>
      <c r="E54" s="33">
        <f>+D3</f>
        <v>337000</v>
      </c>
      <c r="F54" s="33"/>
      <c r="G54" s="33"/>
      <c r="H54" s="57">
        <f>+F3</f>
        <v>0</v>
      </c>
      <c r="I54" s="33">
        <f>+E3</f>
        <v>314650</v>
      </c>
      <c r="J54" s="31">
        <f>+SUM(C54:G54)-(H54+I54)</f>
        <v>29107</v>
      </c>
      <c r="K54" s="156" t="b">
        <f>J54=I3</f>
        <v>1</v>
      </c>
    </row>
    <row r="55" spans="1:11">
      <c r="A55" s="130" t="s">
        <v>92</v>
      </c>
      <c r="B55" s="135" t="s">
        <v>49</v>
      </c>
      <c r="C55" s="33">
        <f t="shared" ref="C55:C64" si="31">C7</f>
        <v>1685107</v>
      </c>
      <c r="D55" s="32"/>
      <c r="E55" s="33">
        <f>+D7</f>
        <v>4090000</v>
      </c>
      <c r="F55" s="33"/>
      <c r="G55" s="33"/>
      <c r="H55" s="57">
        <f t="shared" ref="H55:H64" si="32">+F7</f>
        <v>1994500</v>
      </c>
      <c r="I55" s="33">
        <f t="shared" ref="I55:I64" si="33">+E7</f>
        <v>2854238</v>
      </c>
      <c r="J55" s="31">
        <f t="shared" ref="J55:J56" si="34">+SUM(C55:G55)-(H55+I55)</f>
        <v>926369</v>
      </c>
      <c r="K55" s="156" t="b">
        <f t="shared" ref="K55:K65" si="35">J55=I7</f>
        <v>1</v>
      </c>
    </row>
    <row r="56" spans="1:11">
      <c r="A56" s="130" t="str">
        <f>+A55</f>
        <v>OCTOBRE</v>
      </c>
      <c r="B56" s="135" t="s">
        <v>32</v>
      </c>
      <c r="C56" s="33">
        <f t="shared" si="31"/>
        <v>7200</v>
      </c>
      <c r="D56" s="32"/>
      <c r="E56" s="33">
        <f>+D8</f>
        <v>286000</v>
      </c>
      <c r="F56" s="33"/>
      <c r="G56" s="33"/>
      <c r="H56" s="57">
        <f t="shared" si="32"/>
        <v>70000</v>
      </c>
      <c r="I56" s="33">
        <f t="shared" si="33"/>
        <v>226875</v>
      </c>
      <c r="J56" s="107">
        <f t="shared" si="34"/>
        <v>-3675</v>
      </c>
      <c r="K56" s="156" t="b">
        <f t="shared" si="35"/>
        <v>1</v>
      </c>
    </row>
    <row r="57" spans="1:11">
      <c r="A57" s="130" t="str">
        <f t="shared" ref="A57:A65" si="36">+A56</f>
        <v>OCTOBRE</v>
      </c>
      <c r="B57" s="136" t="s">
        <v>157</v>
      </c>
      <c r="C57" s="33">
        <f t="shared" si="31"/>
        <v>10095</v>
      </c>
      <c r="D57" s="127"/>
      <c r="E57" s="33">
        <f>D9</f>
        <v>70500</v>
      </c>
      <c r="F57" s="53"/>
      <c r="G57" s="53"/>
      <c r="H57" s="57">
        <f t="shared" si="32"/>
        <v>0</v>
      </c>
      <c r="I57" s="33">
        <f t="shared" si="33"/>
        <v>73000</v>
      </c>
      <c r="J57" s="132">
        <f>+SUM(C57:G57)-(H57+I57)</f>
        <v>7595</v>
      </c>
      <c r="K57" s="156" t="b">
        <f t="shared" si="35"/>
        <v>1</v>
      </c>
    </row>
    <row r="58" spans="1:11">
      <c r="A58" s="130" t="str">
        <f t="shared" si="36"/>
        <v>OCTOBRE</v>
      </c>
      <c r="B58" s="137" t="s">
        <v>86</v>
      </c>
      <c r="C58" s="128">
        <f t="shared" si="31"/>
        <v>233614</v>
      </c>
      <c r="D58" s="131"/>
      <c r="E58" s="128">
        <f t="shared" ref="E58:E62" si="37">+D10</f>
        <v>0</v>
      </c>
      <c r="F58" s="146"/>
      <c r="G58" s="146"/>
      <c r="H58" s="181">
        <f t="shared" si="32"/>
        <v>0</v>
      </c>
      <c r="I58" s="128">
        <f t="shared" si="33"/>
        <v>0</v>
      </c>
      <c r="J58" s="129">
        <f>+SUM(C58:G58)-(H58+I58)</f>
        <v>233614</v>
      </c>
      <c r="K58" s="156" t="b">
        <f t="shared" si="35"/>
        <v>1</v>
      </c>
    </row>
    <row r="59" spans="1:11">
      <c r="A59" s="130" t="str">
        <f t="shared" si="36"/>
        <v>OCTOBRE</v>
      </c>
      <c r="B59" s="137" t="s">
        <v>85</v>
      </c>
      <c r="C59" s="128">
        <f t="shared" si="31"/>
        <v>249769</v>
      </c>
      <c r="D59" s="131"/>
      <c r="E59" s="128">
        <f t="shared" si="37"/>
        <v>0</v>
      </c>
      <c r="F59" s="146"/>
      <c r="G59" s="146"/>
      <c r="H59" s="181">
        <f t="shared" si="32"/>
        <v>0</v>
      </c>
      <c r="I59" s="128">
        <f t="shared" si="33"/>
        <v>0</v>
      </c>
      <c r="J59" s="129">
        <f t="shared" ref="J59:J65" si="38">+SUM(C59:G59)-(H59+I59)</f>
        <v>249769</v>
      </c>
      <c r="K59" s="156" t="b">
        <f t="shared" si="35"/>
        <v>1</v>
      </c>
    </row>
    <row r="60" spans="1:11">
      <c r="A60" s="130" t="str">
        <f t="shared" si="36"/>
        <v>OCTOBRE</v>
      </c>
      <c r="B60" s="135" t="s">
        <v>156</v>
      </c>
      <c r="C60" s="33">
        <f t="shared" si="31"/>
        <v>3550</v>
      </c>
      <c r="D60" s="32"/>
      <c r="E60" s="33">
        <f t="shared" si="37"/>
        <v>43000</v>
      </c>
      <c r="F60" s="33"/>
      <c r="G60" s="110"/>
      <c r="H60" s="57">
        <f t="shared" si="32"/>
        <v>0</v>
      </c>
      <c r="I60" s="33">
        <f t="shared" si="33"/>
        <v>52550</v>
      </c>
      <c r="J60" s="31">
        <f t="shared" si="38"/>
        <v>-6000</v>
      </c>
      <c r="K60" s="156" t="b">
        <f t="shared" si="35"/>
        <v>1</v>
      </c>
    </row>
    <row r="61" spans="1:11">
      <c r="A61" s="130" t="str">
        <f t="shared" si="36"/>
        <v>OCTOBRE</v>
      </c>
      <c r="B61" s="135" t="s">
        <v>31</v>
      </c>
      <c r="C61" s="33">
        <f t="shared" si="31"/>
        <v>61300</v>
      </c>
      <c r="D61" s="32"/>
      <c r="E61" s="33">
        <f t="shared" si="37"/>
        <v>53000</v>
      </c>
      <c r="F61" s="33"/>
      <c r="G61" s="110"/>
      <c r="H61" s="57">
        <f t="shared" si="32"/>
        <v>20000</v>
      </c>
      <c r="I61" s="33">
        <f t="shared" si="33"/>
        <v>45900</v>
      </c>
      <c r="J61" s="31">
        <f t="shared" si="38"/>
        <v>48400</v>
      </c>
      <c r="K61" s="156" t="b">
        <f t="shared" si="35"/>
        <v>1</v>
      </c>
    </row>
    <row r="62" spans="1:11">
      <c r="A62" s="130" t="str">
        <f t="shared" si="36"/>
        <v>OCTOBRE</v>
      </c>
      <c r="B62" s="135" t="s">
        <v>95</v>
      </c>
      <c r="C62" s="33">
        <f t="shared" si="31"/>
        <v>10800</v>
      </c>
      <c r="D62" s="32"/>
      <c r="E62" s="33">
        <f t="shared" si="37"/>
        <v>488000</v>
      </c>
      <c r="F62" s="33"/>
      <c r="G62" s="110"/>
      <c r="H62" s="57">
        <f t="shared" si="32"/>
        <v>0</v>
      </c>
      <c r="I62" s="33">
        <f t="shared" si="33"/>
        <v>492000</v>
      </c>
      <c r="J62" s="31">
        <f t="shared" si="38"/>
        <v>6800</v>
      </c>
      <c r="K62" s="156" t="b">
        <f t="shared" si="35"/>
        <v>1</v>
      </c>
    </row>
    <row r="63" spans="1:11">
      <c r="A63" s="130" t="str">
        <f>+A61</f>
        <v>OCTOBRE</v>
      </c>
      <c r="B63" s="135" t="s">
        <v>30</v>
      </c>
      <c r="C63" s="33">
        <f t="shared" si="31"/>
        <v>9500</v>
      </c>
      <c r="D63" s="32"/>
      <c r="E63" s="33">
        <f>+D15</f>
        <v>20000</v>
      </c>
      <c r="F63" s="33"/>
      <c r="G63" s="110"/>
      <c r="H63" s="57">
        <f t="shared" si="32"/>
        <v>0</v>
      </c>
      <c r="I63" s="33">
        <f t="shared" si="33"/>
        <v>24000</v>
      </c>
      <c r="J63" s="31">
        <f t="shared" ref="J63" si="39">+SUM(C63:G63)-(H63+I63)</f>
        <v>5500</v>
      </c>
      <c r="K63" s="156" t="b">
        <f t="shared" si="35"/>
        <v>1</v>
      </c>
    </row>
    <row r="64" spans="1:11">
      <c r="A64" s="130" t="str">
        <f>+A62</f>
        <v>OCTOBRE</v>
      </c>
      <c r="B64" s="135" t="s">
        <v>161</v>
      </c>
      <c r="C64" s="33">
        <f t="shared" si="31"/>
        <v>21200</v>
      </c>
      <c r="D64" s="32"/>
      <c r="E64" s="33">
        <f>+D16</f>
        <v>543000</v>
      </c>
      <c r="F64" s="33"/>
      <c r="G64" s="110"/>
      <c r="H64" s="57">
        <f t="shared" si="32"/>
        <v>0</v>
      </c>
      <c r="I64" s="33">
        <f t="shared" si="33"/>
        <v>533500</v>
      </c>
      <c r="J64" s="31">
        <f t="shared" si="38"/>
        <v>30700</v>
      </c>
      <c r="K64" s="156" t="b">
        <f t="shared" si="35"/>
        <v>1</v>
      </c>
    </row>
    <row r="65" spans="1:11">
      <c r="A65" s="130" t="str">
        <f t="shared" si="36"/>
        <v>OCTOBRE</v>
      </c>
      <c r="B65" s="136" t="s">
        <v>115</v>
      </c>
      <c r="C65" s="33">
        <f t="shared" ref="C65" si="40">C17</f>
        <v>26193</v>
      </c>
      <c r="D65" s="127"/>
      <c r="E65" s="33">
        <f t="shared" ref="E65" si="41">+D17</f>
        <v>36000</v>
      </c>
      <c r="F65" s="53"/>
      <c r="G65" s="147"/>
      <c r="H65" s="57">
        <f t="shared" ref="H65" si="42">+F17</f>
        <v>0</v>
      </c>
      <c r="I65" s="33">
        <f t="shared" ref="I65" si="43">+E17</f>
        <v>53000</v>
      </c>
      <c r="J65" s="31">
        <f t="shared" si="38"/>
        <v>9193</v>
      </c>
      <c r="K65" s="156" t="b">
        <f t="shared" si="35"/>
        <v>1</v>
      </c>
    </row>
    <row r="66" spans="1:11">
      <c r="A66" s="35" t="s">
        <v>62</v>
      </c>
      <c r="B66" s="36"/>
      <c r="C66" s="36"/>
      <c r="D66" s="36"/>
      <c r="E66" s="36"/>
      <c r="F66" s="36"/>
      <c r="G66" s="36"/>
      <c r="H66" s="36"/>
      <c r="I66" s="36"/>
      <c r="J66" s="37"/>
      <c r="K66" s="155"/>
    </row>
    <row r="67" spans="1:11">
      <c r="A67" s="130" t="str">
        <f>+A65</f>
        <v>OCTOBRE</v>
      </c>
      <c r="B67" s="38" t="s">
        <v>63</v>
      </c>
      <c r="C67" s="39">
        <f>C6</f>
        <v>23107840</v>
      </c>
      <c r="D67" s="51"/>
      <c r="E67" s="51">
        <f>D6</f>
        <v>0</v>
      </c>
      <c r="F67" s="51"/>
      <c r="G67" s="133"/>
      <c r="H67" s="53">
        <f>+F6</f>
        <v>3000000</v>
      </c>
      <c r="I67" s="134">
        <f>+E6</f>
        <v>4020633</v>
      </c>
      <c r="J67" s="46">
        <f>+SUM(C67:G67)-(H67+I67)</f>
        <v>16087207</v>
      </c>
      <c r="K67" s="156" t="b">
        <f>J67=I6</f>
        <v>1</v>
      </c>
    </row>
    <row r="68" spans="1:11">
      <c r="A68" s="44" t="s">
        <v>64</v>
      </c>
      <c r="B68" s="25"/>
      <c r="C68" s="36"/>
      <c r="D68" s="25"/>
      <c r="E68" s="25"/>
      <c r="F68" s="25"/>
      <c r="G68" s="25"/>
      <c r="H68" s="25"/>
      <c r="I68" s="25"/>
      <c r="J68" s="37"/>
      <c r="K68" s="155"/>
    </row>
    <row r="69" spans="1:11">
      <c r="A69" s="130" t="str">
        <f>+A67</f>
        <v>OCTOBRE</v>
      </c>
      <c r="B69" s="38" t="s">
        <v>174</v>
      </c>
      <c r="C69" s="133">
        <f>C4</f>
        <v>0</v>
      </c>
      <c r="D69" s="140">
        <f>G4</f>
        <v>0</v>
      </c>
      <c r="E69" s="51"/>
      <c r="F69" s="51"/>
      <c r="G69" s="51"/>
      <c r="H69" s="53">
        <f>+F4</f>
        <v>0</v>
      </c>
      <c r="I69" s="55">
        <f>+E4</f>
        <v>114000</v>
      </c>
      <c r="J69" s="46">
        <f>+SUM(C69:G69)-(H69+I69)</f>
        <v>-114000</v>
      </c>
      <c r="K69" s="156" t="b">
        <f>+J69=I4</f>
        <v>0</v>
      </c>
    </row>
    <row r="70" spans="1:11">
      <c r="A70" s="130" t="str">
        <f t="shared" ref="A70" si="44">+A69</f>
        <v>OCTOBRE</v>
      </c>
      <c r="B70" s="38" t="s">
        <v>66</v>
      </c>
      <c r="C70" s="133">
        <f>C5</f>
        <v>6762063</v>
      </c>
      <c r="D70" s="51">
        <f>G5</f>
        <v>0</v>
      </c>
      <c r="E70" s="50"/>
      <c r="F70" s="50"/>
      <c r="G70" s="50"/>
      <c r="H70" s="33">
        <f>+F5</f>
        <v>1000000</v>
      </c>
      <c r="I70" s="52">
        <f>+E5</f>
        <v>23345</v>
      </c>
      <c r="J70" s="46">
        <f>SUM(C70:G70)-(H70+I70)</f>
        <v>5738718</v>
      </c>
      <c r="K70" s="156" t="b">
        <f>+J70=I5</f>
        <v>1</v>
      </c>
    </row>
    <row r="71" spans="1:11" ht="15.75">
      <c r="C71" s="151">
        <f>SUM(C55:C70)</f>
        <v>32188231</v>
      </c>
      <c r="I71" s="149">
        <f>SUM(I55:I70)</f>
        <v>8513041</v>
      </c>
      <c r="J71" s="111">
        <f>+SUM(J54:J70)</f>
        <v>23249297</v>
      </c>
      <c r="K71" s="5" t="b">
        <f>J71=I18</f>
        <v>0</v>
      </c>
    </row>
    <row r="72" spans="1:11">
      <c r="G72" s="9"/>
    </row>
    <row r="73" spans="1:11">
      <c r="A73" s="16" t="s">
        <v>54</v>
      </c>
      <c r="B73" s="16"/>
      <c r="C73" s="16"/>
      <c r="D73" s="17"/>
      <c r="E73" s="17"/>
      <c r="F73" s="17"/>
      <c r="G73" s="17"/>
      <c r="H73" s="17"/>
      <c r="I73" s="17"/>
    </row>
    <row r="74" spans="1:11">
      <c r="A74" s="18" t="s">
        <v>159</v>
      </c>
      <c r="B74" s="18"/>
      <c r="C74" s="18"/>
      <c r="D74" s="18"/>
      <c r="E74" s="18"/>
      <c r="F74" s="18"/>
      <c r="G74" s="18"/>
      <c r="H74" s="18"/>
      <c r="I74" s="18"/>
      <c r="J74" s="18"/>
    </row>
    <row r="75" spans="1:11">
      <c r="A75" s="19"/>
      <c r="B75" s="20"/>
      <c r="C75" s="21"/>
      <c r="D75" s="21"/>
      <c r="E75" s="21"/>
      <c r="F75" s="21"/>
      <c r="G75" s="21"/>
      <c r="H75" s="20"/>
      <c r="I75" s="20"/>
    </row>
    <row r="76" spans="1:11">
      <c r="A76" s="239" t="s">
        <v>55</v>
      </c>
      <c r="B76" s="241" t="s">
        <v>56</v>
      </c>
      <c r="C76" s="243" t="s">
        <v>160</v>
      </c>
      <c r="D76" s="245" t="s">
        <v>57</v>
      </c>
      <c r="E76" s="246"/>
      <c r="F76" s="246"/>
      <c r="G76" s="247"/>
      <c r="H76" s="248" t="s">
        <v>58</v>
      </c>
      <c r="I76" s="235" t="s">
        <v>59</v>
      </c>
      <c r="J76" s="20"/>
    </row>
    <row r="77" spans="1:11">
      <c r="A77" s="240"/>
      <c r="B77" s="242"/>
      <c r="C77" s="244"/>
      <c r="D77" s="22" t="s">
        <v>25</v>
      </c>
      <c r="E77" s="22" t="s">
        <v>26</v>
      </c>
      <c r="F77" s="182" t="s">
        <v>125</v>
      </c>
      <c r="G77" s="22" t="s">
        <v>60</v>
      </c>
      <c r="H77" s="249"/>
      <c r="I77" s="236"/>
      <c r="J77" s="237" t="s">
        <v>166</v>
      </c>
      <c r="K77" s="155"/>
    </row>
    <row r="78" spans="1:11">
      <c r="A78" s="24"/>
      <c r="B78" s="25" t="s">
        <v>61</v>
      </c>
      <c r="C78" s="26"/>
      <c r="D78" s="26"/>
      <c r="E78" s="26"/>
      <c r="F78" s="26"/>
      <c r="G78" s="26"/>
      <c r="H78" s="26"/>
      <c r="I78" s="27"/>
      <c r="J78" s="238"/>
      <c r="K78" s="155"/>
    </row>
    <row r="79" spans="1:11">
      <c r="A79" s="130" t="s">
        <v>81</v>
      </c>
      <c r="B79" s="135" t="s">
        <v>49</v>
      </c>
      <c r="C79" s="33" t="e">
        <f>#REF!</f>
        <v>#REF!</v>
      </c>
      <c r="D79" s="32"/>
      <c r="E79" s="33" t="e">
        <f>+#REF!</f>
        <v>#REF!</v>
      </c>
      <c r="F79" s="33"/>
      <c r="G79" s="33"/>
      <c r="H79" s="57" t="e">
        <f>+#REF!</f>
        <v>#REF!</v>
      </c>
      <c r="I79" s="33" t="e">
        <f>+#REF!</f>
        <v>#REF!</v>
      </c>
      <c r="J79" s="31" t="e">
        <f t="shared" ref="J79:J80" si="45">+SUM(C79:G79)-(H79+I79)</f>
        <v>#REF!</v>
      </c>
      <c r="K79" s="156" t="e">
        <f>J79=#REF!</f>
        <v>#REF!</v>
      </c>
    </row>
    <row r="80" spans="1:11">
      <c r="A80" s="130" t="str">
        <f>+A79</f>
        <v>SEPTEMBRE</v>
      </c>
      <c r="B80" s="135" t="s">
        <v>32</v>
      </c>
      <c r="C80" s="33" t="e">
        <f>#REF!</f>
        <v>#REF!</v>
      </c>
      <c r="D80" s="32"/>
      <c r="E80" s="33" t="e">
        <f>+#REF!</f>
        <v>#REF!</v>
      </c>
      <c r="F80" s="33"/>
      <c r="G80" s="33"/>
      <c r="H80" s="57" t="e">
        <f>+#REF!</f>
        <v>#REF!</v>
      </c>
      <c r="I80" s="33" t="e">
        <f>+#REF!</f>
        <v>#REF!</v>
      </c>
      <c r="J80" s="107" t="e">
        <f t="shared" si="45"/>
        <v>#REF!</v>
      </c>
      <c r="K80" s="156" t="e">
        <f>J80=#REF!</f>
        <v>#REF!</v>
      </c>
    </row>
    <row r="81" spans="1:11">
      <c r="A81" s="130" t="str">
        <f t="shared" ref="A81:A88" si="46">+A80</f>
        <v>SEPTEMBRE</v>
      </c>
      <c r="B81" s="136" t="s">
        <v>157</v>
      </c>
      <c r="C81" s="33" t="e">
        <f>#REF!</f>
        <v>#REF!</v>
      </c>
      <c r="D81" s="127"/>
      <c r="E81" s="33" t="e">
        <f>#REF!</f>
        <v>#REF!</v>
      </c>
      <c r="F81" s="53"/>
      <c r="G81" s="53"/>
      <c r="H81" s="57" t="e">
        <f>+#REF!</f>
        <v>#REF!</v>
      </c>
      <c r="I81" s="33" t="e">
        <f>+#REF!</f>
        <v>#REF!</v>
      </c>
      <c r="J81" s="132" t="e">
        <f>+SUM(C81:G81)-(H81+I81)</f>
        <v>#REF!</v>
      </c>
      <c r="K81" s="156" t="e">
        <f>J81=#REF!</f>
        <v>#REF!</v>
      </c>
    </row>
    <row r="82" spans="1:11">
      <c r="A82" s="130" t="str">
        <f t="shared" si="46"/>
        <v>SEPTEMBRE</v>
      </c>
      <c r="B82" s="137" t="s">
        <v>86</v>
      </c>
      <c r="C82" s="128" t="e">
        <f>#REF!</f>
        <v>#REF!</v>
      </c>
      <c r="D82" s="131"/>
      <c r="E82" s="128" t="e">
        <f>+#REF!</f>
        <v>#REF!</v>
      </c>
      <c r="F82" s="146"/>
      <c r="G82" s="146"/>
      <c r="H82" s="181" t="e">
        <f>+#REF!</f>
        <v>#REF!</v>
      </c>
      <c r="I82" s="128" t="e">
        <f>+#REF!</f>
        <v>#REF!</v>
      </c>
      <c r="J82" s="129" t="e">
        <f>+SUM(C82:G82)-(H82+I82)</f>
        <v>#REF!</v>
      </c>
      <c r="K82" s="156" t="e">
        <f>J82=#REF!</f>
        <v>#REF!</v>
      </c>
    </row>
    <row r="83" spans="1:11">
      <c r="A83" s="130" t="str">
        <f t="shared" si="46"/>
        <v>SEPTEMBRE</v>
      </c>
      <c r="B83" s="137" t="s">
        <v>85</v>
      </c>
      <c r="C83" s="128" t="e">
        <f>#REF!</f>
        <v>#REF!</v>
      </c>
      <c r="D83" s="131"/>
      <c r="E83" s="128" t="e">
        <f>+#REF!</f>
        <v>#REF!</v>
      </c>
      <c r="F83" s="146"/>
      <c r="G83" s="146"/>
      <c r="H83" s="181" t="e">
        <f>+#REF!</f>
        <v>#REF!</v>
      </c>
      <c r="I83" s="128" t="e">
        <f>+#REF!</f>
        <v>#REF!</v>
      </c>
      <c r="J83" s="129" t="e">
        <f t="shared" ref="J83:J88" si="47">+SUM(C83:G83)-(H83+I83)</f>
        <v>#REF!</v>
      </c>
      <c r="K83" s="156" t="e">
        <f>J83=#REF!</f>
        <v>#REF!</v>
      </c>
    </row>
    <row r="84" spans="1:11">
      <c r="A84" s="130" t="str">
        <f t="shared" si="46"/>
        <v>SEPTEMBRE</v>
      </c>
      <c r="B84" s="135" t="s">
        <v>156</v>
      </c>
      <c r="C84" s="33" t="e">
        <f>#REF!</f>
        <v>#REF!</v>
      </c>
      <c r="D84" s="32"/>
      <c r="E84" s="33" t="e">
        <f>+#REF!</f>
        <v>#REF!</v>
      </c>
      <c r="F84" s="33"/>
      <c r="G84" s="110"/>
      <c r="H84" s="57" t="e">
        <f>+#REF!</f>
        <v>#REF!</v>
      </c>
      <c r="I84" s="33" t="e">
        <f>+#REF!</f>
        <v>#REF!</v>
      </c>
      <c r="J84" s="31" t="e">
        <f t="shared" si="47"/>
        <v>#REF!</v>
      </c>
      <c r="K84" s="156" t="e">
        <f>J84=#REF!</f>
        <v>#REF!</v>
      </c>
    </row>
    <row r="85" spans="1:11">
      <c r="A85" s="130" t="str">
        <f t="shared" si="46"/>
        <v>SEPTEMBRE</v>
      </c>
      <c r="B85" s="135" t="s">
        <v>31</v>
      </c>
      <c r="C85" s="33" t="e">
        <f>#REF!</f>
        <v>#REF!</v>
      </c>
      <c r="D85" s="32"/>
      <c r="E85" s="33" t="e">
        <f>+#REF!</f>
        <v>#REF!</v>
      </c>
      <c r="F85" s="33"/>
      <c r="G85" s="110"/>
      <c r="H85" s="57" t="e">
        <f>+#REF!</f>
        <v>#REF!</v>
      </c>
      <c r="I85" s="33" t="e">
        <f>+#REF!</f>
        <v>#REF!</v>
      </c>
      <c r="J85" s="31" t="e">
        <f t="shared" si="47"/>
        <v>#REF!</v>
      </c>
      <c r="K85" s="156" t="e">
        <f>J85=#REF!</f>
        <v>#REF!</v>
      </c>
    </row>
    <row r="86" spans="1:11">
      <c r="A86" s="130" t="str">
        <f t="shared" si="46"/>
        <v>SEPTEMBRE</v>
      </c>
      <c r="B86" s="135" t="s">
        <v>95</v>
      </c>
      <c r="C86" s="33" t="e">
        <f>#REF!</f>
        <v>#REF!</v>
      </c>
      <c r="D86" s="32"/>
      <c r="E86" s="33" t="e">
        <f>+#REF!</f>
        <v>#REF!</v>
      </c>
      <c r="F86" s="33"/>
      <c r="G86" s="110"/>
      <c r="H86" s="57" t="e">
        <f>+#REF!</f>
        <v>#REF!</v>
      </c>
      <c r="I86" s="33" t="e">
        <f>+#REF!</f>
        <v>#REF!</v>
      </c>
      <c r="J86" s="31" t="e">
        <f t="shared" si="47"/>
        <v>#REF!</v>
      </c>
      <c r="K86" s="156" t="e">
        <f>J86=#REF!</f>
        <v>#REF!</v>
      </c>
    </row>
    <row r="87" spans="1:11">
      <c r="A87" s="130" t="str">
        <f t="shared" si="46"/>
        <v>SEPTEMBRE</v>
      </c>
      <c r="B87" s="135" t="s">
        <v>161</v>
      </c>
      <c r="C87" s="33" t="e">
        <f>#REF!</f>
        <v>#REF!</v>
      </c>
      <c r="D87" s="32"/>
      <c r="E87" s="33" t="e">
        <f>+#REF!</f>
        <v>#REF!</v>
      </c>
      <c r="F87" s="33"/>
      <c r="G87" s="110"/>
      <c r="H87" s="57" t="e">
        <f>+#REF!</f>
        <v>#REF!</v>
      </c>
      <c r="I87" s="33" t="e">
        <f>+#REF!</f>
        <v>#REF!</v>
      </c>
      <c r="J87" s="31" t="e">
        <f t="shared" si="47"/>
        <v>#REF!</v>
      </c>
      <c r="K87" s="156" t="e">
        <f>J87=#REF!</f>
        <v>#REF!</v>
      </c>
    </row>
    <row r="88" spans="1:11">
      <c r="A88" s="130" t="str">
        <f t="shared" si="46"/>
        <v>SEPTEMBRE</v>
      </c>
      <c r="B88" s="136" t="s">
        <v>115</v>
      </c>
      <c r="C88" s="33" t="e">
        <f>#REF!</f>
        <v>#REF!</v>
      </c>
      <c r="D88" s="127"/>
      <c r="E88" s="33" t="e">
        <f>+#REF!</f>
        <v>#REF!</v>
      </c>
      <c r="F88" s="53"/>
      <c r="G88" s="147"/>
      <c r="H88" s="57" t="e">
        <f>+#REF!</f>
        <v>#REF!</v>
      </c>
      <c r="I88" s="33" t="e">
        <f>+#REF!</f>
        <v>#REF!</v>
      </c>
      <c r="J88" s="31" t="e">
        <f t="shared" si="47"/>
        <v>#REF!</v>
      </c>
      <c r="K88" s="156" t="e">
        <f>J88=#REF!</f>
        <v>#REF!</v>
      </c>
    </row>
    <row r="89" spans="1:11">
      <c r="A89" s="35" t="s">
        <v>62</v>
      </c>
      <c r="B89" s="36"/>
      <c r="C89" s="36"/>
      <c r="D89" s="36"/>
      <c r="E89" s="36"/>
      <c r="F89" s="36"/>
      <c r="G89" s="36"/>
      <c r="H89" s="36"/>
      <c r="I89" s="36"/>
      <c r="J89" s="37"/>
      <c r="K89" s="155"/>
    </row>
    <row r="90" spans="1:11">
      <c r="A90" s="130" t="str">
        <f>+A88</f>
        <v>SEPTEMBRE</v>
      </c>
      <c r="B90" s="38" t="s">
        <v>63</v>
      </c>
      <c r="C90" s="39" t="e">
        <f>#REF!</f>
        <v>#REF!</v>
      </c>
      <c r="D90" s="51"/>
      <c r="E90" s="51" t="e">
        <f>#REF!</f>
        <v>#REF!</v>
      </c>
      <c r="F90" s="51"/>
      <c r="G90" s="133"/>
      <c r="H90" s="53" t="e">
        <f>+#REF!</f>
        <v>#REF!</v>
      </c>
      <c r="I90" s="134" t="e">
        <f>+#REF!</f>
        <v>#REF!</v>
      </c>
      <c r="J90" s="46" t="e">
        <f>+SUM(C90:G90)-(H90+I90)</f>
        <v>#REF!</v>
      </c>
      <c r="K90" s="156" t="e">
        <f>J90=#REF!</f>
        <v>#REF!</v>
      </c>
    </row>
    <row r="91" spans="1:11">
      <c r="A91" s="44" t="s">
        <v>64</v>
      </c>
      <c r="B91" s="25"/>
      <c r="C91" s="36"/>
      <c r="D91" s="25"/>
      <c r="E91" s="25"/>
      <c r="F91" s="25"/>
      <c r="G91" s="25"/>
      <c r="H91" s="25"/>
      <c r="I91" s="25"/>
      <c r="J91" s="37"/>
      <c r="K91" s="155"/>
    </row>
    <row r="92" spans="1:11">
      <c r="A92" s="130" t="str">
        <f>+A90</f>
        <v>SEPTEMBRE</v>
      </c>
      <c r="B92" s="38" t="s">
        <v>65</v>
      </c>
      <c r="C92" s="133" t="e">
        <f>#REF!</f>
        <v>#REF!</v>
      </c>
      <c r="D92" s="140"/>
      <c r="E92" s="51"/>
      <c r="F92" s="51"/>
      <c r="G92" s="51"/>
      <c r="H92" s="53" t="e">
        <f>+#REF!</f>
        <v>#REF!</v>
      </c>
      <c r="I92" s="55" t="e">
        <f>+#REF!</f>
        <v>#REF!</v>
      </c>
      <c r="J92" s="46" t="e">
        <f>+SUM(C92:G92)-(H92+I92)</f>
        <v>#REF!</v>
      </c>
      <c r="K92" s="156" t="e">
        <f>+J92=#REF!</f>
        <v>#REF!</v>
      </c>
    </row>
    <row r="93" spans="1:11">
      <c r="A93" s="130" t="str">
        <f t="shared" ref="A93" si="48">+A92</f>
        <v>SEPTEMBRE</v>
      </c>
      <c r="B93" s="38" t="s">
        <v>66</v>
      </c>
      <c r="C93" s="133" t="e">
        <f>#REF!</f>
        <v>#REF!</v>
      </c>
      <c r="D93" s="51"/>
      <c r="E93" s="50"/>
      <c r="F93" s="50"/>
      <c r="G93" s="50"/>
      <c r="H93" s="33" t="e">
        <f>+#REF!</f>
        <v>#REF!</v>
      </c>
      <c r="I93" s="52" t="e">
        <f>+#REF!</f>
        <v>#REF!</v>
      </c>
      <c r="J93" s="46" t="e">
        <f>SUM(C93:G93)-(H93+I93)</f>
        <v>#REF!</v>
      </c>
      <c r="K93" s="156" t="e">
        <f>+J93=#REF!</f>
        <v>#REF!</v>
      </c>
    </row>
    <row r="94" spans="1:11" ht="15.75">
      <c r="C94" s="151" t="e">
        <f>SUM(C79:C93)</f>
        <v>#REF!</v>
      </c>
      <c r="I94" s="149" t="e">
        <f>SUM(I79:I93)</f>
        <v>#REF!</v>
      </c>
      <c r="J94" s="111" t="e">
        <f>+SUM(J79:J93)</f>
        <v>#REF!</v>
      </c>
      <c r="K94" s="5" t="e">
        <f>J94=#REF!</f>
        <v>#REF!</v>
      </c>
    </row>
    <row r="95" spans="1:11">
      <c r="G95" s="9"/>
    </row>
    <row r="96" spans="1:11">
      <c r="A96" s="16" t="s">
        <v>54</v>
      </c>
      <c r="B96" s="16"/>
      <c r="C96" s="16"/>
      <c r="D96" s="17"/>
      <c r="E96" s="17"/>
      <c r="F96" s="17"/>
      <c r="G96" s="17"/>
      <c r="H96" s="17"/>
      <c r="I96" s="17"/>
    </row>
    <row r="97" spans="1:11">
      <c r="A97" s="18" t="s">
        <v>154</v>
      </c>
      <c r="B97" s="18"/>
      <c r="C97" s="18"/>
      <c r="D97" s="18"/>
      <c r="E97" s="18"/>
      <c r="F97" s="18"/>
      <c r="G97" s="18"/>
      <c r="H97" s="18"/>
      <c r="I97" s="18"/>
      <c r="J97" s="17"/>
    </row>
    <row r="98" spans="1:11">
      <c r="A98" s="19"/>
      <c r="B98" s="20"/>
      <c r="C98" s="21"/>
      <c r="D98" s="21"/>
      <c r="E98" s="21"/>
      <c r="F98" s="21"/>
      <c r="G98" s="21"/>
      <c r="H98" s="20"/>
      <c r="I98" s="20"/>
      <c r="J98" s="18"/>
    </row>
    <row r="99" spans="1:11">
      <c r="A99" s="239" t="s">
        <v>55</v>
      </c>
      <c r="B99" s="241" t="s">
        <v>56</v>
      </c>
      <c r="C99" s="243" t="s">
        <v>153</v>
      </c>
      <c r="D99" s="245" t="s">
        <v>57</v>
      </c>
      <c r="E99" s="246"/>
      <c r="F99" s="246"/>
      <c r="G99" s="247"/>
      <c r="H99" s="248" t="s">
        <v>58</v>
      </c>
      <c r="I99" s="235" t="s">
        <v>59</v>
      </c>
      <c r="J99" s="20"/>
    </row>
    <row r="100" spans="1:11">
      <c r="A100" s="240"/>
      <c r="B100" s="242"/>
      <c r="C100" s="244"/>
      <c r="D100" s="22" t="s">
        <v>25</v>
      </c>
      <c r="E100" s="22" t="s">
        <v>26</v>
      </c>
      <c r="F100" s="176" t="s">
        <v>125</v>
      </c>
      <c r="G100" s="22" t="s">
        <v>60</v>
      </c>
      <c r="H100" s="249"/>
      <c r="I100" s="236"/>
      <c r="J100" s="237" t="s">
        <v>155</v>
      </c>
      <c r="K100" s="155"/>
    </row>
    <row r="101" spans="1:11">
      <c r="A101" s="24"/>
      <c r="B101" s="25" t="s">
        <v>61</v>
      </c>
      <c r="C101" s="26"/>
      <c r="D101" s="26"/>
      <c r="E101" s="26"/>
      <c r="F101" s="26"/>
      <c r="G101" s="26"/>
      <c r="H101" s="26"/>
      <c r="I101" s="27"/>
      <c r="J101" s="238"/>
      <c r="K101" s="155"/>
    </row>
    <row r="102" spans="1:11">
      <c r="A102" s="130" t="s">
        <v>152</v>
      </c>
      <c r="B102" s="135" t="s">
        <v>49</v>
      </c>
      <c r="C102" s="33" t="e">
        <f>#REF!</f>
        <v>#REF!</v>
      </c>
      <c r="D102" s="32"/>
      <c r="E102" s="33" t="e">
        <f>+#REF!</f>
        <v>#REF!</v>
      </c>
      <c r="F102" s="33"/>
      <c r="G102" s="33"/>
      <c r="H102" s="57" t="e">
        <f>+#REF!</f>
        <v>#REF!</v>
      </c>
      <c r="I102" s="33" t="e">
        <f>+#REF!</f>
        <v>#REF!</v>
      </c>
      <c r="J102" s="31" t="e">
        <f t="shared" ref="J102:J103" si="49">+SUM(C102:G102)-(H102+I102)</f>
        <v>#REF!</v>
      </c>
      <c r="K102" s="156" t="e">
        <f>J102=#REF!</f>
        <v>#REF!</v>
      </c>
    </row>
    <row r="103" spans="1:11">
      <c r="A103" s="130" t="s">
        <v>152</v>
      </c>
      <c r="B103" s="135" t="s">
        <v>32</v>
      </c>
      <c r="C103" s="33" t="e">
        <f>#REF!</f>
        <v>#REF!</v>
      </c>
      <c r="D103" s="32"/>
      <c r="E103" s="33" t="e">
        <f>+#REF!</f>
        <v>#REF!</v>
      </c>
      <c r="F103" s="33"/>
      <c r="G103" s="33"/>
      <c r="H103" s="57" t="e">
        <f>+#REF!</f>
        <v>#REF!</v>
      </c>
      <c r="I103" s="33" t="e">
        <f>+#REF!</f>
        <v>#REF!</v>
      </c>
      <c r="J103" s="107" t="e">
        <f t="shared" si="49"/>
        <v>#REF!</v>
      </c>
      <c r="K103" s="156" t="e">
        <f>J103=#REF!</f>
        <v>#REF!</v>
      </c>
    </row>
    <row r="104" spans="1:11">
      <c r="A104" s="130" t="s">
        <v>152</v>
      </c>
      <c r="B104" s="136" t="s">
        <v>157</v>
      </c>
      <c r="C104" s="33" t="e">
        <f>#REF!</f>
        <v>#REF!</v>
      </c>
      <c r="D104" s="127"/>
      <c r="E104" s="33">
        <v>30000</v>
      </c>
      <c r="F104" s="53">
        <v>240000</v>
      </c>
      <c r="G104" s="53"/>
      <c r="H104" s="57" t="e">
        <f>+#REF!</f>
        <v>#REF!</v>
      </c>
      <c r="I104" s="33" t="e">
        <f>+#REF!</f>
        <v>#REF!</v>
      </c>
      <c r="J104" s="132" t="e">
        <f>+SUM(C104:G104)-(H104+I104)</f>
        <v>#REF!</v>
      </c>
      <c r="K104" s="156" t="e">
        <f>J104=#REF!</f>
        <v>#REF!</v>
      </c>
    </row>
    <row r="105" spans="1:11">
      <c r="A105" s="130" t="s">
        <v>152</v>
      </c>
      <c r="B105" s="137" t="s">
        <v>86</v>
      </c>
      <c r="C105" s="128" t="e">
        <f>#REF!</f>
        <v>#REF!</v>
      </c>
      <c r="D105" s="131"/>
      <c r="E105" s="128" t="e">
        <f>+#REF!</f>
        <v>#REF!</v>
      </c>
      <c r="F105" s="146"/>
      <c r="G105" s="146"/>
      <c r="H105" s="181" t="e">
        <f>+#REF!</f>
        <v>#REF!</v>
      </c>
      <c r="I105" s="128" t="e">
        <f>+#REF!</f>
        <v>#REF!</v>
      </c>
      <c r="J105" s="129" t="e">
        <f>+SUM(C105:G105)-(H105+I105)</f>
        <v>#REF!</v>
      </c>
      <c r="K105" s="156" t="e">
        <f>J105=#REF!</f>
        <v>#REF!</v>
      </c>
    </row>
    <row r="106" spans="1:11">
      <c r="A106" s="130" t="s">
        <v>152</v>
      </c>
      <c r="B106" s="137" t="s">
        <v>85</v>
      </c>
      <c r="C106" s="128" t="e">
        <f>#REF!</f>
        <v>#REF!</v>
      </c>
      <c r="D106" s="131"/>
      <c r="E106" s="128" t="e">
        <f>+#REF!</f>
        <v>#REF!</v>
      </c>
      <c r="F106" s="146"/>
      <c r="G106" s="146"/>
      <c r="H106" s="181" t="e">
        <f>+#REF!</f>
        <v>#REF!</v>
      </c>
      <c r="I106" s="128" t="e">
        <f>+#REF!</f>
        <v>#REF!</v>
      </c>
      <c r="J106" s="129" t="e">
        <f t="shared" ref="J106:J112" si="50">+SUM(C106:G106)-(H106+I106)</f>
        <v>#REF!</v>
      </c>
      <c r="K106" s="156" t="e">
        <f>J106=#REF!</f>
        <v>#REF!</v>
      </c>
    </row>
    <row r="107" spans="1:11">
      <c r="A107" s="130" t="s">
        <v>152</v>
      </c>
      <c r="B107" s="135" t="s">
        <v>156</v>
      </c>
      <c r="C107" s="33" t="e">
        <f>#REF!</f>
        <v>#REF!</v>
      </c>
      <c r="D107" s="32"/>
      <c r="E107" s="33" t="e">
        <f>+#REF!</f>
        <v>#REF!</v>
      </c>
      <c r="F107" s="33"/>
      <c r="G107" s="110"/>
      <c r="H107" s="57" t="e">
        <f>+#REF!</f>
        <v>#REF!</v>
      </c>
      <c r="I107" s="33" t="e">
        <f>+#REF!</f>
        <v>#REF!</v>
      </c>
      <c r="J107" s="31" t="e">
        <f t="shared" si="50"/>
        <v>#REF!</v>
      </c>
      <c r="K107" s="156" t="e">
        <f>J107=#REF!</f>
        <v>#REF!</v>
      </c>
    </row>
    <row r="108" spans="1:11">
      <c r="A108" s="130" t="s">
        <v>152</v>
      </c>
      <c r="B108" s="135" t="s">
        <v>31</v>
      </c>
      <c r="C108" s="33" t="e">
        <f>#REF!</f>
        <v>#REF!</v>
      </c>
      <c r="D108" s="32"/>
      <c r="E108" s="33" t="e">
        <f>+#REF!</f>
        <v>#REF!</v>
      </c>
      <c r="F108" s="33"/>
      <c r="G108" s="110"/>
      <c r="H108" s="57" t="e">
        <f>+#REF!</f>
        <v>#REF!</v>
      </c>
      <c r="I108" s="33" t="e">
        <f>+#REF!</f>
        <v>#REF!</v>
      </c>
      <c r="J108" s="31" t="e">
        <f t="shared" si="50"/>
        <v>#REF!</v>
      </c>
      <c r="K108" s="156" t="e">
        <f>J108=#REF!</f>
        <v>#REF!</v>
      </c>
    </row>
    <row r="109" spans="1:11">
      <c r="A109" s="130" t="s">
        <v>152</v>
      </c>
      <c r="B109" s="135" t="s">
        <v>37</v>
      </c>
      <c r="C109" s="33" t="e">
        <f>#REF!</f>
        <v>#REF!</v>
      </c>
      <c r="D109" s="32"/>
      <c r="E109" s="33">
        <v>15000</v>
      </c>
      <c r="F109" s="33">
        <v>496625</v>
      </c>
      <c r="G109" s="110"/>
      <c r="H109" s="57" t="e">
        <f>+#REF!</f>
        <v>#REF!</v>
      </c>
      <c r="I109" s="33" t="e">
        <f>+#REF!</f>
        <v>#REF!</v>
      </c>
      <c r="J109" s="31" t="e">
        <f t="shared" si="50"/>
        <v>#REF!</v>
      </c>
      <c r="K109" s="156" t="e">
        <f>J109=#REF!</f>
        <v>#REF!</v>
      </c>
    </row>
    <row r="110" spans="1:11">
      <c r="A110" s="130" t="s">
        <v>152</v>
      </c>
      <c r="B110" s="135" t="s">
        <v>95</v>
      </c>
      <c r="C110" s="33" t="e">
        <f>#REF!</f>
        <v>#REF!</v>
      </c>
      <c r="D110" s="32"/>
      <c r="E110" s="33" t="e">
        <f>+#REF!</f>
        <v>#REF!</v>
      </c>
      <c r="F110" s="33"/>
      <c r="G110" s="110"/>
      <c r="H110" s="57" t="e">
        <f>+#REF!</f>
        <v>#REF!</v>
      </c>
      <c r="I110" s="33" t="e">
        <f>+#REF!</f>
        <v>#REF!</v>
      </c>
      <c r="J110" s="31" t="e">
        <f t="shared" si="50"/>
        <v>#REF!</v>
      </c>
      <c r="K110" s="156" t="e">
        <f>J110=#REF!</f>
        <v>#REF!</v>
      </c>
    </row>
    <row r="111" spans="1:11">
      <c r="A111" s="130" t="s">
        <v>152</v>
      </c>
      <c r="B111" s="135" t="s">
        <v>30</v>
      </c>
      <c r="C111" s="33" t="e">
        <f>#REF!</f>
        <v>#REF!</v>
      </c>
      <c r="D111" s="32"/>
      <c r="E111" s="33" t="e">
        <f>+#REF!</f>
        <v>#REF!</v>
      </c>
      <c r="F111" s="33"/>
      <c r="G111" s="110"/>
      <c r="H111" s="57" t="e">
        <f>+#REF!</f>
        <v>#REF!</v>
      </c>
      <c r="I111" s="33" t="e">
        <f>+#REF!</f>
        <v>#REF!</v>
      </c>
      <c r="J111" s="31" t="e">
        <f t="shared" ref="J111" si="51">+SUM(C111:G111)-(H111+I111)</f>
        <v>#REF!</v>
      </c>
      <c r="K111" s="156" t="e">
        <f>J111=#REF!</f>
        <v>#REF!</v>
      </c>
    </row>
    <row r="112" spans="1:11">
      <c r="A112" s="130" t="s">
        <v>152</v>
      </c>
      <c r="B112" s="136" t="s">
        <v>115</v>
      </c>
      <c r="C112" s="33" t="e">
        <f>#REF!</f>
        <v>#REF!</v>
      </c>
      <c r="D112" s="127"/>
      <c r="E112" s="33" t="e">
        <f>+#REF!</f>
        <v>#REF!</v>
      </c>
      <c r="F112" s="53"/>
      <c r="G112" s="147"/>
      <c r="H112" s="57" t="e">
        <f>+#REF!</f>
        <v>#REF!</v>
      </c>
      <c r="I112" s="33" t="e">
        <f>+#REF!</f>
        <v>#REF!</v>
      </c>
      <c r="J112" s="31" t="e">
        <f t="shared" si="50"/>
        <v>#REF!</v>
      </c>
      <c r="K112" s="156" t="e">
        <f>J112=#REF!</f>
        <v>#REF!</v>
      </c>
    </row>
    <row r="113" spans="1:15">
      <c r="A113" s="35" t="s">
        <v>62</v>
      </c>
      <c r="B113" s="36"/>
      <c r="C113" s="36"/>
      <c r="D113" s="36"/>
      <c r="E113" s="36"/>
      <c r="F113" s="36"/>
      <c r="G113" s="36"/>
      <c r="H113" s="36"/>
      <c r="I113" s="36"/>
      <c r="J113" s="37"/>
      <c r="K113" s="155"/>
    </row>
    <row r="114" spans="1:15">
      <c r="A114" s="130" t="s">
        <v>152</v>
      </c>
      <c r="B114" s="38" t="s">
        <v>63</v>
      </c>
      <c r="C114" s="39" t="e">
        <f>#REF!</f>
        <v>#REF!</v>
      </c>
      <c r="D114" s="51">
        <v>4000000</v>
      </c>
      <c r="E114" s="109"/>
      <c r="F114" s="51"/>
      <c r="G114" s="133">
        <v>15000</v>
      </c>
      <c r="H114" s="53" t="e">
        <f>+#REF!</f>
        <v>#REF!</v>
      </c>
      <c r="I114" s="134" t="e">
        <f>+#REF!</f>
        <v>#REF!</v>
      </c>
      <c r="J114" s="46" t="e">
        <f>+SUM(C114:G114)-(H114+I114)</f>
        <v>#REF!</v>
      </c>
      <c r="K114" s="156" t="e">
        <f>J114=#REF!</f>
        <v>#REF!</v>
      </c>
    </row>
    <row r="115" spans="1:15">
      <c r="A115" s="44" t="s">
        <v>64</v>
      </c>
      <c r="B115" s="25"/>
      <c r="C115" s="36"/>
      <c r="D115" s="25"/>
      <c r="E115" s="25"/>
      <c r="F115" s="25"/>
      <c r="G115" s="25"/>
      <c r="H115" s="25"/>
      <c r="I115" s="25"/>
      <c r="J115" s="37"/>
      <c r="K115" s="155"/>
    </row>
    <row r="116" spans="1:15">
      <c r="A116" s="130" t="s">
        <v>152</v>
      </c>
      <c r="B116" s="38" t="s">
        <v>65</v>
      </c>
      <c r="C116" s="133" t="e">
        <f>#REF!</f>
        <v>#REF!</v>
      </c>
      <c r="D116" s="140"/>
      <c r="E116" s="51"/>
      <c r="F116" s="51"/>
      <c r="G116" s="51"/>
      <c r="H116" s="53" t="e">
        <f>+#REF!</f>
        <v>#REF!</v>
      </c>
      <c r="I116" s="55" t="e">
        <f>+#REF!</f>
        <v>#REF!</v>
      </c>
      <c r="J116" s="46" t="e">
        <f>+SUM(C116:G116)-(H116+I116)</f>
        <v>#REF!</v>
      </c>
      <c r="K116" s="156" t="e">
        <f>+J116=#REF!</f>
        <v>#REF!</v>
      </c>
    </row>
    <row r="117" spans="1:15">
      <c r="A117" s="130" t="s">
        <v>152</v>
      </c>
      <c r="B117" s="38" t="s">
        <v>66</v>
      </c>
      <c r="C117" s="133" t="e">
        <f>#REF!</f>
        <v>#REF!</v>
      </c>
      <c r="D117" s="51"/>
      <c r="E117" s="50"/>
      <c r="F117" s="50"/>
      <c r="G117" s="50"/>
      <c r="H117" s="33" t="e">
        <f>+#REF!</f>
        <v>#REF!</v>
      </c>
      <c r="I117" s="52" t="e">
        <f>+#REF!</f>
        <v>#REF!</v>
      </c>
      <c r="J117" s="46" t="e">
        <f>SUM(C117:G117)-(H117+I117)</f>
        <v>#REF!</v>
      </c>
      <c r="K117" s="156" t="e">
        <f>+J117=#REF!</f>
        <v>#REF!</v>
      </c>
    </row>
    <row r="118" spans="1:15" ht="15.75">
      <c r="C118" s="151" t="e">
        <f>SUM(C102:C117)</f>
        <v>#REF!</v>
      </c>
      <c r="I118" s="149" t="e">
        <f>SUM(I102:I117)</f>
        <v>#REF!</v>
      </c>
      <c r="J118" s="111" t="e">
        <f>+SUM(J102:J117)</f>
        <v>#REF!</v>
      </c>
      <c r="K118" s="5" t="e">
        <f>J118=#REF!</f>
        <v>#REF!</v>
      </c>
    </row>
    <row r="119" spans="1:15" s="171" customFormat="1" ht="16.5">
      <c r="A119" s="14"/>
      <c r="B119" s="175"/>
      <c r="C119" s="174"/>
      <c r="D119" s="174"/>
      <c r="E119" s="173"/>
      <c r="F119" s="174"/>
      <c r="G119" s="174" t="e">
        <f>+#REF!-J118</f>
        <v>#REF!</v>
      </c>
      <c r="H119" s="174"/>
      <c r="I119" s="174"/>
      <c r="L119" s="172"/>
      <c r="M119" s="172"/>
      <c r="N119" s="172"/>
      <c r="O119" s="172"/>
    </row>
    <row r="120" spans="1:15">
      <c r="A120" s="16" t="s">
        <v>54</v>
      </c>
      <c r="B120" s="16"/>
      <c r="C120" s="16"/>
      <c r="D120" s="17"/>
      <c r="E120" s="17"/>
      <c r="F120" s="17"/>
      <c r="G120" s="17"/>
      <c r="H120" s="17"/>
      <c r="I120" s="17"/>
    </row>
    <row r="121" spans="1:15">
      <c r="A121" s="18" t="s">
        <v>149</v>
      </c>
      <c r="B121" s="18"/>
      <c r="C121" s="18"/>
      <c r="D121" s="18"/>
      <c r="E121" s="18"/>
      <c r="F121" s="18"/>
      <c r="G121" s="18"/>
      <c r="H121" s="18"/>
      <c r="I121" s="18"/>
      <c r="J121" s="17"/>
    </row>
    <row r="122" spans="1:15">
      <c r="A122" s="19"/>
      <c r="B122" s="20"/>
      <c r="C122" s="21"/>
      <c r="D122" s="21"/>
      <c r="E122" s="21"/>
      <c r="F122" s="21"/>
      <c r="G122" s="21"/>
      <c r="H122" s="20"/>
      <c r="I122" s="20"/>
      <c r="J122" s="18"/>
    </row>
    <row r="123" spans="1:15">
      <c r="A123" s="239" t="s">
        <v>55</v>
      </c>
      <c r="B123" s="241" t="s">
        <v>56</v>
      </c>
      <c r="C123" s="243" t="s">
        <v>150</v>
      </c>
      <c r="D123" s="245" t="s">
        <v>57</v>
      </c>
      <c r="E123" s="246"/>
      <c r="F123" s="246"/>
      <c r="G123" s="247"/>
      <c r="H123" s="248" t="s">
        <v>58</v>
      </c>
      <c r="I123" s="235" t="s">
        <v>59</v>
      </c>
      <c r="J123" s="20"/>
    </row>
    <row r="124" spans="1:15">
      <c r="A124" s="240"/>
      <c r="B124" s="242"/>
      <c r="C124" s="244"/>
      <c r="D124" s="22" t="s">
        <v>25</v>
      </c>
      <c r="E124" s="22" t="s">
        <v>26</v>
      </c>
      <c r="F124" s="170" t="s">
        <v>125</v>
      </c>
      <c r="G124" s="22" t="s">
        <v>60</v>
      </c>
      <c r="H124" s="249"/>
      <c r="I124" s="236"/>
      <c r="J124" s="237" t="s">
        <v>151</v>
      </c>
      <c r="K124" s="155"/>
    </row>
    <row r="125" spans="1:15">
      <c r="A125" s="24"/>
      <c r="B125" s="25" t="s">
        <v>61</v>
      </c>
      <c r="C125" s="26"/>
      <c r="D125" s="26"/>
      <c r="E125" s="26"/>
      <c r="F125" s="26"/>
      <c r="G125" s="26"/>
      <c r="H125" s="26"/>
      <c r="I125" s="27"/>
      <c r="J125" s="238"/>
      <c r="K125" s="155"/>
    </row>
    <row r="126" spans="1:15">
      <c r="A126" s="130" t="s">
        <v>74</v>
      </c>
      <c r="B126" s="135" t="s">
        <v>49</v>
      </c>
      <c r="C126" s="33" t="e">
        <f>#REF!</f>
        <v>#REF!</v>
      </c>
      <c r="D126" s="32"/>
      <c r="E126" s="33">
        <v>970765</v>
      </c>
      <c r="F126" s="33"/>
      <c r="G126" s="33"/>
      <c r="H126" s="57">
        <v>0</v>
      </c>
      <c r="I126" s="33">
        <v>980165</v>
      </c>
      <c r="J126" s="31" t="e">
        <f t="shared" ref="J126:J127" si="52">+SUM(C126:G126)-(H126+I126)</f>
        <v>#REF!</v>
      </c>
      <c r="K126" s="156" t="e">
        <f>J126=#REF!</f>
        <v>#REF!</v>
      </c>
    </row>
    <row r="127" spans="1:15">
      <c r="A127" s="130" t="s">
        <v>74</v>
      </c>
      <c r="B127" s="135" t="s">
        <v>32</v>
      </c>
      <c r="C127" s="33" t="e">
        <f>#REF!</f>
        <v>#REF!</v>
      </c>
      <c r="D127" s="32"/>
      <c r="E127" s="33">
        <v>58000</v>
      </c>
      <c r="F127" s="33"/>
      <c r="G127" s="33"/>
      <c r="H127" s="33">
        <v>0</v>
      </c>
      <c r="I127" s="33">
        <v>59500</v>
      </c>
      <c r="J127" s="107" t="e">
        <f t="shared" si="52"/>
        <v>#REF!</v>
      </c>
      <c r="K127" s="156" t="e">
        <f>J127=#REF!</f>
        <v>#REF!</v>
      </c>
    </row>
    <row r="128" spans="1:15">
      <c r="A128" s="130" t="s">
        <v>74</v>
      </c>
      <c r="B128" s="136" t="s">
        <v>31</v>
      </c>
      <c r="C128" s="33" t="e">
        <f>#REF!</f>
        <v>#REF!</v>
      </c>
      <c r="D128" s="127"/>
      <c r="E128" s="53">
        <v>557150</v>
      </c>
      <c r="F128" s="53"/>
      <c r="G128" s="53"/>
      <c r="H128" s="53">
        <v>0</v>
      </c>
      <c r="I128" s="53">
        <v>556650</v>
      </c>
      <c r="J128" s="132" t="e">
        <f>+SUM(C128:G128)-(H128+I128)</f>
        <v>#REF!</v>
      </c>
      <c r="K128" s="156" t="e">
        <f>J128=#REF!</f>
        <v>#REF!</v>
      </c>
    </row>
    <row r="129" spans="1:15">
      <c r="A129" s="130" t="s">
        <v>74</v>
      </c>
      <c r="B129" s="137" t="s">
        <v>86</v>
      </c>
      <c r="C129" s="128" t="e">
        <f>#REF!</f>
        <v>#REF!</v>
      </c>
      <c r="D129" s="131"/>
      <c r="E129" s="146"/>
      <c r="F129" s="146"/>
      <c r="G129" s="146"/>
      <c r="H129" s="146">
        <v>0</v>
      </c>
      <c r="I129" s="146">
        <v>0</v>
      </c>
      <c r="J129" s="129" t="e">
        <f>+SUM(C129:G129)-(H129+I129)</f>
        <v>#REF!</v>
      </c>
      <c r="K129" s="156" t="e">
        <f>J129=#REF!</f>
        <v>#REF!</v>
      </c>
    </row>
    <row r="130" spans="1:15">
      <c r="A130" s="130" t="s">
        <v>74</v>
      </c>
      <c r="B130" s="137" t="s">
        <v>85</v>
      </c>
      <c r="C130" s="128" t="e">
        <f>#REF!</f>
        <v>#REF!</v>
      </c>
      <c r="D130" s="131"/>
      <c r="E130" s="146"/>
      <c r="F130" s="146"/>
      <c r="G130" s="146"/>
      <c r="H130" s="146">
        <v>0</v>
      </c>
      <c r="I130" s="146">
        <v>0</v>
      </c>
      <c r="J130" s="129" t="e">
        <f t="shared" ref="J130:J135" si="53">+SUM(C130:G130)-(H130+I130)</f>
        <v>#REF!</v>
      </c>
      <c r="K130" s="156" t="e">
        <f>J130=#REF!</f>
        <v>#REF!</v>
      </c>
    </row>
    <row r="131" spans="1:15">
      <c r="A131" s="130" t="s">
        <v>74</v>
      </c>
      <c r="B131" s="135" t="s">
        <v>37</v>
      </c>
      <c r="C131" s="33" t="e">
        <f>#REF!</f>
        <v>#REF!</v>
      </c>
      <c r="D131" s="32"/>
      <c r="E131" s="33">
        <v>941000</v>
      </c>
      <c r="F131" s="33"/>
      <c r="G131" s="110"/>
      <c r="H131" s="110">
        <v>0</v>
      </c>
      <c r="I131" s="33">
        <v>1084725</v>
      </c>
      <c r="J131" s="31" t="e">
        <f t="shared" si="53"/>
        <v>#REF!</v>
      </c>
      <c r="K131" s="156" t="e">
        <f>J131=#REF!</f>
        <v>#REF!</v>
      </c>
    </row>
    <row r="132" spans="1:15">
      <c r="A132" s="130" t="s">
        <v>74</v>
      </c>
      <c r="B132" s="135" t="s">
        <v>95</v>
      </c>
      <c r="C132" s="33" t="e">
        <f>#REF!</f>
        <v>#REF!</v>
      </c>
      <c r="D132" s="32"/>
      <c r="E132" s="33">
        <v>52000</v>
      </c>
      <c r="F132" s="110"/>
      <c r="G132" s="110"/>
      <c r="H132" s="110">
        <v>0</v>
      </c>
      <c r="I132" s="33">
        <v>67000</v>
      </c>
      <c r="J132" s="31" t="e">
        <f t="shared" si="53"/>
        <v>#REF!</v>
      </c>
      <c r="K132" s="156" t="e">
        <f>J132=#REF!</f>
        <v>#REF!</v>
      </c>
    </row>
    <row r="133" spans="1:15">
      <c r="A133" s="130" t="s">
        <v>74</v>
      </c>
      <c r="B133" s="135" t="s">
        <v>30</v>
      </c>
      <c r="C133" s="33" t="e">
        <f>#REF!</f>
        <v>#REF!</v>
      </c>
      <c r="D133" s="32"/>
      <c r="E133" s="33">
        <v>515000</v>
      </c>
      <c r="F133" s="110"/>
      <c r="G133" s="110"/>
      <c r="H133" s="110">
        <v>0</v>
      </c>
      <c r="I133" s="33">
        <v>655500</v>
      </c>
      <c r="J133" s="31" t="e">
        <f t="shared" si="53"/>
        <v>#REF!</v>
      </c>
      <c r="K133" s="156" t="e">
        <f>J133=#REF!</f>
        <v>#REF!</v>
      </c>
    </row>
    <row r="134" spans="1:15">
      <c r="A134" s="130" t="s">
        <v>74</v>
      </c>
      <c r="B134" s="135" t="s">
        <v>33</v>
      </c>
      <c r="C134" s="33" t="e">
        <f>#REF!</f>
        <v>#REF!</v>
      </c>
      <c r="D134" s="32"/>
      <c r="E134" s="33">
        <v>10000</v>
      </c>
      <c r="F134" s="110"/>
      <c r="G134" s="110"/>
      <c r="H134" s="33">
        <v>500</v>
      </c>
      <c r="I134" s="33">
        <v>15300</v>
      </c>
      <c r="J134" s="31" t="e">
        <f t="shared" si="53"/>
        <v>#REF!</v>
      </c>
      <c r="K134" s="156" t="e">
        <f>J134=#REF!</f>
        <v>#REF!</v>
      </c>
    </row>
    <row r="135" spans="1:15">
      <c r="A135" s="130" t="s">
        <v>74</v>
      </c>
      <c r="B135" s="136" t="s">
        <v>115</v>
      </c>
      <c r="C135" s="33" t="e">
        <f>#REF!</f>
        <v>#REF!</v>
      </c>
      <c r="D135" s="127"/>
      <c r="E135" s="53">
        <v>20000</v>
      </c>
      <c r="F135" s="53"/>
      <c r="G135" s="147"/>
      <c r="H135" s="53">
        <v>0</v>
      </c>
      <c r="I135" s="53">
        <v>28000</v>
      </c>
      <c r="J135" s="31" t="e">
        <f t="shared" si="53"/>
        <v>#REF!</v>
      </c>
      <c r="K135" s="156" t="e">
        <f>J135=#REF!</f>
        <v>#REF!</v>
      </c>
    </row>
    <row r="136" spans="1:15">
      <c r="A136" s="35" t="s">
        <v>62</v>
      </c>
      <c r="B136" s="36"/>
      <c r="C136" s="36"/>
      <c r="D136" s="36"/>
      <c r="E136" s="36"/>
      <c r="F136" s="36"/>
      <c r="G136" s="36"/>
      <c r="H136" s="36"/>
      <c r="I136" s="36"/>
      <c r="J136" s="37"/>
      <c r="K136" s="155"/>
    </row>
    <row r="137" spans="1:15">
      <c r="A137" s="130" t="s">
        <v>74</v>
      </c>
      <c r="B137" s="38" t="s">
        <v>63</v>
      </c>
      <c r="C137" s="39" t="e">
        <f>#REF!</f>
        <v>#REF!</v>
      </c>
      <c r="D137" s="51">
        <v>6000500</v>
      </c>
      <c r="E137" s="109"/>
      <c r="F137" s="51"/>
      <c r="G137" s="148"/>
      <c r="H137" s="53">
        <v>3123915</v>
      </c>
      <c r="I137" s="134">
        <v>3367697</v>
      </c>
      <c r="J137" s="46" t="e">
        <f>+SUM(C137:G137)-(H137+I137)</f>
        <v>#REF!</v>
      </c>
      <c r="K137" s="156" t="e">
        <f>J137=#REF!</f>
        <v>#REF!</v>
      </c>
    </row>
    <row r="138" spans="1:15">
      <c r="A138" s="44" t="s">
        <v>64</v>
      </c>
      <c r="B138" s="25"/>
      <c r="C138" s="36"/>
      <c r="D138" s="25"/>
      <c r="E138" s="25"/>
      <c r="F138" s="25"/>
      <c r="G138" s="25"/>
      <c r="H138" s="25"/>
      <c r="I138" s="25"/>
      <c r="J138" s="37"/>
      <c r="K138" s="155"/>
    </row>
    <row r="139" spans="1:15">
      <c r="A139" s="130" t="s">
        <v>74</v>
      </c>
      <c r="B139" s="38" t="s">
        <v>65</v>
      </c>
      <c r="C139" s="133" t="e">
        <f>#REF!</f>
        <v>#REF!</v>
      </c>
      <c r="D139" s="140"/>
      <c r="E139" s="51"/>
      <c r="F139" s="51"/>
      <c r="G139" s="51"/>
      <c r="H139" s="53">
        <v>2000000</v>
      </c>
      <c r="I139" s="55">
        <v>271244</v>
      </c>
      <c r="J139" s="46" t="e">
        <f>+SUM(C139:G139)-(H139+I139)</f>
        <v>#REF!</v>
      </c>
      <c r="K139" s="156" t="e">
        <f>+J139=#REF!</f>
        <v>#REF!</v>
      </c>
    </row>
    <row r="140" spans="1:15">
      <c r="A140" s="130" t="s">
        <v>74</v>
      </c>
      <c r="B140" s="38" t="s">
        <v>66</v>
      </c>
      <c r="C140" s="133" t="e">
        <f>#REF!</f>
        <v>#REF!</v>
      </c>
      <c r="D140" s="51">
        <v>31201251</v>
      </c>
      <c r="E140" s="50"/>
      <c r="F140" s="50"/>
      <c r="G140" s="50"/>
      <c r="H140" s="33">
        <v>4000000</v>
      </c>
      <c r="I140" s="52">
        <v>6204544</v>
      </c>
      <c r="J140" s="46" t="e">
        <f>SUM(C140:G140)-(H140+I140)</f>
        <v>#REF!</v>
      </c>
      <c r="K140" s="156" t="e">
        <f>+J140=#REF!</f>
        <v>#REF!</v>
      </c>
    </row>
    <row r="141" spans="1:15" ht="15.75">
      <c r="C141" s="151" t="e">
        <f>SUM(C126:C140)</f>
        <v>#REF!</v>
      </c>
      <c r="I141" s="149">
        <f>SUM(I126:I140)</f>
        <v>13290325</v>
      </c>
      <c r="J141" s="111" t="e">
        <f>+SUM(J126:J140)</f>
        <v>#REF!</v>
      </c>
      <c r="K141" s="5" t="e">
        <f>J141=#REF!</f>
        <v>#REF!</v>
      </c>
    </row>
    <row r="142" spans="1:15" s="171" customFormat="1" ht="16.5">
      <c r="A142" s="14"/>
      <c r="B142" s="175"/>
      <c r="C142" s="174"/>
      <c r="D142" s="174"/>
      <c r="E142" s="173"/>
      <c r="F142" s="174"/>
      <c r="G142" s="174" t="e">
        <f>+#REF!-J141</f>
        <v>#REF!</v>
      </c>
      <c r="H142" s="174"/>
      <c r="I142" s="174"/>
      <c r="L142" s="172"/>
      <c r="M142" s="172"/>
      <c r="N142" s="172"/>
      <c r="O142" s="172"/>
    </row>
    <row r="143" spans="1:15" ht="16.5">
      <c r="A143" s="14"/>
      <c r="B143" s="15"/>
      <c r="C143" s="12"/>
      <c r="D143" s="12"/>
      <c r="E143" s="13"/>
      <c r="F143" s="12"/>
      <c r="G143" s="12"/>
      <c r="H143" s="12"/>
      <c r="I143" s="12"/>
    </row>
    <row r="144" spans="1:15">
      <c r="A144" s="16" t="s">
        <v>54</v>
      </c>
      <c r="B144" s="16"/>
      <c r="C144" s="16"/>
      <c r="D144" s="17"/>
      <c r="E144" s="17"/>
      <c r="F144" s="17"/>
      <c r="G144" s="17"/>
      <c r="H144" s="17"/>
      <c r="I144" s="17"/>
    </row>
    <row r="145" spans="1:11">
      <c r="A145" s="18" t="s">
        <v>142</v>
      </c>
      <c r="B145" s="18"/>
      <c r="C145" s="18"/>
      <c r="D145" s="18"/>
      <c r="E145" s="18"/>
      <c r="F145" s="18"/>
      <c r="G145" s="18"/>
      <c r="H145" s="18"/>
      <c r="I145" s="18"/>
      <c r="J145" s="17"/>
    </row>
    <row r="146" spans="1:11">
      <c r="A146" s="19"/>
      <c r="B146" s="20"/>
      <c r="C146" s="21"/>
      <c r="D146" s="21"/>
      <c r="E146" s="21"/>
      <c r="F146" s="21"/>
      <c r="G146" s="21"/>
      <c r="H146" s="20"/>
      <c r="I146" s="20"/>
      <c r="J146" s="18"/>
    </row>
    <row r="147" spans="1:11">
      <c r="A147" s="239" t="s">
        <v>55</v>
      </c>
      <c r="B147" s="241" t="s">
        <v>56</v>
      </c>
      <c r="C147" s="243" t="s">
        <v>144</v>
      </c>
      <c r="D147" s="245" t="s">
        <v>57</v>
      </c>
      <c r="E147" s="246"/>
      <c r="F147" s="246"/>
      <c r="G147" s="247"/>
      <c r="H147" s="248" t="s">
        <v>58</v>
      </c>
      <c r="I147" s="235" t="s">
        <v>59</v>
      </c>
      <c r="J147" s="20"/>
    </row>
    <row r="148" spans="1:11">
      <c r="A148" s="240"/>
      <c r="B148" s="242"/>
      <c r="C148" s="244"/>
      <c r="D148" s="22" t="s">
        <v>25</v>
      </c>
      <c r="E148" s="22" t="s">
        <v>26</v>
      </c>
      <c r="F148" s="168" t="s">
        <v>125</v>
      </c>
      <c r="G148" s="22" t="s">
        <v>60</v>
      </c>
      <c r="H148" s="249"/>
      <c r="I148" s="236"/>
      <c r="J148" s="237" t="s">
        <v>143</v>
      </c>
      <c r="K148" s="155"/>
    </row>
    <row r="149" spans="1:11">
      <c r="A149" s="24"/>
      <c r="B149" s="25" t="s">
        <v>61</v>
      </c>
      <c r="C149" s="26"/>
      <c r="D149" s="26"/>
      <c r="E149" s="26"/>
      <c r="F149" s="26"/>
      <c r="G149" s="26"/>
      <c r="H149" s="26"/>
      <c r="I149" s="27"/>
      <c r="J149" s="238"/>
      <c r="K149" s="155"/>
    </row>
    <row r="150" spans="1:11">
      <c r="A150" s="130" t="s">
        <v>145</v>
      </c>
      <c r="B150" s="135" t="s">
        <v>78</v>
      </c>
      <c r="C150" s="33" t="e">
        <f>+#REF!</f>
        <v>#REF!</v>
      </c>
      <c r="D150" s="32"/>
      <c r="E150" s="33">
        <v>114000</v>
      </c>
      <c r="F150" s="33"/>
      <c r="G150" s="33"/>
      <c r="H150" s="57">
        <v>11050</v>
      </c>
      <c r="I150" s="33">
        <v>112000</v>
      </c>
      <c r="J150" s="31" t="e">
        <f>+SUM(C150:G150)-(H150+I150)</f>
        <v>#REF!</v>
      </c>
      <c r="K150" s="156" t="e">
        <f>J150=#REF!</f>
        <v>#REF!</v>
      </c>
    </row>
    <row r="151" spans="1:11">
      <c r="A151" s="130" t="s">
        <v>145</v>
      </c>
      <c r="B151" s="135" t="s">
        <v>49</v>
      </c>
      <c r="C151" s="33" t="e">
        <f t="shared" ref="C151:C161" si="54">+C128</f>
        <v>#REF!</v>
      </c>
      <c r="D151" s="32"/>
      <c r="E151" s="33">
        <v>87350</v>
      </c>
      <c r="F151" s="33">
        <f>60000+62000</f>
        <v>122000</v>
      </c>
      <c r="G151" s="33"/>
      <c r="H151" s="57">
        <v>161395</v>
      </c>
      <c r="I151" s="33">
        <v>281200</v>
      </c>
      <c r="J151" s="31" t="e">
        <f t="shared" ref="J151:J152" si="55">+SUM(C151:G151)-(H151+I151)</f>
        <v>#REF!</v>
      </c>
      <c r="K151" s="156" t="e">
        <f t="shared" ref="K151:K161" si="56">J151=I128</f>
        <v>#REF!</v>
      </c>
    </row>
    <row r="152" spans="1:11">
      <c r="A152" s="130" t="s">
        <v>145</v>
      </c>
      <c r="B152" s="135" t="s">
        <v>32</v>
      </c>
      <c r="C152" s="33" t="e">
        <f t="shared" si="54"/>
        <v>#REF!</v>
      </c>
      <c r="D152" s="32"/>
      <c r="E152" s="33">
        <v>371500</v>
      </c>
      <c r="F152" s="33"/>
      <c r="G152" s="33"/>
      <c r="H152" s="33">
        <f>62000+81500+137000</f>
        <v>280500</v>
      </c>
      <c r="I152" s="33">
        <v>177000</v>
      </c>
      <c r="J152" s="107" t="e">
        <f t="shared" si="55"/>
        <v>#REF!</v>
      </c>
      <c r="K152" s="156" t="e">
        <f t="shared" si="56"/>
        <v>#REF!</v>
      </c>
    </row>
    <row r="153" spans="1:11">
      <c r="A153" s="130" t="s">
        <v>145</v>
      </c>
      <c r="B153" s="135" t="s">
        <v>79</v>
      </c>
      <c r="C153" s="33" t="e">
        <f t="shared" si="54"/>
        <v>#REF!</v>
      </c>
      <c r="D153" s="110"/>
      <c r="E153" s="33">
        <v>35560</v>
      </c>
      <c r="F153" s="33">
        <f>10000+81500</f>
        <v>91500</v>
      </c>
      <c r="G153" s="33"/>
      <c r="H153" s="33">
        <v>35000</v>
      </c>
      <c r="I153" s="33">
        <v>159750</v>
      </c>
      <c r="J153" s="107" t="e">
        <f>+SUM(C153:G153)-(H153+I153)</f>
        <v>#REF!</v>
      </c>
      <c r="K153" s="156" t="e">
        <f t="shared" si="56"/>
        <v>#REF!</v>
      </c>
    </row>
    <row r="154" spans="1:11">
      <c r="A154" s="130" t="s">
        <v>145</v>
      </c>
      <c r="B154" s="136" t="s">
        <v>31</v>
      </c>
      <c r="C154" s="33" t="e">
        <f t="shared" si="54"/>
        <v>#REF!</v>
      </c>
      <c r="D154" s="127"/>
      <c r="E154" s="53">
        <v>372085</v>
      </c>
      <c r="F154" s="53"/>
      <c r="G154" s="53"/>
      <c r="H154" s="53"/>
      <c r="I154" s="53">
        <v>336400</v>
      </c>
      <c r="J154" s="132" t="e">
        <f>+SUM(C154:G154)-(H154+I154)</f>
        <v>#REF!</v>
      </c>
      <c r="K154" s="156" t="e">
        <f t="shared" si="56"/>
        <v>#REF!</v>
      </c>
    </row>
    <row r="155" spans="1:11">
      <c r="A155" s="130" t="s">
        <v>145</v>
      </c>
      <c r="B155" s="137" t="s">
        <v>86</v>
      </c>
      <c r="C155" s="128" t="e">
        <f t="shared" si="54"/>
        <v>#REF!</v>
      </c>
      <c r="D155" s="131"/>
      <c r="E155" s="146"/>
      <c r="F155" s="146"/>
      <c r="G155" s="146"/>
      <c r="H155" s="146"/>
      <c r="I155" s="146"/>
      <c r="J155" s="129" t="e">
        <f>+SUM(C155:G155)-(H155+I155)</f>
        <v>#REF!</v>
      </c>
      <c r="K155" s="156" t="e">
        <f t="shared" si="56"/>
        <v>#REF!</v>
      </c>
    </row>
    <row r="156" spans="1:11">
      <c r="A156" s="130" t="s">
        <v>145</v>
      </c>
      <c r="B156" s="137" t="s">
        <v>85</v>
      </c>
      <c r="C156" s="128" t="e">
        <f t="shared" si="54"/>
        <v>#REF!</v>
      </c>
      <c r="D156" s="131"/>
      <c r="E156" s="146"/>
      <c r="F156" s="146"/>
      <c r="G156" s="146"/>
      <c r="H156" s="146"/>
      <c r="I156" s="146"/>
      <c r="J156" s="129" t="e">
        <f t="shared" ref="J156:J161" si="57">+SUM(C156:G156)-(H156+I156)</f>
        <v>#REF!</v>
      </c>
      <c r="K156" s="156" t="e">
        <f t="shared" si="56"/>
        <v>#REF!</v>
      </c>
    </row>
    <row r="157" spans="1:11">
      <c r="A157" s="130" t="s">
        <v>145</v>
      </c>
      <c r="B157" s="135" t="s">
        <v>37</v>
      </c>
      <c r="C157" s="33" t="e">
        <f t="shared" si="54"/>
        <v>#REF!</v>
      </c>
      <c r="D157" s="32"/>
      <c r="E157" s="33">
        <v>400000</v>
      </c>
      <c r="F157" s="33">
        <v>137000</v>
      </c>
      <c r="G157" s="110"/>
      <c r="H157" s="110"/>
      <c r="I157" s="33">
        <v>563500</v>
      </c>
      <c r="J157" s="31" t="e">
        <f t="shared" si="57"/>
        <v>#REF!</v>
      </c>
      <c r="K157" s="156" t="e">
        <f t="shared" si="56"/>
        <v>#REF!</v>
      </c>
    </row>
    <row r="158" spans="1:11">
      <c r="A158" s="130" t="s">
        <v>145</v>
      </c>
      <c r="B158" s="135" t="s">
        <v>95</v>
      </c>
      <c r="C158" s="33" t="e">
        <f t="shared" si="54"/>
        <v>#REF!</v>
      </c>
      <c r="D158" s="32"/>
      <c r="E158" s="33">
        <v>35000</v>
      </c>
      <c r="F158" s="110"/>
      <c r="G158" s="110"/>
      <c r="H158" s="110"/>
      <c r="I158" s="33">
        <v>23500</v>
      </c>
      <c r="J158" s="31" t="e">
        <f t="shared" si="57"/>
        <v>#REF!</v>
      </c>
      <c r="K158" s="156" t="e">
        <f t="shared" si="56"/>
        <v>#REF!</v>
      </c>
    </row>
    <row r="159" spans="1:11">
      <c r="A159" s="130" t="s">
        <v>145</v>
      </c>
      <c r="B159" s="135" t="s">
        <v>30</v>
      </c>
      <c r="C159" s="33">
        <f t="shared" si="54"/>
        <v>0</v>
      </c>
      <c r="D159" s="32"/>
      <c r="E159" s="33">
        <v>454000</v>
      </c>
      <c r="F159" s="110"/>
      <c r="G159" s="110"/>
      <c r="H159" s="110"/>
      <c r="I159" s="33">
        <v>329100</v>
      </c>
      <c r="J159" s="31">
        <f t="shared" si="57"/>
        <v>124900</v>
      </c>
      <c r="K159" s="156" t="b">
        <f t="shared" si="56"/>
        <v>0</v>
      </c>
    </row>
    <row r="160" spans="1:11">
      <c r="A160" s="130" t="s">
        <v>145</v>
      </c>
      <c r="B160" s="135" t="s">
        <v>33</v>
      </c>
      <c r="C160" s="33" t="e">
        <f t="shared" si="54"/>
        <v>#REF!</v>
      </c>
      <c r="D160" s="32"/>
      <c r="E160" s="33"/>
      <c r="F160" s="110"/>
      <c r="G160" s="110"/>
      <c r="H160" s="33">
        <v>20000</v>
      </c>
      <c r="I160" s="33">
        <v>5000</v>
      </c>
      <c r="J160" s="31" t="e">
        <f t="shared" si="57"/>
        <v>#REF!</v>
      </c>
      <c r="K160" s="156" t="e">
        <f t="shared" si="56"/>
        <v>#REF!</v>
      </c>
    </row>
    <row r="161" spans="1:11">
      <c r="A161" s="130" t="s">
        <v>145</v>
      </c>
      <c r="B161" s="136" t="s">
        <v>115</v>
      </c>
      <c r="C161" s="33">
        <f t="shared" si="54"/>
        <v>0</v>
      </c>
      <c r="D161" s="127"/>
      <c r="E161" s="53">
        <v>231000</v>
      </c>
      <c r="F161" s="53"/>
      <c r="G161" s="147"/>
      <c r="H161" s="53">
        <v>90000</v>
      </c>
      <c r="I161" s="53">
        <v>180000</v>
      </c>
      <c r="J161" s="31">
        <f t="shared" si="57"/>
        <v>-39000</v>
      </c>
      <c r="K161" s="156" t="b">
        <f t="shared" si="56"/>
        <v>0</v>
      </c>
    </row>
    <row r="162" spans="1:11">
      <c r="A162" s="35" t="s">
        <v>62</v>
      </c>
      <c r="B162" s="36"/>
      <c r="C162" s="36"/>
      <c r="D162" s="36"/>
      <c r="E162" s="36"/>
      <c r="F162" s="36"/>
      <c r="G162" s="36"/>
      <c r="H162" s="36"/>
      <c r="I162" s="36"/>
      <c r="J162" s="37"/>
      <c r="K162" s="155"/>
    </row>
    <row r="163" spans="1:11">
      <c r="A163" s="130" t="s">
        <v>145</v>
      </c>
      <c r="B163" s="38" t="s">
        <v>63</v>
      </c>
      <c r="C163" s="39" t="e">
        <f>+C127</f>
        <v>#REF!</v>
      </c>
      <c r="D163" s="51">
        <v>5000000</v>
      </c>
      <c r="E163" s="109"/>
      <c r="F163" s="51">
        <v>217445</v>
      </c>
      <c r="G163" s="148"/>
      <c r="H163" s="139">
        <v>2070495</v>
      </c>
      <c r="I163" s="134">
        <v>3286349</v>
      </c>
      <c r="J163" s="46" t="e">
        <f>+SUM(C163:G163)-(H163+I163)</f>
        <v>#REF!</v>
      </c>
      <c r="K163" s="156" t="e">
        <f>J163=I127</f>
        <v>#REF!</v>
      </c>
    </row>
    <row r="164" spans="1:11">
      <c r="A164" s="44" t="s">
        <v>64</v>
      </c>
      <c r="B164" s="25"/>
      <c r="C164" s="36"/>
      <c r="D164" s="25"/>
      <c r="E164" s="25"/>
      <c r="F164" s="25"/>
      <c r="G164" s="25"/>
      <c r="H164" s="25"/>
      <c r="I164" s="25"/>
      <c r="J164" s="37"/>
      <c r="K164" s="155"/>
    </row>
    <row r="165" spans="1:11">
      <c r="A165" s="130" t="s">
        <v>145</v>
      </c>
      <c r="B165" s="38" t="s">
        <v>65</v>
      </c>
      <c r="C165" s="133" t="e">
        <f>+#REF!</f>
        <v>#REF!</v>
      </c>
      <c r="D165" s="140">
        <v>7900099</v>
      </c>
      <c r="E165" s="51"/>
      <c r="F165" s="51"/>
      <c r="G165" s="51"/>
      <c r="H165" s="53">
        <v>3000000</v>
      </c>
      <c r="I165" s="55">
        <v>379529</v>
      </c>
      <c r="J165" s="46" t="e">
        <f>+SUM(C165:G165)-(H165+I165)</f>
        <v>#REF!</v>
      </c>
      <c r="K165" s="156" t="e">
        <f>+J165=#REF!</f>
        <v>#REF!</v>
      </c>
    </row>
    <row r="166" spans="1:11">
      <c r="A166" s="130" t="s">
        <v>145</v>
      </c>
      <c r="B166" s="38" t="s">
        <v>66</v>
      </c>
      <c r="C166" s="133" t="e">
        <f>+C126</f>
        <v>#REF!</v>
      </c>
      <c r="D166" s="51"/>
      <c r="E166" s="50"/>
      <c r="F166" s="50"/>
      <c r="G166" s="50"/>
      <c r="H166" s="33">
        <v>2000000</v>
      </c>
      <c r="I166" s="52">
        <v>5392233</v>
      </c>
      <c r="J166" s="46" t="e">
        <f>SUM(C166:G166)-(H166+I166)</f>
        <v>#REF!</v>
      </c>
      <c r="K166" s="156" t="e">
        <f>+J166=I126</f>
        <v>#REF!</v>
      </c>
    </row>
    <row r="167" spans="1:11" ht="15.75">
      <c r="C167" s="151" t="e">
        <f>SUM(C150:C166)</f>
        <v>#REF!</v>
      </c>
      <c r="I167" s="149">
        <f>SUM(I150:I166)</f>
        <v>11225561</v>
      </c>
      <c r="J167" s="111" t="e">
        <f>+SUM(J150:J166)</f>
        <v>#REF!</v>
      </c>
      <c r="K167" s="5" t="e">
        <f>J167=I139</f>
        <v>#REF!</v>
      </c>
    </row>
    <row r="168" spans="1:11" ht="16.5">
      <c r="A168" s="14"/>
      <c r="B168" s="15"/>
      <c r="C168" s="12"/>
      <c r="D168" s="12"/>
      <c r="E168" s="13"/>
      <c r="F168" s="12"/>
      <c r="G168" s="12"/>
      <c r="H168" s="12"/>
      <c r="I168" s="12"/>
    </row>
    <row r="169" spans="1:11">
      <c r="A169" s="16" t="s">
        <v>54</v>
      </c>
      <c r="B169" s="16"/>
      <c r="C169" s="16"/>
      <c r="D169" s="17"/>
      <c r="E169" s="17"/>
      <c r="F169" s="17"/>
      <c r="G169" s="17"/>
      <c r="H169" s="17"/>
      <c r="I169" s="17"/>
    </row>
    <row r="170" spans="1:11">
      <c r="A170" s="18" t="s">
        <v>133</v>
      </c>
      <c r="B170" s="18"/>
      <c r="C170" s="18"/>
      <c r="D170" s="18"/>
      <c r="E170" s="18"/>
      <c r="F170" s="18"/>
      <c r="G170" s="18"/>
      <c r="H170" s="18"/>
      <c r="I170" s="18"/>
      <c r="J170" s="17"/>
    </row>
    <row r="171" spans="1:11">
      <c r="A171" s="19"/>
      <c r="B171" s="20"/>
      <c r="C171" s="21"/>
      <c r="D171" s="21"/>
      <c r="E171" s="21"/>
      <c r="F171" s="21"/>
      <c r="G171" s="21"/>
      <c r="H171" s="20"/>
      <c r="I171" s="20"/>
      <c r="J171" s="18"/>
    </row>
    <row r="172" spans="1:11">
      <c r="A172" s="239" t="s">
        <v>55</v>
      </c>
      <c r="B172" s="241" t="s">
        <v>56</v>
      </c>
      <c r="C172" s="243" t="s">
        <v>134</v>
      </c>
      <c r="D172" s="245" t="s">
        <v>57</v>
      </c>
      <c r="E172" s="246"/>
      <c r="F172" s="246"/>
      <c r="G172" s="247"/>
      <c r="H172" s="248" t="s">
        <v>58</v>
      </c>
      <c r="I172" s="235" t="s">
        <v>59</v>
      </c>
      <c r="J172" s="20"/>
    </row>
    <row r="173" spans="1:11">
      <c r="A173" s="240"/>
      <c r="B173" s="242"/>
      <c r="C173" s="244"/>
      <c r="D173" s="22" t="s">
        <v>25</v>
      </c>
      <c r="E173" s="22" t="s">
        <v>26</v>
      </c>
      <c r="F173" s="167" t="s">
        <v>125</v>
      </c>
      <c r="G173" s="22" t="s">
        <v>60</v>
      </c>
      <c r="H173" s="249"/>
      <c r="I173" s="236"/>
      <c r="J173" s="237" t="s">
        <v>135</v>
      </c>
      <c r="K173" s="155"/>
    </row>
    <row r="174" spans="1:11">
      <c r="A174" s="24"/>
      <c r="B174" s="25" t="s">
        <v>61</v>
      </c>
      <c r="C174" s="26"/>
      <c r="D174" s="26"/>
      <c r="E174" s="26"/>
      <c r="F174" s="26"/>
      <c r="G174" s="26"/>
      <c r="H174" s="26"/>
      <c r="I174" s="27"/>
      <c r="J174" s="238"/>
      <c r="K174" s="155"/>
    </row>
    <row r="175" spans="1:11">
      <c r="A175" s="130" t="s">
        <v>136</v>
      </c>
      <c r="B175" s="135" t="s">
        <v>78</v>
      </c>
      <c r="C175" s="33">
        <v>40050</v>
      </c>
      <c r="D175" s="32"/>
      <c r="E175" s="33">
        <v>104000</v>
      </c>
      <c r="F175" s="33"/>
      <c r="G175" s="33"/>
      <c r="H175" s="57">
        <v>54000</v>
      </c>
      <c r="I175" s="33">
        <v>81000</v>
      </c>
      <c r="J175" s="31">
        <f>+SUM(C175:G175)-(H175+I175)</f>
        <v>9050</v>
      </c>
      <c r="K175" s="156" t="e">
        <f>J175=#REF!</f>
        <v>#REF!</v>
      </c>
    </row>
    <row r="176" spans="1:11">
      <c r="A176" s="130" t="s">
        <v>136</v>
      </c>
      <c r="B176" s="135" t="s">
        <v>49</v>
      </c>
      <c r="C176" s="33">
        <v>38845</v>
      </c>
      <c r="D176" s="32"/>
      <c r="E176" s="33">
        <v>1550000</v>
      </c>
      <c r="F176" s="33"/>
      <c r="G176" s="33"/>
      <c r="H176" s="57">
        <v>311000</v>
      </c>
      <c r="I176" s="33">
        <v>1017400</v>
      </c>
      <c r="J176" s="31">
        <f t="shared" ref="J176:J177" si="58">+SUM(C176:G176)-(H176+I176)</f>
        <v>260445</v>
      </c>
      <c r="K176" s="156" t="b">
        <f>J176=I128</f>
        <v>0</v>
      </c>
    </row>
    <row r="177" spans="1:11">
      <c r="A177" s="130" t="s">
        <v>136</v>
      </c>
      <c r="B177" s="135" t="s">
        <v>32</v>
      </c>
      <c r="C177" s="33">
        <v>6895</v>
      </c>
      <c r="D177" s="32"/>
      <c r="E177" s="33">
        <v>581000</v>
      </c>
      <c r="F177" s="33"/>
      <c r="G177" s="33"/>
      <c r="H177" s="33"/>
      <c r="I177" s="33">
        <v>498900</v>
      </c>
      <c r="J177" s="107">
        <f t="shared" si="58"/>
        <v>88995</v>
      </c>
      <c r="K177" s="156" t="b">
        <f>J177=I129</f>
        <v>0</v>
      </c>
    </row>
    <row r="178" spans="1:11">
      <c r="A178" s="130" t="s">
        <v>136</v>
      </c>
      <c r="B178" s="135" t="s">
        <v>79</v>
      </c>
      <c r="C178" s="33">
        <v>28540</v>
      </c>
      <c r="D178" s="110"/>
      <c r="E178" s="33">
        <v>332000</v>
      </c>
      <c r="F178" s="33">
        <v>10000</v>
      </c>
      <c r="G178" s="33"/>
      <c r="H178" s="33"/>
      <c r="I178" s="33">
        <v>302850</v>
      </c>
      <c r="J178" s="107">
        <f>+SUM(C178:G178)-(H178+I178)</f>
        <v>67690</v>
      </c>
      <c r="K178" s="156" t="b">
        <f>J178=I130</f>
        <v>0</v>
      </c>
    </row>
    <row r="179" spans="1:11">
      <c r="A179" s="130" t="s">
        <v>136</v>
      </c>
      <c r="B179" s="135" t="s">
        <v>71</v>
      </c>
      <c r="C179" s="33">
        <v>184</v>
      </c>
      <c r="D179" s="110"/>
      <c r="E179" s="33"/>
      <c r="F179" s="33"/>
      <c r="G179" s="33"/>
      <c r="H179" s="33">
        <v>184</v>
      </c>
      <c r="I179" s="33"/>
      <c r="J179" s="107">
        <f t="shared" ref="J179" si="59">+SUM(C179:G179)-(H179+I179)</f>
        <v>0</v>
      </c>
      <c r="K179" s="156" t="e">
        <f>J179=#REF!</f>
        <v>#REF!</v>
      </c>
    </row>
    <row r="180" spans="1:11">
      <c r="A180" s="130" t="s">
        <v>136</v>
      </c>
      <c r="B180" s="136" t="s">
        <v>31</v>
      </c>
      <c r="C180" s="33">
        <v>68200</v>
      </c>
      <c r="D180" s="127"/>
      <c r="E180" s="53">
        <v>638000</v>
      </c>
      <c r="F180" s="53">
        <v>45000</v>
      </c>
      <c r="G180" s="53"/>
      <c r="H180" s="53"/>
      <c r="I180" s="53">
        <v>787385</v>
      </c>
      <c r="J180" s="132">
        <f>+SUM(C180:G180)-(H180+I180)</f>
        <v>-36185</v>
      </c>
      <c r="K180" s="156" t="b">
        <f t="shared" ref="K180:K187" si="60">J180=I131</f>
        <v>0</v>
      </c>
    </row>
    <row r="181" spans="1:11">
      <c r="A181" s="130" t="s">
        <v>136</v>
      </c>
      <c r="B181" s="137" t="s">
        <v>86</v>
      </c>
      <c r="C181" s="128">
        <v>233614</v>
      </c>
      <c r="D181" s="131"/>
      <c r="E181" s="146"/>
      <c r="F181" s="146"/>
      <c r="G181" s="146"/>
      <c r="H181" s="146"/>
      <c r="I181" s="146"/>
      <c r="J181" s="129">
        <f>+SUM(C181:G181)-(H181+I181)</f>
        <v>233614</v>
      </c>
      <c r="K181" s="156" t="b">
        <f t="shared" si="60"/>
        <v>0</v>
      </c>
    </row>
    <row r="182" spans="1:11">
      <c r="A182" s="130" t="s">
        <v>136</v>
      </c>
      <c r="B182" s="137" t="s">
        <v>85</v>
      </c>
      <c r="C182" s="128">
        <v>249769</v>
      </c>
      <c r="D182" s="131"/>
      <c r="E182" s="146"/>
      <c r="F182" s="146"/>
      <c r="G182" s="146"/>
      <c r="H182" s="146"/>
      <c r="I182" s="146"/>
      <c r="J182" s="129">
        <f t="shared" ref="J182:J187" si="61">+SUM(C182:G182)-(H182+I182)</f>
        <v>249769</v>
      </c>
      <c r="K182" s="156" t="b">
        <f t="shared" si="60"/>
        <v>0</v>
      </c>
    </row>
    <row r="183" spans="1:11">
      <c r="A183" s="130" t="s">
        <v>136</v>
      </c>
      <c r="B183" s="135" t="s">
        <v>37</v>
      </c>
      <c r="C183" s="33">
        <v>-4675</v>
      </c>
      <c r="D183" s="32"/>
      <c r="E183" s="33">
        <v>494000</v>
      </c>
      <c r="F183" s="33">
        <v>256000</v>
      </c>
      <c r="G183" s="110"/>
      <c r="H183" s="110">
        <v>6500</v>
      </c>
      <c r="I183" s="33">
        <v>607250</v>
      </c>
      <c r="J183" s="31">
        <f t="shared" si="61"/>
        <v>131575</v>
      </c>
      <c r="K183" s="156" t="b">
        <f t="shared" si="60"/>
        <v>0</v>
      </c>
    </row>
    <row r="184" spans="1:11">
      <c r="A184" s="130" t="s">
        <v>136</v>
      </c>
      <c r="B184" s="135" t="s">
        <v>95</v>
      </c>
      <c r="C184" s="33">
        <v>5000</v>
      </c>
      <c r="D184" s="32"/>
      <c r="E184" s="33">
        <v>30000</v>
      </c>
      <c r="F184" s="110"/>
      <c r="G184" s="110"/>
      <c r="H184" s="110"/>
      <c r="I184" s="33">
        <v>29500</v>
      </c>
      <c r="J184" s="31">
        <f t="shared" si="61"/>
        <v>5500</v>
      </c>
      <c r="K184" s="156" t="b">
        <f t="shared" si="60"/>
        <v>0</v>
      </c>
    </row>
    <row r="185" spans="1:11">
      <c r="A185" s="130" t="s">
        <v>136</v>
      </c>
      <c r="B185" s="135" t="s">
        <v>30</v>
      </c>
      <c r="C185" s="33">
        <v>72800</v>
      </c>
      <c r="D185" s="32"/>
      <c r="E185" s="33">
        <v>446000</v>
      </c>
      <c r="F185" s="110"/>
      <c r="G185" s="110"/>
      <c r="H185" s="110"/>
      <c r="I185" s="33">
        <v>512600</v>
      </c>
      <c r="J185" s="31">
        <f t="shared" si="61"/>
        <v>6200</v>
      </c>
      <c r="K185" s="156" t="b">
        <f t="shared" si="60"/>
        <v>0</v>
      </c>
    </row>
    <row r="186" spans="1:11">
      <c r="A186" s="130" t="s">
        <v>136</v>
      </c>
      <c r="B186" s="135" t="s">
        <v>33</v>
      </c>
      <c r="C186" s="33">
        <v>47300</v>
      </c>
      <c r="D186" s="32"/>
      <c r="E186" s="33">
        <v>5000</v>
      </c>
      <c r="F186" s="110">
        <v>6500</v>
      </c>
      <c r="G186" s="110"/>
      <c r="H186" s="33">
        <v>20000</v>
      </c>
      <c r="I186" s="33">
        <v>8000</v>
      </c>
      <c r="J186" s="31">
        <f t="shared" si="61"/>
        <v>30800</v>
      </c>
      <c r="K186" s="156" t="b">
        <f t="shared" si="60"/>
        <v>0</v>
      </c>
    </row>
    <row r="187" spans="1:11">
      <c r="A187" s="130" t="s">
        <v>136</v>
      </c>
      <c r="B187" s="136" t="s">
        <v>115</v>
      </c>
      <c r="C187" s="33">
        <v>79600</v>
      </c>
      <c r="D187" s="127"/>
      <c r="E187" s="53"/>
      <c r="F187" s="53"/>
      <c r="G187" s="147"/>
      <c r="H187" s="53"/>
      <c r="I187" s="53">
        <v>37707</v>
      </c>
      <c r="J187" s="31">
        <f t="shared" si="61"/>
        <v>41893</v>
      </c>
      <c r="K187" s="156" t="b">
        <f t="shared" si="60"/>
        <v>0</v>
      </c>
    </row>
    <row r="188" spans="1:11">
      <c r="A188" s="35" t="s">
        <v>62</v>
      </c>
      <c r="B188" s="36"/>
      <c r="C188" s="36"/>
      <c r="D188" s="36"/>
      <c r="E188" s="36"/>
      <c r="F188" s="36"/>
      <c r="G188" s="36"/>
      <c r="H188" s="36"/>
      <c r="I188" s="36"/>
      <c r="J188" s="37"/>
      <c r="K188" s="155"/>
    </row>
    <row r="189" spans="1:11">
      <c r="A189" s="130" t="s">
        <v>136</v>
      </c>
      <c r="B189" s="38" t="s">
        <v>63</v>
      </c>
      <c r="C189" s="39">
        <v>467929</v>
      </c>
      <c r="D189" s="51">
        <v>6310000</v>
      </c>
      <c r="E189" s="109"/>
      <c r="F189" s="51">
        <v>74184</v>
      </c>
      <c r="G189" s="148"/>
      <c r="H189" s="139">
        <v>4180000</v>
      </c>
      <c r="I189" s="134">
        <v>1710965</v>
      </c>
      <c r="J189" s="46">
        <f>+SUM(C189:G189)-(H189+I189)</f>
        <v>961148</v>
      </c>
      <c r="K189" s="156" t="b">
        <f>J189=I127</f>
        <v>0</v>
      </c>
    </row>
    <row r="190" spans="1:11">
      <c r="A190" s="44" t="s">
        <v>64</v>
      </c>
      <c r="B190" s="25"/>
      <c r="C190" s="36"/>
      <c r="D190" s="25"/>
      <c r="E190" s="25"/>
      <c r="F190" s="25"/>
      <c r="G190" s="25"/>
      <c r="H190" s="25"/>
      <c r="I190" s="25"/>
      <c r="J190" s="37"/>
      <c r="K190" s="155"/>
    </row>
    <row r="191" spans="1:11">
      <c r="A191" s="130" t="s">
        <v>136</v>
      </c>
      <c r="B191" s="38" t="s">
        <v>65</v>
      </c>
      <c r="C191" s="133">
        <v>7405927</v>
      </c>
      <c r="D191" s="140"/>
      <c r="E191" s="51"/>
      <c r="F191" s="51"/>
      <c r="G191" s="51"/>
      <c r="H191" s="53">
        <v>2000000</v>
      </c>
      <c r="I191" s="55">
        <v>1710232</v>
      </c>
      <c r="J191" s="46">
        <f>+SUM(C191:G191)-(H191+I191)</f>
        <v>3695695</v>
      </c>
      <c r="K191" s="156" t="e">
        <f>+J191=#REF!</f>
        <v>#REF!</v>
      </c>
    </row>
    <row r="192" spans="1:11">
      <c r="A192" s="130" t="s">
        <v>136</v>
      </c>
      <c r="B192" s="38" t="s">
        <v>66</v>
      </c>
      <c r="C192" s="133">
        <v>22972065</v>
      </c>
      <c r="D192" s="51"/>
      <c r="E192" s="50"/>
      <c r="F192" s="50"/>
      <c r="G192" s="50"/>
      <c r="H192" s="33">
        <v>4310000</v>
      </c>
      <c r="I192" s="52">
        <v>3055511</v>
      </c>
      <c r="J192" s="46">
        <f>SUM(C192:G192)-(H192+I192)</f>
        <v>15606554</v>
      </c>
      <c r="K192" s="156" t="b">
        <f>+J192=I126</f>
        <v>0</v>
      </c>
    </row>
    <row r="193" spans="1:11" ht="15.75">
      <c r="C193" s="151">
        <f>SUM(C175:C192)</f>
        <v>31712043</v>
      </c>
      <c r="I193" s="149">
        <f>SUM(I175:I192)</f>
        <v>10359300</v>
      </c>
      <c r="J193" s="111">
        <f>+SUM(J175:J192)</f>
        <v>21352743</v>
      </c>
      <c r="K193" s="5" t="b">
        <f>J193=I139</f>
        <v>0</v>
      </c>
    </row>
    <row r="194" spans="1:11" ht="16.5">
      <c r="A194" s="14"/>
      <c r="B194" s="15"/>
      <c r="C194" s="12"/>
      <c r="D194" s="12"/>
      <c r="E194" s="13"/>
      <c r="F194" s="12"/>
      <c r="G194" s="12"/>
      <c r="H194" s="12"/>
      <c r="I194" s="12"/>
    </row>
    <row r="195" spans="1:11">
      <c r="A195" s="16" t="s">
        <v>54</v>
      </c>
      <c r="B195" s="16"/>
      <c r="C195" s="16"/>
      <c r="D195" s="17"/>
      <c r="E195" s="17"/>
      <c r="F195" s="17"/>
      <c r="G195" s="17"/>
      <c r="H195" s="17"/>
      <c r="I195" s="17"/>
    </row>
    <row r="196" spans="1:11">
      <c r="A196" s="18" t="s">
        <v>126</v>
      </c>
      <c r="B196" s="18"/>
      <c r="C196" s="18"/>
      <c r="D196" s="18"/>
      <c r="E196" s="18"/>
      <c r="F196" s="18"/>
      <c r="G196" s="18"/>
      <c r="H196" s="18"/>
      <c r="I196" s="18"/>
      <c r="J196" s="17"/>
    </row>
    <row r="197" spans="1:11">
      <c r="A197" s="19"/>
      <c r="B197" s="20"/>
      <c r="C197" s="21"/>
      <c r="D197" s="21"/>
      <c r="E197" s="21"/>
      <c r="F197" s="21"/>
      <c r="G197" s="21"/>
      <c r="H197" s="20"/>
      <c r="I197" s="20"/>
      <c r="J197" s="18"/>
    </row>
    <row r="198" spans="1:11">
      <c r="A198" s="239" t="s">
        <v>55</v>
      </c>
      <c r="B198" s="241" t="s">
        <v>56</v>
      </c>
      <c r="C198" s="243" t="s">
        <v>127</v>
      </c>
      <c r="D198" s="245" t="s">
        <v>57</v>
      </c>
      <c r="E198" s="246"/>
      <c r="F198" s="246"/>
      <c r="G198" s="247"/>
      <c r="H198" s="248" t="s">
        <v>58</v>
      </c>
      <c r="I198" s="235" t="s">
        <v>59</v>
      </c>
      <c r="J198" s="20"/>
    </row>
    <row r="199" spans="1:11">
      <c r="A199" s="240"/>
      <c r="B199" s="242"/>
      <c r="C199" s="244"/>
      <c r="D199" s="22" t="s">
        <v>25</v>
      </c>
      <c r="E199" s="22" t="s">
        <v>26</v>
      </c>
      <c r="F199" s="166" t="s">
        <v>125</v>
      </c>
      <c r="G199" s="22" t="s">
        <v>60</v>
      </c>
      <c r="H199" s="249"/>
      <c r="I199" s="236"/>
      <c r="J199" s="237" t="s">
        <v>128</v>
      </c>
      <c r="K199" s="155"/>
    </row>
    <row r="200" spans="1:11">
      <c r="A200" s="24"/>
      <c r="B200" s="25" t="s">
        <v>61</v>
      </c>
      <c r="C200" s="26"/>
      <c r="D200" s="26"/>
      <c r="E200" s="26"/>
      <c r="F200" s="26"/>
      <c r="G200" s="26"/>
      <c r="H200" s="26"/>
      <c r="I200" s="27"/>
      <c r="J200" s="238"/>
      <c r="K200" s="155"/>
    </row>
    <row r="201" spans="1:11">
      <c r="A201" s="130" t="s">
        <v>129</v>
      </c>
      <c r="B201" s="135" t="s">
        <v>78</v>
      </c>
      <c r="C201" s="33">
        <v>-450</v>
      </c>
      <c r="D201" s="32"/>
      <c r="E201" s="33">
        <v>168000</v>
      </c>
      <c r="F201" s="33">
        <v>55000</v>
      </c>
      <c r="G201" s="33"/>
      <c r="H201" s="57"/>
      <c r="I201" s="33">
        <v>182500</v>
      </c>
      <c r="J201" s="31">
        <f>+SUM(C201:G201)-(H201+I201)</f>
        <v>40050</v>
      </c>
      <c r="K201" s="156"/>
    </row>
    <row r="202" spans="1:11">
      <c r="A202" s="130" t="s">
        <v>129</v>
      </c>
      <c r="B202" s="135" t="s">
        <v>49</v>
      </c>
      <c r="C202" s="33">
        <v>12510</v>
      </c>
      <c r="D202" s="32"/>
      <c r="E202" s="33">
        <v>303000</v>
      </c>
      <c r="F202" s="33"/>
      <c r="G202" s="33"/>
      <c r="H202" s="57"/>
      <c r="I202" s="33">
        <v>276665</v>
      </c>
      <c r="J202" s="31">
        <f t="shared" ref="J202:J203" si="62">+SUM(C202:G202)-(H202+I202)</f>
        <v>38845</v>
      </c>
      <c r="K202" s="156"/>
    </row>
    <row r="203" spans="1:11">
      <c r="A203" s="130" t="s">
        <v>129</v>
      </c>
      <c r="B203" s="135" t="s">
        <v>32</v>
      </c>
      <c r="C203" s="33">
        <v>2895</v>
      </c>
      <c r="D203" s="32"/>
      <c r="E203" s="33">
        <v>40000</v>
      </c>
      <c r="F203" s="33"/>
      <c r="G203" s="33"/>
      <c r="H203" s="33"/>
      <c r="I203" s="33">
        <v>36000</v>
      </c>
      <c r="J203" s="107">
        <f t="shared" si="62"/>
        <v>6895</v>
      </c>
      <c r="K203" s="156"/>
    </row>
    <row r="204" spans="1:11">
      <c r="A204" s="130" t="s">
        <v>129</v>
      </c>
      <c r="B204" s="135" t="s">
        <v>79</v>
      </c>
      <c r="C204" s="33">
        <v>62040</v>
      </c>
      <c r="D204" s="110"/>
      <c r="E204" s="33"/>
      <c r="F204" s="33"/>
      <c r="G204" s="33"/>
      <c r="H204" s="33">
        <v>25000</v>
      </c>
      <c r="I204" s="33">
        <v>8500</v>
      </c>
      <c r="J204" s="107">
        <f>+SUM(C204:G204)-(H204+I204)</f>
        <v>28540</v>
      </c>
      <c r="K204" s="156"/>
    </row>
    <row r="205" spans="1:11">
      <c r="A205" s="130" t="s">
        <v>129</v>
      </c>
      <c r="B205" s="135" t="s">
        <v>71</v>
      </c>
      <c r="C205" s="33">
        <v>184</v>
      </c>
      <c r="D205" s="110"/>
      <c r="E205" s="33">
        <v>0</v>
      </c>
      <c r="F205" s="33"/>
      <c r="G205" s="33"/>
      <c r="H205" s="33"/>
      <c r="I205" s="33">
        <v>0</v>
      </c>
      <c r="J205" s="107">
        <f t="shared" ref="J205" si="63">+SUM(C205:G205)-(H205+I205)</f>
        <v>184</v>
      </c>
      <c r="K205" s="156"/>
    </row>
    <row r="206" spans="1:11">
      <c r="A206" s="130" t="s">
        <v>129</v>
      </c>
      <c r="B206" s="136" t="s">
        <v>31</v>
      </c>
      <c r="C206" s="33">
        <v>-36500</v>
      </c>
      <c r="D206" s="127"/>
      <c r="E206" s="53">
        <v>523500</v>
      </c>
      <c r="F206" s="53"/>
      <c r="G206" s="53"/>
      <c r="H206" s="53"/>
      <c r="I206" s="53">
        <v>418800</v>
      </c>
      <c r="J206" s="132">
        <f>+SUM(C206:G206)-(H206+I206)</f>
        <v>68200</v>
      </c>
      <c r="K206" s="156"/>
    </row>
    <row r="207" spans="1:11">
      <c r="A207" s="130" t="s">
        <v>129</v>
      </c>
      <c r="B207" s="137" t="s">
        <v>86</v>
      </c>
      <c r="C207" s="128">
        <v>233614</v>
      </c>
      <c r="D207" s="131"/>
      <c r="E207" s="146"/>
      <c r="F207" s="146"/>
      <c r="G207" s="146"/>
      <c r="H207" s="146"/>
      <c r="I207" s="146"/>
      <c r="J207" s="129">
        <f>+SUM(C207:G207)-(H207+I207)</f>
        <v>233614</v>
      </c>
      <c r="K207" s="156"/>
    </row>
    <row r="208" spans="1:11">
      <c r="A208" s="130" t="s">
        <v>129</v>
      </c>
      <c r="B208" s="137" t="s">
        <v>85</v>
      </c>
      <c r="C208" s="128">
        <v>249769</v>
      </c>
      <c r="D208" s="131"/>
      <c r="E208" s="146"/>
      <c r="F208" s="146"/>
      <c r="G208" s="146"/>
      <c r="H208" s="146"/>
      <c r="I208" s="146"/>
      <c r="J208" s="129">
        <f t="shared" ref="J208:J213" si="64">+SUM(C208:G208)-(H208+I208)</f>
        <v>249769</v>
      </c>
      <c r="K208" s="156"/>
    </row>
    <row r="209" spans="1:11">
      <c r="A209" s="130" t="s">
        <v>129</v>
      </c>
      <c r="B209" s="135" t="s">
        <v>37</v>
      </c>
      <c r="C209" s="33">
        <v>71200</v>
      </c>
      <c r="D209" s="32"/>
      <c r="E209" s="33">
        <v>1056000</v>
      </c>
      <c r="F209" s="33"/>
      <c r="G209" s="110"/>
      <c r="H209" s="110">
        <v>55000</v>
      </c>
      <c r="I209" s="33">
        <v>1076875</v>
      </c>
      <c r="J209" s="31">
        <f t="shared" si="64"/>
        <v>-4675</v>
      </c>
      <c r="K209" s="156"/>
    </row>
    <row r="210" spans="1:11">
      <c r="A210" s="130" t="s">
        <v>129</v>
      </c>
      <c r="B210" s="135" t="s">
        <v>95</v>
      </c>
      <c r="C210" s="33">
        <v>6000</v>
      </c>
      <c r="D210" s="32"/>
      <c r="E210" s="33">
        <v>20000</v>
      </c>
      <c r="F210" s="110"/>
      <c r="G210" s="110"/>
      <c r="H210" s="110"/>
      <c r="I210" s="33">
        <v>21000</v>
      </c>
      <c r="J210" s="31">
        <f t="shared" si="64"/>
        <v>5000</v>
      </c>
      <c r="K210" s="156"/>
    </row>
    <row r="211" spans="1:11">
      <c r="A211" s="130" t="s">
        <v>129</v>
      </c>
      <c r="B211" s="135" t="s">
        <v>30</v>
      </c>
      <c r="C211" s="33">
        <v>167700</v>
      </c>
      <c r="D211" s="32"/>
      <c r="E211" s="33">
        <v>473000</v>
      </c>
      <c r="F211" s="110"/>
      <c r="G211" s="110"/>
      <c r="H211" s="110"/>
      <c r="I211" s="33">
        <v>567900</v>
      </c>
      <c r="J211" s="31">
        <f t="shared" si="64"/>
        <v>72800</v>
      </c>
      <c r="K211" s="156"/>
    </row>
    <row r="212" spans="1:11">
      <c r="A212" s="130" t="s">
        <v>129</v>
      </c>
      <c r="B212" s="135" t="s">
        <v>33</v>
      </c>
      <c r="C212" s="33">
        <v>65300</v>
      </c>
      <c r="D212" s="32"/>
      <c r="E212" s="33">
        <v>10000</v>
      </c>
      <c r="F212" s="110"/>
      <c r="G212" s="110"/>
      <c r="H212" s="110">
        <v>20000</v>
      </c>
      <c r="I212" s="33">
        <v>8000</v>
      </c>
      <c r="J212" s="31">
        <f t="shared" si="64"/>
        <v>47300</v>
      </c>
      <c r="K212" s="156"/>
    </row>
    <row r="213" spans="1:11">
      <c r="A213" s="130" t="s">
        <v>129</v>
      </c>
      <c r="B213" s="136" t="s">
        <v>115</v>
      </c>
      <c r="C213" s="33">
        <v>-11700</v>
      </c>
      <c r="D213" s="127"/>
      <c r="E213" s="53">
        <v>385800</v>
      </c>
      <c r="F213" s="53"/>
      <c r="G213" s="147"/>
      <c r="H213" s="53"/>
      <c r="I213" s="53">
        <v>294500</v>
      </c>
      <c r="J213" s="31">
        <f t="shared" si="64"/>
        <v>79600</v>
      </c>
      <c r="K213" s="156"/>
    </row>
    <row r="214" spans="1:11">
      <c r="A214" s="35" t="s">
        <v>62</v>
      </c>
      <c r="B214" s="36"/>
      <c r="C214" s="36"/>
      <c r="D214" s="36"/>
      <c r="E214" s="36"/>
      <c r="F214" s="36"/>
      <c r="G214" s="36"/>
      <c r="H214" s="36"/>
      <c r="I214" s="36"/>
      <c r="J214" s="37"/>
      <c r="K214" s="155"/>
    </row>
    <row r="215" spans="1:11">
      <c r="A215" s="130" t="s">
        <v>129</v>
      </c>
      <c r="B215" s="38" t="s">
        <v>63</v>
      </c>
      <c r="C215" s="39">
        <v>1672959</v>
      </c>
      <c r="D215" s="51">
        <v>3341000</v>
      </c>
      <c r="E215" s="109"/>
      <c r="F215" s="109">
        <v>45000</v>
      </c>
      <c r="G215" s="148"/>
      <c r="H215" s="139">
        <v>2979300</v>
      </c>
      <c r="I215" s="134">
        <v>1611730</v>
      </c>
      <c r="J215" s="46">
        <f>+SUM(C215:G215)-(H215+I215)</f>
        <v>467929</v>
      </c>
      <c r="K215" s="156"/>
    </row>
    <row r="216" spans="1:11">
      <c r="A216" s="44" t="s">
        <v>64</v>
      </c>
      <c r="B216" s="25"/>
      <c r="C216" s="36"/>
      <c r="D216" s="25"/>
      <c r="E216" s="25"/>
      <c r="F216" s="25"/>
      <c r="G216" s="25"/>
      <c r="H216" s="25"/>
      <c r="I216" s="25"/>
      <c r="J216" s="37"/>
      <c r="K216" s="155"/>
    </row>
    <row r="217" spans="1:11">
      <c r="A217" s="130" t="s">
        <v>129</v>
      </c>
      <c r="B217" s="38" t="s">
        <v>65</v>
      </c>
      <c r="C217" s="133">
        <v>2957378</v>
      </c>
      <c r="D217" s="140">
        <v>7828953</v>
      </c>
      <c r="E217" s="51"/>
      <c r="F217" s="51"/>
      <c r="G217" s="51"/>
      <c r="H217" s="53">
        <v>3000000</v>
      </c>
      <c r="I217" s="55">
        <v>380404</v>
      </c>
      <c r="J217" s="46">
        <f>+SUM(C217:G217)-(H217+I217)</f>
        <v>7405927</v>
      </c>
      <c r="K217" s="156"/>
    </row>
    <row r="218" spans="1:11">
      <c r="A218" s="130" t="s">
        <v>129</v>
      </c>
      <c r="B218" s="38" t="s">
        <v>66</v>
      </c>
      <c r="C218" s="133">
        <v>28018504</v>
      </c>
      <c r="D218" s="51"/>
      <c r="E218" s="50"/>
      <c r="F218" s="50"/>
      <c r="G218" s="50"/>
      <c r="H218" s="33">
        <v>341000</v>
      </c>
      <c r="I218" s="52">
        <v>4705439</v>
      </c>
      <c r="J218" s="46">
        <f>SUM(C218:G218)-(H218+I218)</f>
        <v>22972065</v>
      </c>
      <c r="K218" s="156"/>
    </row>
    <row r="219" spans="1:11" ht="15.75">
      <c r="C219" s="151">
        <f>SUM(C201:C218)</f>
        <v>33471403</v>
      </c>
      <c r="I219" s="149">
        <f>SUM(I201:I218)</f>
        <v>9588313</v>
      </c>
      <c r="J219" s="111">
        <f>+SUM(J201:J218)</f>
        <v>31712043</v>
      </c>
    </row>
    <row r="220" spans="1:11" ht="16.5">
      <c r="A220" s="14"/>
      <c r="B220" s="15"/>
      <c r="C220" s="12" t="e">
        <f>C219=C139</f>
        <v>#REF!</v>
      </c>
      <c r="D220" s="12"/>
      <c r="E220" s="13"/>
      <c r="F220" s="12"/>
      <c r="G220" s="12"/>
      <c r="H220" s="12"/>
      <c r="I220" s="12"/>
    </row>
    <row r="221" spans="1:11">
      <c r="A221" s="16" t="s">
        <v>54</v>
      </c>
      <c r="B221" s="16"/>
      <c r="C221" s="16"/>
      <c r="D221" s="17"/>
      <c r="E221" s="17"/>
      <c r="F221" s="17"/>
      <c r="G221" s="17"/>
      <c r="H221" s="17"/>
      <c r="I221" s="17"/>
    </row>
    <row r="222" spans="1:11">
      <c r="A222" s="18" t="s">
        <v>121</v>
      </c>
      <c r="B222" s="18"/>
      <c r="C222" s="18"/>
      <c r="D222" s="18"/>
      <c r="E222" s="18"/>
      <c r="F222" s="18"/>
      <c r="G222" s="18"/>
      <c r="H222" s="18"/>
      <c r="I222" s="18"/>
      <c r="J222" s="17"/>
    </row>
    <row r="223" spans="1:11">
      <c r="A223" s="19"/>
      <c r="B223" s="20"/>
      <c r="C223" s="21"/>
      <c r="D223" s="21"/>
      <c r="E223" s="21"/>
      <c r="F223" s="21"/>
      <c r="G223" s="21"/>
      <c r="H223" s="20"/>
      <c r="I223" s="20"/>
      <c r="J223" s="18"/>
    </row>
    <row r="224" spans="1:11">
      <c r="A224" s="239" t="s">
        <v>55</v>
      </c>
      <c r="B224" s="241" t="s">
        <v>56</v>
      </c>
      <c r="C224" s="243" t="s">
        <v>123</v>
      </c>
      <c r="D224" s="245" t="s">
        <v>57</v>
      </c>
      <c r="E224" s="246"/>
      <c r="F224" s="246"/>
      <c r="G224" s="247"/>
      <c r="H224" s="248" t="s">
        <v>58</v>
      </c>
      <c r="I224" s="235" t="s">
        <v>59</v>
      </c>
      <c r="J224" s="20"/>
    </row>
    <row r="225" spans="1:11">
      <c r="A225" s="240"/>
      <c r="B225" s="242"/>
      <c r="C225" s="244"/>
      <c r="D225" s="22" t="s">
        <v>25</v>
      </c>
      <c r="E225" s="22" t="s">
        <v>26</v>
      </c>
      <c r="F225" s="154" t="s">
        <v>125</v>
      </c>
      <c r="G225" s="22" t="s">
        <v>60</v>
      </c>
      <c r="H225" s="249"/>
      <c r="I225" s="236"/>
      <c r="J225" s="237" t="s">
        <v>124</v>
      </c>
      <c r="K225" s="155"/>
    </row>
    <row r="226" spans="1:11">
      <c r="A226" s="24"/>
      <c r="B226" s="25" t="s">
        <v>61</v>
      </c>
      <c r="C226" s="26"/>
      <c r="D226" s="26"/>
      <c r="E226" s="26"/>
      <c r="F226" s="26"/>
      <c r="G226" s="26"/>
      <c r="H226" s="26"/>
      <c r="I226" s="27"/>
      <c r="J226" s="238"/>
      <c r="K226" s="155"/>
    </row>
    <row r="227" spans="1:11">
      <c r="A227" s="130" t="s">
        <v>122</v>
      </c>
      <c r="B227" s="135" t="s">
        <v>78</v>
      </c>
      <c r="C227" s="33">
        <v>7670</v>
      </c>
      <c r="D227" s="32"/>
      <c r="E227" s="33">
        <v>438000</v>
      </c>
      <c r="F227" s="33"/>
      <c r="G227" s="33"/>
      <c r="H227" s="57">
        <v>40000</v>
      </c>
      <c r="I227" s="33">
        <v>406120</v>
      </c>
      <c r="J227" s="31">
        <f>+SUM(C227:G227)-(H227+I227)</f>
        <v>-450</v>
      </c>
      <c r="K227" s="156" t="e">
        <f>J227=#REF!</f>
        <v>#REF!</v>
      </c>
    </row>
    <row r="228" spans="1:11">
      <c r="A228" s="130" t="s">
        <v>122</v>
      </c>
      <c r="B228" s="135" t="s">
        <v>49</v>
      </c>
      <c r="C228" s="33">
        <v>4710</v>
      </c>
      <c r="D228" s="32"/>
      <c r="E228" s="33">
        <v>303000</v>
      </c>
      <c r="F228" s="33">
        <f>25000+91000+62000</f>
        <v>178000</v>
      </c>
      <c r="G228" s="33"/>
      <c r="H228" s="57">
        <v>29000</v>
      </c>
      <c r="I228" s="33">
        <v>444200</v>
      </c>
      <c r="J228" s="31">
        <f t="shared" ref="J228:J229" si="65">+SUM(C228:G228)-(H228+I228)</f>
        <v>12510</v>
      </c>
      <c r="K228" s="156" t="b">
        <f>J228=I128</f>
        <v>0</v>
      </c>
    </row>
    <row r="229" spans="1:11">
      <c r="A229" s="130" t="s">
        <v>122</v>
      </c>
      <c r="B229" s="135" t="s">
        <v>32</v>
      </c>
      <c r="C229" s="33">
        <v>9295</v>
      </c>
      <c r="D229" s="32"/>
      <c r="E229" s="33">
        <v>743000</v>
      </c>
      <c r="F229" s="33">
        <v>2000</v>
      </c>
      <c r="G229" s="33"/>
      <c r="H229" s="33">
        <f>103000+91000+137000+101000+91000</f>
        <v>523000</v>
      </c>
      <c r="I229" s="33">
        <v>228400</v>
      </c>
      <c r="J229" s="107">
        <f t="shared" si="65"/>
        <v>2895</v>
      </c>
      <c r="K229" s="156" t="b">
        <f>J229=I129</f>
        <v>0</v>
      </c>
    </row>
    <row r="230" spans="1:11">
      <c r="A230" s="130" t="s">
        <v>122</v>
      </c>
      <c r="B230" s="135" t="s">
        <v>79</v>
      </c>
      <c r="C230" s="33">
        <v>-25100</v>
      </c>
      <c r="D230" s="110"/>
      <c r="E230" s="33">
        <v>121100</v>
      </c>
      <c r="F230" s="33">
        <f>103000+1000+28000+137000</f>
        <v>269000</v>
      </c>
      <c r="G230" s="33"/>
      <c r="H230" s="33"/>
      <c r="I230" s="33">
        <v>302960</v>
      </c>
      <c r="J230" s="107">
        <f>+SUM(C230:G230)-(H230+I230)</f>
        <v>62040</v>
      </c>
      <c r="K230" s="156" t="b">
        <f>J230=I130</f>
        <v>0</v>
      </c>
    </row>
    <row r="231" spans="1:11">
      <c r="A231" s="130" t="s">
        <v>122</v>
      </c>
      <c r="B231" s="135" t="s">
        <v>71</v>
      </c>
      <c r="C231" s="33">
        <v>7384</v>
      </c>
      <c r="D231" s="110"/>
      <c r="E231" s="33">
        <v>319000</v>
      </c>
      <c r="F231" s="33">
        <v>101000</v>
      </c>
      <c r="G231" s="33"/>
      <c r="H231" s="33">
        <v>62000</v>
      </c>
      <c r="I231" s="33">
        <v>365200</v>
      </c>
      <c r="J231" s="107">
        <f t="shared" ref="J231" si="66">+SUM(C231:G231)-(H231+I231)</f>
        <v>184</v>
      </c>
      <c r="K231" s="156" t="e">
        <f>J231=#REF!</f>
        <v>#REF!</v>
      </c>
    </row>
    <row r="232" spans="1:11">
      <c r="A232" s="130" t="s">
        <v>122</v>
      </c>
      <c r="B232" s="136" t="s">
        <v>31</v>
      </c>
      <c r="C232" s="33">
        <v>61300</v>
      </c>
      <c r="D232" s="127"/>
      <c r="E232" s="53">
        <v>931200</v>
      </c>
      <c r="F232" s="53"/>
      <c r="G232" s="53"/>
      <c r="H232" s="53">
        <v>28000</v>
      </c>
      <c r="I232" s="53">
        <v>1001000</v>
      </c>
      <c r="J232" s="132">
        <f>+SUM(C232:G232)-(H232+I232)</f>
        <v>-36500</v>
      </c>
      <c r="K232" s="156" t="b">
        <f t="shared" ref="K232:K239" si="67">J232=I131</f>
        <v>0</v>
      </c>
    </row>
    <row r="233" spans="1:11">
      <c r="A233" s="130" t="s">
        <v>122</v>
      </c>
      <c r="B233" s="137" t="s">
        <v>86</v>
      </c>
      <c r="C233" s="128">
        <v>233614</v>
      </c>
      <c r="D233" s="131"/>
      <c r="E233" s="146"/>
      <c r="F233" s="146"/>
      <c r="G233" s="146"/>
      <c r="H233" s="146"/>
      <c r="I233" s="146"/>
      <c r="J233" s="129">
        <f>+SUM(C233:G233)-(H233+I233)</f>
        <v>233614</v>
      </c>
      <c r="K233" s="156" t="b">
        <f t="shared" si="67"/>
        <v>0</v>
      </c>
    </row>
    <row r="234" spans="1:11">
      <c r="A234" s="130" t="s">
        <v>122</v>
      </c>
      <c r="B234" s="137" t="s">
        <v>85</v>
      </c>
      <c r="C234" s="128">
        <v>249769</v>
      </c>
      <c r="D234" s="131"/>
      <c r="E234" s="146"/>
      <c r="F234" s="146"/>
      <c r="G234" s="146"/>
      <c r="H234" s="146"/>
      <c r="I234" s="146"/>
      <c r="J234" s="129">
        <f t="shared" ref="J234:J237" si="68">+SUM(C234:G234)-(H234+I234)</f>
        <v>249769</v>
      </c>
      <c r="K234" s="156" t="b">
        <f t="shared" si="67"/>
        <v>0</v>
      </c>
    </row>
    <row r="235" spans="1:11">
      <c r="A235" s="130" t="s">
        <v>122</v>
      </c>
      <c r="B235" s="135" t="s">
        <v>37</v>
      </c>
      <c r="C235" s="33">
        <v>4500</v>
      </c>
      <c r="D235" s="32"/>
      <c r="E235" s="33">
        <v>234000</v>
      </c>
      <c r="F235" s="33">
        <v>40000</v>
      </c>
      <c r="G235" s="110"/>
      <c r="H235" s="110"/>
      <c r="I235" s="33">
        <v>207300</v>
      </c>
      <c r="J235" s="31">
        <f t="shared" si="68"/>
        <v>71200</v>
      </c>
      <c r="K235" s="156" t="b">
        <f t="shared" si="67"/>
        <v>0</v>
      </c>
    </row>
    <row r="236" spans="1:11">
      <c r="A236" s="130" t="s">
        <v>122</v>
      </c>
      <c r="B236" s="135" t="s">
        <v>95</v>
      </c>
      <c r="C236" s="33">
        <v>-6000</v>
      </c>
      <c r="D236" s="32"/>
      <c r="E236" s="33">
        <v>61000</v>
      </c>
      <c r="F236" s="110"/>
      <c r="G236" s="110"/>
      <c r="H236" s="110"/>
      <c r="I236" s="33">
        <v>49000</v>
      </c>
      <c r="J236" s="31">
        <f t="shared" si="68"/>
        <v>6000</v>
      </c>
      <c r="K236" s="156" t="b">
        <f t="shared" si="67"/>
        <v>0</v>
      </c>
    </row>
    <row r="237" spans="1:11">
      <c r="A237" s="130" t="s">
        <v>122</v>
      </c>
      <c r="B237" s="135" t="s">
        <v>30</v>
      </c>
      <c r="C237" s="33">
        <v>72200</v>
      </c>
      <c r="D237" s="32"/>
      <c r="E237" s="33">
        <v>722000</v>
      </c>
      <c r="F237" s="110"/>
      <c r="G237" s="110"/>
      <c r="H237" s="110"/>
      <c r="I237" s="33">
        <v>626500</v>
      </c>
      <c r="J237" s="31">
        <f t="shared" si="68"/>
        <v>167700</v>
      </c>
      <c r="K237" s="156" t="b">
        <f t="shared" si="67"/>
        <v>0</v>
      </c>
    </row>
    <row r="238" spans="1:11">
      <c r="A238" s="130" t="s">
        <v>122</v>
      </c>
      <c r="B238" s="135" t="s">
        <v>33</v>
      </c>
      <c r="C238" s="33">
        <v>9300</v>
      </c>
      <c r="D238" s="32"/>
      <c r="E238" s="33">
        <v>60000</v>
      </c>
      <c r="F238" s="110"/>
      <c r="G238" s="110"/>
      <c r="H238" s="110"/>
      <c r="I238" s="33">
        <v>4000</v>
      </c>
      <c r="J238" s="31">
        <f t="shared" ref="J238:J239" si="69">+SUM(C238:G238)-(H238+I238)</f>
        <v>65300</v>
      </c>
      <c r="K238" s="156" t="b">
        <f t="shared" si="67"/>
        <v>0</v>
      </c>
    </row>
    <row r="239" spans="1:11">
      <c r="A239" s="130" t="s">
        <v>122</v>
      </c>
      <c r="B239" s="136" t="s">
        <v>115</v>
      </c>
      <c r="C239" s="33">
        <v>-14000</v>
      </c>
      <c r="D239" s="127"/>
      <c r="E239" s="53">
        <v>378000</v>
      </c>
      <c r="F239" s="53">
        <f>29000+91000</f>
        <v>120000</v>
      </c>
      <c r="G239" s="147"/>
      <c r="H239" s="53">
        <f>2000+1000+25000</f>
        <v>28000</v>
      </c>
      <c r="I239" s="53">
        <v>467700</v>
      </c>
      <c r="J239" s="31">
        <f t="shared" si="69"/>
        <v>-11700</v>
      </c>
      <c r="K239" s="156" t="b">
        <f t="shared" si="67"/>
        <v>0</v>
      </c>
    </row>
    <row r="240" spans="1:11">
      <c r="A240" s="35" t="s">
        <v>62</v>
      </c>
      <c r="B240" s="36"/>
      <c r="C240" s="36"/>
      <c r="D240" s="36"/>
      <c r="E240" s="36"/>
      <c r="F240" s="36"/>
      <c r="G240" s="36"/>
      <c r="H240" s="36"/>
      <c r="I240" s="36"/>
      <c r="J240" s="37"/>
      <c r="K240" s="155"/>
    </row>
    <row r="241" spans="1:11">
      <c r="A241" s="130" t="s">
        <v>122</v>
      </c>
      <c r="B241" s="38" t="s">
        <v>63</v>
      </c>
      <c r="C241" s="39">
        <v>1148337</v>
      </c>
      <c r="D241" s="51">
        <v>7000000</v>
      </c>
      <c r="E241" s="109"/>
      <c r="F241" s="109"/>
      <c r="G241" s="148"/>
      <c r="H241" s="139">
        <v>4310300</v>
      </c>
      <c r="I241" s="134">
        <v>2165078</v>
      </c>
      <c r="J241" s="46">
        <f>+SUM(C241:G241)-(H241+I241)</f>
        <v>1672959</v>
      </c>
      <c r="K241" s="156" t="b">
        <f>J241=I127</f>
        <v>0</v>
      </c>
    </row>
    <row r="242" spans="1:11">
      <c r="A242" s="44" t="s">
        <v>64</v>
      </c>
      <c r="B242" s="25"/>
      <c r="C242" s="36"/>
      <c r="D242" s="25"/>
      <c r="E242" s="25"/>
      <c r="F242" s="25"/>
      <c r="G242" s="25"/>
      <c r="H242" s="25"/>
      <c r="I242" s="25"/>
      <c r="J242" s="37"/>
      <c r="K242" s="155"/>
    </row>
    <row r="243" spans="1:11">
      <c r="A243" s="130" t="s">
        <v>122</v>
      </c>
      <c r="B243" s="38" t="s">
        <v>65</v>
      </c>
      <c r="C243" s="133">
        <v>10113263</v>
      </c>
      <c r="D243" s="140">
        <v>0</v>
      </c>
      <c r="E243" s="51"/>
      <c r="F243" s="51"/>
      <c r="G243" s="51"/>
      <c r="H243" s="53">
        <v>7000000</v>
      </c>
      <c r="I243" s="55">
        <v>155885</v>
      </c>
      <c r="J243" s="46">
        <f>+SUM(C243:G243)-(H243+I243)</f>
        <v>2957378</v>
      </c>
      <c r="K243" s="156" t="e">
        <f>+J243=#REF!</f>
        <v>#REF!</v>
      </c>
    </row>
    <row r="244" spans="1:11">
      <c r="A244" s="130" t="s">
        <v>122</v>
      </c>
      <c r="B244" s="38" t="s">
        <v>66</v>
      </c>
      <c r="C244" s="133">
        <v>6219904</v>
      </c>
      <c r="D244" s="51">
        <v>28506579</v>
      </c>
      <c r="E244" s="50"/>
      <c r="F244" s="50"/>
      <c r="G244" s="50"/>
      <c r="H244" s="33"/>
      <c r="I244" s="52">
        <v>6707979</v>
      </c>
      <c r="J244" s="46">
        <f>SUM(C244:G244)-(H244+I244)</f>
        <v>28018504</v>
      </c>
      <c r="K244" s="156" t="b">
        <f>+J244=I126</f>
        <v>0</v>
      </c>
    </row>
    <row r="245" spans="1:11" ht="15.75">
      <c r="C245" s="151">
        <f>SUM(C227:C244)</f>
        <v>18096146</v>
      </c>
      <c r="I245" s="149">
        <f>SUM(I227:I244)</f>
        <v>13131322</v>
      </c>
      <c r="J245" s="111">
        <f>+SUM(J227:J244)</f>
        <v>33471403</v>
      </c>
      <c r="K245" s="5" t="b">
        <f>J245=I139</f>
        <v>0</v>
      </c>
    </row>
    <row r="246" spans="1:11" ht="16.5">
      <c r="A246" s="14"/>
      <c r="B246" s="15"/>
      <c r="C246" s="12" t="e">
        <f>C245=C139</f>
        <v>#REF!</v>
      </c>
      <c r="D246" s="12"/>
      <c r="E246" s="13"/>
      <c r="F246" s="12"/>
      <c r="G246" s="12"/>
      <c r="H246" s="12"/>
      <c r="I246" s="12"/>
    </row>
    <row r="247" spans="1:11" ht="16.5">
      <c r="A247" s="14"/>
      <c r="B247" s="15"/>
      <c r="C247" s="12"/>
      <c r="D247" s="12"/>
      <c r="E247" s="13"/>
      <c r="F247" s="12"/>
      <c r="G247" s="12"/>
      <c r="H247" s="12"/>
      <c r="I247" s="12"/>
    </row>
    <row r="248" spans="1:11">
      <c r="A248" s="16" t="s">
        <v>54</v>
      </c>
      <c r="B248" s="16"/>
      <c r="C248" s="16"/>
      <c r="D248" s="17"/>
      <c r="E248" s="17"/>
      <c r="F248" s="17"/>
      <c r="G248" s="17"/>
      <c r="H248" s="17"/>
      <c r="I248" s="17"/>
    </row>
    <row r="249" spans="1:11">
      <c r="A249" s="18" t="s">
        <v>116</v>
      </c>
      <c r="B249" s="18"/>
      <c r="C249" s="18"/>
      <c r="D249" s="18"/>
      <c r="E249" s="18"/>
      <c r="F249" s="18"/>
      <c r="G249" s="18"/>
      <c r="H249" s="18"/>
      <c r="I249" s="18"/>
      <c r="J249" s="17"/>
    </row>
    <row r="250" spans="1:11">
      <c r="A250" s="19"/>
      <c r="B250" s="20"/>
      <c r="C250" s="21"/>
      <c r="D250" s="21"/>
      <c r="E250" s="21"/>
      <c r="F250" s="21"/>
      <c r="G250" s="21"/>
      <c r="H250" s="20"/>
      <c r="I250" s="20"/>
      <c r="J250" s="18"/>
    </row>
    <row r="251" spans="1:11">
      <c r="A251" s="239" t="s">
        <v>55</v>
      </c>
      <c r="B251" s="241" t="s">
        <v>56</v>
      </c>
      <c r="C251" s="243" t="s">
        <v>118</v>
      </c>
      <c r="D251" s="245" t="s">
        <v>57</v>
      </c>
      <c r="E251" s="246"/>
      <c r="F251" s="246"/>
      <c r="G251" s="247"/>
      <c r="H251" s="248" t="s">
        <v>58</v>
      </c>
      <c r="I251" s="235" t="s">
        <v>59</v>
      </c>
      <c r="J251" s="20"/>
    </row>
    <row r="252" spans="1:11">
      <c r="A252" s="240"/>
      <c r="B252" s="242"/>
      <c r="C252" s="244"/>
      <c r="D252" s="22" t="s">
        <v>25</v>
      </c>
      <c r="E252" s="22" t="s">
        <v>26</v>
      </c>
      <c r="F252" s="152" t="s">
        <v>120</v>
      </c>
      <c r="G252" s="22" t="s">
        <v>60</v>
      </c>
      <c r="H252" s="249"/>
      <c r="I252" s="236"/>
      <c r="J252" s="237" t="s">
        <v>119</v>
      </c>
    </row>
    <row r="253" spans="1:11">
      <c r="A253" s="24"/>
      <c r="B253" s="25" t="s">
        <v>61</v>
      </c>
      <c r="C253" s="26"/>
      <c r="D253" s="26"/>
      <c r="E253" s="26"/>
      <c r="F253" s="26"/>
      <c r="G253" s="26"/>
      <c r="H253" s="26"/>
      <c r="I253" s="27"/>
      <c r="J253" s="238"/>
    </row>
    <row r="254" spans="1:11">
      <c r="A254" s="130" t="s">
        <v>117</v>
      </c>
      <c r="B254" s="135" t="s">
        <v>78</v>
      </c>
      <c r="C254" s="33">
        <v>3670</v>
      </c>
      <c r="D254" s="32"/>
      <c r="E254" s="33">
        <v>118000</v>
      </c>
      <c r="F254" s="33">
        <v>4000</v>
      </c>
      <c r="G254" s="33"/>
      <c r="H254" s="57"/>
      <c r="I254" s="33">
        <v>118000</v>
      </c>
      <c r="J254" s="31">
        <f>+SUM(C254:G254)-(H254+I254)</f>
        <v>7670</v>
      </c>
      <c r="K254" s="153"/>
    </row>
    <row r="255" spans="1:11">
      <c r="A255" s="130" t="s">
        <v>117</v>
      </c>
      <c r="B255" s="135" t="s">
        <v>49</v>
      </c>
      <c r="C255" s="33">
        <v>-540</v>
      </c>
      <c r="D255" s="32"/>
      <c r="E255" s="33">
        <v>209750</v>
      </c>
      <c r="F255" s="33">
        <v>5000</v>
      </c>
      <c r="G255" s="33"/>
      <c r="H255" s="57"/>
      <c r="I255" s="33">
        <v>209500</v>
      </c>
      <c r="J255" s="31">
        <f t="shared" ref="J255:J256" si="70">+SUM(C255:G255)-(H255+I255)</f>
        <v>4710</v>
      </c>
      <c r="K255" s="153"/>
    </row>
    <row r="256" spans="1:11">
      <c r="A256" s="130" t="s">
        <v>117</v>
      </c>
      <c r="B256" s="135" t="s">
        <v>32</v>
      </c>
      <c r="C256" s="33">
        <v>2395</v>
      </c>
      <c r="D256" s="32"/>
      <c r="E256" s="33">
        <v>70000</v>
      </c>
      <c r="F256" s="33">
        <v>4000</v>
      </c>
      <c r="G256" s="33"/>
      <c r="H256" s="33"/>
      <c r="I256" s="33">
        <v>67100</v>
      </c>
      <c r="J256" s="107">
        <f t="shared" si="70"/>
        <v>9295</v>
      </c>
      <c r="K256" s="153"/>
    </row>
    <row r="257" spans="1:11">
      <c r="A257" s="130" t="s">
        <v>117</v>
      </c>
      <c r="B257" s="135" t="s">
        <v>79</v>
      </c>
      <c r="C257" s="33">
        <v>96100</v>
      </c>
      <c r="D257" s="110"/>
      <c r="E257" s="33">
        <v>488100</v>
      </c>
      <c r="F257" s="33">
        <v>4000</v>
      </c>
      <c r="G257" s="33"/>
      <c r="H257" s="33">
        <v>61600</v>
      </c>
      <c r="I257" s="33">
        <v>551700</v>
      </c>
      <c r="J257" s="107">
        <f>+SUM(C257:G257)-(H257+I257)</f>
        <v>-25100</v>
      </c>
      <c r="K257" s="153"/>
    </row>
    <row r="258" spans="1:11">
      <c r="A258" s="130" t="s">
        <v>117</v>
      </c>
      <c r="B258" s="135" t="s">
        <v>71</v>
      </c>
      <c r="C258" s="33">
        <v>13884</v>
      </c>
      <c r="D258" s="110"/>
      <c r="E258" s="33">
        <v>194000</v>
      </c>
      <c r="F258" s="33"/>
      <c r="G258" s="33"/>
      <c r="H258" s="33">
        <v>17000</v>
      </c>
      <c r="I258" s="33">
        <v>183500</v>
      </c>
      <c r="J258" s="107">
        <f t="shared" ref="J258" si="71">+SUM(C258:G258)-(H258+I258)</f>
        <v>7384</v>
      </c>
      <c r="K258" s="153"/>
    </row>
    <row r="259" spans="1:11">
      <c r="A259" s="130" t="s">
        <v>117</v>
      </c>
      <c r="B259" s="136" t="s">
        <v>31</v>
      </c>
      <c r="C259" s="33">
        <v>72400</v>
      </c>
      <c r="D259" s="127"/>
      <c r="E259" s="53">
        <v>599900</v>
      </c>
      <c r="F259" s="53"/>
      <c r="G259" s="53"/>
      <c r="H259" s="53"/>
      <c r="I259" s="53">
        <v>611000</v>
      </c>
      <c r="J259" s="132">
        <f>+SUM(C259:G259)-(H259+I259)</f>
        <v>61300</v>
      </c>
      <c r="K259" s="153"/>
    </row>
    <row r="260" spans="1:11">
      <c r="A260" s="130" t="s">
        <v>117</v>
      </c>
      <c r="B260" s="137" t="s">
        <v>86</v>
      </c>
      <c r="C260" s="128">
        <v>233614</v>
      </c>
      <c r="D260" s="131"/>
      <c r="E260" s="146"/>
      <c r="F260" s="146"/>
      <c r="G260" s="146"/>
      <c r="H260" s="146"/>
      <c r="I260" s="146"/>
      <c r="J260" s="129">
        <f>+SUM(C260:G260)-(H260+I260)</f>
        <v>233614</v>
      </c>
      <c r="K260" s="153"/>
    </row>
    <row r="261" spans="1:11">
      <c r="A261" s="130" t="s">
        <v>117</v>
      </c>
      <c r="B261" s="137" t="s">
        <v>85</v>
      </c>
      <c r="C261" s="128">
        <v>249769</v>
      </c>
      <c r="D261" s="131"/>
      <c r="E261" s="146"/>
      <c r="F261" s="146"/>
      <c r="G261" s="146"/>
      <c r="H261" s="146"/>
      <c r="I261" s="146"/>
      <c r="J261" s="129">
        <f t="shared" ref="J261:J268" si="72">+SUM(C261:G261)-(H261+I261)</f>
        <v>249769</v>
      </c>
      <c r="K261" s="153"/>
    </row>
    <row r="262" spans="1:11">
      <c r="A262" s="130" t="s">
        <v>117</v>
      </c>
      <c r="B262" s="135" t="s">
        <v>37</v>
      </c>
      <c r="C262" s="33">
        <v>18490</v>
      </c>
      <c r="D262" s="32"/>
      <c r="E262" s="33">
        <v>796460</v>
      </c>
      <c r="F262" s="33">
        <v>61600</v>
      </c>
      <c r="G262" s="110"/>
      <c r="H262" s="110"/>
      <c r="I262" s="33">
        <v>872050</v>
      </c>
      <c r="J262" s="31">
        <f t="shared" si="72"/>
        <v>4500</v>
      </c>
      <c r="K262" s="153"/>
    </row>
    <row r="263" spans="1:11">
      <c r="A263" s="130" t="s">
        <v>117</v>
      </c>
      <c r="B263" s="135" t="s">
        <v>95</v>
      </c>
      <c r="C263" s="33">
        <v>4500</v>
      </c>
      <c r="D263" s="32"/>
      <c r="E263" s="33">
        <v>40000</v>
      </c>
      <c r="F263" s="110"/>
      <c r="G263" s="110"/>
      <c r="H263" s="110"/>
      <c r="I263" s="33">
        <v>50500</v>
      </c>
      <c r="J263" s="31">
        <f t="shared" si="72"/>
        <v>-6000</v>
      </c>
      <c r="K263" s="153"/>
    </row>
    <row r="264" spans="1:11">
      <c r="A264" s="130" t="s">
        <v>117</v>
      </c>
      <c r="B264" s="135" t="s">
        <v>30</v>
      </c>
      <c r="C264" s="33">
        <v>44200</v>
      </c>
      <c r="D264" s="32"/>
      <c r="E264" s="33">
        <v>60000</v>
      </c>
      <c r="F264" s="110"/>
      <c r="G264" s="110"/>
      <c r="H264" s="110"/>
      <c r="I264" s="33">
        <v>32000</v>
      </c>
      <c r="J264" s="31">
        <f t="shared" si="72"/>
        <v>72200</v>
      </c>
      <c r="K264" s="153"/>
    </row>
    <row r="265" spans="1:11">
      <c r="A265" s="130" t="s">
        <v>117</v>
      </c>
      <c r="B265" s="135" t="s">
        <v>96</v>
      </c>
      <c r="C265" s="33">
        <v>-851709</v>
      </c>
      <c r="D265" s="32"/>
      <c r="E265" s="33">
        <v>851709</v>
      </c>
      <c r="F265" s="110"/>
      <c r="G265" s="110"/>
      <c r="H265" s="110"/>
      <c r="I265" s="33"/>
      <c r="J265" s="31">
        <f>+SUM(C265:G265)-(H265+I265)</f>
        <v>0</v>
      </c>
      <c r="K265" s="153"/>
    </row>
    <row r="266" spans="1:11">
      <c r="A266" s="130" t="s">
        <v>117</v>
      </c>
      <c r="B266" s="135" t="s">
        <v>103</v>
      </c>
      <c r="C266" s="33">
        <v>90300</v>
      </c>
      <c r="D266" s="32"/>
      <c r="E266" s="33">
        <v>69200</v>
      </c>
      <c r="F266" s="110"/>
      <c r="G266" s="110"/>
      <c r="H266" s="110"/>
      <c r="I266" s="33">
        <v>159500</v>
      </c>
      <c r="J266" s="31">
        <f t="shared" si="72"/>
        <v>0</v>
      </c>
      <c r="K266" s="153"/>
    </row>
    <row r="267" spans="1:11">
      <c r="A267" s="130" t="s">
        <v>117</v>
      </c>
      <c r="B267" s="135" t="s">
        <v>33</v>
      </c>
      <c r="C267" s="33">
        <v>300</v>
      </c>
      <c r="D267" s="32"/>
      <c r="E267" s="33">
        <v>20000</v>
      </c>
      <c r="F267" s="110"/>
      <c r="G267" s="110"/>
      <c r="H267" s="110"/>
      <c r="I267" s="33">
        <v>11000</v>
      </c>
      <c r="J267" s="31">
        <f t="shared" si="72"/>
        <v>9300</v>
      </c>
      <c r="K267" s="153"/>
    </row>
    <row r="268" spans="1:11">
      <c r="A268" s="130" t="s">
        <v>117</v>
      </c>
      <c r="B268" s="136" t="s">
        <v>115</v>
      </c>
      <c r="C268" s="33">
        <v>0</v>
      </c>
      <c r="D268" s="127"/>
      <c r="E268" s="145"/>
      <c r="F268" s="145"/>
      <c r="G268" s="147"/>
      <c r="H268" s="145"/>
      <c r="I268" s="53">
        <v>14000</v>
      </c>
      <c r="J268" s="31">
        <f t="shared" si="72"/>
        <v>-14000</v>
      </c>
      <c r="K268" s="153"/>
    </row>
    <row r="269" spans="1:11">
      <c r="A269" s="35" t="s">
        <v>62</v>
      </c>
      <c r="B269" s="36"/>
      <c r="C269" s="36"/>
      <c r="D269" s="36"/>
      <c r="E269" s="36"/>
      <c r="F269" s="36"/>
      <c r="G269" s="36"/>
      <c r="H269" s="36"/>
      <c r="I269" s="36"/>
      <c r="J269" s="37"/>
    </row>
    <row r="270" spans="1:11">
      <c r="A270" s="130" t="s">
        <v>117</v>
      </c>
      <c r="B270" s="38" t="s">
        <v>63</v>
      </c>
      <c r="C270" s="39" t="e">
        <f>C127</f>
        <v>#REF!</v>
      </c>
      <c r="D270" s="51">
        <v>5872000</v>
      </c>
      <c r="E270" s="109"/>
      <c r="F270" s="109"/>
      <c r="G270" s="148"/>
      <c r="H270" s="139">
        <v>3517119</v>
      </c>
      <c r="I270" s="134">
        <v>1523260</v>
      </c>
      <c r="J270" s="46" t="e">
        <f>+SUM(C270:G270)-(H270+I270)</f>
        <v>#REF!</v>
      </c>
      <c r="K270" s="153"/>
    </row>
    <row r="271" spans="1:11">
      <c r="A271" s="44" t="s">
        <v>64</v>
      </c>
      <c r="B271" s="25"/>
      <c r="C271" s="36"/>
      <c r="D271" s="25"/>
      <c r="E271" s="25"/>
      <c r="F271" s="25"/>
      <c r="G271" s="25"/>
      <c r="H271" s="25"/>
      <c r="I271" s="25"/>
      <c r="J271" s="37"/>
    </row>
    <row r="272" spans="1:11">
      <c r="A272" s="130" t="s">
        <v>117</v>
      </c>
      <c r="B272" s="38" t="s">
        <v>65</v>
      </c>
      <c r="C272" s="133" t="e">
        <f>#REF!</f>
        <v>#REF!</v>
      </c>
      <c r="D272" s="140">
        <v>10380044</v>
      </c>
      <c r="E272" s="51"/>
      <c r="F272" s="51"/>
      <c r="G272" s="51"/>
      <c r="H272" s="53">
        <v>5500000</v>
      </c>
      <c r="I272" s="55">
        <v>277455</v>
      </c>
      <c r="J272" s="46" t="e">
        <f>+SUM(C272:G272)-(H272+I272)</f>
        <v>#REF!</v>
      </c>
      <c r="K272" s="153"/>
    </row>
    <row r="273" spans="1:11">
      <c r="A273" s="130" t="s">
        <v>117</v>
      </c>
      <c r="B273" s="38" t="s">
        <v>66</v>
      </c>
      <c r="C273" s="133" t="e">
        <f>C126</f>
        <v>#REF!</v>
      </c>
      <c r="D273" s="51"/>
      <c r="E273" s="50"/>
      <c r="F273" s="50"/>
      <c r="G273" s="50"/>
      <c r="H273" s="33">
        <v>372000</v>
      </c>
      <c r="I273" s="52">
        <v>4601760</v>
      </c>
      <c r="J273" s="46" t="e">
        <f>SUM(C273:G273)-(H273+I273)</f>
        <v>#REF!</v>
      </c>
      <c r="K273" s="153"/>
    </row>
    <row r="274" spans="1:11" ht="15.75">
      <c r="C274" s="151" t="e">
        <f>SUM(C254:C273)</f>
        <v>#REF!</v>
      </c>
      <c r="I274" s="149">
        <f>SUM(I254:I273)</f>
        <v>9282325</v>
      </c>
      <c r="J274" s="111" t="e">
        <f>+SUM(J254:J273)</f>
        <v>#REF!</v>
      </c>
    </row>
    <row r="275" spans="1:11" ht="16.5">
      <c r="A275" s="14"/>
      <c r="B275" s="15"/>
      <c r="C275" s="12"/>
      <c r="D275" s="12"/>
      <c r="E275" s="13"/>
      <c r="F275" s="12"/>
      <c r="G275" s="12"/>
      <c r="H275" s="12"/>
      <c r="I275" s="12"/>
    </row>
    <row r="276" spans="1:11">
      <c r="A276" s="16" t="s">
        <v>54</v>
      </c>
      <c r="B276" s="16"/>
      <c r="C276" s="16"/>
      <c r="D276" s="17"/>
      <c r="E276" s="17"/>
      <c r="F276" s="17"/>
      <c r="G276" s="17"/>
      <c r="H276" s="17"/>
      <c r="I276" s="17"/>
    </row>
    <row r="277" spans="1:11">
      <c r="A277" s="18" t="s">
        <v>111</v>
      </c>
      <c r="B277" s="18"/>
      <c r="C277" s="18"/>
      <c r="D277" s="18"/>
      <c r="E277" s="18"/>
      <c r="F277" s="18"/>
      <c r="G277" s="18"/>
      <c r="H277" s="18"/>
      <c r="I277" s="18"/>
      <c r="J277" s="17"/>
    </row>
    <row r="278" spans="1:11">
      <c r="A278" s="19"/>
      <c r="B278" s="20"/>
      <c r="C278" s="21"/>
      <c r="D278" s="21"/>
      <c r="E278" s="21"/>
      <c r="F278" s="21"/>
      <c r="G278" s="21"/>
      <c r="H278" s="20"/>
      <c r="I278" s="20"/>
      <c r="J278" s="18"/>
    </row>
    <row r="279" spans="1:11">
      <c r="A279" s="239" t="s">
        <v>55</v>
      </c>
      <c r="B279" s="241" t="s">
        <v>56</v>
      </c>
      <c r="C279" s="243" t="s">
        <v>112</v>
      </c>
      <c r="D279" s="245" t="s">
        <v>57</v>
      </c>
      <c r="E279" s="246"/>
      <c r="F279" s="246"/>
      <c r="G279" s="247"/>
      <c r="H279" s="248" t="s">
        <v>58</v>
      </c>
      <c r="I279" s="235" t="s">
        <v>59</v>
      </c>
      <c r="J279" s="20"/>
    </row>
    <row r="280" spans="1:11">
      <c r="A280" s="240"/>
      <c r="B280" s="242"/>
      <c r="C280" s="244"/>
      <c r="D280" s="22" t="s">
        <v>25</v>
      </c>
      <c r="E280" s="22" t="s">
        <v>26</v>
      </c>
      <c r="F280" s="150" t="s">
        <v>114</v>
      </c>
      <c r="G280" s="22" t="s">
        <v>60</v>
      </c>
      <c r="H280" s="249"/>
      <c r="I280" s="236"/>
      <c r="J280" s="237" t="s">
        <v>113</v>
      </c>
    </row>
    <row r="281" spans="1:11">
      <c r="A281" s="24"/>
      <c r="B281" s="25" t="s">
        <v>61</v>
      </c>
      <c r="C281" s="26"/>
      <c r="D281" s="26"/>
      <c r="E281" s="26"/>
      <c r="F281" s="26"/>
      <c r="G281" s="26"/>
      <c r="H281" s="26"/>
      <c r="I281" s="27"/>
      <c r="J281" s="238"/>
    </row>
    <row r="282" spans="1:11">
      <c r="A282" s="130" t="s">
        <v>110</v>
      </c>
      <c r="B282" s="135" t="s">
        <v>78</v>
      </c>
      <c r="C282" s="33">
        <v>-11330</v>
      </c>
      <c r="D282" s="32"/>
      <c r="E282" s="33">
        <v>201400</v>
      </c>
      <c r="F282" s="33">
        <v>184300</v>
      </c>
      <c r="G282" s="33"/>
      <c r="H282" s="57"/>
      <c r="I282" s="33">
        <v>370700</v>
      </c>
      <c r="J282" s="31">
        <f>+SUM(C282:G282)-(H282+I282)</f>
        <v>3670</v>
      </c>
      <c r="K282" s="70"/>
    </row>
    <row r="283" spans="1:11">
      <c r="A283" s="130" t="s">
        <v>110</v>
      </c>
      <c r="B283" s="135" t="s">
        <v>49</v>
      </c>
      <c r="C283" s="33">
        <v>8260</v>
      </c>
      <c r="D283" s="32"/>
      <c r="E283" s="33">
        <v>357900</v>
      </c>
      <c r="F283" s="33"/>
      <c r="G283" s="33"/>
      <c r="H283" s="57">
        <v>50000</v>
      </c>
      <c r="I283" s="33">
        <v>316700</v>
      </c>
      <c r="J283" s="31">
        <f t="shared" ref="J283:J284" si="73">+SUM(C283:G283)-(H283+I283)</f>
        <v>-540</v>
      </c>
      <c r="K283" s="70"/>
    </row>
    <row r="284" spans="1:11">
      <c r="A284" s="130" t="s">
        <v>110</v>
      </c>
      <c r="B284" s="135" t="s">
        <v>32</v>
      </c>
      <c r="C284" s="33">
        <v>3795</v>
      </c>
      <c r="D284" s="32"/>
      <c r="E284" s="33">
        <v>20000</v>
      </c>
      <c r="F284" s="33"/>
      <c r="G284" s="33"/>
      <c r="H284" s="33"/>
      <c r="I284" s="33">
        <v>21400</v>
      </c>
      <c r="J284" s="107">
        <f t="shared" si="73"/>
        <v>2395</v>
      </c>
      <c r="K284" s="70"/>
    </row>
    <row r="285" spans="1:11">
      <c r="A285" s="130" t="s">
        <v>110</v>
      </c>
      <c r="B285" s="135" t="s">
        <v>79</v>
      </c>
      <c r="C285" s="33">
        <v>-83100</v>
      </c>
      <c r="D285" s="110"/>
      <c r="E285" s="33">
        <v>699200</v>
      </c>
      <c r="F285" s="33"/>
      <c r="G285" s="33"/>
      <c r="H285" s="33"/>
      <c r="I285" s="33">
        <v>520000</v>
      </c>
      <c r="J285" s="107">
        <f>+SUM(C285:G285)-(H285+I285)</f>
        <v>96100</v>
      </c>
      <c r="K285" s="70"/>
    </row>
    <row r="286" spans="1:11">
      <c r="A286" s="130" t="s">
        <v>110</v>
      </c>
      <c r="B286" s="135" t="s">
        <v>71</v>
      </c>
      <c r="C286" s="33">
        <v>1784</v>
      </c>
      <c r="D286" s="110"/>
      <c r="E286" s="33">
        <v>568600</v>
      </c>
      <c r="F286" s="33">
        <v>50000</v>
      </c>
      <c r="G286" s="33"/>
      <c r="H286" s="33">
        <v>184300</v>
      </c>
      <c r="I286" s="33">
        <v>422200</v>
      </c>
      <c r="J286" s="107">
        <f t="shared" ref="J286" si="74">+SUM(C286:G286)-(H286+I286)</f>
        <v>13884</v>
      </c>
      <c r="K286" s="70"/>
    </row>
    <row r="287" spans="1:11">
      <c r="A287" s="130" t="s">
        <v>110</v>
      </c>
      <c r="B287" s="136" t="s">
        <v>31</v>
      </c>
      <c r="C287" s="33">
        <v>88800</v>
      </c>
      <c r="D287" s="127"/>
      <c r="E287" s="53">
        <v>694600</v>
      </c>
      <c r="F287" s="53"/>
      <c r="G287" s="53"/>
      <c r="H287" s="53"/>
      <c r="I287" s="53">
        <v>711000</v>
      </c>
      <c r="J287" s="132">
        <f>+SUM(C287:G287)-(H287+I287)</f>
        <v>72400</v>
      </c>
      <c r="K287" s="70"/>
    </row>
    <row r="288" spans="1:11">
      <c r="A288" s="130" t="s">
        <v>110</v>
      </c>
      <c r="B288" s="137" t="s">
        <v>86</v>
      </c>
      <c r="C288" s="128">
        <v>233614</v>
      </c>
      <c r="D288" s="131"/>
      <c r="E288" s="146"/>
      <c r="F288" s="146"/>
      <c r="G288" s="146"/>
      <c r="H288" s="146"/>
      <c r="I288" s="146"/>
      <c r="J288" s="129">
        <f>+SUM(C288:G288)-(H288+I288)</f>
        <v>233614</v>
      </c>
      <c r="K288" s="70"/>
    </row>
    <row r="289" spans="1:11">
      <c r="A289" s="130" t="s">
        <v>110</v>
      </c>
      <c r="B289" s="137" t="s">
        <v>85</v>
      </c>
      <c r="C289" s="128">
        <v>249769</v>
      </c>
      <c r="D289" s="131"/>
      <c r="E289" s="146"/>
      <c r="F289" s="146"/>
      <c r="G289" s="146"/>
      <c r="H289" s="146"/>
      <c r="I289" s="146"/>
      <c r="J289" s="129">
        <f t="shared" ref="J289:J293" si="75">+SUM(C289:G289)-(H289+I289)</f>
        <v>249769</v>
      </c>
      <c r="K289" s="70"/>
    </row>
    <row r="290" spans="1:11">
      <c r="A290" s="130" t="s">
        <v>110</v>
      </c>
      <c r="B290" s="135" t="s">
        <v>37</v>
      </c>
      <c r="C290" s="33">
        <v>7890</v>
      </c>
      <c r="D290" s="32"/>
      <c r="E290" s="33">
        <v>135600</v>
      </c>
      <c r="F290" s="110"/>
      <c r="G290" s="110"/>
      <c r="H290" s="110"/>
      <c r="I290" s="33">
        <v>125000</v>
      </c>
      <c r="J290" s="31">
        <f t="shared" si="75"/>
        <v>18490</v>
      </c>
      <c r="K290" s="70"/>
    </row>
    <row r="291" spans="1:11">
      <c r="A291" s="130" t="s">
        <v>110</v>
      </c>
      <c r="B291" s="135" t="s">
        <v>95</v>
      </c>
      <c r="C291" s="33">
        <v>5000</v>
      </c>
      <c r="D291" s="32"/>
      <c r="E291" s="33">
        <v>30000</v>
      </c>
      <c r="F291" s="110"/>
      <c r="G291" s="110"/>
      <c r="H291" s="110"/>
      <c r="I291" s="33">
        <v>30500</v>
      </c>
      <c r="J291" s="31">
        <f t="shared" si="75"/>
        <v>4500</v>
      </c>
      <c r="K291" s="70"/>
    </row>
    <row r="292" spans="1:11">
      <c r="A292" s="130" t="s">
        <v>110</v>
      </c>
      <c r="B292" s="135" t="s">
        <v>30</v>
      </c>
      <c r="C292" s="33">
        <v>57700</v>
      </c>
      <c r="D292" s="32"/>
      <c r="E292" s="33">
        <v>639000</v>
      </c>
      <c r="F292" s="110"/>
      <c r="G292" s="110"/>
      <c r="H292" s="110"/>
      <c r="I292" s="33">
        <v>652500</v>
      </c>
      <c r="J292" s="31">
        <f t="shared" si="75"/>
        <v>44200</v>
      </c>
      <c r="K292" s="70"/>
    </row>
    <row r="293" spans="1:11">
      <c r="A293" s="130" t="s">
        <v>110</v>
      </c>
      <c r="B293" s="135" t="s">
        <v>96</v>
      </c>
      <c r="C293" s="33">
        <v>-32081</v>
      </c>
      <c r="D293" s="32"/>
      <c r="E293" s="110"/>
      <c r="F293" s="110"/>
      <c r="G293" s="110"/>
      <c r="H293" s="110"/>
      <c r="I293" s="33">
        <v>819628</v>
      </c>
      <c r="J293" s="31">
        <f t="shared" si="75"/>
        <v>-851709</v>
      </c>
      <c r="K293" s="70"/>
    </row>
    <row r="294" spans="1:11">
      <c r="A294" s="130" t="s">
        <v>110</v>
      </c>
      <c r="B294" s="135" t="s">
        <v>103</v>
      </c>
      <c r="C294" s="33">
        <v>62000</v>
      </c>
      <c r="D294" s="32"/>
      <c r="E294" s="33">
        <v>622600</v>
      </c>
      <c r="F294" s="110"/>
      <c r="G294" s="110"/>
      <c r="H294" s="110"/>
      <c r="I294" s="33">
        <v>594300</v>
      </c>
      <c r="J294" s="31">
        <f>+SUM(C294:G294)-(H294+I294)</f>
        <v>90300</v>
      </c>
      <c r="K294" s="70"/>
    </row>
    <row r="295" spans="1:11">
      <c r="A295" s="130" t="s">
        <v>110</v>
      </c>
      <c r="B295" s="136" t="s">
        <v>33</v>
      </c>
      <c r="C295" s="33">
        <v>4300</v>
      </c>
      <c r="D295" s="127"/>
      <c r="E295" s="145"/>
      <c r="F295" s="145"/>
      <c r="G295" s="147"/>
      <c r="H295" s="145"/>
      <c r="I295" s="53">
        <v>4000</v>
      </c>
      <c r="J295" s="31">
        <f t="shared" ref="J295" si="76">+SUM(C295:G295)-(H295+I295)</f>
        <v>300</v>
      </c>
      <c r="K295" s="70"/>
    </row>
    <row r="296" spans="1:11">
      <c r="A296" s="35" t="s">
        <v>62</v>
      </c>
      <c r="B296" s="36"/>
      <c r="C296" s="36"/>
      <c r="D296" s="36"/>
      <c r="E296" s="36"/>
      <c r="F296" s="36"/>
      <c r="G296" s="36"/>
      <c r="H296" s="36"/>
      <c r="I296" s="36"/>
      <c r="J296" s="37"/>
      <c r="K296" s="70"/>
    </row>
    <row r="297" spans="1:11">
      <c r="A297" s="130" t="s">
        <v>110</v>
      </c>
      <c r="B297" s="38" t="s">
        <v>63</v>
      </c>
      <c r="C297" s="39">
        <v>62150</v>
      </c>
      <c r="D297" s="51">
        <v>5500000</v>
      </c>
      <c r="E297" s="109"/>
      <c r="F297" s="109"/>
      <c r="G297" s="148"/>
      <c r="H297" s="139">
        <v>3968900</v>
      </c>
      <c r="I297" s="134">
        <v>1276534</v>
      </c>
      <c r="J297" s="46">
        <f>+SUM(C297:G297)-(H297+I297)</f>
        <v>316716</v>
      </c>
      <c r="K297" s="70"/>
    </row>
    <row r="298" spans="1:11">
      <c r="A298" s="44" t="s">
        <v>64</v>
      </c>
      <c r="B298" s="25"/>
      <c r="C298" s="36"/>
      <c r="D298" s="25"/>
      <c r="E298" s="25"/>
      <c r="F298" s="25"/>
      <c r="G298" s="25"/>
      <c r="H298" s="25"/>
      <c r="I298" s="25"/>
      <c r="J298" s="37"/>
    </row>
    <row r="299" spans="1:11">
      <c r="A299" s="130" t="s">
        <v>110</v>
      </c>
      <c r="B299" s="38" t="s">
        <v>65</v>
      </c>
      <c r="C299" s="133">
        <v>11284555</v>
      </c>
      <c r="D299" s="140"/>
      <c r="E299" s="51"/>
      <c r="F299" s="51"/>
      <c r="G299" s="51"/>
      <c r="H299" s="53">
        <v>5500000</v>
      </c>
      <c r="I299" s="55">
        <v>273881</v>
      </c>
      <c r="J299" s="46">
        <f>+SUM(C299:G299)-(H299+I299)</f>
        <v>5510674</v>
      </c>
      <c r="K299" s="70"/>
    </row>
    <row r="300" spans="1:11">
      <c r="A300" s="130" t="s">
        <v>110</v>
      </c>
      <c r="B300" s="38" t="s">
        <v>66</v>
      </c>
      <c r="C300" s="133">
        <v>2158645</v>
      </c>
      <c r="D300" s="51">
        <v>15435980</v>
      </c>
      <c r="E300" s="50"/>
      <c r="F300" s="50"/>
      <c r="G300" s="50"/>
      <c r="H300" s="33"/>
      <c r="I300" s="52">
        <v>6400961</v>
      </c>
      <c r="J300" s="46">
        <f>SUM(C300:G300)-(H300+I300)</f>
        <v>11193664</v>
      </c>
      <c r="K300" s="70"/>
    </row>
    <row r="301" spans="1:11" ht="15.75">
      <c r="C301" s="151">
        <f>SUM(C282:C300)</f>
        <v>14101751</v>
      </c>
      <c r="I301" s="149">
        <f>SUM(I282:I300)</f>
        <v>12539304</v>
      </c>
      <c r="J301" s="111">
        <f>+SUM(J282:J300)</f>
        <v>16998427</v>
      </c>
    </row>
    <row r="302" spans="1:11" ht="16.5">
      <c r="A302" s="10"/>
      <c r="B302" s="11"/>
      <c r="C302" s="12"/>
      <c r="D302" s="12"/>
      <c r="E302" s="12"/>
      <c r="F302" s="12"/>
      <c r="G302" s="12"/>
      <c r="H302" s="12"/>
      <c r="I302" s="12"/>
      <c r="J302" s="141"/>
    </row>
    <row r="303" spans="1:11" ht="16.5">
      <c r="A303" s="14"/>
      <c r="B303" s="15"/>
      <c r="C303" s="12"/>
      <c r="D303" s="12"/>
      <c r="E303" s="13"/>
      <c r="F303" s="12"/>
      <c r="G303" s="12"/>
      <c r="H303" s="12"/>
      <c r="I303" s="12"/>
    </row>
    <row r="304" spans="1:11">
      <c r="A304" s="16" t="s">
        <v>54</v>
      </c>
      <c r="B304" s="16"/>
      <c r="C304" s="16"/>
      <c r="D304" s="17"/>
      <c r="E304" s="17"/>
      <c r="F304" s="17"/>
      <c r="G304" s="17"/>
      <c r="H304" s="17"/>
      <c r="I304" s="17"/>
    </row>
    <row r="305" spans="1:11">
      <c r="A305" s="18" t="s">
        <v>108</v>
      </c>
      <c r="B305" s="18"/>
      <c r="C305" s="18"/>
      <c r="D305" s="18"/>
      <c r="E305" s="18"/>
      <c r="F305" s="18"/>
      <c r="G305" s="18"/>
      <c r="H305" s="18"/>
      <c r="I305" s="18"/>
      <c r="J305" s="17"/>
    </row>
    <row r="306" spans="1:11">
      <c r="A306" s="19"/>
      <c r="B306" s="20"/>
      <c r="C306" s="21"/>
      <c r="D306" s="21"/>
      <c r="E306" s="21"/>
      <c r="F306" s="21"/>
      <c r="G306" s="21"/>
      <c r="H306" s="20"/>
      <c r="I306" s="20"/>
      <c r="J306" s="18"/>
    </row>
    <row r="307" spans="1:11">
      <c r="A307" s="239" t="s">
        <v>55</v>
      </c>
      <c r="B307" s="241" t="s">
        <v>56</v>
      </c>
      <c r="C307" s="243" t="s">
        <v>106</v>
      </c>
      <c r="D307" s="245" t="s">
        <v>57</v>
      </c>
      <c r="E307" s="246"/>
      <c r="F307" s="246"/>
      <c r="G307" s="247"/>
      <c r="H307" s="248" t="s">
        <v>58</v>
      </c>
      <c r="I307" s="235" t="s">
        <v>59</v>
      </c>
      <c r="J307" s="20"/>
    </row>
    <row r="308" spans="1:11">
      <c r="A308" s="240"/>
      <c r="B308" s="242"/>
      <c r="C308" s="244"/>
      <c r="D308" s="22" t="s">
        <v>25</v>
      </c>
      <c r="E308" s="22" t="s">
        <v>26</v>
      </c>
      <c r="F308" s="142" t="s">
        <v>109</v>
      </c>
      <c r="G308" s="22" t="s">
        <v>60</v>
      </c>
      <c r="H308" s="249"/>
      <c r="I308" s="236"/>
      <c r="J308" s="237" t="s">
        <v>107</v>
      </c>
    </row>
    <row r="309" spans="1:11">
      <c r="A309" s="24"/>
      <c r="B309" s="25" t="s">
        <v>61</v>
      </c>
      <c r="C309" s="26"/>
      <c r="D309" s="26"/>
      <c r="E309" s="26"/>
      <c r="F309" s="26"/>
      <c r="G309" s="26"/>
      <c r="H309" s="26"/>
      <c r="I309" s="27"/>
      <c r="J309" s="238"/>
    </row>
    <row r="310" spans="1:11">
      <c r="A310" s="130" t="s">
        <v>105</v>
      </c>
      <c r="B310" s="135" t="s">
        <v>78</v>
      </c>
      <c r="C310" s="33">
        <v>22200</v>
      </c>
      <c r="D310" s="32"/>
      <c r="E310" s="33">
        <v>439970</v>
      </c>
      <c r="F310" s="110"/>
      <c r="G310" s="110"/>
      <c r="H310" s="144"/>
      <c r="I310" s="33">
        <v>473500</v>
      </c>
      <c r="J310" s="31">
        <f>+SUM(C310:G310)-(H310+I310)</f>
        <v>-11330</v>
      </c>
      <c r="K310" s="70"/>
    </row>
    <row r="311" spans="1:11">
      <c r="A311" s="130" t="s">
        <v>105</v>
      </c>
      <c r="B311" s="135" t="s">
        <v>49</v>
      </c>
      <c r="C311" s="33">
        <v>3060</v>
      </c>
      <c r="D311" s="32"/>
      <c r="E311" s="33">
        <v>157200</v>
      </c>
      <c r="F311" s="33"/>
      <c r="G311" s="33"/>
      <c r="H311" s="57"/>
      <c r="I311" s="33">
        <v>152000</v>
      </c>
      <c r="J311" s="31">
        <f t="shared" ref="J311:J312" si="77">+SUM(C311:G311)-(H311+I311)</f>
        <v>8260</v>
      </c>
      <c r="K311" s="70"/>
    </row>
    <row r="312" spans="1:11">
      <c r="A312" s="130" t="s">
        <v>105</v>
      </c>
      <c r="B312" s="135" t="s">
        <v>32</v>
      </c>
      <c r="C312" s="33">
        <v>3795</v>
      </c>
      <c r="D312" s="32"/>
      <c r="E312" s="33">
        <v>45000</v>
      </c>
      <c r="F312" s="33"/>
      <c r="G312" s="33"/>
      <c r="H312" s="33"/>
      <c r="I312" s="33">
        <v>45000</v>
      </c>
      <c r="J312" s="107">
        <f t="shared" si="77"/>
        <v>3795</v>
      </c>
      <c r="K312" s="70"/>
    </row>
    <row r="313" spans="1:11">
      <c r="A313" s="130" t="s">
        <v>105</v>
      </c>
      <c r="B313" s="135" t="s">
        <v>79</v>
      </c>
      <c r="C313" s="33">
        <v>2300</v>
      </c>
      <c r="D313" s="110"/>
      <c r="E313" s="33">
        <v>266600</v>
      </c>
      <c r="F313" s="33">
        <v>159900</v>
      </c>
      <c r="G313" s="33"/>
      <c r="H313" s="33">
        <v>25000</v>
      </c>
      <c r="I313" s="33">
        <v>486900</v>
      </c>
      <c r="J313" s="107">
        <f>+SUM(C313:G313)-(H313+I313)</f>
        <v>-83100</v>
      </c>
      <c r="K313" s="70"/>
    </row>
    <row r="314" spans="1:11">
      <c r="A314" s="130" t="s">
        <v>105</v>
      </c>
      <c r="B314" s="135" t="s">
        <v>71</v>
      </c>
      <c r="C314" s="33">
        <v>-14216</v>
      </c>
      <c r="D314" s="110"/>
      <c r="E314" s="33">
        <v>622600</v>
      </c>
      <c r="F314" s="33">
        <v>25000</v>
      </c>
      <c r="G314" s="33"/>
      <c r="H314" s="33">
        <v>260700</v>
      </c>
      <c r="I314" s="33">
        <v>370900</v>
      </c>
      <c r="J314" s="107">
        <f>+SUM(C314:G314)-(H314+I314)</f>
        <v>1784</v>
      </c>
      <c r="K314" s="70"/>
    </row>
    <row r="315" spans="1:11">
      <c r="A315" s="130" t="s">
        <v>105</v>
      </c>
      <c r="B315" s="136" t="s">
        <v>31</v>
      </c>
      <c r="C315" s="53">
        <v>143300</v>
      </c>
      <c r="D315" s="127"/>
      <c r="E315" s="53">
        <v>466500</v>
      </c>
      <c r="F315" s="145"/>
      <c r="G315" s="145"/>
      <c r="H315" s="145"/>
      <c r="I315" s="53">
        <v>521000</v>
      </c>
      <c r="J315" s="132">
        <f>+SUM(C315:G315)-(H315+I315)</f>
        <v>88800</v>
      </c>
      <c r="K315" s="70"/>
    </row>
    <row r="316" spans="1:11">
      <c r="A316" s="130" t="s">
        <v>105</v>
      </c>
      <c r="B316" s="137" t="s">
        <v>86</v>
      </c>
      <c r="C316" s="128">
        <v>233614</v>
      </c>
      <c r="D316" s="131"/>
      <c r="E316" s="146"/>
      <c r="F316" s="146"/>
      <c r="G316" s="146"/>
      <c r="H316" s="146"/>
      <c r="I316" s="146"/>
      <c r="J316" s="129">
        <f>+SUM(C316:G316)-(H316+I316)</f>
        <v>233614</v>
      </c>
      <c r="K316" s="70"/>
    </row>
    <row r="317" spans="1:11">
      <c r="A317" s="130" t="s">
        <v>105</v>
      </c>
      <c r="B317" s="137" t="s">
        <v>85</v>
      </c>
      <c r="C317" s="128">
        <v>249768</v>
      </c>
      <c r="D317" s="131"/>
      <c r="E317" s="146"/>
      <c r="F317" s="146"/>
      <c r="G317" s="146"/>
      <c r="H317" s="146"/>
      <c r="I317" s="146"/>
      <c r="J317" s="129">
        <f t="shared" ref="J317:J323" si="78">+SUM(C317:G317)-(H317+I317)</f>
        <v>249768</v>
      </c>
      <c r="K317" s="70"/>
    </row>
    <row r="318" spans="1:11">
      <c r="A318" s="130" t="s">
        <v>105</v>
      </c>
      <c r="B318" s="135" t="s">
        <v>37</v>
      </c>
      <c r="C318" s="33">
        <v>55090</v>
      </c>
      <c r="D318" s="32"/>
      <c r="E318" s="33">
        <v>143000</v>
      </c>
      <c r="F318" s="33">
        <v>70800</v>
      </c>
      <c r="G318" s="110"/>
      <c r="H318" s="110"/>
      <c r="I318" s="33">
        <v>261000</v>
      </c>
      <c r="J318" s="31">
        <f t="shared" si="78"/>
        <v>7890</v>
      </c>
      <c r="K318" s="70"/>
    </row>
    <row r="319" spans="1:11">
      <c r="A319" s="130" t="s">
        <v>105</v>
      </c>
      <c r="B319" s="135" t="s">
        <v>95</v>
      </c>
      <c r="C319" s="33">
        <v>0</v>
      </c>
      <c r="D319" s="32"/>
      <c r="E319" s="33">
        <v>30000</v>
      </c>
      <c r="F319" s="110"/>
      <c r="G319" s="110"/>
      <c r="H319" s="110"/>
      <c r="I319" s="33">
        <v>25000</v>
      </c>
      <c r="J319" s="31">
        <f t="shared" si="78"/>
        <v>5000</v>
      </c>
      <c r="K319" s="70"/>
    </row>
    <row r="320" spans="1:11">
      <c r="A320" s="130" t="s">
        <v>105</v>
      </c>
      <c r="B320" s="135" t="s">
        <v>30</v>
      </c>
      <c r="C320" s="33">
        <v>110700</v>
      </c>
      <c r="D320" s="32"/>
      <c r="E320" s="33">
        <v>375000</v>
      </c>
      <c r="F320" s="33">
        <v>30000</v>
      </c>
      <c r="G320" s="110"/>
      <c r="H320" s="110"/>
      <c r="I320" s="33">
        <v>458000</v>
      </c>
      <c r="J320" s="31">
        <f t="shared" si="78"/>
        <v>57700</v>
      </c>
      <c r="K320" s="70"/>
    </row>
    <row r="321" spans="1:11">
      <c r="A321" s="130" t="s">
        <v>105</v>
      </c>
      <c r="B321" s="135" t="s">
        <v>96</v>
      </c>
      <c r="C321" s="33">
        <v>-32081</v>
      </c>
      <c r="D321" s="32"/>
      <c r="E321" s="110">
        <v>0</v>
      </c>
      <c r="F321" s="110"/>
      <c r="G321" s="110"/>
      <c r="H321" s="110"/>
      <c r="I321" s="110">
        <v>0</v>
      </c>
      <c r="J321" s="31">
        <f t="shared" si="78"/>
        <v>-32081</v>
      </c>
      <c r="K321" s="70"/>
    </row>
    <row r="322" spans="1:11">
      <c r="A322" s="130" t="s">
        <v>105</v>
      </c>
      <c r="B322" s="135" t="s">
        <v>103</v>
      </c>
      <c r="C322" s="33">
        <v>0</v>
      </c>
      <c r="D322" s="32"/>
      <c r="E322" s="33">
        <v>82000</v>
      </c>
      <c r="F322" s="110"/>
      <c r="G322" s="110"/>
      <c r="H322" s="110"/>
      <c r="I322" s="33">
        <v>20000</v>
      </c>
      <c r="J322" s="31">
        <f>+SUM(C322:G322)-(H322+I322)</f>
        <v>62000</v>
      </c>
      <c r="K322" s="70"/>
    </row>
    <row r="323" spans="1:11">
      <c r="A323" s="130" t="s">
        <v>105</v>
      </c>
      <c r="B323" s="136" t="s">
        <v>33</v>
      </c>
      <c r="C323" s="53">
        <v>7300</v>
      </c>
      <c r="D323" s="127"/>
      <c r="E323" s="145"/>
      <c r="F323" s="145"/>
      <c r="G323" s="147"/>
      <c r="H323" s="145"/>
      <c r="I323" s="53">
        <v>3000</v>
      </c>
      <c r="J323" s="31">
        <f t="shared" si="78"/>
        <v>4300</v>
      </c>
      <c r="K323" s="70"/>
    </row>
    <row r="324" spans="1:11">
      <c r="A324" s="35" t="s">
        <v>62</v>
      </c>
      <c r="B324" s="36"/>
      <c r="C324" s="36"/>
      <c r="D324" s="36"/>
      <c r="E324" s="36"/>
      <c r="F324" s="36"/>
      <c r="G324" s="36"/>
      <c r="H324" s="36"/>
      <c r="I324" s="36"/>
      <c r="J324" s="37"/>
      <c r="K324" s="70"/>
    </row>
    <row r="325" spans="1:11">
      <c r="A325" s="130" t="s">
        <v>105</v>
      </c>
      <c r="B325" s="38" t="s">
        <v>63</v>
      </c>
      <c r="C325" s="39">
        <v>817769</v>
      </c>
      <c r="D325" s="51">
        <v>3000000</v>
      </c>
      <c r="E325" s="109"/>
      <c r="F325" s="109"/>
      <c r="G325" s="148"/>
      <c r="H325" s="139">
        <v>2627870</v>
      </c>
      <c r="I325" s="134">
        <v>1127749</v>
      </c>
      <c r="J325" s="46">
        <f>+SUM(C325:G325)-(H325+I325)</f>
        <v>62150</v>
      </c>
      <c r="K325" s="70"/>
    </row>
    <row r="326" spans="1:11">
      <c r="A326" s="44" t="s">
        <v>64</v>
      </c>
      <c r="B326" s="25"/>
      <c r="C326" s="36"/>
      <c r="D326" s="25"/>
      <c r="E326" s="25"/>
      <c r="F326" s="25"/>
      <c r="G326" s="25"/>
      <c r="H326" s="25"/>
      <c r="I326" s="25"/>
      <c r="J326" s="37"/>
    </row>
    <row r="327" spans="1:11">
      <c r="A327" s="130" t="s">
        <v>105</v>
      </c>
      <c r="B327" s="38" t="s">
        <v>65</v>
      </c>
      <c r="C327" s="133">
        <v>14712920</v>
      </c>
      <c r="D327" s="140"/>
      <c r="E327" s="51"/>
      <c r="F327" s="51"/>
      <c r="G327" s="51"/>
      <c r="H327" s="53">
        <v>3000000</v>
      </c>
      <c r="I327" s="55">
        <v>428365</v>
      </c>
      <c r="J327" s="46">
        <f>+SUM(C327:G327)-(H327+I327)</f>
        <v>11284555</v>
      </c>
      <c r="K327" s="70"/>
    </row>
    <row r="328" spans="1:11">
      <c r="A328" s="130" t="s">
        <v>105</v>
      </c>
      <c r="B328" s="38" t="s">
        <v>66</v>
      </c>
      <c r="C328" s="133">
        <v>8361083</v>
      </c>
      <c r="D328" s="51"/>
      <c r="E328" s="50"/>
      <c r="F328" s="50"/>
      <c r="G328" s="50"/>
      <c r="H328" s="33"/>
      <c r="I328" s="52">
        <v>6202438</v>
      </c>
      <c r="J328" s="46">
        <f>SUM(C328:G328)-(H328+I328)</f>
        <v>2158645</v>
      </c>
      <c r="K328" s="70"/>
    </row>
    <row r="329" spans="1:11" ht="15.75">
      <c r="C329" s="9"/>
      <c r="I329" s="149">
        <f>SUM(I310:I328)</f>
        <v>10574852</v>
      </c>
      <c r="J329" s="111">
        <f>+SUM(J310:J328)</f>
        <v>14101750</v>
      </c>
      <c r="K329" s="9">
        <f>J329-C301</f>
        <v>-1</v>
      </c>
    </row>
    <row r="330" spans="1:11" ht="16.5">
      <c r="A330" s="10"/>
      <c r="B330" s="11"/>
      <c r="C330" s="12"/>
      <c r="D330" s="12"/>
      <c r="E330" s="12"/>
      <c r="F330" s="12"/>
      <c r="G330" s="12"/>
      <c r="H330" s="12"/>
      <c r="I330" s="12"/>
      <c r="J330" s="141"/>
    </row>
    <row r="331" spans="1:11">
      <c r="A331" s="16" t="s">
        <v>54</v>
      </c>
      <c r="B331" s="16"/>
      <c r="C331" s="16"/>
      <c r="D331" s="17"/>
      <c r="E331" s="17"/>
      <c r="F331" s="17"/>
      <c r="G331" s="17"/>
      <c r="H331" s="17"/>
      <c r="I331" s="17"/>
    </row>
    <row r="332" spans="1:11">
      <c r="A332" s="18" t="s">
        <v>97</v>
      </c>
      <c r="B332" s="18"/>
      <c r="C332" s="18"/>
      <c r="D332" s="18"/>
      <c r="E332" s="18"/>
      <c r="F332" s="18"/>
      <c r="G332" s="18"/>
      <c r="H332" s="18"/>
      <c r="I332" s="18"/>
      <c r="J332" s="17"/>
    </row>
    <row r="333" spans="1:11">
      <c r="A333" s="19"/>
      <c r="B333" s="20"/>
      <c r="C333" s="21"/>
      <c r="D333" s="21"/>
      <c r="E333" s="21"/>
      <c r="F333" s="21"/>
      <c r="G333" s="21"/>
      <c r="H333" s="20"/>
      <c r="I333" s="20"/>
      <c r="J333" s="18"/>
    </row>
    <row r="334" spans="1:11" ht="15" customHeight="1">
      <c r="A334" s="239" t="s">
        <v>55</v>
      </c>
      <c r="B334" s="241" t="s">
        <v>56</v>
      </c>
      <c r="C334" s="243" t="s">
        <v>98</v>
      </c>
      <c r="D334" s="245" t="s">
        <v>57</v>
      </c>
      <c r="E334" s="246"/>
      <c r="F334" s="246"/>
      <c r="G334" s="247"/>
      <c r="H334" s="248" t="s">
        <v>58</v>
      </c>
      <c r="I334" s="235" t="s">
        <v>59</v>
      </c>
      <c r="J334" s="20"/>
    </row>
    <row r="335" spans="1:11" ht="15" customHeight="1">
      <c r="A335" s="240"/>
      <c r="B335" s="242"/>
      <c r="C335" s="244"/>
      <c r="D335" s="22" t="s">
        <v>25</v>
      </c>
      <c r="E335" s="22" t="s">
        <v>26</v>
      </c>
      <c r="F335" s="122" t="s">
        <v>101</v>
      </c>
      <c r="G335" s="22" t="s">
        <v>60</v>
      </c>
      <c r="H335" s="249"/>
      <c r="I335" s="236"/>
      <c r="J335" s="237" t="s">
        <v>99</v>
      </c>
    </row>
    <row r="336" spans="1:11">
      <c r="A336" s="24"/>
      <c r="B336" s="25" t="s">
        <v>61</v>
      </c>
      <c r="C336" s="26"/>
      <c r="D336" s="26"/>
      <c r="E336" s="26"/>
      <c r="F336" s="26"/>
      <c r="G336" s="26"/>
      <c r="H336" s="26"/>
      <c r="I336" s="27"/>
      <c r="J336" s="238"/>
    </row>
    <row r="337" spans="1:11">
      <c r="A337" s="130" t="s">
        <v>100</v>
      </c>
      <c r="B337" s="135" t="s">
        <v>78</v>
      </c>
      <c r="C337" s="33">
        <v>-10750</v>
      </c>
      <c r="D337" s="32"/>
      <c r="E337" s="32">
        <v>170625</v>
      </c>
      <c r="F337" s="32">
        <v>301700</v>
      </c>
      <c r="G337" s="32"/>
      <c r="H337" s="57">
        <v>27000</v>
      </c>
      <c r="I337" s="33">
        <v>412375</v>
      </c>
      <c r="J337" s="31">
        <f>+SUM(C337:G337)-(H337+I337)</f>
        <v>22200</v>
      </c>
      <c r="K337" s="70"/>
    </row>
    <row r="338" spans="1:11">
      <c r="A338" s="130" t="s">
        <v>100</v>
      </c>
      <c r="B338" s="135" t="s">
        <v>49</v>
      </c>
      <c r="C338" s="33">
        <v>9060</v>
      </c>
      <c r="D338" s="32"/>
      <c r="E338" s="32">
        <v>0</v>
      </c>
      <c r="F338" s="32"/>
      <c r="G338" s="32"/>
      <c r="H338" s="57"/>
      <c r="I338" s="33">
        <v>6000</v>
      </c>
      <c r="J338" s="31">
        <f t="shared" ref="J338:J339" si="79">+SUM(C338:G338)-(H338+I338)</f>
        <v>3060</v>
      </c>
      <c r="K338" s="70"/>
    </row>
    <row r="339" spans="1:11">
      <c r="A339" s="130" t="s">
        <v>100</v>
      </c>
      <c r="B339" s="135" t="s">
        <v>32</v>
      </c>
      <c r="C339" s="33">
        <v>1195</v>
      </c>
      <c r="D339" s="32"/>
      <c r="E339" s="32">
        <v>75000</v>
      </c>
      <c r="F339" s="33"/>
      <c r="G339" s="33"/>
      <c r="H339" s="33"/>
      <c r="I339" s="33">
        <v>72400</v>
      </c>
      <c r="J339" s="107">
        <f t="shared" si="79"/>
        <v>3795</v>
      </c>
      <c r="K339" s="70"/>
    </row>
    <row r="340" spans="1:11">
      <c r="A340" s="130" t="s">
        <v>100</v>
      </c>
      <c r="B340" s="135" t="s">
        <v>79</v>
      </c>
      <c r="C340" s="33">
        <v>-8600</v>
      </c>
      <c r="D340" s="110"/>
      <c r="E340" s="32">
        <v>596900</v>
      </c>
      <c r="F340" s="33"/>
      <c r="G340" s="33"/>
      <c r="H340" s="33"/>
      <c r="I340" s="33">
        <v>586000</v>
      </c>
      <c r="J340" s="107">
        <f>+SUM(C340:G340)-(H340+I340)</f>
        <v>2300</v>
      </c>
      <c r="K340" s="70"/>
    </row>
    <row r="341" spans="1:11">
      <c r="A341" s="130" t="s">
        <v>100</v>
      </c>
      <c r="B341" s="135" t="s">
        <v>71</v>
      </c>
      <c r="C341" s="33">
        <v>8884</v>
      </c>
      <c r="D341" s="110"/>
      <c r="E341" s="32">
        <v>618600</v>
      </c>
      <c r="F341" s="33">
        <v>27000</v>
      </c>
      <c r="G341" s="33"/>
      <c r="H341" s="33">
        <v>301700</v>
      </c>
      <c r="I341" s="33">
        <v>367000</v>
      </c>
      <c r="J341" s="107">
        <f t="shared" ref="J341" si="80">+SUM(C341:G341)-(H341+I341)</f>
        <v>-14216</v>
      </c>
      <c r="K341" s="70"/>
    </row>
    <row r="342" spans="1:11">
      <c r="A342" s="127" t="s">
        <v>100</v>
      </c>
      <c r="B342" s="136" t="s">
        <v>31</v>
      </c>
      <c r="C342" s="53">
        <v>191600</v>
      </c>
      <c r="D342" s="127"/>
      <c r="E342" s="127">
        <v>777000</v>
      </c>
      <c r="F342" s="53"/>
      <c r="G342" s="53"/>
      <c r="H342" s="53"/>
      <c r="I342" s="53">
        <v>825300</v>
      </c>
      <c r="J342" s="132">
        <f>+SUM(C342:G342)-(H342+I342)</f>
        <v>143300</v>
      </c>
      <c r="K342" s="70"/>
    </row>
    <row r="343" spans="1:11">
      <c r="A343" s="131" t="s">
        <v>100</v>
      </c>
      <c r="B343" s="137" t="s">
        <v>86</v>
      </c>
      <c r="C343" s="128">
        <v>233614</v>
      </c>
      <c r="D343" s="131"/>
      <c r="E343" s="131"/>
      <c r="F343" s="131"/>
      <c r="G343" s="131"/>
      <c r="H343" s="128"/>
      <c r="I343" s="128"/>
      <c r="J343" s="129">
        <f>+SUM(C343:G343)-(H343+I343)</f>
        <v>233614</v>
      </c>
      <c r="K343" s="70"/>
    </row>
    <row r="344" spans="1:11">
      <c r="A344" s="131" t="s">
        <v>100</v>
      </c>
      <c r="B344" s="137" t="s">
        <v>85</v>
      </c>
      <c r="C344" s="128">
        <v>249769</v>
      </c>
      <c r="D344" s="131"/>
      <c r="E344" s="131"/>
      <c r="F344" s="131"/>
      <c r="G344" s="131"/>
      <c r="H344" s="128"/>
      <c r="I344" s="128"/>
      <c r="J344" s="129">
        <f t="shared" ref="J344:J349" si="81">+SUM(C344:G344)-(H344+I344)</f>
        <v>249769</v>
      </c>
      <c r="K344" s="70"/>
    </row>
    <row r="345" spans="1:11">
      <c r="A345" s="130" t="s">
        <v>100</v>
      </c>
      <c r="B345" s="135" t="s">
        <v>37</v>
      </c>
      <c r="C345" s="33">
        <v>-3510</v>
      </c>
      <c r="D345" s="32"/>
      <c r="E345" s="32">
        <v>240100</v>
      </c>
      <c r="F345" s="32"/>
      <c r="G345" s="32"/>
      <c r="H345" s="33"/>
      <c r="I345" s="33">
        <v>181500</v>
      </c>
      <c r="J345" s="31">
        <f t="shared" si="81"/>
        <v>55090</v>
      </c>
      <c r="K345" s="70"/>
    </row>
    <row r="346" spans="1:11">
      <c r="A346" s="130" t="s">
        <v>100</v>
      </c>
      <c r="B346" s="135" t="s">
        <v>95</v>
      </c>
      <c r="C346" s="33">
        <v>0</v>
      </c>
      <c r="D346" s="32"/>
      <c r="E346" s="32">
        <v>5000</v>
      </c>
      <c r="F346" s="32"/>
      <c r="G346" s="32"/>
      <c r="H346" s="33"/>
      <c r="I346" s="33">
        <v>5000</v>
      </c>
      <c r="J346" s="31">
        <f t="shared" si="81"/>
        <v>0</v>
      </c>
      <c r="K346" s="70"/>
    </row>
    <row r="347" spans="1:11">
      <c r="A347" s="130" t="s">
        <v>100</v>
      </c>
      <c r="B347" s="135" t="s">
        <v>30</v>
      </c>
      <c r="C347" s="33">
        <v>111200</v>
      </c>
      <c r="D347" s="32"/>
      <c r="E347" s="32">
        <v>704000</v>
      </c>
      <c r="F347" s="32"/>
      <c r="G347" s="32"/>
      <c r="H347" s="33"/>
      <c r="I347" s="33">
        <v>704500</v>
      </c>
      <c r="J347" s="31">
        <f t="shared" si="81"/>
        <v>110700</v>
      </c>
      <c r="K347" s="70"/>
    </row>
    <row r="348" spans="1:11">
      <c r="A348" s="130" t="s">
        <v>100</v>
      </c>
      <c r="B348" s="135" t="s">
        <v>96</v>
      </c>
      <c r="C348" s="33">
        <v>-32081</v>
      </c>
      <c r="D348" s="32"/>
      <c r="E348" s="32">
        <v>0</v>
      </c>
      <c r="F348" s="32"/>
      <c r="G348" s="32"/>
      <c r="H348" s="33"/>
      <c r="I348" s="33">
        <v>0</v>
      </c>
      <c r="J348" s="31">
        <f t="shared" si="81"/>
        <v>-32081</v>
      </c>
      <c r="K348" s="70"/>
    </row>
    <row r="349" spans="1:11">
      <c r="A349" s="130" t="s">
        <v>100</v>
      </c>
      <c r="B349" s="136" t="s">
        <v>33</v>
      </c>
      <c r="C349" s="53">
        <v>5300</v>
      </c>
      <c r="D349" s="127"/>
      <c r="E349" s="127">
        <v>10000</v>
      </c>
      <c r="F349" s="127"/>
      <c r="G349" s="138"/>
      <c r="H349" s="53"/>
      <c r="I349" s="53">
        <v>8000</v>
      </c>
      <c r="J349" s="31">
        <f t="shared" si="81"/>
        <v>7300</v>
      </c>
      <c r="K349" s="70"/>
    </row>
    <row r="350" spans="1:11">
      <c r="A350" s="35" t="s">
        <v>62</v>
      </c>
      <c r="B350" s="36"/>
      <c r="C350" s="36"/>
      <c r="D350" s="36"/>
      <c r="E350" s="36"/>
      <c r="F350" s="36"/>
      <c r="G350" s="36"/>
      <c r="H350" s="36"/>
      <c r="I350" s="36"/>
      <c r="J350" s="37"/>
      <c r="K350" s="70"/>
    </row>
    <row r="351" spans="1:11">
      <c r="A351" s="28" t="s">
        <v>100</v>
      </c>
      <c r="B351" s="38" t="s">
        <v>63</v>
      </c>
      <c r="C351" s="39">
        <v>733034</v>
      </c>
      <c r="D351" s="40">
        <v>4293000</v>
      </c>
      <c r="E351" s="40"/>
      <c r="F351" s="40"/>
      <c r="G351" s="133"/>
      <c r="H351" s="139">
        <v>3197225</v>
      </c>
      <c r="I351" s="134">
        <v>1011040</v>
      </c>
      <c r="J351" s="46">
        <f>+SUM(C351:G351)-(H351+I351)</f>
        <v>817769</v>
      </c>
      <c r="K351" s="70"/>
    </row>
    <row r="352" spans="1:11">
      <c r="A352" s="44" t="s">
        <v>64</v>
      </c>
      <c r="B352" s="25"/>
      <c r="C352" s="36"/>
      <c r="D352" s="25"/>
      <c r="E352" s="25"/>
      <c r="F352" s="25"/>
      <c r="G352" s="25"/>
      <c r="H352" s="25"/>
      <c r="I352" s="25"/>
      <c r="J352" s="37"/>
    </row>
    <row r="353" spans="1:11">
      <c r="A353" s="28" t="s">
        <v>100</v>
      </c>
      <c r="B353" s="38" t="s">
        <v>65</v>
      </c>
      <c r="C353" s="133">
        <v>19184971</v>
      </c>
      <c r="D353" s="140"/>
      <c r="E353" s="51"/>
      <c r="F353" s="51"/>
      <c r="G353" s="51"/>
      <c r="H353" s="53">
        <v>4000000</v>
      </c>
      <c r="I353" s="55">
        <v>472051</v>
      </c>
      <c r="J353" s="46">
        <f>+SUM(C353:G353)-(H353+I353)</f>
        <v>14712920</v>
      </c>
      <c r="K353" s="70"/>
    </row>
    <row r="354" spans="1:11">
      <c r="A354" s="28" t="s">
        <v>100</v>
      </c>
      <c r="B354" s="38" t="s">
        <v>66</v>
      </c>
      <c r="C354" s="133">
        <v>14419055</v>
      </c>
      <c r="D354" s="51"/>
      <c r="E354" s="50"/>
      <c r="F354" s="50"/>
      <c r="G354" s="50"/>
      <c r="H354" s="33">
        <v>293000</v>
      </c>
      <c r="I354" s="52">
        <v>5764972</v>
      </c>
      <c r="J354" s="46">
        <f>SUM(C354:G354)-(H354+I354)</f>
        <v>8361083</v>
      </c>
      <c r="K354" s="70"/>
    </row>
    <row r="355" spans="1:11" ht="15.75">
      <c r="C355" s="9"/>
      <c r="I355" s="9"/>
      <c r="J355" s="111">
        <f>+SUM(J337:J354)</f>
        <v>24676603</v>
      </c>
    </row>
    <row r="356" spans="1:11" ht="16.5">
      <c r="A356" s="10"/>
      <c r="B356" s="11"/>
      <c r="C356" s="12"/>
      <c r="D356" s="12"/>
      <c r="E356" s="12"/>
      <c r="F356" s="12"/>
      <c r="G356" s="12"/>
      <c r="H356" s="12"/>
      <c r="I356" s="12"/>
      <c r="J356" s="141"/>
    </row>
    <row r="357" spans="1:11">
      <c r="A357" s="16" t="s">
        <v>54</v>
      </c>
      <c r="B357" s="16"/>
      <c r="C357" s="16"/>
      <c r="D357" s="17"/>
      <c r="E357" s="17"/>
      <c r="F357" s="17"/>
      <c r="G357" s="17"/>
      <c r="H357" s="17"/>
      <c r="I357" s="17"/>
    </row>
    <row r="358" spans="1:11">
      <c r="A358" s="18" t="s">
        <v>89</v>
      </c>
      <c r="B358" s="18"/>
      <c r="C358" s="18"/>
      <c r="D358" s="18"/>
      <c r="E358" s="18"/>
      <c r="F358" s="18"/>
      <c r="G358" s="18"/>
      <c r="H358" s="18"/>
      <c r="I358" s="18"/>
      <c r="J358" s="17"/>
    </row>
    <row r="359" spans="1:11" ht="15" customHeight="1">
      <c r="A359" s="19"/>
      <c r="B359" s="20"/>
      <c r="C359" s="21"/>
      <c r="D359" s="21"/>
      <c r="E359" s="21"/>
      <c r="F359" s="21"/>
      <c r="G359" s="21"/>
      <c r="H359" s="20"/>
      <c r="I359" s="20"/>
      <c r="J359" s="18"/>
    </row>
    <row r="360" spans="1:11" ht="15" customHeight="1">
      <c r="A360" s="239" t="s">
        <v>55</v>
      </c>
      <c r="B360" s="241" t="s">
        <v>56</v>
      </c>
      <c r="C360" s="243" t="s">
        <v>90</v>
      </c>
      <c r="D360" s="245" t="s">
        <v>57</v>
      </c>
      <c r="E360" s="246"/>
      <c r="F360" s="246"/>
      <c r="G360" s="247"/>
      <c r="H360" s="248" t="s">
        <v>58</v>
      </c>
      <c r="I360" s="235" t="s">
        <v>59</v>
      </c>
      <c r="J360" s="20"/>
    </row>
    <row r="361" spans="1:11" ht="15" customHeight="1">
      <c r="A361" s="240"/>
      <c r="B361" s="242"/>
      <c r="C361" s="244"/>
      <c r="D361" s="22" t="s">
        <v>25</v>
      </c>
      <c r="E361" s="22" t="s">
        <v>26</v>
      </c>
      <c r="F361" s="112" t="s">
        <v>93</v>
      </c>
      <c r="G361" s="22" t="s">
        <v>60</v>
      </c>
      <c r="H361" s="249"/>
      <c r="I361" s="236"/>
      <c r="J361" s="237" t="s">
        <v>91</v>
      </c>
    </row>
    <row r="362" spans="1:11">
      <c r="A362" s="24"/>
      <c r="B362" s="25" t="s">
        <v>61</v>
      </c>
      <c r="C362" s="26"/>
      <c r="D362" s="26"/>
      <c r="E362" s="26"/>
      <c r="F362" s="26"/>
      <c r="G362" s="26"/>
      <c r="H362" s="26"/>
      <c r="I362" s="27"/>
      <c r="J362" s="238"/>
    </row>
    <row r="363" spans="1:11" ht="16.5">
      <c r="A363" s="28" t="s">
        <v>92</v>
      </c>
      <c r="B363" s="8" t="s">
        <v>78</v>
      </c>
      <c r="C363" s="29" t="e">
        <f>+#REF!</f>
        <v>#REF!</v>
      </c>
      <c r="D363" s="30"/>
      <c r="E363" s="30">
        <v>271100</v>
      </c>
      <c r="F363" s="30">
        <f>112800+126500</f>
        <v>239300</v>
      </c>
      <c r="G363" s="30"/>
      <c r="H363" s="57"/>
      <c r="I363" s="34">
        <v>521950</v>
      </c>
      <c r="J363" s="31" t="e">
        <f>+SUM(C363:G363)-(H363+I363)</f>
        <v>#REF!</v>
      </c>
    </row>
    <row r="364" spans="1:11" ht="16.5">
      <c r="A364" s="28" t="s">
        <v>92</v>
      </c>
      <c r="B364" s="8" t="s">
        <v>49</v>
      </c>
      <c r="C364" s="29" t="e">
        <f>+C128</f>
        <v>#REF!</v>
      </c>
      <c r="D364" s="30"/>
      <c r="E364" s="30">
        <v>625000</v>
      </c>
      <c r="F364" s="30"/>
      <c r="G364" s="30"/>
      <c r="H364" s="57">
        <v>247500</v>
      </c>
      <c r="I364" s="34">
        <v>371500</v>
      </c>
      <c r="J364" s="31" t="e">
        <f t="shared" ref="J364:J365" si="82">+SUM(C364:G364)-(H364+I364)</f>
        <v>#REF!</v>
      </c>
    </row>
    <row r="365" spans="1:11" ht="16.5">
      <c r="A365" s="28" t="s">
        <v>92</v>
      </c>
      <c r="B365" s="8" t="s">
        <v>32</v>
      </c>
      <c r="C365" s="29" t="e">
        <f>+C129</f>
        <v>#REF!</v>
      </c>
      <c r="D365" s="30"/>
      <c r="E365" s="30">
        <v>60000</v>
      </c>
      <c r="F365" s="106"/>
      <c r="G365" s="106"/>
      <c r="H365" s="33"/>
      <c r="I365" s="56">
        <v>67200</v>
      </c>
      <c r="J365" s="107" t="e">
        <f t="shared" si="82"/>
        <v>#REF!</v>
      </c>
    </row>
    <row r="366" spans="1:11" ht="15.75" customHeight="1">
      <c r="A366" s="28" t="s">
        <v>92</v>
      </c>
      <c r="B366" s="8" t="s">
        <v>79</v>
      </c>
      <c r="C366" s="29" t="e">
        <f>+C130</f>
        <v>#REF!</v>
      </c>
      <c r="D366" s="58"/>
      <c r="E366" s="30">
        <v>140000</v>
      </c>
      <c r="F366" s="106">
        <v>270500</v>
      </c>
      <c r="G366" s="106"/>
      <c r="H366" s="33"/>
      <c r="I366" s="33">
        <v>417300</v>
      </c>
      <c r="J366" s="107" t="e">
        <f>+SUM(C366:G366)-(H366+I366)</f>
        <v>#REF!</v>
      </c>
    </row>
    <row r="367" spans="1:11" ht="16.5">
      <c r="A367" s="28" t="s">
        <v>92</v>
      </c>
      <c r="B367" s="8" t="s">
        <v>71</v>
      </c>
      <c r="C367" s="29">
        <v>15984</v>
      </c>
      <c r="D367" s="58"/>
      <c r="E367" s="30">
        <v>256400</v>
      </c>
      <c r="F367" s="106"/>
      <c r="G367" s="106"/>
      <c r="H367" s="33"/>
      <c r="I367" s="34">
        <v>263500</v>
      </c>
      <c r="J367" s="107">
        <f t="shared" ref="J367" si="83">+SUM(C367:G367)-(H367+I367)</f>
        <v>8884</v>
      </c>
    </row>
    <row r="368" spans="1:11" ht="16.5">
      <c r="A368" s="28" t="s">
        <v>92</v>
      </c>
      <c r="B368" s="8" t="s">
        <v>31</v>
      </c>
      <c r="C368" s="29" t="e">
        <f t="shared" ref="C368:C372" si="84">+C131</f>
        <v>#REF!</v>
      </c>
      <c r="D368" s="30"/>
      <c r="E368" s="30">
        <v>858500</v>
      </c>
      <c r="F368" s="106"/>
      <c r="G368" s="106"/>
      <c r="H368" s="33"/>
      <c r="I368" s="34">
        <v>645000</v>
      </c>
      <c r="J368" s="107" t="e">
        <f>+SUM(C368:G368)-(H368+I368)</f>
        <v>#REF!</v>
      </c>
    </row>
    <row r="369" spans="1:11" ht="16.5">
      <c r="A369" s="28" t="s">
        <v>92</v>
      </c>
      <c r="B369" s="8" t="s">
        <v>37</v>
      </c>
      <c r="C369" s="29" t="e">
        <f t="shared" si="84"/>
        <v>#REF!</v>
      </c>
      <c r="D369" s="30"/>
      <c r="E369" s="30">
        <v>800700</v>
      </c>
      <c r="F369" s="30"/>
      <c r="G369" s="30"/>
      <c r="H369" s="33">
        <v>262300</v>
      </c>
      <c r="I369" s="34">
        <v>543600</v>
      </c>
      <c r="J369" s="31" t="e">
        <f>+SUM(C369:G369)-(H369+I369)</f>
        <v>#REF!</v>
      </c>
    </row>
    <row r="370" spans="1:11" ht="16.5">
      <c r="A370" s="28" t="s">
        <v>92</v>
      </c>
      <c r="B370" s="8" t="s">
        <v>30</v>
      </c>
      <c r="C370" s="29" t="e">
        <f t="shared" si="84"/>
        <v>#REF!</v>
      </c>
      <c r="D370" s="30"/>
      <c r="E370" s="30">
        <v>971600</v>
      </c>
      <c r="F370" s="30"/>
      <c r="G370" s="30"/>
      <c r="H370" s="33">
        <v>200000</v>
      </c>
      <c r="I370" s="34">
        <v>639450</v>
      </c>
      <c r="J370" s="31" t="e">
        <f t="shared" ref="J370:J371" si="85">+SUM(C370:G370)-(H370+I370)</f>
        <v>#REF!</v>
      </c>
    </row>
    <row r="371" spans="1:11" ht="16.5">
      <c r="A371" s="28" t="s">
        <v>92</v>
      </c>
      <c r="B371" s="8" t="s">
        <v>6</v>
      </c>
      <c r="C371" s="29" t="e">
        <f t="shared" si="84"/>
        <v>#REF!</v>
      </c>
      <c r="D371" s="30"/>
      <c r="E371" s="30"/>
      <c r="F371" s="30"/>
      <c r="G371" s="30"/>
      <c r="H371" s="33"/>
      <c r="I371" s="56">
        <v>23000</v>
      </c>
      <c r="J371" s="31" t="e">
        <f t="shared" si="85"/>
        <v>#REF!</v>
      </c>
    </row>
    <row r="372" spans="1:11" ht="16.5">
      <c r="A372" s="28" t="s">
        <v>92</v>
      </c>
      <c r="B372" s="8" t="s">
        <v>33</v>
      </c>
      <c r="C372" s="29" t="e">
        <f t="shared" si="84"/>
        <v>#REF!</v>
      </c>
      <c r="D372" s="30"/>
      <c r="E372" s="30"/>
      <c r="F372" s="30"/>
      <c r="G372" s="30"/>
      <c r="H372" s="33"/>
      <c r="I372" s="34">
        <v>0</v>
      </c>
      <c r="J372" s="31" t="e">
        <f>+SUM(C372:G372)-(H372+I372)</f>
        <v>#REF!</v>
      </c>
    </row>
    <row r="373" spans="1:11" ht="16.5">
      <c r="A373" s="114" t="s">
        <v>92</v>
      </c>
      <c r="B373" s="115" t="s">
        <v>94</v>
      </c>
      <c r="C373" s="116">
        <v>3721074</v>
      </c>
      <c r="D373" s="117"/>
      <c r="E373" s="118"/>
      <c r="F373" s="117"/>
      <c r="G373" s="119"/>
      <c r="H373" s="116">
        <v>3721074</v>
      </c>
      <c r="I373" s="120"/>
      <c r="J373" s="121">
        <f>+SUM(C373:G373)-(H373+I373)</f>
        <v>0</v>
      </c>
    </row>
    <row r="374" spans="1:11">
      <c r="A374" s="35" t="s">
        <v>62</v>
      </c>
      <c r="B374" s="36"/>
      <c r="C374" s="36"/>
      <c r="D374" s="36"/>
      <c r="E374" s="36"/>
      <c r="F374" s="36"/>
      <c r="G374" s="36"/>
      <c r="H374" s="36"/>
      <c r="I374" s="36"/>
      <c r="J374" s="37"/>
    </row>
    <row r="375" spans="1:11">
      <c r="A375" s="28" t="s">
        <v>92</v>
      </c>
      <c r="B375" s="38" t="s">
        <v>63</v>
      </c>
      <c r="C375" s="39" t="e">
        <f>+C127</f>
        <v>#REF!</v>
      </c>
      <c r="D375" s="40">
        <v>5000000</v>
      </c>
      <c r="E375" s="40"/>
      <c r="F375" s="40"/>
      <c r="G375" s="41">
        <v>200000</v>
      </c>
      <c r="H375" s="49">
        <v>3983300</v>
      </c>
      <c r="I375" s="42">
        <v>776245</v>
      </c>
      <c r="J375" s="43" t="e">
        <f>+SUM(C375:G375)-(H375+I375)</f>
        <v>#REF!</v>
      </c>
    </row>
    <row r="376" spans="1:11">
      <c r="A376" s="44" t="s">
        <v>64</v>
      </c>
      <c r="B376" s="25"/>
      <c r="C376" s="36"/>
      <c r="D376" s="25"/>
      <c r="E376" s="25"/>
      <c r="F376" s="25"/>
      <c r="G376" s="25"/>
      <c r="H376" s="25"/>
      <c r="I376" s="25"/>
      <c r="J376" s="37"/>
    </row>
    <row r="377" spans="1:11">
      <c r="A377" s="28" t="s">
        <v>92</v>
      </c>
      <c r="B377" s="38" t="s">
        <v>65</v>
      </c>
      <c r="C377" s="45" t="e">
        <f>+#REF!</f>
        <v>#REF!</v>
      </c>
      <c r="D377" s="54">
        <v>19826114</v>
      </c>
      <c r="E377" s="51"/>
      <c r="F377" s="51"/>
      <c r="G377" s="51"/>
      <c r="H377" s="53">
        <v>5000000</v>
      </c>
      <c r="I377" s="55">
        <v>455737</v>
      </c>
      <c r="J377" s="46" t="e">
        <f>+SUM(C377:G377)-(H377+I377)</f>
        <v>#REF!</v>
      </c>
    </row>
    <row r="378" spans="1:11">
      <c r="A378" s="28" t="s">
        <v>92</v>
      </c>
      <c r="B378" s="38" t="s">
        <v>66</v>
      </c>
      <c r="C378" s="45" t="e">
        <f>+C126</f>
        <v>#REF!</v>
      </c>
      <c r="D378" s="51">
        <v>13119140</v>
      </c>
      <c r="E378" s="50"/>
      <c r="F378" s="50"/>
      <c r="G378" s="50"/>
      <c r="H378" s="33"/>
      <c r="I378" s="52">
        <v>3445919</v>
      </c>
      <c r="J378" s="46" t="e">
        <f>SUM(C378:G378)-(H378+I378)</f>
        <v>#REF!</v>
      </c>
    </row>
    <row r="379" spans="1:11">
      <c r="A379" s="162" t="s">
        <v>92</v>
      </c>
      <c r="B379" s="158" t="s">
        <v>85</v>
      </c>
      <c r="C379" s="163">
        <v>249769</v>
      </c>
      <c r="D379" s="51"/>
      <c r="E379" s="51"/>
      <c r="F379" s="51"/>
      <c r="G379" s="51"/>
      <c r="H379" s="33"/>
      <c r="I379" s="52"/>
      <c r="J379" s="164">
        <f>SUM(C379:G379)-(H379+I379)</f>
        <v>249769</v>
      </c>
    </row>
    <row r="380" spans="1:11">
      <c r="A380" s="162" t="s">
        <v>92</v>
      </c>
      <c r="B380" s="160" t="s">
        <v>86</v>
      </c>
      <c r="C380" s="163">
        <v>233614</v>
      </c>
      <c r="D380" s="51"/>
      <c r="E380" s="51"/>
      <c r="F380" s="51"/>
      <c r="G380" s="51"/>
      <c r="H380" s="33"/>
      <c r="I380" s="52"/>
      <c r="J380" s="164">
        <f>SUM(C380:G380)-(H380+I380)</f>
        <v>233614</v>
      </c>
    </row>
    <row r="381" spans="1:11">
      <c r="A381" s="162" t="s">
        <v>92</v>
      </c>
      <c r="B381" s="161" t="s">
        <v>87</v>
      </c>
      <c r="C381" s="163">
        <v>330169</v>
      </c>
      <c r="D381" s="165"/>
      <c r="E381" s="165"/>
      <c r="F381" s="165"/>
      <c r="G381" s="165"/>
      <c r="H381" s="165"/>
      <c r="I381" s="165"/>
      <c r="J381" s="164">
        <f>SUM(C381:G381)-(H381+I381)</f>
        <v>330169</v>
      </c>
    </row>
    <row r="382" spans="1:11" ht="15.75">
      <c r="C382" s="9"/>
      <c r="I382" s="9"/>
      <c r="J382" s="111" t="e">
        <f>+SUM(J363:J381)</f>
        <v>#REF!</v>
      </c>
      <c r="K382" s="113" t="e">
        <f>+J382-I139</f>
        <v>#REF!</v>
      </c>
    </row>
    <row r="384" spans="1:11">
      <c r="A384" s="16" t="s">
        <v>54</v>
      </c>
      <c r="B384" s="16"/>
      <c r="C384" s="16"/>
      <c r="D384" s="17"/>
      <c r="E384" s="17"/>
      <c r="F384" s="17"/>
      <c r="G384" s="17"/>
      <c r="H384" s="17"/>
      <c r="I384" s="17"/>
    </row>
    <row r="385" spans="1:10">
      <c r="A385" s="18" t="s">
        <v>80</v>
      </c>
      <c r="B385" s="18"/>
      <c r="C385" s="18"/>
      <c r="D385" s="18"/>
      <c r="E385" s="18"/>
      <c r="F385" s="18"/>
      <c r="G385" s="18"/>
      <c r="H385" s="18"/>
      <c r="I385" s="18"/>
      <c r="J385" s="17"/>
    </row>
    <row r="386" spans="1:10">
      <c r="A386" s="19"/>
      <c r="B386" s="20"/>
      <c r="C386" s="21"/>
      <c r="D386" s="21"/>
      <c r="E386" s="21"/>
      <c r="F386" s="21"/>
      <c r="G386" s="21"/>
      <c r="H386" s="20"/>
      <c r="I386" s="20"/>
      <c r="J386" s="18"/>
    </row>
    <row r="387" spans="1:10">
      <c r="A387" s="239" t="s">
        <v>55</v>
      </c>
      <c r="B387" s="241" t="s">
        <v>56</v>
      </c>
      <c r="C387" s="243" t="s">
        <v>82</v>
      </c>
      <c r="D387" s="245" t="s">
        <v>57</v>
      </c>
      <c r="E387" s="246"/>
      <c r="F387" s="246"/>
      <c r="G387" s="247"/>
      <c r="H387" s="248" t="s">
        <v>58</v>
      </c>
      <c r="I387" s="235" t="s">
        <v>59</v>
      </c>
      <c r="J387" s="20"/>
    </row>
    <row r="388" spans="1:10" ht="36.75" customHeight="1">
      <c r="A388" s="240"/>
      <c r="B388" s="242"/>
      <c r="C388" s="244"/>
      <c r="D388" s="22" t="s">
        <v>25</v>
      </c>
      <c r="E388" s="22" t="s">
        <v>26</v>
      </c>
      <c r="F388" s="23" t="s">
        <v>71</v>
      </c>
      <c r="G388" s="22" t="s">
        <v>60</v>
      </c>
      <c r="H388" s="249"/>
      <c r="I388" s="236"/>
      <c r="J388" s="237" t="s">
        <v>88</v>
      </c>
    </row>
    <row r="389" spans="1:10">
      <c r="A389" s="24"/>
      <c r="B389" s="25" t="s">
        <v>61</v>
      </c>
      <c r="C389" s="26"/>
      <c r="D389" s="26"/>
      <c r="E389" s="26"/>
      <c r="F389" s="26"/>
      <c r="G389" s="26"/>
      <c r="H389" s="26"/>
      <c r="I389" s="27"/>
      <c r="J389" s="238"/>
    </row>
    <row r="390" spans="1:10" ht="16.5">
      <c r="A390" s="28" t="s">
        <v>81</v>
      </c>
      <c r="B390" s="8" t="s">
        <v>78</v>
      </c>
      <c r="C390" s="29">
        <v>0</v>
      </c>
      <c r="D390" s="30"/>
      <c r="E390" s="30">
        <v>40000</v>
      </c>
      <c r="F390" s="30"/>
      <c r="G390" s="30"/>
      <c r="H390" s="57"/>
      <c r="I390" s="34">
        <v>39200</v>
      </c>
      <c r="J390" s="31">
        <f>+SUM(C390:G390)-(H390+I390)</f>
        <v>800</v>
      </c>
    </row>
    <row r="391" spans="1:10" ht="16.5">
      <c r="A391" s="28" t="s">
        <v>81</v>
      </c>
      <c r="B391" s="8" t="str">
        <f>+A128</f>
        <v>JUILLET</v>
      </c>
      <c r="C391" s="29">
        <v>19060</v>
      </c>
      <c r="D391" s="30"/>
      <c r="E391" s="30">
        <v>20000</v>
      </c>
      <c r="F391" s="30"/>
      <c r="G391" s="30"/>
      <c r="H391" s="57"/>
      <c r="I391" s="34">
        <v>36000</v>
      </c>
      <c r="J391" s="31">
        <f t="shared" ref="J391:J398" si="86">+SUM(C391:G391)-(H391+I391)</f>
        <v>3060</v>
      </c>
    </row>
    <row r="392" spans="1:10" ht="16.5">
      <c r="A392" s="28" t="s">
        <v>81</v>
      </c>
      <c r="B392" s="8" t="str">
        <f>+A129</f>
        <v>JUILLET</v>
      </c>
      <c r="C392" s="29">
        <v>8395</v>
      </c>
      <c r="D392" s="30"/>
      <c r="E392" s="30">
        <v>20000</v>
      </c>
      <c r="F392" s="106"/>
      <c r="G392" s="106"/>
      <c r="H392" s="33"/>
      <c r="I392" s="56">
        <v>20000</v>
      </c>
      <c r="J392" s="107">
        <f t="shared" si="86"/>
        <v>8395</v>
      </c>
    </row>
    <row r="393" spans="1:10" ht="16.5">
      <c r="A393" s="28" t="s">
        <v>81</v>
      </c>
      <c r="B393" s="8" t="str">
        <f>+A130</f>
        <v>JUILLET</v>
      </c>
      <c r="C393" s="29">
        <v>0</v>
      </c>
      <c r="D393" s="58"/>
      <c r="E393" s="30">
        <v>100000</v>
      </c>
      <c r="F393" s="106">
        <v>102200</v>
      </c>
      <c r="G393" s="106"/>
      <c r="H393" s="33"/>
      <c r="I393" s="33">
        <v>204000</v>
      </c>
      <c r="J393" s="107">
        <f>+SUM(C393:G393)-(H393+I393)</f>
        <v>-1800</v>
      </c>
    </row>
    <row r="394" spans="1:10" ht="16.5">
      <c r="A394" s="28" t="s">
        <v>81</v>
      </c>
      <c r="B394" s="8" t="e">
        <f>+#REF!</f>
        <v>#REF!</v>
      </c>
      <c r="C394" s="29">
        <v>7559</v>
      </c>
      <c r="D394" s="58"/>
      <c r="E394" s="30">
        <v>866200</v>
      </c>
      <c r="F394" s="106"/>
      <c r="G394" s="106"/>
      <c r="H394" s="33">
        <v>252200</v>
      </c>
      <c r="I394" s="34">
        <v>605575</v>
      </c>
      <c r="J394" s="107">
        <f t="shared" si="86"/>
        <v>15984</v>
      </c>
    </row>
    <row r="395" spans="1:10" ht="16.5">
      <c r="A395" s="28" t="s">
        <v>81</v>
      </c>
      <c r="B395" s="8" t="str">
        <f t="shared" ref="B395:B398" si="87">+A131</f>
        <v>JUILLET</v>
      </c>
      <c r="C395" s="29">
        <v>214000</v>
      </c>
      <c r="D395" s="30"/>
      <c r="E395" s="30">
        <v>724100</v>
      </c>
      <c r="F395" s="106"/>
      <c r="G395" s="106"/>
      <c r="H395" s="33"/>
      <c r="I395" s="34">
        <v>960000</v>
      </c>
      <c r="J395" s="107">
        <f>+SUM(C395:G395)-(H395+I395)</f>
        <v>-21900</v>
      </c>
    </row>
    <row r="396" spans="1:10" ht="16.5">
      <c r="A396" s="28" t="s">
        <v>81</v>
      </c>
      <c r="B396" s="8" t="str">
        <f t="shared" si="87"/>
        <v>JUILLET</v>
      </c>
      <c r="C396" s="29">
        <v>-13805</v>
      </c>
      <c r="D396" s="30"/>
      <c r="E396" s="30">
        <v>333400</v>
      </c>
      <c r="F396" s="30">
        <v>150000</v>
      </c>
      <c r="G396" s="30"/>
      <c r="H396" s="33">
        <v>129000</v>
      </c>
      <c r="I396" s="34">
        <v>338905</v>
      </c>
      <c r="J396" s="31">
        <f>+SUM(C396:G396)-(H396+I396)</f>
        <v>1690</v>
      </c>
    </row>
    <row r="397" spans="1:10" ht="16.5">
      <c r="A397" s="28" t="s">
        <v>81</v>
      </c>
      <c r="B397" s="8" t="str">
        <f t="shared" si="87"/>
        <v>JUILLET</v>
      </c>
      <c r="C397" s="29">
        <v>84350</v>
      </c>
      <c r="D397" s="30"/>
      <c r="E397" s="30">
        <v>669400</v>
      </c>
      <c r="F397" s="30"/>
      <c r="G397" s="30"/>
      <c r="H397" s="33">
        <v>100000</v>
      </c>
      <c r="I397" s="34">
        <v>674700</v>
      </c>
      <c r="J397" s="31">
        <f>+SUM(C397:G397)-(H397+I397)</f>
        <v>-20950</v>
      </c>
    </row>
    <row r="398" spans="1:10" ht="16.5">
      <c r="A398" s="28" t="s">
        <v>81</v>
      </c>
      <c r="B398" s="8" t="str">
        <f t="shared" si="87"/>
        <v>JUILLET</v>
      </c>
      <c r="C398" s="29">
        <v>-216251</v>
      </c>
      <c r="D398" s="30"/>
      <c r="E398" s="30">
        <v>242000</v>
      </c>
      <c r="F398" s="30"/>
      <c r="G398" s="30"/>
      <c r="H398" s="33"/>
      <c r="I398" s="56">
        <v>34830</v>
      </c>
      <c r="J398" s="31">
        <f t="shared" si="86"/>
        <v>-9081</v>
      </c>
    </row>
    <row r="399" spans="1:10" ht="16.5">
      <c r="A399" s="28" t="s">
        <v>81</v>
      </c>
      <c r="B399" s="8" t="s">
        <v>34</v>
      </c>
      <c r="C399" s="29">
        <v>2025</v>
      </c>
      <c r="D399" s="30"/>
      <c r="E399" s="30">
        <v>25000</v>
      </c>
      <c r="F399" s="30"/>
      <c r="G399" s="30"/>
      <c r="H399" s="33">
        <v>3025</v>
      </c>
      <c r="I399" s="34">
        <v>24000</v>
      </c>
      <c r="J399" s="31">
        <f>+SUM(C399:G399)-(H399+I399)</f>
        <v>0</v>
      </c>
    </row>
    <row r="400" spans="1:10" ht="16.5">
      <c r="A400" s="28" t="s">
        <v>81</v>
      </c>
      <c r="B400" s="8" t="s">
        <v>33</v>
      </c>
      <c r="C400" s="29">
        <v>10000</v>
      </c>
      <c r="D400" s="32"/>
      <c r="E400" s="30">
        <v>0</v>
      </c>
      <c r="F400" s="32"/>
      <c r="G400" s="32"/>
      <c r="H400" s="33"/>
      <c r="I400" s="34">
        <v>4700</v>
      </c>
      <c r="J400" s="31">
        <f>+SUM(C400:G400)-(H400+I400)</f>
        <v>5300</v>
      </c>
    </row>
    <row r="401" spans="1:15">
      <c r="A401" s="35" t="s">
        <v>62</v>
      </c>
      <c r="B401" s="36"/>
      <c r="C401" s="36"/>
      <c r="D401" s="36"/>
      <c r="E401" s="36"/>
      <c r="F401" s="36"/>
      <c r="G401" s="36"/>
      <c r="H401" s="36"/>
      <c r="I401" s="36"/>
      <c r="J401" s="37"/>
    </row>
    <row r="402" spans="1:15">
      <c r="A402" s="28" t="s">
        <v>81</v>
      </c>
      <c r="B402" s="38" t="s">
        <v>63</v>
      </c>
      <c r="C402" s="39">
        <v>791675</v>
      </c>
      <c r="D402" s="40">
        <v>3185100</v>
      </c>
      <c r="E402" s="40"/>
      <c r="F402" s="40"/>
      <c r="G402" s="41">
        <v>237025</v>
      </c>
      <c r="H402" s="49">
        <v>3045100</v>
      </c>
      <c r="I402" s="42">
        <v>876121</v>
      </c>
      <c r="J402" s="43">
        <f>+SUM(C402:G402)-(H402+I402)</f>
        <v>292579</v>
      </c>
    </row>
    <row r="403" spans="1:15">
      <c r="A403" s="44" t="s">
        <v>64</v>
      </c>
      <c r="B403" s="25"/>
      <c r="C403" s="36"/>
      <c r="D403" s="25"/>
      <c r="E403" s="25"/>
      <c r="F403" s="25"/>
      <c r="G403" s="25"/>
      <c r="H403" s="25"/>
      <c r="I403" s="25"/>
      <c r="J403" s="37"/>
    </row>
    <row r="404" spans="1:15">
      <c r="A404" s="28" t="s">
        <v>81</v>
      </c>
      <c r="B404" s="38" t="s">
        <v>65</v>
      </c>
      <c r="C404" s="45">
        <v>8039273</v>
      </c>
      <c r="D404" s="54">
        <v>0</v>
      </c>
      <c r="E404" s="51"/>
      <c r="F404" s="51"/>
      <c r="G404" s="51"/>
      <c r="H404" s="53">
        <v>3000000</v>
      </c>
      <c r="I404" s="55">
        <v>224679</v>
      </c>
      <c r="J404" s="46">
        <f>+SUM(C404:G404)-(H404+I404)</f>
        <v>4814594</v>
      </c>
    </row>
    <row r="405" spans="1:15">
      <c r="A405" s="28" t="s">
        <v>81</v>
      </c>
      <c r="B405" s="38" t="s">
        <v>66</v>
      </c>
      <c r="C405" s="45">
        <v>13283340</v>
      </c>
      <c r="D405" s="51">
        <v>0</v>
      </c>
      <c r="E405" s="50"/>
      <c r="F405" s="50"/>
      <c r="G405" s="50"/>
      <c r="H405" s="33">
        <v>185100</v>
      </c>
      <c r="I405" s="52">
        <v>8352406</v>
      </c>
      <c r="J405" s="46">
        <f>SUM(C405:G405)-(H405+I405)</f>
        <v>4745834</v>
      </c>
    </row>
    <row r="406" spans="1:15">
      <c r="A406" s="157" t="s">
        <v>81</v>
      </c>
      <c r="B406" s="158" t="s">
        <v>84</v>
      </c>
      <c r="C406" s="45">
        <v>3721074</v>
      </c>
      <c r="D406" s="157"/>
      <c r="E406" s="157"/>
      <c r="F406" s="157"/>
      <c r="G406" s="157"/>
      <c r="H406" s="157"/>
      <c r="I406" s="157"/>
      <c r="J406" s="159">
        <f>SUM(C406:G406)-(H406+I406)</f>
        <v>3721074</v>
      </c>
    </row>
    <row r="407" spans="1:15">
      <c r="A407" s="157" t="s">
        <v>81</v>
      </c>
      <c r="B407" s="158" t="s">
        <v>85</v>
      </c>
      <c r="C407" s="45">
        <v>249769</v>
      </c>
      <c r="D407" s="51"/>
      <c r="E407" s="51"/>
      <c r="F407" s="51"/>
      <c r="G407" s="51"/>
      <c r="H407" s="33"/>
      <c r="I407" s="52"/>
      <c r="J407" s="159">
        <f>SUM(C407:G407)-(H407+I407)</f>
        <v>249769</v>
      </c>
    </row>
    <row r="408" spans="1:15">
      <c r="A408" s="157" t="s">
        <v>81</v>
      </c>
      <c r="B408" s="160" t="s">
        <v>86</v>
      </c>
      <c r="C408" s="45">
        <v>233614</v>
      </c>
      <c r="D408" s="51"/>
      <c r="E408" s="51"/>
      <c r="F408" s="51"/>
      <c r="G408" s="51"/>
      <c r="H408" s="33"/>
      <c r="I408" s="52"/>
      <c r="J408" s="159">
        <f>SUM(C408:G408)-(H408+I408)</f>
        <v>233614</v>
      </c>
    </row>
    <row r="409" spans="1:15">
      <c r="A409" s="157" t="s">
        <v>81</v>
      </c>
      <c r="B409" s="161" t="s">
        <v>87</v>
      </c>
      <c r="C409" s="45">
        <v>330169</v>
      </c>
      <c r="D409" s="157"/>
      <c r="E409" s="157"/>
      <c r="F409" s="157"/>
      <c r="G409" s="157"/>
      <c r="H409" s="157"/>
      <c r="I409" s="157"/>
      <c r="J409" s="159">
        <f>SUM(C409:G409)-(H409+I409)</f>
        <v>330169</v>
      </c>
    </row>
    <row r="410" spans="1:15" ht="15.75">
      <c r="C410" s="9"/>
      <c r="I410" s="9"/>
      <c r="J410" s="111">
        <f>+SUM(J390:J409)</f>
        <v>14369131</v>
      </c>
    </row>
    <row r="411" spans="1:15">
      <c r="C411" s="9"/>
      <c r="I411" s="9"/>
      <c r="J411" s="9"/>
    </row>
    <row r="412" spans="1:15" s="74" customFormat="1">
      <c r="A412" s="72" t="s">
        <v>67</v>
      </c>
      <c r="B412" s="72"/>
      <c r="C412" s="72"/>
      <c r="D412" s="72"/>
      <c r="E412" s="72"/>
      <c r="F412" s="72"/>
      <c r="G412" s="72"/>
      <c r="H412" s="72"/>
      <c r="I412" s="72"/>
      <c r="J412" s="73"/>
      <c r="L412" s="75"/>
      <c r="M412" s="75"/>
      <c r="N412" s="75"/>
      <c r="O412" s="75"/>
    </row>
    <row r="413" spans="1:15" s="74" customFormat="1">
      <c r="A413" s="76"/>
      <c r="B413" s="73"/>
      <c r="C413" s="77"/>
      <c r="D413" s="77"/>
      <c r="E413" s="77"/>
      <c r="F413" s="77"/>
      <c r="G413" s="77"/>
      <c r="H413" s="73"/>
      <c r="I413" s="73"/>
      <c r="J413" s="72"/>
      <c r="L413" s="75"/>
      <c r="M413" s="75"/>
      <c r="N413" s="75"/>
      <c r="O413" s="75"/>
    </row>
    <row r="414" spans="1:15" s="74" customFormat="1">
      <c r="A414" s="239" t="s">
        <v>55</v>
      </c>
      <c r="B414" s="241" t="s">
        <v>56</v>
      </c>
      <c r="C414" s="243" t="s">
        <v>69</v>
      </c>
      <c r="D414" s="262" t="s">
        <v>57</v>
      </c>
      <c r="E414" s="263"/>
      <c r="F414" s="263"/>
      <c r="G414" s="264"/>
      <c r="H414" s="265" t="s">
        <v>58</v>
      </c>
      <c r="I414" s="267" t="s">
        <v>59</v>
      </c>
      <c r="J414" s="73"/>
      <c r="L414" s="75"/>
      <c r="M414" s="75"/>
      <c r="N414" s="75"/>
      <c r="O414" s="75"/>
    </row>
    <row r="415" spans="1:15" s="74" customFormat="1">
      <c r="A415" s="240"/>
      <c r="B415" s="242"/>
      <c r="C415" s="244"/>
      <c r="D415" s="22" t="s">
        <v>25</v>
      </c>
      <c r="E415" s="22" t="s">
        <v>26</v>
      </c>
      <c r="F415" s="71" t="s">
        <v>71</v>
      </c>
      <c r="G415" s="22" t="s">
        <v>60</v>
      </c>
      <c r="H415" s="266"/>
      <c r="I415" s="268"/>
      <c r="J415" s="237" t="s">
        <v>70</v>
      </c>
      <c r="L415" s="75"/>
      <c r="M415" s="75"/>
      <c r="N415" s="75"/>
      <c r="O415" s="75"/>
    </row>
    <row r="416" spans="1:15" s="74" customFormat="1">
      <c r="A416" s="78"/>
      <c r="B416" s="79" t="s">
        <v>61</v>
      </c>
      <c r="C416" s="80"/>
      <c r="D416" s="80"/>
      <c r="E416" s="80"/>
      <c r="F416" s="80"/>
      <c r="G416" s="80"/>
      <c r="H416" s="80"/>
      <c r="I416" s="81"/>
      <c r="J416" s="238"/>
      <c r="L416" s="75"/>
      <c r="M416" s="75"/>
      <c r="N416" s="75"/>
      <c r="O416" s="75"/>
    </row>
    <row r="417" spans="1:15" s="74" customFormat="1" ht="16.5">
      <c r="A417" s="82" t="s">
        <v>68</v>
      </c>
      <c r="B417" s="8" t="s">
        <v>49</v>
      </c>
      <c r="C417" s="83">
        <v>40560</v>
      </c>
      <c r="D417" s="30"/>
      <c r="E417" s="30">
        <v>0</v>
      </c>
      <c r="F417" s="30"/>
      <c r="G417" s="30"/>
      <c r="H417" s="84"/>
      <c r="I417" s="85">
        <f>+SUM([1]COMPTA_CREPIN!$F$3050:$F$3066)</f>
        <v>21500</v>
      </c>
      <c r="J417" s="31">
        <f>+SUM(C417:G417)-(H417+I417)</f>
        <v>19060</v>
      </c>
      <c r="L417" s="75"/>
      <c r="M417" s="75"/>
      <c r="N417" s="75"/>
      <c r="O417" s="75"/>
    </row>
    <row r="418" spans="1:15" s="74" customFormat="1" ht="16.5">
      <c r="A418" s="82" t="s">
        <v>68</v>
      </c>
      <c r="B418" s="8" t="s">
        <v>29</v>
      </c>
      <c r="C418" s="83">
        <v>227975</v>
      </c>
      <c r="D418" s="30"/>
      <c r="E418" s="30">
        <f>+'[2]Compta Dalia (2)'!$E$1908+'[2]Compta Dalia (2)'!$E$1909+'[2]Compta Dalia (2)'!$E$1911+'[2]Compta Dalia (2)'!$E$1917</f>
        <v>119600</v>
      </c>
      <c r="F418" s="30"/>
      <c r="G418" s="30"/>
      <c r="H418" s="84">
        <f>+'[2]Compta Dalia (2)'!$F$1919</f>
        <v>1635</v>
      </c>
      <c r="I418" s="85">
        <v>345940</v>
      </c>
      <c r="J418" s="31">
        <f t="shared" ref="J418:J425" si="88">+SUM(C418:G418)-(H418+I418)</f>
        <v>0</v>
      </c>
      <c r="L418" s="75"/>
      <c r="M418" s="75"/>
      <c r="N418" s="75"/>
      <c r="O418" s="75"/>
    </row>
    <row r="419" spans="1:15" s="74" customFormat="1" ht="16.5">
      <c r="A419" s="82" t="s">
        <v>68</v>
      </c>
      <c r="B419" s="8" t="s">
        <v>32</v>
      </c>
      <c r="C419" s="83">
        <v>-605</v>
      </c>
      <c r="D419" s="30"/>
      <c r="E419" s="30">
        <f>+'[3]compta (3)'!$E$2556+'[3]compta (3)'!$E$2557+'[3]compta (3)'!$E$2558</f>
        <v>30000</v>
      </c>
      <c r="F419" s="30"/>
      <c r="G419" s="30"/>
      <c r="H419" s="86"/>
      <c r="I419" s="87">
        <f>'[3]compta (3)'!$F$2559</f>
        <v>21000</v>
      </c>
      <c r="J419" s="31">
        <f t="shared" si="88"/>
        <v>8395</v>
      </c>
      <c r="L419" s="75"/>
      <c r="M419" s="75"/>
      <c r="N419" s="75"/>
      <c r="O419" s="75"/>
    </row>
    <row r="420" spans="1:15" s="74" customFormat="1" ht="16.5">
      <c r="A420" s="82" t="s">
        <v>68</v>
      </c>
      <c r="B420" s="105" t="s">
        <v>27</v>
      </c>
      <c r="C420" s="83">
        <v>264659</v>
      </c>
      <c r="D420" s="106"/>
      <c r="E420" s="106">
        <f>+'[4]compta (2)'!$E$2521+'[4]compta (2)'!$E$2525+'[4]compta (2)'!$E$2527+'[4]compta (2)'!$E$2529</f>
        <v>325000</v>
      </c>
      <c r="F420" s="106"/>
      <c r="G420" s="106"/>
      <c r="H420" s="33">
        <f>'[4]compta (2)'!$F$2528+60000</f>
        <v>75000</v>
      </c>
      <c r="I420" s="33">
        <f>'[4]compta (2)'!$F$2522+'[4]compta (2)'!$F$2523+'[4]compta (2)'!$F$2524+'[4]compta (2)'!$F$2526+'[4]compta (2)'!$F$2530+'[4]compta (2)'!$F$2532+'[4]compta (2)'!$F$2533+'[4]compta (2)'!$F$2534</f>
        <v>507100</v>
      </c>
      <c r="J420" s="107">
        <f t="shared" si="88"/>
        <v>7559</v>
      </c>
      <c r="L420" s="75"/>
      <c r="M420" s="75"/>
      <c r="N420" s="75"/>
      <c r="O420" s="75"/>
    </row>
    <row r="421" spans="1:15" s="74" customFormat="1" ht="16.5">
      <c r="A421" s="82" t="s">
        <v>68</v>
      </c>
      <c r="B421" s="105" t="s">
        <v>50</v>
      </c>
      <c r="C421" s="83">
        <v>272500</v>
      </c>
      <c r="D421" s="106"/>
      <c r="E421" s="106">
        <f>+'[5]COMPTA_I23C (2)'!$E$4171+'[5]COMPTA_I23C (2)'!$E$4172+'[5]COMPTA_I23C (2)'!$E$4174+'[5]COMPTA_I23C (2)'!$E$4178+'[5]COMPTA_I23C (2)'!$E$4180+'[5]COMPTA_I23C (2)'!$E$4181</f>
        <v>695000</v>
      </c>
      <c r="F421" s="106"/>
      <c r="G421" s="106"/>
      <c r="H421" s="33"/>
      <c r="I421" s="83">
        <v>753500</v>
      </c>
      <c r="J421" s="107">
        <f t="shared" si="88"/>
        <v>214000</v>
      </c>
      <c r="L421" s="75"/>
      <c r="M421" s="75"/>
      <c r="N421" s="75"/>
      <c r="O421" s="75"/>
    </row>
    <row r="422" spans="1:15" s="74" customFormat="1" ht="16.5">
      <c r="A422" s="82" t="s">
        <v>68</v>
      </c>
      <c r="B422" s="8" t="s">
        <v>37</v>
      </c>
      <c r="C422" s="83">
        <v>284595</v>
      </c>
      <c r="D422" s="30"/>
      <c r="E422" s="30">
        <f>+'[6]Feuil1 (2)'!$E$2684+'[6]Feuil1 (2)'!$E$2689+'[6]Feuil1 (2)'!$E$2691</f>
        <v>275000</v>
      </c>
      <c r="F422" s="30">
        <f>'[4]compta (2)'!$F$2531</f>
        <v>60000</v>
      </c>
      <c r="G422" s="30"/>
      <c r="H422" s="86"/>
      <c r="I422" s="85">
        <v>633400</v>
      </c>
      <c r="J422" s="31">
        <f t="shared" si="88"/>
        <v>-13805</v>
      </c>
      <c r="L422" s="75"/>
      <c r="M422" s="75"/>
      <c r="N422" s="75"/>
      <c r="O422" s="75"/>
    </row>
    <row r="423" spans="1:15" s="74" customFormat="1" ht="16.5">
      <c r="A423" s="82" t="s">
        <v>68</v>
      </c>
      <c r="B423" s="8" t="s">
        <v>28</v>
      </c>
      <c r="C423" s="83">
        <v>-1750</v>
      </c>
      <c r="D423" s="30"/>
      <c r="E423" s="30">
        <f>+'[7]Compta Jospin (2)'!$E$1583+'[7]Compta Jospin (2)'!$E$1584+'[7]Compta Jospin (2)'!$E$1587</f>
        <v>96400</v>
      </c>
      <c r="F423" s="30"/>
      <c r="G423" s="30"/>
      <c r="H423" s="86">
        <f>+'[7]Compta Jospin (2)'!$F$1592</f>
        <v>950</v>
      </c>
      <c r="I423" s="85">
        <v>93700</v>
      </c>
      <c r="J423" s="31">
        <f t="shared" si="88"/>
        <v>0</v>
      </c>
      <c r="L423" s="75"/>
      <c r="M423" s="75"/>
      <c r="N423" s="75"/>
      <c r="O423" s="75"/>
    </row>
    <row r="424" spans="1:15" s="74" customFormat="1" ht="16.5">
      <c r="A424" s="82" t="s">
        <v>68</v>
      </c>
      <c r="B424" s="8" t="s">
        <v>30</v>
      </c>
      <c r="C424" s="83">
        <v>265600</v>
      </c>
      <c r="D424" s="30"/>
      <c r="E424" s="30">
        <f>+'[8]COMPT-P29 (2)'!$E$190+'[8]COMPT-P29 (2)'!$E$191+'[8]COMPT-P29 (2)'!$E$196+'[8]COMPT-P29 (2)'!$E$201+'[8]COMPT-P29 (2)'!$E$202+'[8]COMPT-P29 (2)'!$E$204+'[8]COMPT-P29 (2)'!$E$207+'[8]COMPT-P29 (2)'!$E$215</f>
        <v>855600</v>
      </c>
      <c r="F424" s="30"/>
      <c r="G424" s="30"/>
      <c r="H424" s="86"/>
      <c r="I424" s="85">
        <v>1036850</v>
      </c>
      <c r="J424" s="31">
        <f t="shared" si="88"/>
        <v>84350</v>
      </c>
      <c r="L424" s="75"/>
      <c r="M424" s="75"/>
      <c r="N424" s="75"/>
      <c r="O424" s="75"/>
    </row>
    <row r="425" spans="1:15" s="74" customFormat="1" ht="16.5">
      <c r="A425" s="82" t="s">
        <v>68</v>
      </c>
      <c r="B425" s="8" t="s">
        <v>51</v>
      </c>
      <c r="C425" s="83">
        <f t="shared" ref="C425" si="89">+C398</f>
        <v>-216251</v>
      </c>
      <c r="D425" s="30"/>
      <c r="E425" s="30">
        <v>0</v>
      </c>
      <c r="F425" s="30"/>
      <c r="G425" s="30"/>
      <c r="H425" s="86"/>
      <c r="I425" s="87">
        <v>0</v>
      </c>
      <c r="J425" s="31">
        <f t="shared" si="88"/>
        <v>-216251</v>
      </c>
      <c r="L425" s="75"/>
      <c r="M425" s="75"/>
      <c r="N425" s="75"/>
      <c r="O425" s="75"/>
    </row>
    <row r="426" spans="1:15" s="74" customFormat="1" ht="16.5">
      <c r="A426" s="82" t="s">
        <v>68</v>
      </c>
      <c r="B426" s="8" t="s">
        <v>34</v>
      </c>
      <c r="C426" s="83">
        <v>1025</v>
      </c>
      <c r="D426" s="30"/>
      <c r="E426" s="30">
        <f>+'[9]compta shely'!$E$90+'[9]compta shely'!$E$97+'[9]compta shely'!$E$100</f>
        <v>25000</v>
      </c>
      <c r="F426" s="30"/>
      <c r="G426" s="30"/>
      <c r="H426" s="86"/>
      <c r="I426" s="85">
        <v>24000</v>
      </c>
      <c r="J426" s="31">
        <f>+SUM(C426:G426)-(H426+I426)</f>
        <v>2025</v>
      </c>
      <c r="L426" s="75"/>
      <c r="M426" s="75"/>
      <c r="N426" s="75"/>
      <c r="O426" s="75"/>
    </row>
    <row r="427" spans="1:15" s="74" customFormat="1" ht="16.5">
      <c r="A427" s="32" t="s">
        <v>68</v>
      </c>
      <c r="B427" s="8" t="s">
        <v>33</v>
      </c>
      <c r="C427" s="83">
        <v>0</v>
      </c>
      <c r="D427" s="32"/>
      <c r="E427" s="32">
        <f>+'[10]compta ted'!$E$11</f>
        <v>10000</v>
      </c>
      <c r="F427" s="32"/>
      <c r="G427" s="32"/>
      <c r="H427" s="86"/>
      <c r="I427" s="85">
        <v>0</v>
      </c>
      <c r="J427" s="31">
        <f>+SUM(C427:G427)-(H427+I427)</f>
        <v>10000</v>
      </c>
      <c r="L427" s="75"/>
      <c r="M427" s="75"/>
      <c r="N427" s="75"/>
      <c r="O427" s="75"/>
    </row>
    <row r="428" spans="1:15" s="74" customFormat="1">
      <c r="A428" s="88" t="s">
        <v>62</v>
      </c>
      <c r="B428" s="89"/>
      <c r="C428" s="89"/>
      <c r="D428" s="89"/>
      <c r="E428" s="89"/>
      <c r="F428" s="89"/>
      <c r="G428" s="89"/>
      <c r="H428" s="89"/>
      <c r="I428" s="89"/>
      <c r="J428" s="90"/>
      <c r="L428" s="75"/>
      <c r="M428" s="75"/>
      <c r="N428" s="75"/>
      <c r="O428" s="75"/>
    </row>
    <row r="429" spans="1:15" s="74" customFormat="1">
      <c r="A429" s="32" t="s">
        <v>68</v>
      </c>
      <c r="B429" s="38" t="s">
        <v>63</v>
      </c>
      <c r="C429" s="39">
        <v>954796</v>
      </c>
      <c r="D429" s="30">
        <v>3000000</v>
      </c>
      <c r="E429" s="30"/>
      <c r="F429" s="30"/>
      <c r="G429" s="91">
        <v>17585</v>
      </c>
      <c r="H429" s="92">
        <v>2431600</v>
      </c>
      <c r="I429" s="93">
        <v>749106</v>
      </c>
      <c r="J429" s="94">
        <f>+SUM(C429:G429)-(H429+I429)</f>
        <v>791675</v>
      </c>
      <c r="L429" s="75"/>
      <c r="M429" s="75"/>
      <c r="N429" s="75"/>
      <c r="O429" s="75"/>
    </row>
    <row r="430" spans="1:15" s="74" customFormat="1">
      <c r="A430" s="95" t="s">
        <v>64</v>
      </c>
      <c r="B430" s="79"/>
      <c r="C430" s="89"/>
      <c r="D430" s="79"/>
      <c r="E430" s="79"/>
      <c r="F430" s="79"/>
      <c r="G430" s="79"/>
      <c r="H430" s="79"/>
      <c r="I430" s="79"/>
      <c r="J430" s="90"/>
      <c r="L430" s="75"/>
      <c r="M430" s="75"/>
      <c r="N430" s="75"/>
      <c r="O430" s="75"/>
    </row>
    <row r="431" spans="1:15" s="74" customFormat="1">
      <c r="A431" s="32" t="s">
        <v>68</v>
      </c>
      <c r="B431" s="38" t="s">
        <v>65</v>
      </c>
      <c r="C431" s="83">
        <v>705838</v>
      </c>
      <c r="D431" s="96">
        <v>10801800</v>
      </c>
      <c r="E431" s="97"/>
      <c r="F431" s="97"/>
      <c r="G431" s="97"/>
      <c r="H431" s="98">
        <v>3000000</v>
      </c>
      <c r="I431" s="99">
        <v>468365</v>
      </c>
      <c r="J431" s="31">
        <f>+SUM(C431:G431)-(H431+I431)</f>
        <v>8039273</v>
      </c>
      <c r="L431" s="75"/>
      <c r="M431" s="75"/>
      <c r="N431" s="75"/>
      <c r="O431" s="75"/>
    </row>
    <row r="432" spans="1:15" s="74" customFormat="1">
      <c r="A432" s="32" t="s">
        <v>68</v>
      </c>
      <c r="B432" s="38" t="s">
        <v>66</v>
      </c>
      <c r="C432" s="83">
        <v>14874402</v>
      </c>
      <c r="D432" s="97">
        <v>3279785</v>
      </c>
      <c r="E432" s="100"/>
      <c r="F432" s="100"/>
      <c r="G432" s="100"/>
      <c r="H432" s="101"/>
      <c r="I432" s="102">
        <v>4870847</v>
      </c>
      <c r="J432" s="31">
        <f>SUM(C432:G432)-(H432+I432)</f>
        <v>13283340</v>
      </c>
      <c r="L432" s="75"/>
      <c r="M432" s="75"/>
      <c r="N432" s="75"/>
      <c r="O432" s="75"/>
    </row>
    <row r="433" spans="1:15" s="74" customFormat="1">
      <c r="L433" s="75"/>
      <c r="M433" s="75"/>
      <c r="N433" s="75"/>
      <c r="O433" s="75"/>
    </row>
    <row r="434" spans="1:15" s="74" customFormat="1">
      <c r="C434" s="103">
        <f>+SUM(C417:C432)</f>
        <v>17673344</v>
      </c>
      <c r="I434" s="103">
        <f>SUM(I417:I432)</f>
        <v>9525308</v>
      </c>
      <c r="J434" s="103">
        <f>+SUM(J417:J432)</f>
        <v>22229621</v>
      </c>
      <c r="L434" s="75"/>
      <c r="M434" s="75"/>
      <c r="N434" s="75"/>
      <c r="O434" s="75"/>
    </row>
    <row r="435" spans="1:15">
      <c r="C435" s="9"/>
      <c r="I435" s="9"/>
      <c r="J435" s="9"/>
    </row>
    <row r="436" spans="1:15">
      <c r="A436" s="64" t="s">
        <v>72</v>
      </c>
      <c r="B436" s="64"/>
    </row>
    <row r="437" spans="1:15">
      <c r="A437" s="65" t="s">
        <v>73</v>
      </c>
      <c r="B437" s="65"/>
      <c r="C437" s="65"/>
      <c r="D437" s="65"/>
      <c r="E437" s="65"/>
      <c r="F437" s="65"/>
      <c r="G437" s="65"/>
      <c r="H437" s="65"/>
      <c r="I437" s="65"/>
      <c r="J437" s="65"/>
    </row>
    <row r="439" spans="1:15" ht="15" customHeight="1">
      <c r="A439" s="250" t="s">
        <v>55</v>
      </c>
      <c r="B439" s="250" t="s">
        <v>56</v>
      </c>
      <c r="C439" s="261" t="s">
        <v>75</v>
      </c>
      <c r="D439" s="256" t="s">
        <v>57</v>
      </c>
      <c r="E439" s="256"/>
      <c r="F439" s="256"/>
      <c r="G439" s="256"/>
      <c r="H439" s="257" t="s">
        <v>58</v>
      </c>
      <c r="I439" s="259" t="s">
        <v>59</v>
      </c>
      <c r="J439" s="252" t="s">
        <v>76</v>
      </c>
      <c r="K439" s="253"/>
    </row>
    <row r="440" spans="1:15" ht="28.5" customHeight="1">
      <c r="A440" s="251"/>
      <c r="B440" s="251"/>
      <c r="C440" s="251"/>
      <c r="D440" s="69" t="s">
        <v>25</v>
      </c>
      <c r="E440" s="66" t="s">
        <v>26</v>
      </c>
      <c r="F440" s="66" t="s">
        <v>28</v>
      </c>
      <c r="G440" s="66" t="s">
        <v>60</v>
      </c>
      <c r="H440" s="258"/>
      <c r="I440" s="260"/>
      <c r="J440" s="254"/>
      <c r="K440" s="255"/>
    </row>
    <row r="441" spans="1:15">
      <c r="A441" s="47"/>
      <c r="B441" s="47" t="s">
        <v>61</v>
      </c>
      <c r="C441" s="49"/>
      <c r="D441" s="49"/>
      <c r="E441" s="49"/>
      <c r="F441" s="49"/>
      <c r="G441" s="49"/>
      <c r="H441" s="49"/>
      <c r="I441" s="49"/>
      <c r="J441" s="49"/>
      <c r="K441" s="47"/>
    </row>
    <row r="442" spans="1:15">
      <c r="A442" s="47" t="s">
        <v>74</v>
      </c>
      <c r="B442" s="47" t="s">
        <v>49</v>
      </c>
      <c r="C442" s="49">
        <v>89360</v>
      </c>
      <c r="D442" s="49"/>
      <c r="E442" s="49">
        <v>13000</v>
      </c>
      <c r="F442" s="49"/>
      <c r="G442" s="49"/>
      <c r="H442" s="49"/>
      <c r="I442" s="49">
        <v>61800</v>
      </c>
      <c r="J442" s="49">
        <v>40560</v>
      </c>
      <c r="K442" s="47"/>
    </row>
    <row r="443" spans="1:15">
      <c r="A443" s="47" t="s">
        <v>74</v>
      </c>
      <c r="B443" s="47" t="s">
        <v>29</v>
      </c>
      <c r="C443" s="49">
        <v>-1025</v>
      </c>
      <c r="D443" s="49"/>
      <c r="E443" s="49">
        <v>684500</v>
      </c>
      <c r="F443" s="49"/>
      <c r="G443" s="49"/>
      <c r="H443" s="49"/>
      <c r="I443" s="49">
        <v>455500</v>
      </c>
      <c r="J443" s="49">
        <v>227975</v>
      </c>
      <c r="K443" s="47"/>
    </row>
    <row r="444" spans="1:15">
      <c r="A444" s="47" t="s">
        <v>74</v>
      </c>
      <c r="B444" s="47" t="s">
        <v>32</v>
      </c>
      <c r="C444" s="49">
        <v>14395</v>
      </c>
      <c r="D444" s="49"/>
      <c r="E444" s="49">
        <v>40000</v>
      </c>
      <c r="F444" s="49"/>
      <c r="G444" s="49"/>
      <c r="H444" s="49"/>
      <c r="I444" s="49">
        <v>55000</v>
      </c>
      <c r="J444" s="49">
        <v>-605</v>
      </c>
      <c r="K444" s="47"/>
    </row>
    <row r="445" spans="1:15">
      <c r="A445" s="47" t="s">
        <v>74</v>
      </c>
      <c r="B445" s="47" t="s">
        <v>27</v>
      </c>
      <c r="C445" s="49">
        <v>8559</v>
      </c>
      <c r="D445" s="49"/>
      <c r="E445" s="49">
        <v>428750</v>
      </c>
      <c r="F445" s="49">
        <v>280200</v>
      </c>
      <c r="G445" s="49"/>
      <c r="H445" s="49"/>
      <c r="I445" s="49">
        <v>452850</v>
      </c>
      <c r="J445" s="49">
        <v>264659</v>
      </c>
      <c r="K445" s="47"/>
    </row>
    <row r="446" spans="1:15">
      <c r="A446" s="47" t="s">
        <v>74</v>
      </c>
      <c r="B446" s="47" t="s">
        <v>50</v>
      </c>
      <c r="C446" s="49">
        <v>-5750</v>
      </c>
      <c r="D446" s="49"/>
      <c r="E446" s="49">
        <v>1161750</v>
      </c>
      <c r="F446" s="49"/>
      <c r="G446" s="49"/>
      <c r="H446" s="49">
        <v>124000</v>
      </c>
      <c r="I446" s="49">
        <v>759500</v>
      </c>
      <c r="J446" s="49">
        <v>272500</v>
      </c>
      <c r="K446" s="47"/>
    </row>
    <row r="447" spans="1:15">
      <c r="A447" s="47" t="s">
        <v>74</v>
      </c>
      <c r="B447" s="47" t="s">
        <v>37</v>
      </c>
      <c r="C447" s="49">
        <v>12995</v>
      </c>
      <c r="D447" s="49"/>
      <c r="E447" s="49">
        <v>726000</v>
      </c>
      <c r="F447" s="49"/>
      <c r="G447" s="49"/>
      <c r="H447" s="49"/>
      <c r="I447" s="49">
        <v>454400</v>
      </c>
      <c r="J447" s="49">
        <v>284595</v>
      </c>
      <c r="K447" s="47"/>
    </row>
    <row r="448" spans="1:15">
      <c r="A448" s="47" t="s">
        <v>74</v>
      </c>
      <c r="B448" s="47" t="s">
        <v>28</v>
      </c>
      <c r="C448" s="49">
        <v>6050</v>
      </c>
      <c r="D448" s="49"/>
      <c r="E448" s="49">
        <v>736300</v>
      </c>
      <c r="F448" s="49"/>
      <c r="G448" s="49"/>
      <c r="H448" s="49">
        <v>405200</v>
      </c>
      <c r="I448" s="49">
        <v>338900</v>
      </c>
      <c r="J448" s="49">
        <v>-1750</v>
      </c>
      <c r="K448" s="47"/>
    </row>
    <row r="449" spans="1:11">
      <c r="A449" s="47" t="s">
        <v>74</v>
      </c>
      <c r="B449" s="47" t="s">
        <v>30</v>
      </c>
      <c r="C449" s="49">
        <v>142400</v>
      </c>
      <c r="D449" s="49"/>
      <c r="E449" s="49">
        <v>1014000</v>
      </c>
      <c r="F449" s="49"/>
      <c r="G449" s="49"/>
      <c r="H449" s="49">
        <v>100000</v>
      </c>
      <c r="I449" s="49">
        <v>790800</v>
      </c>
      <c r="J449" s="49">
        <v>265600</v>
      </c>
      <c r="K449" s="47"/>
    </row>
    <row r="450" spans="1:11">
      <c r="A450" s="47" t="s">
        <v>74</v>
      </c>
      <c r="B450" s="47" t="s">
        <v>51</v>
      </c>
      <c r="C450" s="49">
        <v>-221251.00072999997</v>
      </c>
      <c r="D450" s="49"/>
      <c r="E450" s="49">
        <v>485000</v>
      </c>
      <c r="F450" s="49"/>
      <c r="G450" s="49"/>
      <c r="H450" s="49">
        <v>5000</v>
      </c>
      <c r="I450" s="49">
        <v>475000</v>
      </c>
      <c r="J450" s="49">
        <v>-216251.00072999997</v>
      </c>
      <c r="K450" s="47"/>
    </row>
    <row r="451" spans="1:11">
      <c r="A451" s="47" t="s">
        <v>74</v>
      </c>
      <c r="B451" s="47" t="s">
        <v>34</v>
      </c>
      <c r="C451" s="49">
        <v>14225</v>
      </c>
      <c r="D451" s="49"/>
      <c r="E451" s="49">
        <v>30000</v>
      </c>
      <c r="F451" s="49"/>
      <c r="G451" s="49"/>
      <c r="H451" s="49"/>
      <c r="I451" s="49">
        <v>43200</v>
      </c>
      <c r="J451" s="49">
        <v>1025</v>
      </c>
      <c r="K451" s="47"/>
    </row>
    <row r="452" spans="1:11">
      <c r="A452" s="67" t="s">
        <v>62</v>
      </c>
      <c r="B452" s="67"/>
      <c r="C452" s="68"/>
      <c r="D452" s="68"/>
      <c r="E452" s="68"/>
      <c r="F452" s="68"/>
      <c r="G452" s="68"/>
      <c r="H452" s="68"/>
      <c r="I452" s="68"/>
      <c r="J452" s="68"/>
      <c r="K452" s="67"/>
    </row>
    <row r="453" spans="1:11">
      <c r="A453" s="47" t="s">
        <v>74</v>
      </c>
      <c r="B453" s="47" t="s">
        <v>63</v>
      </c>
      <c r="C453" s="49">
        <v>494738</v>
      </c>
      <c r="D453" s="49">
        <v>6000000</v>
      </c>
      <c r="E453" s="49"/>
      <c r="F453" s="49"/>
      <c r="G453" s="49">
        <v>105000</v>
      </c>
      <c r="H453" s="49">
        <v>5070300</v>
      </c>
      <c r="I453" s="49">
        <v>574642</v>
      </c>
      <c r="J453" s="49">
        <v>954796</v>
      </c>
      <c r="K453" s="47"/>
    </row>
    <row r="454" spans="1:11">
      <c r="A454" s="67" t="s">
        <v>64</v>
      </c>
      <c r="B454" s="67"/>
      <c r="C454" s="68"/>
      <c r="D454" s="68"/>
      <c r="E454" s="68"/>
      <c r="F454" s="68"/>
      <c r="G454" s="68"/>
      <c r="H454" s="68"/>
      <c r="I454" s="68"/>
      <c r="J454" s="68"/>
      <c r="K454" s="67"/>
    </row>
    <row r="455" spans="1:11">
      <c r="A455" s="47" t="s">
        <v>74</v>
      </c>
      <c r="B455" s="47" t="s">
        <v>65</v>
      </c>
      <c r="C455" s="49">
        <v>11363703</v>
      </c>
      <c r="D455" s="49"/>
      <c r="E455" s="49"/>
      <c r="F455" s="49"/>
      <c r="G455" s="49"/>
      <c r="H455" s="49">
        <v>10000000</v>
      </c>
      <c r="I455" s="49">
        <v>657865</v>
      </c>
      <c r="J455" s="49">
        <v>705838</v>
      </c>
      <c r="K455" s="47"/>
    </row>
    <row r="456" spans="1:11">
      <c r="A456" s="47" t="s">
        <v>74</v>
      </c>
      <c r="B456" s="47" t="s">
        <v>66</v>
      </c>
      <c r="C456" s="49">
        <v>4902843</v>
      </c>
      <c r="D456" s="49">
        <v>17119140</v>
      </c>
      <c r="E456" s="49"/>
      <c r="F456" s="49"/>
      <c r="G456" s="49"/>
      <c r="H456" s="49"/>
      <c r="I456" s="49">
        <v>7147581</v>
      </c>
      <c r="J456" s="49">
        <v>14874402</v>
      </c>
      <c r="K456" s="47"/>
    </row>
    <row r="457" spans="1:11">
      <c r="A457" s="47"/>
      <c r="B457" s="47"/>
      <c r="C457" s="49"/>
      <c r="D457" s="49"/>
      <c r="E457" s="49"/>
      <c r="F457" s="49"/>
      <c r="G457" s="49"/>
      <c r="H457" s="49"/>
      <c r="I457" s="49"/>
      <c r="J457" s="49"/>
      <c r="K457" s="47"/>
    </row>
    <row r="458" spans="1:11">
      <c r="A458" s="47"/>
      <c r="B458" s="47"/>
      <c r="C458" s="49"/>
      <c r="D458" s="49"/>
      <c r="E458" s="49"/>
      <c r="F458" s="49"/>
      <c r="G458" s="49"/>
      <c r="H458" s="49"/>
      <c r="I458" s="49">
        <v>12267038</v>
      </c>
      <c r="J458" s="49">
        <v>17673343.99927</v>
      </c>
      <c r="K458" s="47" t="b">
        <v>1</v>
      </c>
    </row>
    <row r="459" spans="1:11">
      <c r="J459" s="70" t="b">
        <f>J458=[11]TABLEAU!$I$16</f>
        <v>1</v>
      </c>
    </row>
  </sheetData>
  <mergeCells count="119">
    <mergeCell ref="A26:A27"/>
    <mergeCell ref="B26:B27"/>
    <mergeCell ref="C26:C27"/>
    <mergeCell ref="D26:G26"/>
    <mergeCell ref="H26:H27"/>
    <mergeCell ref="I26:I27"/>
    <mergeCell ref="J27:J28"/>
    <mergeCell ref="I76:I77"/>
    <mergeCell ref="J77:J78"/>
    <mergeCell ref="A76:A77"/>
    <mergeCell ref="B76:B77"/>
    <mergeCell ref="C76:C77"/>
    <mergeCell ref="D76:G76"/>
    <mergeCell ref="H76:H77"/>
    <mergeCell ref="I99:I100"/>
    <mergeCell ref="J100:J101"/>
    <mergeCell ref="A99:A100"/>
    <mergeCell ref="B99:B100"/>
    <mergeCell ref="C99:C100"/>
    <mergeCell ref="D99:G99"/>
    <mergeCell ref="H99:H100"/>
    <mergeCell ref="B172:B173"/>
    <mergeCell ref="C172:C173"/>
    <mergeCell ref="D172:G172"/>
    <mergeCell ref="H172:H173"/>
    <mergeCell ref="I147:I148"/>
    <mergeCell ref="J148:J149"/>
    <mergeCell ref="A147:A148"/>
    <mergeCell ref="B147:B148"/>
    <mergeCell ref="C147:C148"/>
    <mergeCell ref="D147:G147"/>
    <mergeCell ref="H147:H148"/>
    <mergeCell ref="I251:I252"/>
    <mergeCell ref="J252:J253"/>
    <mergeCell ref="A251:A252"/>
    <mergeCell ref="B251:B252"/>
    <mergeCell ref="C251:C252"/>
    <mergeCell ref="D251:G251"/>
    <mergeCell ref="H251:H252"/>
    <mergeCell ref="I224:I225"/>
    <mergeCell ref="J225:J226"/>
    <mergeCell ref="A224:A225"/>
    <mergeCell ref="B224:B225"/>
    <mergeCell ref="C224:C225"/>
    <mergeCell ref="D224:G224"/>
    <mergeCell ref="H224:H225"/>
    <mergeCell ref="I360:I361"/>
    <mergeCell ref="J361:J362"/>
    <mergeCell ref="A360:A361"/>
    <mergeCell ref="B360:B361"/>
    <mergeCell ref="C360:C361"/>
    <mergeCell ref="D360:G360"/>
    <mergeCell ref="H360:H361"/>
    <mergeCell ref="A414:A415"/>
    <mergeCell ref="D414:G414"/>
    <mergeCell ref="H414:H415"/>
    <mergeCell ref="J415:J416"/>
    <mergeCell ref="I414:I415"/>
    <mergeCell ref="A439:A440"/>
    <mergeCell ref="J388:J389"/>
    <mergeCell ref="A387:A388"/>
    <mergeCell ref="B387:B388"/>
    <mergeCell ref="C387:C388"/>
    <mergeCell ref="D387:G387"/>
    <mergeCell ref="H387:H388"/>
    <mergeCell ref="I387:I388"/>
    <mergeCell ref="B439:B440"/>
    <mergeCell ref="J439:K440"/>
    <mergeCell ref="D439:G439"/>
    <mergeCell ref="H439:H440"/>
    <mergeCell ref="I439:I440"/>
    <mergeCell ref="C439:C440"/>
    <mergeCell ref="B414:B415"/>
    <mergeCell ref="C414:C415"/>
    <mergeCell ref="I334:I335"/>
    <mergeCell ref="J335:J336"/>
    <mergeCell ref="A334:A335"/>
    <mergeCell ref="B334:B335"/>
    <mergeCell ref="C334:C335"/>
    <mergeCell ref="D334:G334"/>
    <mergeCell ref="H334:H335"/>
    <mergeCell ref="I279:I280"/>
    <mergeCell ref="J280:J281"/>
    <mergeCell ref="A279:A280"/>
    <mergeCell ref="B279:B280"/>
    <mergeCell ref="C279:C280"/>
    <mergeCell ref="D279:G279"/>
    <mergeCell ref="H279:H280"/>
    <mergeCell ref="I307:I308"/>
    <mergeCell ref="J308:J309"/>
    <mergeCell ref="A307:A308"/>
    <mergeCell ref="B307:B308"/>
    <mergeCell ref="C307:C308"/>
    <mergeCell ref="D307:G307"/>
    <mergeCell ref="H307:H308"/>
    <mergeCell ref="I198:I199"/>
    <mergeCell ref="J199:J200"/>
    <mergeCell ref="A198:A199"/>
    <mergeCell ref="B198:B199"/>
    <mergeCell ref="C198:C199"/>
    <mergeCell ref="D198:G198"/>
    <mergeCell ref="H198:H199"/>
    <mergeCell ref="A51:A52"/>
    <mergeCell ref="B51:B52"/>
    <mergeCell ref="C51:C52"/>
    <mergeCell ref="D51:G51"/>
    <mergeCell ref="H51:H52"/>
    <mergeCell ref="I51:I52"/>
    <mergeCell ref="J52:J53"/>
    <mergeCell ref="I123:I124"/>
    <mergeCell ref="J124:J125"/>
    <mergeCell ref="A123:A124"/>
    <mergeCell ref="B123:B124"/>
    <mergeCell ref="C123:C124"/>
    <mergeCell ref="D123:G123"/>
    <mergeCell ref="H123:H124"/>
    <mergeCell ref="I172:I173"/>
    <mergeCell ref="J173:J174"/>
    <mergeCell ref="A172:A17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3:B6"/>
  <sheetViews>
    <sheetView workbookViewId="0">
      <selection activeCell="B26" sqref="B26"/>
    </sheetView>
  </sheetViews>
  <sheetFormatPr baseColWidth="10" defaultRowHeight="15"/>
  <cols>
    <col min="1" max="1" width="21" bestFit="1" customWidth="1"/>
    <col min="2" max="2" width="16.140625" customWidth="1"/>
  </cols>
  <sheetData>
    <row r="3" spans="1:2">
      <c r="A3" s="1" t="s">
        <v>130</v>
      </c>
      <c r="B3" t="s">
        <v>137</v>
      </c>
    </row>
    <row r="4" spans="1:2">
      <c r="A4" s="2" t="s">
        <v>104</v>
      </c>
      <c r="B4" s="169">
        <v>6158150</v>
      </c>
    </row>
    <row r="5" spans="1:2">
      <c r="A5" s="2" t="s">
        <v>172</v>
      </c>
      <c r="B5" s="169">
        <v>2689541</v>
      </c>
    </row>
    <row r="6" spans="1:2">
      <c r="A6" s="2" t="s">
        <v>131</v>
      </c>
      <c r="B6" s="169">
        <v>8847691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Q21"/>
  <sheetViews>
    <sheetView workbookViewId="0">
      <pane xSplit="1" topLeftCell="AG1" activePane="topRight" state="frozen"/>
      <selection pane="topRight" activeCell="AM13" sqref="AM13"/>
    </sheetView>
  </sheetViews>
  <sheetFormatPr baseColWidth="10" defaultRowHeight="15"/>
  <cols>
    <col min="1" max="1" width="21" customWidth="1"/>
    <col min="2" max="2" width="23.85546875" bestFit="1" customWidth="1"/>
    <col min="3" max="3" width="19.140625" customWidth="1"/>
    <col min="4" max="4" width="16.140625" customWidth="1"/>
    <col min="5" max="5" width="19.140625" customWidth="1"/>
    <col min="6" max="6" width="16.140625" customWidth="1"/>
    <col min="7" max="7" width="19.140625" customWidth="1"/>
    <col min="8" max="8" width="16.140625" customWidth="1"/>
    <col min="9" max="9" width="19.140625" customWidth="1"/>
    <col min="10" max="10" width="16.140625" customWidth="1"/>
    <col min="11" max="11" width="19.140625" customWidth="1"/>
    <col min="12" max="12" width="16.140625" customWidth="1"/>
    <col min="13" max="13" width="19.140625" customWidth="1"/>
    <col min="14" max="14" width="16.140625" customWidth="1"/>
    <col min="15" max="15" width="19.140625" customWidth="1"/>
    <col min="16" max="16" width="16.140625" customWidth="1"/>
    <col min="17" max="17" width="19.140625" customWidth="1"/>
    <col min="18" max="18" width="16.140625" customWidth="1"/>
    <col min="19" max="19" width="19.140625" customWidth="1"/>
    <col min="20" max="20" width="16.140625" customWidth="1"/>
    <col min="21" max="21" width="19.140625" customWidth="1"/>
    <col min="22" max="22" width="16.140625" customWidth="1"/>
    <col min="23" max="23" width="19.140625" customWidth="1"/>
    <col min="24" max="24" width="16.140625" customWidth="1"/>
    <col min="25" max="25" width="19.140625" customWidth="1"/>
    <col min="26" max="26" width="16.140625" customWidth="1"/>
    <col min="27" max="27" width="19.140625" customWidth="1"/>
    <col min="28" max="28" width="16.140625" customWidth="1"/>
    <col min="29" max="29" width="19.140625" customWidth="1"/>
    <col min="30" max="30" width="17.5703125" bestFit="1" customWidth="1"/>
    <col min="31" max="31" width="19.140625" customWidth="1"/>
    <col min="32" max="32" width="16.140625" customWidth="1"/>
    <col min="33" max="33" width="19.140625" customWidth="1"/>
    <col min="34" max="34" width="16.140625" customWidth="1"/>
    <col min="35" max="35" width="19.140625" customWidth="1"/>
    <col min="36" max="36" width="21" customWidth="1"/>
    <col min="37" max="37" width="24.140625" customWidth="1"/>
    <col min="38" max="38" width="21.7109375" bestFit="1" customWidth="1"/>
    <col min="39" max="39" width="24.7109375" bestFit="1" customWidth="1"/>
  </cols>
  <sheetData>
    <row r="3" spans="1:43">
      <c r="B3" s="1" t="s">
        <v>132</v>
      </c>
    </row>
    <row r="4" spans="1:43">
      <c r="B4" t="s">
        <v>262</v>
      </c>
      <c r="D4" t="s">
        <v>170</v>
      </c>
      <c r="F4" t="s">
        <v>158</v>
      </c>
      <c r="H4" t="s">
        <v>435</v>
      </c>
      <c r="J4" t="s">
        <v>141</v>
      </c>
      <c r="L4" t="s">
        <v>148</v>
      </c>
      <c r="N4" t="s">
        <v>147</v>
      </c>
      <c r="P4" t="s">
        <v>36</v>
      </c>
      <c r="R4" t="s">
        <v>202</v>
      </c>
      <c r="T4" t="s">
        <v>2</v>
      </c>
      <c r="V4" t="s">
        <v>4</v>
      </c>
      <c r="X4" t="s">
        <v>173</v>
      </c>
      <c r="Z4" t="s">
        <v>199</v>
      </c>
      <c r="AB4" t="s">
        <v>35</v>
      </c>
      <c r="AD4" t="s">
        <v>162</v>
      </c>
      <c r="AF4" t="s">
        <v>238</v>
      </c>
      <c r="AH4" t="s">
        <v>77</v>
      </c>
      <c r="AJ4" t="s">
        <v>140</v>
      </c>
      <c r="AK4" t="s">
        <v>138</v>
      </c>
    </row>
    <row r="5" spans="1:43">
      <c r="A5" s="1" t="s">
        <v>130</v>
      </c>
      <c r="B5" t="s">
        <v>137</v>
      </c>
      <c r="C5" t="s">
        <v>139</v>
      </c>
      <c r="D5" t="s">
        <v>137</v>
      </c>
      <c r="E5" t="s">
        <v>139</v>
      </c>
      <c r="F5" t="s">
        <v>137</v>
      </c>
      <c r="G5" t="s">
        <v>139</v>
      </c>
      <c r="H5" t="s">
        <v>137</v>
      </c>
      <c r="I5" t="s">
        <v>139</v>
      </c>
      <c r="J5" t="s">
        <v>137</v>
      </c>
      <c r="K5" t="s">
        <v>139</v>
      </c>
      <c r="L5" t="s">
        <v>137</v>
      </c>
      <c r="M5" t="s">
        <v>139</v>
      </c>
      <c r="N5" t="s">
        <v>137</v>
      </c>
      <c r="O5" t="s">
        <v>139</v>
      </c>
      <c r="P5" t="s">
        <v>137</v>
      </c>
      <c r="Q5" t="s">
        <v>139</v>
      </c>
      <c r="R5" t="s">
        <v>137</v>
      </c>
      <c r="S5" t="s">
        <v>139</v>
      </c>
      <c r="T5" t="s">
        <v>137</v>
      </c>
      <c r="U5" t="s">
        <v>139</v>
      </c>
      <c r="V5" t="s">
        <v>137</v>
      </c>
      <c r="W5" t="s">
        <v>139</v>
      </c>
      <c r="X5" t="s">
        <v>137</v>
      </c>
      <c r="Y5" t="s">
        <v>139</v>
      </c>
      <c r="Z5" t="s">
        <v>137</v>
      </c>
      <c r="AA5" t="s">
        <v>139</v>
      </c>
      <c r="AB5" t="s">
        <v>137</v>
      </c>
      <c r="AC5" t="s">
        <v>139</v>
      </c>
      <c r="AD5" t="s">
        <v>137</v>
      </c>
      <c r="AE5" t="s">
        <v>139</v>
      </c>
      <c r="AF5" t="s">
        <v>137</v>
      </c>
      <c r="AG5" t="s">
        <v>139</v>
      </c>
      <c r="AH5" t="s">
        <v>137</v>
      </c>
      <c r="AI5" t="s">
        <v>139</v>
      </c>
      <c r="AM5" s="47"/>
      <c r="AN5" s="47" t="s">
        <v>44</v>
      </c>
      <c r="AO5" s="47" t="s">
        <v>45</v>
      </c>
      <c r="AP5" s="47" t="s">
        <v>46</v>
      </c>
      <c r="AQ5" s="47" t="s">
        <v>47</v>
      </c>
    </row>
    <row r="6" spans="1:43">
      <c r="A6" s="2" t="s">
        <v>168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>
        <v>8000</v>
      </c>
      <c r="M6" s="169"/>
      <c r="N6" s="169"/>
      <c r="O6" s="169"/>
      <c r="P6" s="169">
        <v>450</v>
      </c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>
        <v>152200</v>
      </c>
      <c r="AC6" s="169"/>
      <c r="AD6" s="169">
        <v>142000</v>
      </c>
      <c r="AE6" s="169"/>
      <c r="AF6" s="169">
        <v>12000</v>
      </c>
      <c r="AG6" s="169"/>
      <c r="AH6" s="169"/>
      <c r="AI6" s="169">
        <v>337000</v>
      </c>
      <c r="AJ6" s="169">
        <v>314650</v>
      </c>
      <c r="AK6" s="169">
        <v>337000</v>
      </c>
      <c r="AM6" s="47" t="str">
        <f>+A6</f>
        <v>Axel</v>
      </c>
      <c r="AN6" s="49">
        <f>AI6</f>
        <v>337000</v>
      </c>
      <c r="AO6" s="49">
        <f>AH6</f>
        <v>0</v>
      </c>
      <c r="AP6" s="49">
        <f>AJ6-AO6</f>
        <v>314650</v>
      </c>
      <c r="AQ6" s="49">
        <v>0</v>
      </c>
    </row>
    <row r="7" spans="1:43">
      <c r="A7" s="2" t="s">
        <v>204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>
        <v>85500</v>
      </c>
      <c r="AC7" s="169"/>
      <c r="AD7" s="169">
        <v>15000</v>
      </c>
      <c r="AE7" s="169"/>
      <c r="AF7" s="169">
        <v>13500</v>
      </c>
      <c r="AG7" s="169"/>
      <c r="AH7" s="169"/>
      <c r="AI7" s="169">
        <v>118000</v>
      </c>
      <c r="AJ7" s="169">
        <v>114000</v>
      </c>
      <c r="AK7" s="169">
        <v>118000</v>
      </c>
      <c r="AM7" s="47" t="str">
        <f t="shared" ref="AM7:AM18" si="0">+A7</f>
        <v>B52</v>
      </c>
      <c r="AN7" s="49">
        <f t="shared" ref="AN7:AN18" si="1">AI7</f>
        <v>118000</v>
      </c>
      <c r="AO7" s="49">
        <f t="shared" ref="AO7:AO18" si="2">AH7</f>
        <v>0</v>
      </c>
      <c r="AP7" s="49">
        <f t="shared" ref="AP7:AP18" si="3">AJ7-AO7</f>
        <v>114000</v>
      </c>
      <c r="AQ7" s="49">
        <v>0</v>
      </c>
    </row>
    <row r="8" spans="1:43">
      <c r="A8" s="2" t="s">
        <v>25</v>
      </c>
      <c r="B8" s="169">
        <v>23345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>
        <v>1000000</v>
      </c>
      <c r="AI8" s="169"/>
      <c r="AJ8" s="169">
        <v>1023345</v>
      </c>
      <c r="AK8" s="169"/>
      <c r="AM8" s="47" t="str">
        <f t="shared" si="0"/>
        <v>BCI</v>
      </c>
      <c r="AN8" s="49">
        <f t="shared" si="1"/>
        <v>0</v>
      </c>
      <c r="AO8" s="49">
        <f t="shared" si="2"/>
        <v>1000000</v>
      </c>
      <c r="AP8" s="49">
        <f t="shared" si="3"/>
        <v>23345</v>
      </c>
      <c r="AQ8" s="49">
        <v>0</v>
      </c>
    </row>
    <row r="9" spans="1:43">
      <c r="A9" s="2" t="s">
        <v>163</v>
      </c>
      <c r="B9" s="169">
        <v>14701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>
        <v>450000</v>
      </c>
      <c r="O9" s="169"/>
      <c r="P9" s="169"/>
      <c r="Q9" s="169"/>
      <c r="R9" s="169">
        <v>3555932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>
        <v>3000000</v>
      </c>
      <c r="AI9" s="169"/>
      <c r="AJ9" s="169">
        <v>7020633</v>
      </c>
      <c r="AK9" s="169"/>
      <c r="AM9" s="47" t="str">
        <f t="shared" si="0"/>
        <v>BCI-Sous Compte</v>
      </c>
      <c r="AN9" s="49">
        <f t="shared" si="1"/>
        <v>0</v>
      </c>
      <c r="AO9" s="49">
        <f t="shared" si="2"/>
        <v>3000000</v>
      </c>
      <c r="AP9" s="49">
        <f t="shared" si="3"/>
        <v>4020633</v>
      </c>
      <c r="AQ9" s="49">
        <v>0</v>
      </c>
    </row>
    <row r="10" spans="1:43">
      <c r="A10" s="2" t="s">
        <v>26</v>
      </c>
      <c r="B10" s="169"/>
      <c r="C10" s="169"/>
      <c r="D10" s="169">
        <v>794751</v>
      </c>
      <c r="E10" s="169"/>
      <c r="F10" s="169">
        <v>307860</v>
      </c>
      <c r="G10" s="169"/>
      <c r="H10" s="169">
        <v>78000</v>
      </c>
      <c r="I10" s="169"/>
      <c r="J10" s="169">
        <v>89175</v>
      </c>
      <c r="K10" s="169"/>
      <c r="L10" s="169"/>
      <c r="M10" s="169"/>
      <c r="N10" s="169">
        <v>189000</v>
      </c>
      <c r="O10" s="169"/>
      <c r="P10" s="169">
        <v>228960</v>
      </c>
      <c r="Q10" s="169"/>
      <c r="R10" s="169">
        <v>369662</v>
      </c>
      <c r="S10" s="169"/>
      <c r="T10" s="169">
        <v>48382</v>
      </c>
      <c r="U10" s="169"/>
      <c r="V10" s="169">
        <v>87625</v>
      </c>
      <c r="W10" s="169"/>
      <c r="X10" s="169">
        <v>601000</v>
      </c>
      <c r="Y10" s="169"/>
      <c r="Z10" s="169">
        <v>30273</v>
      </c>
      <c r="AA10" s="169"/>
      <c r="AB10" s="169"/>
      <c r="AC10" s="169"/>
      <c r="AD10" s="169"/>
      <c r="AE10" s="169"/>
      <c r="AF10" s="169">
        <v>29550</v>
      </c>
      <c r="AG10" s="169"/>
      <c r="AH10" s="169">
        <v>1994500</v>
      </c>
      <c r="AI10" s="169">
        <v>4090000</v>
      </c>
      <c r="AJ10" s="169">
        <v>4848738</v>
      </c>
      <c r="AK10" s="169">
        <v>4090000</v>
      </c>
      <c r="AM10" s="47" t="str">
        <f t="shared" si="0"/>
        <v>Caisse</v>
      </c>
      <c r="AN10" s="49">
        <f t="shared" si="1"/>
        <v>4090000</v>
      </c>
      <c r="AO10" s="49">
        <f t="shared" si="2"/>
        <v>1994500</v>
      </c>
      <c r="AP10" s="49">
        <f t="shared" si="3"/>
        <v>2854238</v>
      </c>
      <c r="AQ10" s="49">
        <v>0</v>
      </c>
    </row>
    <row r="11" spans="1:43">
      <c r="A11" s="2" t="s">
        <v>49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>
        <v>151475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>
        <v>63400</v>
      </c>
      <c r="AC11" s="169"/>
      <c r="AD11" s="169"/>
      <c r="AE11" s="169"/>
      <c r="AF11" s="169">
        <v>12000</v>
      </c>
      <c r="AG11" s="169"/>
      <c r="AH11" s="169">
        <v>70000</v>
      </c>
      <c r="AI11" s="169">
        <v>286000</v>
      </c>
      <c r="AJ11" s="169">
        <v>296875</v>
      </c>
      <c r="AK11" s="169">
        <v>286000</v>
      </c>
      <c r="AM11" s="47" t="str">
        <f t="shared" si="0"/>
        <v>Crépin</v>
      </c>
      <c r="AN11" s="49">
        <f t="shared" si="1"/>
        <v>286000</v>
      </c>
      <c r="AO11" s="49">
        <f t="shared" si="2"/>
        <v>70000</v>
      </c>
      <c r="AP11" s="49">
        <f t="shared" si="3"/>
        <v>226875</v>
      </c>
      <c r="AQ11" s="49">
        <v>0</v>
      </c>
    </row>
    <row r="12" spans="1:43">
      <c r="A12" s="2" t="s">
        <v>32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>
        <v>72500</v>
      </c>
      <c r="AC12" s="169"/>
      <c r="AD12" s="169"/>
      <c r="AE12" s="169"/>
      <c r="AF12" s="169">
        <v>500</v>
      </c>
      <c r="AG12" s="169"/>
      <c r="AH12" s="169"/>
      <c r="AI12" s="169">
        <v>70500</v>
      </c>
      <c r="AJ12" s="169">
        <v>73000</v>
      </c>
      <c r="AK12" s="169">
        <v>70500</v>
      </c>
      <c r="AM12" s="47" t="str">
        <f t="shared" si="0"/>
        <v>Evariste</v>
      </c>
      <c r="AN12" s="49">
        <f t="shared" si="1"/>
        <v>70500</v>
      </c>
      <c r="AO12" s="49">
        <f t="shared" si="2"/>
        <v>0</v>
      </c>
      <c r="AP12" s="49">
        <f t="shared" si="3"/>
        <v>73000</v>
      </c>
      <c r="AQ12" s="49">
        <v>0</v>
      </c>
    </row>
    <row r="13" spans="1:43">
      <c r="A13" s="2" t="s">
        <v>157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>
        <v>1000</v>
      </c>
      <c r="M13" s="169"/>
      <c r="N13" s="169"/>
      <c r="O13" s="169"/>
      <c r="P13" s="169">
        <v>12050</v>
      </c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>
        <v>34500</v>
      </c>
      <c r="AC13" s="169"/>
      <c r="AD13" s="169">
        <v>5000</v>
      </c>
      <c r="AE13" s="169"/>
      <c r="AF13" s="169"/>
      <c r="AG13" s="169"/>
      <c r="AH13" s="169"/>
      <c r="AI13" s="169">
        <v>43000</v>
      </c>
      <c r="AJ13" s="169">
        <v>52550</v>
      </c>
      <c r="AK13" s="169">
        <v>43000</v>
      </c>
      <c r="AM13" s="47" t="str">
        <f t="shared" si="0"/>
        <v>Godfré</v>
      </c>
      <c r="AN13" s="49">
        <f t="shared" si="1"/>
        <v>43000</v>
      </c>
      <c r="AO13" s="49">
        <f t="shared" si="2"/>
        <v>0</v>
      </c>
      <c r="AP13" s="49">
        <f t="shared" si="3"/>
        <v>52550</v>
      </c>
      <c r="AQ13" s="49">
        <v>0</v>
      </c>
    </row>
    <row r="14" spans="1:43">
      <c r="A14" s="2" t="s">
        <v>156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>
        <v>39900</v>
      </c>
      <c r="AC14" s="169"/>
      <c r="AD14" s="169"/>
      <c r="AE14" s="169"/>
      <c r="AF14" s="169">
        <v>6000</v>
      </c>
      <c r="AG14" s="169"/>
      <c r="AH14" s="169">
        <v>20000</v>
      </c>
      <c r="AI14" s="169">
        <v>53000</v>
      </c>
      <c r="AJ14" s="169">
        <v>65900</v>
      </c>
      <c r="AK14" s="169">
        <v>53000</v>
      </c>
      <c r="AM14" s="47" t="str">
        <f t="shared" si="0"/>
        <v>Grace</v>
      </c>
      <c r="AN14" s="49">
        <f t="shared" si="1"/>
        <v>53000</v>
      </c>
      <c r="AO14" s="49">
        <f t="shared" si="2"/>
        <v>20000</v>
      </c>
      <c r="AP14" s="49">
        <f t="shared" si="3"/>
        <v>45900</v>
      </c>
      <c r="AQ14" s="49">
        <v>0</v>
      </c>
    </row>
    <row r="15" spans="1:43">
      <c r="A15" s="2" t="s">
        <v>50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>
        <v>159500</v>
      </c>
      <c r="AC15" s="169"/>
      <c r="AD15" s="169">
        <v>275000</v>
      </c>
      <c r="AE15" s="169"/>
      <c r="AF15" s="169">
        <v>57500</v>
      </c>
      <c r="AG15" s="169"/>
      <c r="AH15" s="169"/>
      <c r="AI15" s="169">
        <v>488000</v>
      </c>
      <c r="AJ15" s="169">
        <v>492000</v>
      </c>
      <c r="AK15" s="169">
        <v>488000</v>
      </c>
      <c r="AM15" s="47" t="str">
        <f t="shared" si="0"/>
        <v>i23c</v>
      </c>
      <c r="AN15" s="49">
        <f t="shared" si="1"/>
        <v>488000</v>
      </c>
      <c r="AO15" s="49">
        <f t="shared" si="2"/>
        <v>0</v>
      </c>
      <c r="AP15" s="49">
        <f t="shared" si="3"/>
        <v>492000</v>
      </c>
      <c r="AQ15" s="49">
        <v>0</v>
      </c>
    </row>
    <row r="16" spans="1:43">
      <c r="A16" s="2" t="s">
        <v>95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>
        <v>24000</v>
      </c>
      <c r="AC16" s="169"/>
      <c r="AD16" s="169"/>
      <c r="AE16" s="169"/>
      <c r="AF16" s="169"/>
      <c r="AG16" s="169"/>
      <c r="AH16" s="169"/>
      <c r="AI16" s="169">
        <v>20000</v>
      </c>
      <c r="AJ16" s="169">
        <v>24000</v>
      </c>
      <c r="AK16" s="169">
        <v>20000</v>
      </c>
      <c r="AM16" s="47" t="str">
        <f t="shared" si="0"/>
        <v>Merveille</v>
      </c>
      <c r="AN16" s="49">
        <f t="shared" si="1"/>
        <v>20000</v>
      </c>
      <c r="AO16" s="49">
        <f t="shared" si="2"/>
        <v>0</v>
      </c>
      <c r="AP16" s="49">
        <f t="shared" si="3"/>
        <v>24000</v>
      </c>
      <c r="AQ16" s="49">
        <v>0</v>
      </c>
    </row>
    <row r="17" spans="1:43">
      <c r="A17" s="2" t="s">
        <v>30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>
        <v>150500</v>
      </c>
      <c r="AC17" s="169"/>
      <c r="AD17" s="169">
        <v>275000</v>
      </c>
      <c r="AE17" s="169"/>
      <c r="AF17" s="169">
        <v>108000</v>
      </c>
      <c r="AG17" s="169"/>
      <c r="AH17" s="169"/>
      <c r="AI17" s="169">
        <v>543000</v>
      </c>
      <c r="AJ17" s="169">
        <v>533500</v>
      </c>
      <c r="AK17" s="169">
        <v>543000</v>
      </c>
      <c r="AM17" s="47" t="str">
        <f t="shared" si="0"/>
        <v>P29</v>
      </c>
      <c r="AN17" s="49">
        <f t="shared" si="1"/>
        <v>543000</v>
      </c>
      <c r="AO17" s="49">
        <f t="shared" si="2"/>
        <v>0</v>
      </c>
      <c r="AP17" s="49">
        <f t="shared" si="3"/>
        <v>533500</v>
      </c>
      <c r="AQ17" s="49">
        <v>0</v>
      </c>
    </row>
    <row r="18" spans="1:43">
      <c r="A18" s="2" t="s">
        <v>115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>
        <v>51000</v>
      </c>
      <c r="AC18" s="169"/>
      <c r="AD18" s="169"/>
      <c r="AE18" s="169"/>
      <c r="AF18" s="169">
        <v>2000</v>
      </c>
      <c r="AG18" s="169"/>
      <c r="AH18" s="169"/>
      <c r="AI18" s="169">
        <v>36000</v>
      </c>
      <c r="AJ18" s="169">
        <v>53000</v>
      </c>
      <c r="AK18" s="169">
        <v>36000</v>
      </c>
      <c r="AM18" s="47" t="str">
        <f t="shared" si="0"/>
        <v>Tiffany</v>
      </c>
      <c r="AN18" s="49">
        <f t="shared" si="1"/>
        <v>36000</v>
      </c>
      <c r="AO18" s="49">
        <f t="shared" si="2"/>
        <v>0</v>
      </c>
      <c r="AP18" s="49">
        <f t="shared" si="3"/>
        <v>53000</v>
      </c>
      <c r="AQ18" s="49">
        <v>0</v>
      </c>
    </row>
    <row r="19" spans="1:43">
      <c r="A19" s="2" t="s">
        <v>131</v>
      </c>
      <c r="B19" s="169">
        <v>38046</v>
      </c>
      <c r="C19" s="169"/>
      <c r="D19" s="169">
        <v>794751</v>
      </c>
      <c r="E19" s="169"/>
      <c r="F19" s="169">
        <v>307860</v>
      </c>
      <c r="G19" s="169"/>
      <c r="H19" s="169">
        <v>78000</v>
      </c>
      <c r="I19" s="169"/>
      <c r="J19" s="169">
        <v>89175</v>
      </c>
      <c r="K19" s="169"/>
      <c r="L19" s="169">
        <v>160475</v>
      </c>
      <c r="M19" s="169"/>
      <c r="N19" s="169">
        <v>639000</v>
      </c>
      <c r="O19" s="169"/>
      <c r="P19" s="169">
        <v>241460</v>
      </c>
      <c r="Q19" s="169"/>
      <c r="R19" s="169">
        <v>3925594</v>
      </c>
      <c r="S19" s="169"/>
      <c r="T19" s="169">
        <v>48382</v>
      </c>
      <c r="U19" s="169"/>
      <c r="V19" s="169">
        <v>87625</v>
      </c>
      <c r="W19" s="169"/>
      <c r="X19" s="169">
        <v>601000</v>
      </c>
      <c r="Y19" s="169"/>
      <c r="Z19" s="169">
        <v>30273</v>
      </c>
      <c r="AA19" s="169"/>
      <c r="AB19" s="169">
        <v>833000</v>
      </c>
      <c r="AC19" s="169"/>
      <c r="AD19" s="169">
        <v>712000</v>
      </c>
      <c r="AE19" s="169"/>
      <c r="AF19" s="169">
        <v>241050</v>
      </c>
      <c r="AG19" s="169"/>
      <c r="AH19" s="169">
        <v>6084500</v>
      </c>
      <c r="AI19" s="169">
        <v>6084500</v>
      </c>
      <c r="AJ19" s="169">
        <v>14912191</v>
      </c>
      <c r="AK19" s="169">
        <v>6084500</v>
      </c>
      <c r="AM19" s="179"/>
      <c r="AN19" s="49">
        <f>SUM(AN6:AN18)</f>
        <v>6084500</v>
      </c>
      <c r="AO19" s="49">
        <f t="shared" ref="AO19:AQ19" si="4">SUM(AO6:AO18)</f>
        <v>6084500</v>
      </c>
      <c r="AP19" s="49">
        <f>SUM(AP6:AP18)</f>
        <v>8827691</v>
      </c>
      <c r="AQ19" s="49">
        <f t="shared" si="4"/>
        <v>0</v>
      </c>
    </row>
    <row r="21" spans="1:43">
      <c r="AO21" s="3">
        <f>AO19-AN19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7030A0"/>
  </sheetPr>
  <dimension ref="A1:O316"/>
  <sheetViews>
    <sheetView tabSelected="1" zoomScale="71" zoomScaleNormal="71" workbookViewId="0">
      <pane ySplit="11" topLeftCell="A14" activePane="bottomLeft" state="frozen"/>
      <selection pane="bottomLeft" activeCell="J7" sqref="J7"/>
    </sheetView>
  </sheetViews>
  <sheetFormatPr baseColWidth="10" defaultColWidth="11.42578125" defaultRowHeight="15.75"/>
  <cols>
    <col min="1" max="1" width="16.5703125" style="178" customWidth="1"/>
    <col min="2" max="2" width="88" style="178" customWidth="1"/>
    <col min="3" max="3" width="21.28515625" style="178" customWidth="1"/>
    <col min="4" max="4" width="16.42578125" style="178" customWidth="1"/>
    <col min="5" max="5" width="12.28515625" style="197" customWidth="1"/>
    <col min="6" max="6" width="14.140625" style="197" customWidth="1"/>
    <col min="7" max="7" width="16.7109375" style="198" customWidth="1"/>
    <col min="8" max="8" width="17.7109375" style="178" customWidth="1"/>
    <col min="9" max="9" width="12.5703125" style="184" customWidth="1"/>
    <col min="10" max="10" width="13.42578125" style="184" customWidth="1"/>
    <col min="11" max="11" width="12" style="178" customWidth="1"/>
    <col min="12" max="12" width="9.5703125" style="178" customWidth="1"/>
    <col min="13" max="13" width="18.140625" style="178" customWidth="1"/>
    <col min="14" max="14" width="16.28515625" style="178" customWidth="1"/>
    <col min="15" max="15" width="12" style="178" customWidth="1"/>
    <col min="16" max="16384" width="11.42578125" style="178"/>
  </cols>
  <sheetData>
    <row r="1" spans="1:15" s="194" customFormat="1" ht="26.25" customHeight="1">
      <c r="A1" s="269" t="s">
        <v>175</v>
      </c>
      <c r="B1" s="269"/>
      <c r="C1" s="269"/>
      <c r="D1" s="269"/>
      <c r="E1" s="269"/>
      <c r="F1" s="270"/>
      <c r="G1" s="269"/>
      <c r="H1" s="269"/>
      <c r="I1" s="271"/>
      <c r="J1" s="269"/>
      <c r="K1" s="269"/>
      <c r="L1" s="269"/>
      <c r="M1" s="269"/>
      <c r="N1" s="269"/>
      <c r="O1" s="269"/>
    </row>
    <row r="2" spans="1:15">
      <c r="B2" s="195" t="s">
        <v>146</v>
      </c>
      <c r="C2" s="196">
        <v>32194988</v>
      </c>
    </row>
    <row r="4" spans="1:15">
      <c r="B4" s="199" t="s">
        <v>7</v>
      </c>
      <c r="C4" s="199" t="s">
        <v>8</v>
      </c>
    </row>
    <row r="5" spans="1:15">
      <c r="B5" s="178" t="s">
        <v>9</v>
      </c>
      <c r="C5" s="200">
        <f>SUM(E13:E1147)</f>
        <v>6084500</v>
      </c>
      <c r="E5" s="197" t="s">
        <v>102</v>
      </c>
      <c r="H5" s="200"/>
    </row>
    <row r="6" spans="1:15">
      <c r="B6" s="178" t="s">
        <v>10</v>
      </c>
      <c r="C6" s="200">
        <f>SUM(F13:F1148)</f>
        <v>14912191</v>
      </c>
      <c r="E6" s="272">
        <f>+C7-Récapitulatif!I18</f>
        <v>0</v>
      </c>
      <c r="J6" s="229"/>
      <c r="K6" s="193"/>
    </row>
    <row r="7" spans="1:15">
      <c r="B7" s="178" t="s">
        <v>11</v>
      </c>
      <c r="C7" s="200">
        <f>C2+C5-C6</f>
        <v>23367297</v>
      </c>
      <c r="D7" s="201">
        <f>C7-Récapitulatif!I18</f>
        <v>0</v>
      </c>
      <c r="K7" s="193"/>
    </row>
    <row r="9" spans="1:15">
      <c r="B9" s="190"/>
    </row>
    <row r="11" spans="1:15">
      <c r="A11" s="204" t="s">
        <v>0</v>
      </c>
      <c r="B11" s="205" t="s">
        <v>12</v>
      </c>
      <c r="C11" s="205" t="s">
        <v>13</v>
      </c>
      <c r="D11" s="205" t="s">
        <v>14</v>
      </c>
      <c r="E11" s="206" t="s">
        <v>15</v>
      </c>
      <c r="F11" s="233" t="s">
        <v>16</v>
      </c>
      <c r="G11" s="207" t="s">
        <v>17</v>
      </c>
      <c r="H11" s="205" t="s">
        <v>18</v>
      </c>
      <c r="I11" s="208" t="s">
        <v>19</v>
      </c>
      <c r="J11" s="208" t="s">
        <v>20</v>
      </c>
      <c r="K11" s="205" t="s">
        <v>21</v>
      </c>
      <c r="L11" s="205" t="s">
        <v>22</v>
      </c>
      <c r="M11" s="205" t="s">
        <v>83</v>
      </c>
      <c r="N11" s="205" t="s">
        <v>24</v>
      </c>
      <c r="O11" s="205" t="s">
        <v>23</v>
      </c>
    </row>
    <row r="12" spans="1:15" ht="15.75" hidden="1" customHeight="1">
      <c r="A12" s="191">
        <v>44501</v>
      </c>
      <c r="B12" s="178" t="s">
        <v>183</v>
      </c>
      <c r="E12" s="202"/>
      <c r="F12" s="192"/>
      <c r="G12" s="198">
        <f>+C2</f>
        <v>32194988</v>
      </c>
    </row>
    <row r="13" spans="1:15" ht="15" hidden="1" customHeight="1">
      <c r="A13" s="191">
        <v>44502</v>
      </c>
      <c r="B13" s="178" t="s">
        <v>184</v>
      </c>
      <c r="C13" s="178" t="s">
        <v>77</v>
      </c>
      <c r="E13" s="202"/>
      <c r="F13" s="222">
        <v>18000</v>
      </c>
      <c r="G13" s="202">
        <f t="shared" ref="G13:G15" si="0">+G12+E13-F13</f>
        <v>32176988</v>
      </c>
      <c r="H13" s="178" t="s">
        <v>26</v>
      </c>
      <c r="I13" s="178"/>
      <c r="N13" s="177"/>
    </row>
    <row r="14" spans="1:15" ht="15" customHeight="1">
      <c r="A14" s="191">
        <v>44502</v>
      </c>
      <c r="B14" s="178" t="s">
        <v>185</v>
      </c>
      <c r="C14" s="178" t="s">
        <v>173</v>
      </c>
      <c r="D14" s="178" t="s">
        <v>3</v>
      </c>
      <c r="E14" s="202"/>
      <c r="F14" s="222">
        <v>52000</v>
      </c>
      <c r="G14" s="202">
        <f t="shared" si="0"/>
        <v>32124988</v>
      </c>
      <c r="H14" s="178" t="s">
        <v>26</v>
      </c>
      <c r="I14" s="184" t="s">
        <v>206</v>
      </c>
      <c r="J14" s="184" t="s">
        <v>104</v>
      </c>
      <c r="K14" s="178" t="s">
        <v>325</v>
      </c>
      <c r="L14" s="178" t="s">
        <v>281</v>
      </c>
      <c r="M14" s="178" t="s">
        <v>355</v>
      </c>
      <c r="N14" s="177" t="s">
        <v>333</v>
      </c>
    </row>
    <row r="15" spans="1:15" ht="15" customHeight="1">
      <c r="A15" s="191">
        <v>44502</v>
      </c>
      <c r="B15" s="178" t="s">
        <v>186</v>
      </c>
      <c r="C15" s="178" t="s">
        <v>173</v>
      </c>
      <c r="D15" s="178" t="s">
        <v>169</v>
      </c>
      <c r="E15" s="202"/>
      <c r="F15" s="222">
        <v>16000</v>
      </c>
      <c r="G15" s="202">
        <f t="shared" si="0"/>
        <v>32108988</v>
      </c>
      <c r="H15" s="178" t="s">
        <v>26</v>
      </c>
      <c r="I15" s="184" t="s">
        <v>206</v>
      </c>
      <c r="J15" s="184" t="s">
        <v>104</v>
      </c>
      <c r="K15" s="178" t="s">
        <v>325</v>
      </c>
      <c r="L15" s="178" t="s">
        <v>281</v>
      </c>
      <c r="M15" s="178" t="s">
        <v>356</v>
      </c>
      <c r="N15" s="177" t="s">
        <v>333</v>
      </c>
    </row>
    <row r="16" spans="1:15" ht="15" customHeight="1">
      <c r="A16" s="191">
        <v>44502</v>
      </c>
      <c r="B16" s="178" t="s">
        <v>187</v>
      </c>
      <c r="C16" s="178" t="s">
        <v>173</v>
      </c>
      <c r="D16" s="178" t="s">
        <v>169</v>
      </c>
      <c r="E16" s="202"/>
      <c r="F16" s="222">
        <v>42000</v>
      </c>
      <c r="G16" s="202">
        <f t="shared" ref="G16:G79" si="1">+G15+E16-F16</f>
        <v>32066988</v>
      </c>
      <c r="H16" s="178" t="s">
        <v>26</v>
      </c>
      <c r="I16" s="178" t="s">
        <v>206</v>
      </c>
      <c r="J16" s="184" t="s">
        <v>172</v>
      </c>
      <c r="K16" s="178" t="s">
        <v>324</v>
      </c>
      <c r="L16" s="178" t="s">
        <v>281</v>
      </c>
      <c r="N16" s="177"/>
    </row>
    <row r="17" spans="1:14" ht="15" customHeight="1">
      <c r="A17" s="191">
        <v>44502</v>
      </c>
      <c r="B17" s="178" t="s">
        <v>188</v>
      </c>
      <c r="C17" s="178" t="s">
        <v>173</v>
      </c>
      <c r="D17" s="178" t="s">
        <v>5</v>
      </c>
      <c r="E17" s="202"/>
      <c r="F17" s="222">
        <v>20000</v>
      </c>
      <c r="G17" s="202">
        <f t="shared" si="1"/>
        <v>32046988</v>
      </c>
      <c r="H17" s="178" t="s">
        <v>26</v>
      </c>
      <c r="I17" s="184" t="s">
        <v>206</v>
      </c>
      <c r="J17" s="184" t="s">
        <v>104</v>
      </c>
      <c r="K17" s="178" t="s">
        <v>325</v>
      </c>
      <c r="L17" s="178" t="s">
        <v>281</v>
      </c>
      <c r="M17" s="178" t="s">
        <v>357</v>
      </c>
      <c r="N17" s="177" t="s">
        <v>333</v>
      </c>
    </row>
    <row r="18" spans="1:14" ht="15" customHeight="1">
      <c r="A18" s="191">
        <v>44502</v>
      </c>
      <c r="B18" s="178" t="s">
        <v>189</v>
      </c>
      <c r="C18" s="178" t="s">
        <v>173</v>
      </c>
      <c r="D18" s="178" t="s">
        <v>5</v>
      </c>
      <c r="E18" s="202"/>
      <c r="F18" s="222">
        <v>26000</v>
      </c>
      <c r="G18" s="202">
        <f t="shared" si="1"/>
        <v>32020988</v>
      </c>
      <c r="H18" s="178" t="s">
        <v>26</v>
      </c>
      <c r="I18" s="178" t="s">
        <v>206</v>
      </c>
      <c r="J18" s="184" t="s">
        <v>172</v>
      </c>
      <c r="K18" s="178" t="s">
        <v>324</v>
      </c>
      <c r="L18" s="178" t="s">
        <v>281</v>
      </c>
      <c r="N18" s="177"/>
    </row>
    <row r="19" spans="1:14" ht="15" customHeight="1">
      <c r="A19" s="191">
        <v>44502</v>
      </c>
      <c r="B19" s="178" t="s">
        <v>190</v>
      </c>
      <c r="C19" s="178" t="s">
        <v>173</v>
      </c>
      <c r="D19" s="178" t="s">
        <v>171</v>
      </c>
      <c r="E19" s="202"/>
      <c r="F19" s="222">
        <v>5000</v>
      </c>
      <c r="G19" s="202">
        <f t="shared" si="1"/>
        <v>32015988</v>
      </c>
      <c r="H19" s="178" t="s">
        <v>26</v>
      </c>
      <c r="I19" s="184" t="s">
        <v>206</v>
      </c>
      <c r="J19" s="184" t="s">
        <v>104</v>
      </c>
      <c r="K19" s="178" t="s">
        <v>325</v>
      </c>
      <c r="L19" s="178" t="s">
        <v>281</v>
      </c>
      <c r="M19" s="178" t="s">
        <v>358</v>
      </c>
      <c r="N19" s="177" t="s">
        <v>333</v>
      </c>
    </row>
    <row r="20" spans="1:14" ht="15" customHeight="1">
      <c r="A20" s="191">
        <v>44502</v>
      </c>
      <c r="B20" s="178" t="s">
        <v>191</v>
      </c>
      <c r="C20" s="178" t="s">
        <v>173</v>
      </c>
      <c r="D20" s="178" t="s">
        <v>3</v>
      </c>
      <c r="E20" s="202"/>
      <c r="F20" s="222">
        <v>32000</v>
      </c>
      <c r="G20" s="202">
        <f t="shared" si="1"/>
        <v>31983988</v>
      </c>
      <c r="H20" s="178" t="s">
        <v>26</v>
      </c>
      <c r="I20" s="184" t="s">
        <v>206</v>
      </c>
      <c r="J20" s="184" t="s">
        <v>104</v>
      </c>
      <c r="K20" s="178" t="s">
        <v>325</v>
      </c>
      <c r="L20" s="178" t="s">
        <v>281</v>
      </c>
      <c r="M20" s="178" t="s">
        <v>359</v>
      </c>
      <c r="N20" s="177" t="s">
        <v>333</v>
      </c>
    </row>
    <row r="21" spans="1:14" ht="15" customHeight="1">
      <c r="A21" s="191">
        <v>44502</v>
      </c>
      <c r="B21" s="178" t="s">
        <v>192</v>
      </c>
      <c r="C21" s="178" t="s">
        <v>173</v>
      </c>
      <c r="D21" s="178" t="s">
        <v>5</v>
      </c>
      <c r="E21" s="202"/>
      <c r="F21" s="222">
        <v>32000</v>
      </c>
      <c r="G21" s="202">
        <f t="shared" si="1"/>
        <v>31951988</v>
      </c>
      <c r="H21" s="178" t="s">
        <v>26</v>
      </c>
      <c r="I21" s="184" t="s">
        <v>206</v>
      </c>
      <c r="J21" s="184" t="s">
        <v>104</v>
      </c>
      <c r="K21" s="178" t="s">
        <v>325</v>
      </c>
      <c r="L21" s="178" t="s">
        <v>281</v>
      </c>
      <c r="M21" s="178" t="s">
        <v>360</v>
      </c>
      <c r="N21" s="177" t="s">
        <v>333</v>
      </c>
    </row>
    <row r="22" spans="1:14" ht="15" customHeight="1">
      <c r="A22" s="191">
        <v>44502</v>
      </c>
      <c r="B22" s="178" t="s">
        <v>193</v>
      </c>
      <c r="C22" s="178" t="s">
        <v>173</v>
      </c>
      <c r="D22" s="178" t="s">
        <v>169</v>
      </c>
      <c r="E22" s="202"/>
      <c r="F22" s="222">
        <v>5000</v>
      </c>
      <c r="G22" s="202">
        <f t="shared" si="1"/>
        <v>31946988</v>
      </c>
      <c r="H22" s="178" t="s">
        <v>26</v>
      </c>
      <c r="I22" s="184" t="s">
        <v>206</v>
      </c>
      <c r="J22" s="184" t="s">
        <v>104</v>
      </c>
      <c r="K22" s="178" t="s">
        <v>325</v>
      </c>
      <c r="L22" s="178" t="s">
        <v>281</v>
      </c>
      <c r="M22" s="178" t="s">
        <v>361</v>
      </c>
      <c r="N22" s="177" t="s">
        <v>333</v>
      </c>
    </row>
    <row r="23" spans="1:14" ht="15" customHeight="1">
      <c r="A23" s="191">
        <v>44502</v>
      </c>
      <c r="B23" s="178" t="s">
        <v>194</v>
      </c>
      <c r="C23" s="178" t="s">
        <v>173</v>
      </c>
      <c r="D23" s="178" t="s">
        <v>171</v>
      </c>
      <c r="E23" s="202"/>
      <c r="F23" s="222">
        <v>11000</v>
      </c>
      <c r="G23" s="202">
        <f t="shared" si="1"/>
        <v>31935988</v>
      </c>
      <c r="H23" s="178" t="s">
        <v>26</v>
      </c>
      <c r="I23" s="184" t="s">
        <v>206</v>
      </c>
      <c r="J23" s="184" t="s">
        <v>104</v>
      </c>
      <c r="K23" s="178" t="s">
        <v>325</v>
      </c>
      <c r="L23" s="178" t="s">
        <v>281</v>
      </c>
      <c r="M23" s="178" t="s">
        <v>362</v>
      </c>
      <c r="N23" s="177" t="s">
        <v>333</v>
      </c>
    </row>
    <row r="24" spans="1:14" ht="15" customHeight="1">
      <c r="A24" s="218">
        <v>44502</v>
      </c>
      <c r="B24" s="184" t="s">
        <v>450</v>
      </c>
      <c r="C24" s="178" t="s">
        <v>262</v>
      </c>
      <c r="D24" s="178" t="s">
        <v>263</v>
      </c>
      <c r="E24" s="200"/>
      <c r="F24" s="222">
        <v>14701</v>
      </c>
      <c r="G24" s="202">
        <f t="shared" si="1"/>
        <v>31921287</v>
      </c>
      <c r="H24" s="178" t="s">
        <v>163</v>
      </c>
      <c r="I24" s="184" t="s">
        <v>261</v>
      </c>
      <c r="J24" s="221" t="s">
        <v>104</v>
      </c>
      <c r="K24" s="178" t="s">
        <v>325</v>
      </c>
      <c r="L24" s="178" t="s">
        <v>281</v>
      </c>
      <c r="M24" s="178" t="s">
        <v>363</v>
      </c>
      <c r="N24" s="177" t="s">
        <v>326</v>
      </c>
    </row>
    <row r="25" spans="1:14" ht="15" hidden="1" customHeight="1">
      <c r="A25" s="191">
        <v>44502</v>
      </c>
      <c r="B25" s="178" t="s">
        <v>298</v>
      </c>
      <c r="C25" s="178" t="s">
        <v>77</v>
      </c>
      <c r="D25" s="213"/>
      <c r="E25" s="178">
        <v>18000</v>
      </c>
      <c r="F25" s="224"/>
      <c r="G25" s="202">
        <f t="shared" si="1"/>
        <v>31939287</v>
      </c>
      <c r="H25" s="178" t="s">
        <v>50</v>
      </c>
      <c r="I25" s="178"/>
      <c r="N25" s="177"/>
    </row>
    <row r="26" spans="1:14" ht="15" hidden="1" customHeight="1">
      <c r="A26" s="191">
        <v>44503</v>
      </c>
      <c r="B26" s="178" t="s">
        <v>195</v>
      </c>
      <c r="C26" s="178" t="s">
        <v>77</v>
      </c>
      <c r="E26" s="202"/>
      <c r="F26" s="222">
        <v>10000</v>
      </c>
      <c r="G26" s="202">
        <f t="shared" si="1"/>
        <v>31929287</v>
      </c>
      <c r="H26" s="178" t="s">
        <v>26</v>
      </c>
      <c r="I26" s="178"/>
      <c r="N26" s="177"/>
    </row>
    <row r="27" spans="1:14" ht="15" hidden="1" customHeight="1">
      <c r="A27" s="191">
        <v>44503</v>
      </c>
      <c r="B27" s="178" t="s">
        <v>156</v>
      </c>
      <c r="C27" s="178" t="s">
        <v>77</v>
      </c>
      <c r="E27" s="202"/>
      <c r="F27" s="222">
        <v>2000</v>
      </c>
      <c r="G27" s="202">
        <f t="shared" si="1"/>
        <v>31927287</v>
      </c>
      <c r="H27" s="178" t="s">
        <v>26</v>
      </c>
      <c r="I27" s="178"/>
      <c r="N27" s="177"/>
    </row>
    <row r="28" spans="1:14" ht="15" hidden="1" customHeight="1">
      <c r="A28" s="219">
        <v>44503</v>
      </c>
      <c r="B28" s="185" t="s">
        <v>287</v>
      </c>
      <c r="C28" s="178" t="s">
        <v>77</v>
      </c>
      <c r="D28" s="185"/>
      <c r="E28" s="210">
        <v>2000</v>
      </c>
      <c r="F28" s="223"/>
      <c r="G28" s="202">
        <f t="shared" si="1"/>
        <v>31929287</v>
      </c>
      <c r="H28" s="212" t="s">
        <v>156</v>
      </c>
      <c r="I28" s="178"/>
      <c r="K28" s="184"/>
      <c r="N28" s="177"/>
    </row>
    <row r="29" spans="1:14" ht="15" hidden="1" customHeight="1">
      <c r="A29" s="219">
        <v>44503</v>
      </c>
      <c r="B29" s="185" t="s">
        <v>287</v>
      </c>
      <c r="C29" s="178" t="s">
        <v>77</v>
      </c>
      <c r="D29" s="185"/>
      <c r="E29" s="210">
        <v>10000</v>
      </c>
      <c r="F29" s="223"/>
      <c r="G29" s="202">
        <f t="shared" si="1"/>
        <v>31939287</v>
      </c>
      <c r="H29" s="211" t="s">
        <v>157</v>
      </c>
      <c r="I29" s="185"/>
      <c r="J29" s="221"/>
      <c r="N29" s="177"/>
    </row>
    <row r="30" spans="1:14" ht="15" hidden="1" customHeight="1">
      <c r="A30" s="191">
        <v>44504</v>
      </c>
      <c r="B30" s="178" t="s">
        <v>30</v>
      </c>
      <c r="C30" s="178" t="s">
        <v>77</v>
      </c>
      <c r="E30" s="202"/>
      <c r="F30" s="222">
        <v>180000</v>
      </c>
      <c r="G30" s="202">
        <f t="shared" si="1"/>
        <v>31759287</v>
      </c>
      <c r="H30" s="178" t="s">
        <v>26</v>
      </c>
      <c r="I30" s="178"/>
      <c r="N30" s="177"/>
    </row>
    <row r="31" spans="1:14" ht="15" hidden="1" customHeight="1">
      <c r="A31" s="191">
        <v>44504</v>
      </c>
      <c r="B31" s="178" t="s">
        <v>184</v>
      </c>
      <c r="C31" s="178" t="s">
        <v>77</v>
      </c>
      <c r="E31" s="202"/>
      <c r="F31" s="222">
        <v>142000</v>
      </c>
      <c r="G31" s="202">
        <f t="shared" si="1"/>
        <v>31617287</v>
      </c>
      <c r="H31" s="178" t="s">
        <v>26</v>
      </c>
      <c r="I31" s="178"/>
      <c r="N31" s="177"/>
    </row>
    <row r="32" spans="1:14" ht="15" hidden="1" customHeight="1">
      <c r="A32" s="191">
        <v>44504</v>
      </c>
      <c r="B32" s="178" t="s">
        <v>184</v>
      </c>
      <c r="C32" s="178" t="s">
        <v>77</v>
      </c>
      <c r="E32" s="202"/>
      <c r="F32" s="222">
        <v>4000</v>
      </c>
      <c r="G32" s="202">
        <f t="shared" si="1"/>
        <v>31613287</v>
      </c>
      <c r="H32" s="178" t="s">
        <v>26</v>
      </c>
      <c r="I32" s="178"/>
      <c r="N32" s="177"/>
    </row>
    <row r="33" spans="1:15" ht="15" customHeight="1">
      <c r="A33" s="191">
        <v>44504</v>
      </c>
      <c r="B33" s="178" t="s">
        <v>196</v>
      </c>
      <c r="C33" s="178" t="s">
        <v>36</v>
      </c>
      <c r="D33" s="178" t="s">
        <v>263</v>
      </c>
      <c r="E33" s="202"/>
      <c r="F33" s="222">
        <v>36750</v>
      </c>
      <c r="G33" s="202">
        <f t="shared" si="1"/>
        <v>31576537</v>
      </c>
      <c r="H33" s="178" t="s">
        <v>26</v>
      </c>
      <c r="I33" s="184" t="s">
        <v>206</v>
      </c>
      <c r="J33" s="184" t="s">
        <v>104</v>
      </c>
      <c r="K33" s="178" t="s">
        <v>325</v>
      </c>
      <c r="L33" s="178" t="s">
        <v>281</v>
      </c>
      <c r="M33" s="178" t="s">
        <v>364</v>
      </c>
      <c r="N33" s="177" t="s">
        <v>332</v>
      </c>
    </row>
    <row r="34" spans="1:15" ht="15.75" hidden="1" customHeight="1">
      <c r="A34" s="191">
        <v>44504</v>
      </c>
      <c r="B34" s="178" t="s">
        <v>168</v>
      </c>
      <c r="C34" s="178" t="s">
        <v>77</v>
      </c>
      <c r="E34" s="202"/>
      <c r="F34" s="222">
        <v>10000</v>
      </c>
      <c r="G34" s="202">
        <f t="shared" si="1"/>
        <v>31566537</v>
      </c>
      <c r="H34" s="178" t="s">
        <v>26</v>
      </c>
      <c r="I34" s="178"/>
      <c r="N34" s="177"/>
    </row>
    <row r="35" spans="1:15" ht="15" customHeight="1">
      <c r="A35" s="218">
        <v>44504</v>
      </c>
      <c r="B35" s="184" t="s">
        <v>269</v>
      </c>
      <c r="C35" s="178" t="s">
        <v>147</v>
      </c>
      <c r="D35" s="178" t="s">
        <v>169</v>
      </c>
      <c r="E35" s="200"/>
      <c r="F35" s="222">
        <v>300000</v>
      </c>
      <c r="G35" s="202">
        <f t="shared" si="1"/>
        <v>31266537</v>
      </c>
      <c r="H35" s="178" t="s">
        <v>163</v>
      </c>
      <c r="I35" s="184">
        <v>3643554</v>
      </c>
      <c r="J35" s="184" t="s">
        <v>104</v>
      </c>
      <c r="K35" s="178" t="s">
        <v>325</v>
      </c>
      <c r="L35" s="178" t="s">
        <v>281</v>
      </c>
      <c r="M35" s="178" t="s">
        <v>365</v>
      </c>
      <c r="N35" s="177" t="s">
        <v>330</v>
      </c>
    </row>
    <row r="36" spans="1:15" ht="15.75" hidden="1" customHeight="1">
      <c r="A36" s="191">
        <v>44504</v>
      </c>
      <c r="B36" s="178" t="s">
        <v>298</v>
      </c>
      <c r="C36" s="178" t="s">
        <v>77</v>
      </c>
      <c r="D36" s="213"/>
      <c r="E36" s="178">
        <v>4000</v>
      </c>
      <c r="F36" s="224"/>
      <c r="G36" s="202">
        <f t="shared" si="1"/>
        <v>31270537</v>
      </c>
      <c r="H36" s="178" t="s">
        <v>50</v>
      </c>
      <c r="I36" s="178"/>
      <c r="J36" s="221"/>
      <c r="M36" s="184"/>
      <c r="N36" s="177"/>
    </row>
    <row r="37" spans="1:15" ht="15.75" hidden="1" customHeight="1">
      <c r="A37" s="191">
        <v>44504</v>
      </c>
      <c r="B37" s="178" t="s">
        <v>298</v>
      </c>
      <c r="C37" s="178" t="s">
        <v>77</v>
      </c>
      <c r="D37" s="213"/>
      <c r="E37" s="178">
        <v>142000</v>
      </c>
      <c r="F37" s="224"/>
      <c r="G37" s="202">
        <f t="shared" si="1"/>
        <v>31412537</v>
      </c>
      <c r="H37" s="178" t="s">
        <v>50</v>
      </c>
      <c r="I37" s="178"/>
      <c r="M37" s="184"/>
      <c r="N37" s="177"/>
    </row>
    <row r="38" spans="1:15" ht="15.75" customHeight="1">
      <c r="A38" s="191">
        <v>44504</v>
      </c>
      <c r="B38" s="178" t="s">
        <v>476</v>
      </c>
      <c r="C38" s="178" t="s">
        <v>35</v>
      </c>
      <c r="D38" s="178" t="s">
        <v>5</v>
      </c>
      <c r="E38" s="178"/>
      <c r="F38" s="224">
        <v>10000</v>
      </c>
      <c r="G38" s="202">
        <f t="shared" si="1"/>
        <v>31402537</v>
      </c>
      <c r="H38" s="178" t="s">
        <v>50</v>
      </c>
      <c r="I38" s="184" t="s">
        <v>206</v>
      </c>
      <c r="J38" s="184" t="s">
        <v>104</v>
      </c>
      <c r="K38" s="184" t="s">
        <v>325</v>
      </c>
      <c r="L38" s="178" t="s">
        <v>281</v>
      </c>
      <c r="M38" s="178" t="s">
        <v>366</v>
      </c>
      <c r="N38" s="177" t="s">
        <v>341</v>
      </c>
    </row>
    <row r="39" spans="1:15" ht="15.75" hidden="1" customHeight="1">
      <c r="A39" s="191">
        <v>44504</v>
      </c>
      <c r="B39" s="178" t="s">
        <v>301</v>
      </c>
      <c r="C39" s="178" t="s">
        <v>77</v>
      </c>
      <c r="E39" s="178">
        <v>180000</v>
      </c>
      <c r="F39" s="225"/>
      <c r="G39" s="202">
        <f t="shared" si="1"/>
        <v>31582537</v>
      </c>
      <c r="H39" s="178" t="s">
        <v>30</v>
      </c>
      <c r="I39" s="178"/>
      <c r="M39" s="184"/>
      <c r="N39" s="177"/>
    </row>
    <row r="40" spans="1:15" ht="15.75" customHeight="1">
      <c r="A40" s="191">
        <v>44504</v>
      </c>
      <c r="B40" s="178" t="s">
        <v>484</v>
      </c>
      <c r="C40" s="178" t="s">
        <v>35</v>
      </c>
      <c r="D40" s="178" t="s">
        <v>5</v>
      </c>
      <c r="E40" s="178"/>
      <c r="F40" s="225">
        <v>15000</v>
      </c>
      <c r="G40" s="202">
        <f t="shared" si="1"/>
        <v>31567537</v>
      </c>
      <c r="H40" s="178" t="s">
        <v>30</v>
      </c>
      <c r="I40" s="184" t="s">
        <v>206</v>
      </c>
      <c r="J40" s="184" t="s">
        <v>104</v>
      </c>
      <c r="K40" s="184" t="s">
        <v>325</v>
      </c>
      <c r="L40" s="178" t="s">
        <v>281</v>
      </c>
      <c r="M40" s="178" t="s">
        <v>367</v>
      </c>
      <c r="N40" s="177" t="s">
        <v>341</v>
      </c>
    </row>
    <row r="41" spans="1:15" ht="15.75" hidden="1" customHeight="1">
      <c r="A41" s="219">
        <v>44504</v>
      </c>
      <c r="B41" s="185" t="s">
        <v>287</v>
      </c>
      <c r="C41" s="178" t="s">
        <v>77</v>
      </c>
      <c r="D41" s="185"/>
      <c r="E41" s="210">
        <v>10000</v>
      </c>
      <c r="F41" s="223"/>
      <c r="G41" s="202">
        <f t="shared" si="1"/>
        <v>31577537</v>
      </c>
      <c r="H41" s="212" t="s">
        <v>168</v>
      </c>
      <c r="I41" s="178"/>
      <c r="J41" s="230"/>
      <c r="K41" s="212"/>
      <c r="N41" s="177"/>
      <c r="O41" s="177"/>
    </row>
    <row r="42" spans="1:15" ht="15.75" customHeight="1">
      <c r="A42" s="191">
        <v>44505</v>
      </c>
      <c r="B42" s="178" t="s">
        <v>451</v>
      </c>
      <c r="C42" s="178" t="s">
        <v>162</v>
      </c>
      <c r="D42" s="178" t="s">
        <v>5</v>
      </c>
      <c r="E42" s="178"/>
      <c r="F42" s="225">
        <v>40000</v>
      </c>
      <c r="G42" s="202">
        <f t="shared" si="1"/>
        <v>31537537</v>
      </c>
      <c r="H42" s="178" t="s">
        <v>30</v>
      </c>
      <c r="I42" s="184" t="s">
        <v>207</v>
      </c>
      <c r="J42" s="184" t="s">
        <v>104</v>
      </c>
      <c r="K42" s="178" t="s">
        <v>325</v>
      </c>
      <c r="L42" s="178" t="s">
        <v>281</v>
      </c>
      <c r="M42" s="178" t="s">
        <v>368</v>
      </c>
      <c r="N42" s="177" t="s">
        <v>345</v>
      </c>
    </row>
    <row r="43" spans="1:15" ht="15.75" hidden="1" customHeight="1">
      <c r="A43" s="191">
        <v>44505</v>
      </c>
      <c r="B43" s="178" t="s">
        <v>168</v>
      </c>
      <c r="C43" s="178" t="s">
        <v>77</v>
      </c>
      <c r="E43" s="202"/>
      <c r="F43" s="222">
        <v>10000</v>
      </c>
      <c r="G43" s="202">
        <f t="shared" si="1"/>
        <v>31527537</v>
      </c>
      <c r="H43" s="178" t="s">
        <v>26</v>
      </c>
      <c r="I43" s="178"/>
      <c r="N43" s="177"/>
    </row>
    <row r="44" spans="1:15" ht="15" hidden="1" customHeight="1">
      <c r="A44" s="191">
        <v>44505</v>
      </c>
      <c r="B44" s="178" t="s">
        <v>195</v>
      </c>
      <c r="C44" s="178" t="s">
        <v>77</v>
      </c>
      <c r="E44" s="202"/>
      <c r="F44" s="222">
        <v>10000</v>
      </c>
      <c r="G44" s="202">
        <f t="shared" si="1"/>
        <v>31517537</v>
      </c>
      <c r="H44" s="178" t="s">
        <v>26</v>
      </c>
      <c r="I44" s="178"/>
      <c r="N44" s="177"/>
    </row>
    <row r="45" spans="1:15" ht="15" customHeight="1">
      <c r="A45" s="191">
        <v>44505</v>
      </c>
      <c r="B45" s="178" t="s">
        <v>197</v>
      </c>
      <c r="C45" s="178" t="s">
        <v>2</v>
      </c>
      <c r="D45" s="178" t="s">
        <v>263</v>
      </c>
      <c r="E45" s="202"/>
      <c r="F45" s="222">
        <v>48382</v>
      </c>
      <c r="G45" s="202">
        <f t="shared" si="1"/>
        <v>31469155</v>
      </c>
      <c r="H45" s="178" t="s">
        <v>26</v>
      </c>
      <c r="I45" s="184" t="s">
        <v>206</v>
      </c>
      <c r="J45" s="184" t="s">
        <v>104</v>
      </c>
      <c r="K45" s="178" t="s">
        <v>325</v>
      </c>
      <c r="L45" s="178" t="s">
        <v>281</v>
      </c>
      <c r="M45" s="178" t="s">
        <v>369</v>
      </c>
      <c r="N45" s="177" t="s">
        <v>334</v>
      </c>
    </row>
    <row r="46" spans="1:15" ht="15" customHeight="1">
      <c r="A46" s="191">
        <v>44505</v>
      </c>
      <c r="B46" s="178" t="s">
        <v>343</v>
      </c>
      <c r="C46" s="178" t="s">
        <v>162</v>
      </c>
      <c r="D46" s="178" t="s">
        <v>5</v>
      </c>
      <c r="E46" s="178"/>
      <c r="F46" s="224">
        <v>40000</v>
      </c>
      <c r="G46" s="202">
        <f t="shared" si="1"/>
        <v>31429155</v>
      </c>
      <c r="H46" s="178" t="s">
        <v>50</v>
      </c>
      <c r="I46" s="184" t="s">
        <v>207</v>
      </c>
      <c r="J46" s="184" t="s">
        <v>104</v>
      </c>
      <c r="K46" s="178" t="s">
        <v>325</v>
      </c>
      <c r="L46" s="178" t="s">
        <v>281</v>
      </c>
      <c r="M46" s="178" t="s">
        <v>370</v>
      </c>
      <c r="N46" s="177" t="s">
        <v>345</v>
      </c>
    </row>
    <row r="47" spans="1:15" ht="15" hidden="1" customHeight="1">
      <c r="A47" s="219">
        <v>44505</v>
      </c>
      <c r="B47" s="185" t="s">
        <v>287</v>
      </c>
      <c r="C47" s="178" t="s">
        <v>77</v>
      </c>
      <c r="D47" s="185"/>
      <c r="E47" s="210">
        <v>10000</v>
      </c>
      <c r="F47" s="223"/>
      <c r="G47" s="202">
        <f t="shared" si="1"/>
        <v>31439155</v>
      </c>
      <c r="H47" s="211" t="s">
        <v>157</v>
      </c>
      <c r="I47" s="185"/>
      <c r="M47" s="177"/>
      <c r="N47" s="177"/>
    </row>
    <row r="48" spans="1:15" ht="15" hidden="1" customHeight="1">
      <c r="A48" s="219">
        <v>44505</v>
      </c>
      <c r="B48" s="185" t="s">
        <v>287</v>
      </c>
      <c r="C48" s="178" t="s">
        <v>77</v>
      </c>
      <c r="D48" s="185"/>
      <c r="E48" s="210">
        <v>10000</v>
      </c>
      <c r="F48" s="223"/>
      <c r="G48" s="202">
        <f t="shared" si="1"/>
        <v>31449155</v>
      </c>
      <c r="H48" s="212" t="s">
        <v>168</v>
      </c>
      <c r="I48" s="178"/>
      <c r="J48" s="230"/>
      <c r="K48" s="212"/>
      <c r="N48" s="177"/>
    </row>
    <row r="49" spans="1:14" ht="15" customHeight="1">
      <c r="A49" s="191">
        <v>44506</v>
      </c>
      <c r="B49" s="178" t="s">
        <v>452</v>
      </c>
      <c r="C49" s="178" t="s">
        <v>238</v>
      </c>
      <c r="D49" s="178" t="s">
        <v>5</v>
      </c>
      <c r="E49" s="178"/>
      <c r="F49" s="225">
        <v>60000</v>
      </c>
      <c r="G49" s="202">
        <f t="shared" si="1"/>
        <v>31389155</v>
      </c>
      <c r="H49" s="178" t="s">
        <v>30</v>
      </c>
      <c r="I49" s="178" t="s">
        <v>206</v>
      </c>
      <c r="J49" s="184" t="s">
        <v>172</v>
      </c>
      <c r="K49" s="184" t="s">
        <v>324</v>
      </c>
      <c r="L49" s="178" t="s">
        <v>281</v>
      </c>
      <c r="M49" s="184"/>
      <c r="N49" s="177"/>
    </row>
    <row r="50" spans="1:14" ht="15" customHeight="1">
      <c r="A50" s="191">
        <v>44506</v>
      </c>
      <c r="B50" s="178" t="s">
        <v>453</v>
      </c>
      <c r="C50" s="178" t="s">
        <v>238</v>
      </c>
      <c r="D50" s="178" t="s">
        <v>5</v>
      </c>
      <c r="E50" s="178"/>
      <c r="F50" s="225">
        <v>12000</v>
      </c>
      <c r="G50" s="202">
        <f t="shared" si="1"/>
        <v>31377155</v>
      </c>
      <c r="H50" s="178" t="s">
        <v>30</v>
      </c>
      <c r="I50" s="178" t="s">
        <v>206</v>
      </c>
      <c r="J50" s="184" t="s">
        <v>172</v>
      </c>
      <c r="K50" s="184" t="s">
        <v>324</v>
      </c>
      <c r="L50" s="178" t="s">
        <v>281</v>
      </c>
      <c r="N50" s="177"/>
    </row>
    <row r="51" spans="1:14" ht="15" customHeight="1">
      <c r="A51" s="219">
        <v>44508</v>
      </c>
      <c r="B51" s="185" t="s">
        <v>344</v>
      </c>
      <c r="C51" s="185" t="s">
        <v>162</v>
      </c>
      <c r="D51" s="178" t="s">
        <v>169</v>
      </c>
      <c r="E51" s="210"/>
      <c r="F51" s="223">
        <v>5000</v>
      </c>
      <c r="G51" s="202">
        <f t="shared" si="1"/>
        <v>31372155</v>
      </c>
      <c r="H51" s="211" t="s">
        <v>157</v>
      </c>
      <c r="I51" s="178" t="s">
        <v>207</v>
      </c>
      <c r="J51" s="184" t="s">
        <v>172</v>
      </c>
      <c r="K51" s="184" t="s">
        <v>324</v>
      </c>
      <c r="L51" s="178" t="s">
        <v>281</v>
      </c>
      <c r="M51" s="177"/>
      <c r="N51" s="177"/>
    </row>
    <row r="52" spans="1:14" ht="15" hidden="1" customHeight="1">
      <c r="A52" s="191">
        <v>44508</v>
      </c>
      <c r="B52" s="178" t="s">
        <v>30</v>
      </c>
      <c r="C52" s="178" t="s">
        <v>77</v>
      </c>
      <c r="E52" s="202"/>
      <c r="F52" s="222">
        <v>44000</v>
      </c>
      <c r="G52" s="202">
        <f t="shared" si="1"/>
        <v>31328155</v>
      </c>
      <c r="H52" s="178" t="s">
        <v>26</v>
      </c>
      <c r="I52" s="178"/>
      <c r="N52" s="177"/>
    </row>
    <row r="53" spans="1:14" ht="15" customHeight="1">
      <c r="A53" s="191">
        <v>44508</v>
      </c>
      <c r="B53" s="178" t="s">
        <v>198</v>
      </c>
      <c r="C53" s="178" t="s">
        <v>199</v>
      </c>
      <c r="D53" s="178" t="s">
        <v>263</v>
      </c>
      <c r="E53" s="202"/>
      <c r="F53" s="222">
        <v>1320</v>
      </c>
      <c r="G53" s="202">
        <f t="shared" si="1"/>
        <v>31326835</v>
      </c>
      <c r="H53" s="178" t="s">
        <v>26</v>
      </c>
      <c r="I53" s="184" t="s">
        <v>206</v>
      </c>
      <c r="J53" s="184" t="s">
        <v>104</v>
      </c>
      <c r="K53" s="178" t="s">
        <v>325</v>
      </c>
      <c r="L53" s="178" t="s">
        <v>281</v>
      </c>
      <c r="M53" s="178" t="s">
        <v>371</v>
      </c>
      <c r="N53" s="177" t="s">
        <v>326</v>
      </c>
    </row>
    <row r="54" spans="1:14" ht="15" hidden="1" customHeight="1">
      <c r="A54" s="191">
        <v>44508</v>
      </c>
      <c r="B54" s="178" t="s">
        <v>168</v>
      </c>
      <c r="C54" s="178" t="s">
        <v>77</v>
      </c>
      <c r="E54" s="202"/>
      <c r="F54" s="222">
        <v>124000</v>
      </c>
      <c r="G54" s="202">
        <f t="shared" si="1"/>
        <v>31202835</v>
      </c>
      <c r="H54" s="178" t="s">
        <v>26</v>
      </c>
      <c r="I54" s="178"/>
      <c r="N54" s="177"/>
    </row>
    <row r="55" spans="1:14" ht="15" customHeight="1">
      <c r="A55" s="218">
        <v>44508</v>
      </c>
      <c r="B55" s="178" t="s">
        <v>454</v>
      </c>
      <c r="C55" s="178" t="s">
        <v>262</v>
      </c>
      <c r="D55" s="178" t="s">
        <v>263</v>
      </c>
      <c r="E55" s="178"/>
      <c r="F55" s="222">
        <v>23345</v>
      </c>
      <c r="G55" s="202">
        <f t="shared" si="1"/>
        <v>31179490</v>
      </c>
      <c r="H55" s="202" t="s">
        <v>25</v>
      </c>
      <c r="I55" s="178" t="s">
        <v>261</v>
      </c>
      <c r="J55" s="184" t="s">
        <v>172</v>
      </c>
      <c r="K55" s="178" t="s">
        <v>324</v>
      </c>
      <c r="L55" s="178" t="s">
        <v>281</v>
      </c>
      <c r="N55" s="177"/>
    </row>
    <row r="56" spans="1:14" ht="15" customHeight="1">
      <c r="A56" s="218">
        <v>44508</v>
      </c>
      <c r="B56" s="184" t="s">
        <v>270</v>
      </c>
      <c r="C56" s="178" t="s">
        <v>147</v>
      </c>
      <c r="D56" s="178" t="s">
        <v>169</v>
      </c>
      <c r="E56" s="200"/>
      <c r="F56" s="222">
        <v>150000</v>
      </c>
      <c r="G56" s="202">
        <f t="shared" si="1"/>
        <v>31029490</v>
      </c>
      <c r="H56" s="178" t="s">
        <v>163</v>
      </c>
      <c r="I56" s="184">
        <v>3643557</v>
      </c>
      <c r="J56" s="184" t="s">
        <v>104</v>
      </c>
      <c r="K56" s="178" t="s">
        <v>325</v>
      </c>
      <c r="L56" s="178" t="s">
        <v>281</v>
      </c>
      <c r="M56" s="178" t="s">
        <v>372</v>
      </c>
      <c r="N56" s="177" t="s">
        <v>331</v>
      </c>
    </row>
    <row r="57" spans="1:14" ht="15" customHeight="1">
      <c r="A57" s="191">
        <v>44508</v>
      </c>
      <c r="B57" s="178" t="s">
        <v>477</v>
      </c>
      <c r="C57" s="178" t="s">
        <v>35</v>
      </c>
      <c r="D57" s="178" t="s">
        <v>5</v>
      </c>
      <c r="E57" s="178"/>
      <c r="F57" s="224">
        <v>10000</v>
      </c>
      <c r="G57" s="202">
        <f t="shared" si="1"/>
        <v>31019490</v>
      </c>
      <c r="H57" s="178" t="s">
        <v>50</v>
      </c>
      <c r="I57" s="184" t="s">
        <v>206</v>
      </c>
      <c r="J57" s="184" t="s">
        <v>104</v>
      </c>
      <c r="K57" s="184" t="s">
        <v>325</v>
      </c>
      <c r="L57" s="178" t="s">
        <v>281</v>
      </c>
      <c r="M57" s="178" t="s">
        <v>373</v>
      </c>
      <c r="N57" s="177" t="s">
        <v>341</v>
      </c>
    </row>
    <row r="58" spans="1:14" ht="15" hidden="1" customHeight="1">
      <c r="A58" s="191">
        <v>44508</v>
      </c>
      <c r="B58" s="178" t="s">
        <v>301</v>
      </c>
      <c r="C58" s="178" t="s">
        <v>77</v>
      </c>
      <c r="E58" s="178">
        <v>44000</v>
      </c>
      <c r="F58" s="225"/>
      <c r="G58" s="202">
        <f t="shared" si="1"/>
        <v>31063490</v>
      </c>
      <c r="H58" s="178" t="s">
        <v>30</v>
      </c>
      <c r="I58" s="178"/>
      <c r="N58" s="177"/>
    </row>
    <row r="59" spans="1:14" ht="15" customHeight="1">
      <c r="A59" s="191">
        <v>44508</v>
      </c>
      <c r="B59" s="178" t="s">
        <v>485</v>
      </c>
      <c r="C59" s="178" t="s">
        <v>35</v>
      </c>
      <c r="D59" s="178" t="s">
        <v>5</v>
      </c>
      <c r="E59" s="178"/>
      <c r="F59" s="225">
        <v>15000</v>
      </c>
      <c r="G59" s="202">
        <f t="shared" si="1"/>
        <v>31048490</v>
      </c>
      <c r="H59" s="178" t="s">
        <v>30</v>
      </c>
      <c r="I59" s="184" t="s">
        <v>206</v>
      </c>
      <c r="J59" s="184" t="s">
        <v>104</v>
      </c>
      <c r="K59" s="184" t="s">
        <v>325</v>
      </c>
      <c r="L59" s="178" t="s">
        <v>281</v>
      </c>
      <c r="M59" s="178" t="s">
        <v>374</v>
      </c>
      <c r="N59" s="177" t="s">
        <v>341</v>
      </c>
    </row>
    <row r="60" spans="1:14" ht="15" customHeight="1">
      <c r="A60" s="219">
        <v>44508</v>
      </c>
      <c r="B60" s="185" t="s">
        <v>302</v>
      </c>
      <c r="C60" s="185" t="s">
        <v>35</v>
      </c>
      <c r="D60" s="178" t="s">
        <v>169</v>
      </c>
      <c r="E60" s="210"/>
      <c r="F60" s="223">
        <v>18800</v>
      </c>
      <c r="G60" s="202">
        <f t="shared" si="1"/>
        <v>31029690</v>
      </c>
      <c r="H60" s="211" t="s">
        <v>157</v>
      </c>
      <c r="I60" s="178" t="s">
        <v>207</v>
      </c>
      <c r="J60" s="184" t="s">
        <v>172</v>
      </c>
      <c r="K60" s="178" t="s">
        <v>324</v>
      </c>
      <c r="L60" s="178" t="s">
        <v>281</v>
      </c>
      <c r="N60" s="177"/>
    </row>
    <row r="61" spans="1:14" ht="15" hidden="1" customHeight="1">
      <c r="A61" s="219">
        <v>44508</v>
      </c>
      <c r="B61" s="185" t="s">
        <v>287</v>
      </c>
      <c r="C61" s="178" t="s">
        <v>77</v>
      </c>
      <c r="D61" s="185"/>
      <c r="E61" s="210">
        <v>124000</v>
      </c>
      <c r="F61" s="223"/>
      <c r="G61" s="202">
        <f t="shared" si="1"/>
        <v>31153690</v>
      </c>
      <c r="H61" s="212" t="s">
        <v>168</v>
      </c>
      <c r="I61" s="178"/>
      <c r="J61" s="230"/>
      <c r="K61" s="212"/>
      <c r="N61" s="177"/>
    </row>
    <row r="62" spans="1:14" ht="15" customHeight="1">
      <c r="A62" s="191">
        <v>44509</v>
      </c>
      <c r="B62" s="178" t="s">
        <v>200</v>
      </c>
      <c r="C62" s="178" t="s">
        <v>147</v>
      </c>
      <c r="D62" s="178" t="s">
        <v>169</v>
      </c>
      <c r="E62" s="202"/>
      <c r="F62" s="222">
        <v>113000</v>
      </c>
      <c r="G62" s="202">
        <f t="shared" si="1"/>
        <v>31040690</v>
      </c>
      <c r="H62" s="178" t="s">
        <v>26</v>
      </c>
      <c r="I62" s="184" t="s">
        <v>206</v>
      </c>
      <c r="J62" s="184" t="s">
        <v>104</v>
      </c>
      <c r="K62" s="178" t="s">
        <v>325</v>
      </c>
      <c r="L62" s="178" t="s">
        <v>281</v>
      </c>
      <c r="M62" s="178" t="s">
        <v>375</v>
      </c>
      <c r="N62" s="177" t="s">
        <v>330</v>
      </c>
    </row>
    <row r="63" spans="1:14" ht="15" customHeight="1">
      <c r="A63" s="191">
        <v>44509</v>
      </c>
      <c r="B63" s="178" t="s">
        <v>346</v>
      </c>
      <c r="C63" s="178" t="s">
        <v>162</v>
      </c>
      <c r="D63" s="178" t="s">
        <v>5</v>
      </c>
      <c r="E63" s="178"/>
      <c r="F63" s="224">
        <v>60000</v>
      </c>
      <c r="G63" s="202">
        <f t="shared" si="1"/>
        <v>30980690</v>
      </c>
      <c r="H63" s="178" t="s">
        <v>50</v>
      </c>
      <c r="I63" s="184" t="s">
        <v>206</v>
      </c>
      <c r="J63" s="184" t="s">
        <v>104</v>
      </c>
      <c r="K63" s="178" t="s">
        <v>325</v>
      </c>
      <c r="L63" s="178" t="s">
        <v>281</v>
      </c>
      <c r="M63" s="178" t="s">
        <v>376</v>
      </c>
      <c r="N63" s="177" t="s">
        <v>345</v>
      </c>
    </row>
    <row r="64" spans="1:14" ht="15" customHeight="1">
      <c r="A64" s="191">
        <v>44509</v>
      </c>
      <c r="B64" s="178" t="s">
        <v>447</v>
      </c>
      <c r="C64" s="178" t="s">
        <v>162</v>
      </c>
      <c r="D64" s="178" t="s">
        <v>5</v>
      </c>
      <c r="E64" s="178"/>
      <c r="F64" s="225">
        <v>60000</v>
      </c>
      <c r="G64" s="202">
        <f t="shared" si="1"/>
        <v>30920690</v>
      </c>
      <c r="H64" s="178" t="s">
        <v>30</v>
      </c>
      <c r="I64" s="184" t="s">
        <v>206</v>
      </c>
      <c r="J64" s="184" t="s">
        <v>104</v>
      </c>
      <c r="K64" s="178" t="s">
        <v>325</v>
      </c>
      <c r="L64" s="178" t="s">
        <v>281</v>
      </c>
      <c r="M64" s="178" t="s">
        <v>377</v>
      </c>
      <c r="N64" s="177" t="s">
        <v>345</v>
      </c>
    </row>
    <row r="65" spans="1:15" ht="15" customHeight="1">
      <c r="A65" s="219">
        <v>44509</v>
      </c>
      <c r="B65" s="185" t="s">
        <v>469</v>
      </c>
      <c r="C65" s="185" t="s">
        <v>35</v>
      </c>
      <c r="D65" s="178" t="s">
        <v>169</v>
      </c>
      <c r="E65" s="210"/>
      <c r="F65" s="223">
        <v>10000</v>
      </c>
      <c r="G65" s="202">
        <f t="shared" si="1"/>
        <v>30910690</v>
      </c>
      <c r="H65" s="212" t="s">
        <v>168</v>
      </c>
      <c r="I65" s="178" t="s">
        <v>206</v>
      </c>
      <c r="J65" s="184" t="s">
        <v>172</v>
      </c>
      <c r="K65" s="184" t="s">
        <v>324</v>
      </c>
      <c r="L65" s="178" t="s">
        <v>281</v>
      </c>
      <c r="N65" s="177"/>
    </row>
    <row r="66" spans="1:15" ht="15" customHeight="1">
      <c r="A66" s="191">
        <v>44510</v>
      </c>
      <c r="B66" s="178" t="s">
        <v>455</v>
      </c>
      <c r="C66" s="178" t="s">
        <v>4</v>
      </c>
      <c r="D66" s="178" t="s">
        <v>263</v>
      </c>
      <c r="E66" s="202"/>
      <c r="F66" s="222">
        <v>12000</v>
      </c>
      <c r="G66" s="202">
        <f t="shared" si="1"/>
        <v>30898690</v>
      </c>
      <c r="H66" s="178" t="s">
        <v>26</v>
      </c>
      <c r="I66" s="178" t="s">
        <v>206</v>
      </c>
      <c r="J66" s="184" t="s">
        <v>172</v>
      </c>
      <c r="K66" s="178" t="s">
        <v>324</v>
      </c>
      <c r="L66" s="178" t="s">
        <v>281</v>
      </c>
      <c r="N66" s="177"/>
    </row>
    <row r="67" spans="1:15" ht="15" customHeight="1">
      <c r="A67" s="191">
        <v>44510</v>
      </c>
      <c r="B67" s="178" t="s">
        <v>456</v>
      </c>
      <c r="C67" s="178" t="s">
        <v>36</v>
      </c>
      <c r="D67" s="178" t="s">
        <v>263</v>
      </c>
      <c r="E67" s="202"/>
      <c r="F67" s="222">
        <v>18000</v>
      </c>
      <c r="G67" s="202">
        <f t="shared" si="1"/>
        <v>30880690</v>
      </c>
      <c r="H67" s="178" t="s">
        <v>26</v>
      </c>
      <c r="I67" s="178" t="s">
        <v>206</v>
      </c>
      <c r="J67" s="184" t="s">
        <v>172</v>
      </c>
      <c r="K67" s="178" t="s">
        <v>324</v>
      </c>
      <c r="L67" s="178" t="s">
        <v>281</v>
      </c>
      <c r="N67" s="177"/>
    </row>
    <row r="68" spans="1:15" ht="15" customHeight="1">
      <c r="A68" s="219">
        <v>44510</v>
      </c>
      <c r="B68" s="185" t="s">
        <v>448</v>
      </c>
      <c r="C68" s="185" t="s">
        <v>308</v>
      </c>
      <c r="D68" s="178" t="s">
        <v>169</v>
      </c>
      <c r="E68" s="210"/>
      <c r="F68" s="223">
        <v>30000</v>
      </c>
      <c r="G68" s="202">
        <f t="shared" si="1"/>
        <v>30850690</v>
      </c>
      <c r="H68" s="212" t="s">
        <v>168</v>
      </c>
      <c r="I68" s="178" t="s">
        <v>207</v>
      </c>
      <c r="J68" s="184" t="s">
        <v>172</v>
      </c>
      <c r="K68" s="184" t="s">
        <v>324</v>
      </c>
      <c r="L68" s="178" t="s">
        <v>281</v>
      </c>
      <c r="N68" s="177"/>
    </row>
    <row r="69" spans="1:15" s="234" customFormat="1" ht="15" customHeight="1">
      <c r="A69" s="219">
        <v>44511</v>
      </c>
      <c r="B69" s="185" t="s">
        <v>347</v>
      </c>
      <c r="C69" s="185" t="s">
        <v>308</v>
      </c>
      <c r="D69" s="178" t="s">
        <v>169</v>
      </c>
      <c r="E69" s="210"/>
      <c r="F69" s="223">
        <v>15000</v>
      </c>
      <c r="G69" s="202">
        <f t="shared" si="1"/>
        <v>30835690</v>
      </c>
      <c r="H69" s="212" t="s">
        <v>168</v>
      </c>
      <c r="I69" s="178" t="s">
        <v>206</v>
      </c>
      <c r="J69" s="184" t="s">
        <v>172</v>
      </c>
      <c r="K69" s="184" t="s">
        <v>324</v>
      </c>
      <c r="L69" s="178" t="s">
        <v>281</v>
      </c>
      <c r="M69" s="177"/>
      <c r="N69" s="177"/>
      <c r="O69" s="178"/>
    </row>
    <row r="70" spans="1:15" ht="15" customHeight="1">
      <c r="A70" s="191">
        <v>44511</v>
      </c>
      <c r="B70" s="178" t="s">
        <v>201</v>
      </c>
      <c r="C70" s="178" t="s">
        <v>202</v>
      </c>
      <c r="D70" s="178" t="s">
        <v>203</v>
      </c>
      <c r="E70" s="202"/>
      <c r="F70" s="222">
        <v>65000</v>
      </c>
      <c r="G70" s="202">
        <f t="shared" si="1"/>
        <v>30770690</v>
      </c>
      <c r="H70" s="178" t="s">
        <v>26</v>
      </c>
      <c r="I70" s="178" t="s">
        <v>206</v>
      </c>
      <c r="J70" s="184" t="s">
        <v>172</v>
      </c>
      <c r="K70" s="178" t="s">
        <v>324</v>
      </c>
      <c r="L70" s="178" t="s">
        <v>281</v>
      </c>
      <c r="N70" s="177"/>
    </row>
    <row r="71" spans="1:15" ht="15" hidden="1" customHeight="1">
      <c r="A71" s="191">
        <v>44511</v>
      </c>
      <c r="B71" s="178" t="s">
        <v>204</v>
      </c>
      <c r="C71" s="178" t="s">
        <v>77</v>
      </c>
      <c r="E71" s="202"/>
      <c r="F71" s="222">
        <v>15000</v>
      </c>
      <c r="G71" s="202">
        <f t="shared" si="1"/>
        <v>30755690</v>
      </c>
      <c r="H71" s="178" t="s">
        <v>26</v>
      </c>
      <c r="I71" s="178"/>
      <c r="N71" s="177"/>
    </row>
    <row r="72" spans="1:15" ht="15" hidden="1" customHeight="1">
      <c r="A72" s="191">
        <v>44511</v>
      </c>
      <c r="B72" s="178" t="s">
        <v>184</v>
      </c>
      <c r="C72" s="178" t="s">
        <v>77</v>
      </c>
      <c r="E72" s="202"/>
      <c r="F72" s="222">
        <v>10000</v>
      </c>
      <c r="G72" s="202">
        <f t="shared" si="1"/>
        <v>30745690</v>
      </c>
      <c r="H72" s="178" t="s">
        <v>26</v>
      </c>
      <c r="I72" s="178"/>
      <c r="N72" s="177"/>
    </row>
    <row r="73" spans="1:15" ht="15" customHeight="1">
      <c r="A73" s="219">
        <v>44511</v>
      </c>
      <c r="B73" s="185" t="s">
        <v>440</v>
      </c>
      <c r="C73" s="185" t="s">
        <v>35</v>
      </c>
      <c r="D73" s="178" t="s">
        <v>169</v>
      </c>
      <c r="E73" s="210"/>
      <c r="F73" s="223">
        <v>10000</v>
      </c>
      <c r="G73" s="202">
        <f t="shared" si="1"/>
        <v>30735690</v>
      </c>
      <c r="H73" s="212" t="s">
        <v>168</v>
      </c>
      <c r="I73" s="178" t="s">
        <v>206</v>
      </c>
      <c r="J73" s="184" t="s">
        <v>172</v>
      </c>
      <c r="K73" s="184" t="s">
        <v>324</v>
      </c>
      <c r="L73" s="178" t="s">
        <v>281</v>
      </c>
      <c r="N73" s="177"/>
    </row>
    <row r="74" spans="1:15" ht="15" customHeight="1">
      <c r="A74" s="191">
        <v>44512</v>
      </c>
      <c r="B74" s="178" t="s">
        <v>205</v>
      </c>
      <c r="C74" s="178" t="s">
        <v>202</v>
      </c>
      <c r="D74" s="178" t="s">
        <v>3</v>
      </c>
      <c r="E74" s="202"/>
      <c r="F74" s="222">
        <v>226329</v>
      </c>
      <c r="G74" s="202">
        <f t="shared" si="1"/>
        <v>30509361</v>
      </c>
      <c r="H74" s="178" t="s">
        <v>26</v>
      </c>
      <c r="I74" s="178" t="s">
        <v>206</v>
      </c>
      <c r="J74" s="184" t="s">
        <v>172</v>
      </c>
      <c r="K74" s="178" t="s">
        <v>324</v>
      </c>
      <c r="L74" s="178" t="s">
        <v>281</v>
      </c>
      <c r="N74" s="177"/>
    </row>
    <row r="75" spans="1:15" ht="15" hidden="1" customHeight="1">
      <c r="A75" s="220">
        <v>44511</v>
      </c>
      <c r="B75" s="214" t="s">
        <v>287</v>
      </c>
      <c r="C75" s="178" t="s">
        <v>77</v>
      </c>
      <c r="D75" s="214"/>
      <c r="E75" s="215">
        <v>15000</v>
      </c>
      <c r="F75" s="226"/>
      <c r="G75" s="202">
        <f t="shared" si="1"/>
        <v>30524361</v>
      </c>
      <c r="H75" s="216" t="s">
        <v>204</v>
      </c>
      <c r="I75" s="178"/>
      <c r="J75" s="231"/>
      <c r="K75" s="216"/>
      <c r="N75" s="177"/>
    </row>
    <row r="76" spans="1:15" ht="15" customHeight="1">
      <c r="A76" s="219">
        <v>44512</v>
      </c>
      <c r="B76" s="185" t="s">
        <v>470</v>
      </c>
      <c r="C76" s="185" t="s">
        <v>35</v>
      </c>
      <c r="D76" s="178" t="s">
        <v>169</v>
      </c>
      <c r="E76" s="210"/>
      <c r="F76" s="223">
        <v>15000</v>
      </c>
      <c r="G76" s="202">
        <f t="shared" si="1"/>
        <v>30509361</v>
      </c>
      <c r="H76" s="212" t="s">
        <v>168</v>
      </c>
      <c r="I76" s="178" t="s">
        <v>206</v>
      </c>
      <c r="J76" s="184" t="s">
        <v>172</v>
      </c>
      <c r="K76" s="184" t="s">
        <v>324</v>
      </c>
      <c r="L76" s="178" t="s">
        <v>281</v>
      </c>
      <c r="N76" s="177"/>
    </row>
    <row r="77" spans="1:15" ht="15" hidden="1" customHeight="1">
      <c r="A77" s="191">
        <v>44512</v>
      </c>
      <c r="B77" s="178" t="s">
        <v>49</v>
      </c>
      <c r="C77" s="178" t="s">
        <v>77</v>
      </c>
      <c r="E77" s="202"/>
      <c r="F77" s="222">
        <v>10000</v>
      </c>
      <c r="G77" s="202">
        <f t="shared" si="1"/>
        <v>30499361</v>
      </c>
      <c r="H77" s="178" t="s">
        <v>26</v>
      </c>
      <c r="I77" s="178"/>
      <c r="N77" s="177"/>
    </row>
    <row r="78" spans="1:15" ht="15" hidden="1" customHeight="1">
      <c r="A78" s="191">
        <v>44512</v>
      </c>
      <c r="B78" s="178" t="s">
        <v>30</v>
      </c>
      <c r="C78" s="178" t="s">
        <v>77</v>
      </c>
      <c r="E78" s="202"/>
      <c r="F78" s="222">
        <v>120000</v>
      </c>
      <c r="G78" s="202">
        <f t="shared" si="1"/>
        <v>30379361</v>
      </c>
      <c r="H78" s="178" t="s">
        <v>26</v>
      </c>
      <c r="I78" s="178"/>
      <c r="N78" s="177"/>
    </row>
    <row r="79" spans="1:15" ht="15" hidden="1" customHeight="1">
      <c r="A79" s="191">
        <v>44512</v>
      </c>
      <c r="B79" s="178" t="s">
        <v>184</v>
      </c>
      <c r="C79" s="178" t="s">
        <v>77</v>
      </c>
      <c r="E79" s="202"/>
      <c r="F79" s="222">
        <v>120000</v>
      </c>
      <c r="G79" s="202">
        <f t="shared" si="1"/>
        <v>30259361</v>
      </c>
      <c r="H79" s="178" t="s">
        <v>26</v>
      </c>
      <c r="I79" s="178"/>
      <c r="N79" s="177"/>
    </row>
    <row r="80" spans="1:15" ht="15" hidden="1" customHeight="1">
      <c r="A80" s="191">
        <v>44512</v>
      </c>
      <c r="B80" s="178" t="s">
        <v>280</v>
      </c>
      <c r="C80" s="178" t="s">
        <v>77</v>
      </c>
      <c r="E80" s="178">
        <v>10000</v>
      </c>
      <c r="F80" s="224"/>
      <c r="G80" s="202">
        <f t="shared" ref="G80:G143" si="2">+G79+E80-F80</f>
        <v>30269361</v>
      </c>
      <c r="H80" s="178" t="s">
        <v>49</v>
      </c>
      <c r="I80" s="178"/>
      <c r="N80" s="177"/>
    </row>
    <row r="81" spans="1:14" ht="15" hidden="1" customHeight="1">
      <c r="A81" s="191">
        <v>44512</v>
      </c>
      <c r="B81" s="178" t="s">
        <v>298</v>
      </c>
      <c r="C81" s="178" t="s">
        <v>77</v>
      </c>
      <c r="D81" s="213"/>
      <c r="E81" s="178">
        <v>10000</v>
      </c>
      <c r="F81" s="224"/>
      <c r="G81" s="202">
        <f t="shared" si="2"/>
        <v>30279361</v>
      </c>
      <c r="H81" s="178" t="s">
        <v>50</v>
      </c>
      <c r="I81" s="178"/>
      <c r="N81" s="177"/>
    </row>
    <row r="82" spans="1:14" ht="15" hidden="1" customHeight="1">
      <c r="A82" s="191">
        <v>44512</v>
      </c>
      <c r="B82" s="178" t="s">
        <v>298</v>
      </c>
      <c r="C82" s="178" t="s">
        <v>77</v>
      </c>
      <c r="D82" s="213"/>
      <c r="E82" s="178">
        <v>120000</v>
      </c>
      <c r="F82" s="224"/>
      <c r="G82" s="202">
        <f t="shared" si="2"/>
        <v>30399361</v>
      </c>
      <c r="H82" s="178" t="s">
        <v>50</v>
      </c>
      <c r="I82" s="178"/>
      <c r="N82" s="177"/>
    </row>
    <row r="83" spans="1:14" ht="15" customHeight="1">
      <c r="A83" s="191">
        <v>44512</v>
      </c>
      <c r="B83" s="178" t="s">
        <v>478</v>
      </c>
      <c r="C83" s="178" t="s">
        <v>35</v>
      </c>
      <c r="D83" s="178" t="s">
        <v>5</v>
      </c>
      <c r="E83" s="178"/>
      <c r="F83" s="224">
        <v>15000</v>
      </c>
      <c r="G83" s="202">
        <f t="shared" si="2"/>
        <v>30384361</v>
      </c>
      <c r="H83" s="178" t="s">
        <v>50</v>
      </c>
      <c r="I83" s="184" t="s">
        <v>206</v>
      </c>
      <c r="J83" s="184" t="s">
        <v>104</v>
      </c>
      <c r="K83" s="184" t="s">
        <v>325</v>
      </c>
      <c r="L83" s="178" t="s">
        <v>281</v>
      </c>
      <c r="M83" s="178" t="s">
        <v>378</v>
      </c>
      <c r="N83" s="177" t="s">
        <v>341</v>
      </c>
    </row>
    <row r="84" spans="1:14" ht="15" hidden="1" customHeight="1">
      <c r="A84" s="191">
        <v>44512</v>
      </c>
      <c r="B84" s="178" t="s">
        <v>301</v>
      </c>
      <c r="C84" s="178" t="s">
        <v>77</v>
      </c>
      <c r="E84" s="178">
        <v>120000</v>
      </c>
      <c r="F84" s="225"/>
      <c r="G84" s="202">
        <f t="shared" si="2"/>
        <v>30504361</v>
      </c>
      <c r="H84" s="178" t="s">
        <v>30</v>
      </c>
      <c r="I84" s="178"/>
      <c r="N84" s="177"/>
    </row>
    <row r="85" spans="1:14" ht="15" customHeight="1">
      <c r="A85" s="191">
        <v>44512</v>
      </c>
      <c r="B85" s="178" t="s">
        <v>349</v>
      </c>
      <c r="C85" s="178" t="s">
        <v>162</v>
      </c>
      <c r="D85" s="178" t="s">
        <v>5</v>
      </c>
      <c r="E85" s="178"/>
      <c r="F85" s="225">
        <v>70000</v>
      </c>
      <c r="G85" s="202">
        <f t="shared" si="2"/>
        <v>30434361</v>
      </c>
      <c r="H85" s="178" t="s">
        <v>30</v>
      </c>
      <c r="I85" s="184" t="s">
        <v>207</v>
      </c>
      <c r="J85" s="184" t="s">
        <v>104</v>
      </c>
      <c r="K85" s="178" t="s">
        <v>325</v>
      </c>
      <c r="L85" s="178" t="s">
        <v>281</v>
      </c>
      <c r="M85" s="178" t="s">
        <v>379</v>
      </c>
      <c r="N85" s="177" t="s">
        <v>345</v>
      </c>
    </row>
    <row r="86" spans="1:14" ht="15" customHeight="1">
      <c r="A86" s="191">
        <v>44512</v>
      </c>
      <c r="B86" s="178" t="s">
        <v>486</v>
      </c>
      <c r="C86" s="178" t="s">
        <v>35</v>
      </c>
      <c r="D86" s="178" t="s">
        <v>5</v>
      </c>
      <c r="E86" s="178"/>
      <c r="F86" s="225">
        <v>10000</v>
      </c>
      <c r="G86" s="202">
        <f t="shared" si="2"/>
        <v>30424361</v>
      </c>
      <c r="H86" s="178" t="s">
        <v>30</v>
      </c>
      <c r="I86" s="184" t="s">
        <v>206</v>
      </c>
      <c r="J86" s="184" t="s">
        <v>104</v>
      </c>
      <c r="K86" s="184" t="s">
        <v>325</v>
      </c>
      <c r="L86" s="178" t="s">
        <v>281</v>
      </c>
      <c r="M86" s="178" t="s">
        <v>380</v>
      </c>
      <c r="N86" s="177" t="s">
        <v>341</v>
      </c>
    </row>
    <row r="87" spans="1:14" ht="15" customHeight="1">
      <c r="A87" s="219">
        <v>44513</v>
      </c>
      <c r="B87" s="185" t="s">
        <v>445</v>
      </c>
      <c r="C87" s="185" t="s">
        <v>308</v>
      </c>
      <c r="D87" s="178" t="s">
        <v>169</v>
      </c>
      <c r="E87" s="210"/>
      <c r="F87" s="223">
        <v>30000</v>
      </c>
      <c r="G87" s="202">
        <f t="shared" si="2"/>
        <v>30394361</v>
      </c>
      <c r="H87" s="212" t="s">
        <v>168</v>
      </c>
      <c r="I87" s="178" t="s">
        <v>207</v>
      </c>
      <c r="J87" s="184" t="s">
        <v>172</v>
      </c>
      <c r="K87" s="184" t="s">
        <v>324</v>
      </c>
      <c r="L87" s="178" t="s">
        <v>281</v>
      </c>
      <c r="N87" s="177"/>
    </row>
    <row r="88" spans="1:14" ht="15" customHeight="1">
      <c r="A88" s="191">
        <v>44513</v>
      </c>
      <c r="B88" s="178" t="s">
        <v>352</v>
      </c>
      <c r="C88" s="178" t="s">
        <v>162</v>
      </c>
      <c r="D88" s="178" t="s">
        <v>5</v>
      </c>
      <c r="E88" s="178"/>
      <c r="F88" s="224">
        <v>70000</v>
      </c>
      <c r="G88" s="202">
        <f t="shared" si="2"/>
        <v>30324361</v>
      </c>
      <c r="H88" s="178" t="s">
        <v>50</v>
      </c>
      <c r="I88" s="184" t="s">
        <v>207</v>
      </c>
      <c r="J88" s="184" t="s">
        <v>104</v>
      </c>
      <c r="K88" s="178" t="s">
        <v>325</v>
      </c>
      <c r="L88" s="178" t="s">
        <v>281</v>
      </c>
      <c r="M88" s="178" t="s">
        <v>381</v>
      </c>
      <c r="N88" s="177" t="s">
        <v>345</v>
      </c>
    </row>
    <row r="89" spans="1:14" ht="15" customHeight="1">
      <c r="A89" s="191">
        <v>44515</v>
      </c>
      <c r="B89" s="178" t="s">
        <v>327</v>
      </c>
      <c r="C89" s="178" t="s">
        <v>170</v>
      </c>
      <c r="D89" s="178" t="s">
        <v>171</v>
      </c>
      <c r="E89" s="202"/>
      <c r="F89" s="222">
        <v>29000</v>
      </c>
      <c r="G89" s="202">
        <f t="shared" si="2"/>
        <v>30295361</v>
      </c>
      <c r="H89" s="178" t="s">
        <v>26</v>
      </c>
      <c r="I89" s="178" t="s">
        <v>207</v>
      </c>
      <c r="J89" s="184" t="s">
        <v>172</v>
      </c>
      <c r="K89" s="178" t="s">
        <v>324</v>
      </c>
      <c r="L89" s="178" t="s">
        <v>281</v>
      </c>
      <c r="N89" s="177"/>
    </row>
    <row r="90" spans="1:14" ht="15" hidden="1" customHeight="1">
      <c r="A90" s="191">
        <v>44515</v>
      </c>
      <c r="B90" s="178" t="s">
        <v>168</v>
      </c>
      <c r="C90" s="178" t="s">
        <v>77</v>
      </c>
      <c r="E90" s="202"/>
      <c r="F90" s="222">
        <v>15000</v>
      </c>
      <c r="G90" s="202">
        <f t="shared" si="2"/>
        <v>30280361</v>
      </c>
      <c r="H90" s="178" t="s">
        <v>26</v>
      </c>
      <c r="I90" s="178"/>
      <c r="N90" s="177"/>
    </row>
    <row r="91" spans="1:14" ht="15" hidden="1" customHeight="1">
      <c r="A91" s="191">
        <v>44515</v>
      </c>
      <c r="B91" s="178" t="s">
        <v>95</v>
      </c>
      <c r="C91" s="178" t="s">
        <v>77</v>
      </c>
      <c r="E91" s="202"/>
      <c r="F91" s="222">
        <v>10000</v>
      </c>
      <c r="G91" s="202">
        <f t="shared" si="2"/>
        <v>30270361</v>
      </c>
      <c r="H91" s="178" t="s">
        <v>26</v>
      </c>
      <c r="I91" s="178"/>
      <c r="N91" s="177"/>
    </row>
    <row r="92" spans="1:14" ht="15" hidden="1" customHeight="1">
      <c r="A92" s="191">
        <v>44515</v>
      </c>
      <c r="B92" s="178" t="s">
        <v>208</v>
      </c>
      <c r="C92" s="178" t="s">
        <v>77</v>
      </c>
      <c r="E92" s="202">
        <v>1000000</v>
      </c>
      <c r="F92" s="222"/>
      <c r="G92" s="202">
        <f t="shared" si="2"/>
        <v>31270361</v>
      </c>
      <c r="H92" s="178" t="s">
        <v>26</v>
      </c>
      <c r="I92" s="178"/>
      <c r="N92" s="177"/>
    </row>
    <row r="93" spans="1:14" ht="15" hidden="1" customHeight="1">
      <c r="A93" s="191">
        <v>44515</v>
      </c>
      <c r="B93" s="178" t="s">
        <v>209</v>
      </c>
      <c r="C93" s="178" t="s">
        <v>77</v>
      </c>
      <c r="E93" s="202">
        <v>1000000</v>
      </c>
      <c r="F93" s="222"/>
      <c r="G93" s="202">
        <f t="shared" si="2"/>
        <v>32270361</v>
      </c>
      <c r="H93" s="178" t="s">
        <v>26</v>
      </c>
      <c r="I93" s="178"/>
      <c r="N93" s="177"/>
    </row>
    <row r="94" spans="1:14" ht="15" customHeight="1">
      <c r="A94" s="191">
        <v>44515</v>
      </c>
      <c r="B94" s="178" t="s">
        <v>210</v>
      </c>
      <c r="C94" s="178" t="s">
        <v>173</v>
      </c>
      <c r="D94" s="178" t="s">
        <v>3</v>
      </c>
      <c r="E94" s="202"/>
      <c r="F94" s="222">
        <v>5000</v>
      </c>
      <c r="G94" s="202">
        <f t="shared" si="2"/>
        <v>32265361</v>
      </c>
      <c r="H94" s="178" t="s">
        <v>26</v>
      </c>
      <c r="I94" s="184" t="s">
        <v>206</v>
      </c>
      <c r="J94" s="184" t="s">
        <v>104</v>
      </c>
      <c r="K94" s="178" t="s">
        <v>325</v>
      </c>
      <c r="L94" s="178" t="s">
        <v>281</v>
      </c>
      <c r="M94" s="178" t="s">
        <v>382</v>
      </c>
      <c r="N94" s="177" t="s">
        <v>333</v>
      </c>
    </row>
    <row r="95" spans="1:14" ht="15" customHeight="1">
      <c r="A95" s="191">
        <v>44515</v>
      </c>
      <c r="B95" s="178" t="s">
        <v>211</v>
      </c>
      <c r="C95" s="178" t="s">
        <v>173</v>
      </c>
      <c r="D95" s="178" t="s">
        <v>5</v>
      </c>
      <c r="E95" s="202"/>
      <c r="F95" s="222">
        <v>10000</v>
      </c>
      <c r="G95" s="202">
        <f t="shared" si="2"/>
        <v>32255361</v>
      </c>
      <c r="H95" s="178" t="s">
        <v>26</v>
      </c>
      <c r="I95" s="184" t="s">
        <v>206</v>
      </c>
      <c r="J95" s="184" t="s">
        <v>104</v>
      </c>
      <c r="K95" s="178" t="s">
        <v>325</v>
      </c>
      <c r="L95" s="178" t="s">
        <v>281</v>
      </c>
      <c r="M95" s="178" t="s">
        <v>383</v>
      </c>
      <c r="N95" s="177" t="s">
        <v>333</v>
      </c>
    </row>
    <row r="96" spans="1:14" ht="15" customHeight="1">
      <c r="A96" s="191">
        <v>44515</v>
      </c>
      <c r="B96" s="178" t="s">
        <v>212</v>
      </c>
      <c r="C96" s="178" t="s">
        <v>173</v>
      </c>
      <c r="D96" s="178" t="s">
        <v>169</v>
      </c>
      <c r="E96" s="202"/>
      <c r="F96" s="222">
        <v>5000</v>
      </c>
      <c r="G96" s="202">
        <f t="shared" si="2"/>
        <v>32250361</v>
      </c>
      <c r="H96" s="178" t="s">
        <v>26</v>
      </c>
      <c r="I96" s="184" t="s">
        <v>206</v>
      </c>
      <c r="J96" s="184" t="s">
        <v>104</v>
      </c>
      <c r="K96" s="178" t="s">
        <v>325</v>
      </c>
      <c r="L96" s="178" t="s">
        <v>281</v>
      </c>
      <c r="M96" s="178" t="s">
        <v>384</v>
      </c>
      <c r="N96" s="177" t="s">
        <v>333</v>
      </c>
    </row>
    <row r="97" spans="1:14" ht="15" customHeight="1">
      <c r="A97" s="191">
        <v>44515</v>
      </c>
      <c r="B97" s="178" t="s">
        <v>213</v>
      </c>
      <c r="C97" s="178" t="s">
        <v>173</v>
      </c>
      <c r="D97" s="178" t="s">
        <v>5</v>
      </c>
      <c r="E97" s="202"/>
      <c r="F97" s="222">
        <v>20000</v>
      </c>
      <c r="G97" s="202">
        <f t="shared" si="2"/>
        <v>32230361</v>
      </c>
      <c r="H97" s="178" t="s">
        <v>26</v>
      </c>
      <c r="I97" s="184" t="s">
        <v>206</v>
      </c>
      <c r="J97" s="184" t="s">
        <v>104</v>
      </c>
      <c r="K97" s="178" t="s">
        <v>325</v>
      </c>
      <c r="L97" s="178" t="s">
        <v>281</v>
      </c>
      <c r="M97" s="178" t="s">
        <v>385</v>
      </c>
      <c r="N97" s="177" t="s">
        <v>333</v>
      </c>
    </row>
    <row r="98" spans="1:14" ht="15" customHeight="1">
      <c r="A98" s="191">
        <v>44515</v>
      </c>
      <c r="B98" s="178" t="s">
        <v>214</v>
      </c>
      <c r="C98" s="178" t="s">
        <v>173</v>
      </c>
      <c r="D98" s="178" t="s">
        <v>5</v>
      </c>
      <c r="E98" s="202"/>
      <c r="F98" s="222">
        <v>10000</v>
      </c>
      <c r="G98" s="202">
        <f t="shared" si="2"/>
        <v>32220361</v>
      </c>
      <c r="H98" s="178" t="s">
        <v>26</v>
      </c>
      <c r="I98" s="178" t="s">
        <v>206</v>
      </c>
      <c r="J98" s="184" t="s">
        <v>172</v>
      </c>
      <c r="K98" s="178" t="s">
        <v>324</v>
      </c>
      <c r="L98" s="178" t="s">
        <v>281</v>
      </c>
      <c r="N98" s="177"/>
    </row>
    <row r="99" spans="1:14" ht="15" customHeight="1">
      <c r="A99" s="191">
        <v>44515</v>
      </c>
      <c r="B99" s="178" t="s">
        <v>215</v>
      </c>
      <c r="C99" s="178" t="s">
        <v>173</v>
      </c>
      <c r="D99" s="178" t="s">
        <v>169</v>
      </c>
      <c r="E99" s="202"/>
      <c r="F99" s="222">
        <v>15000</v>
      </c>
      <c r="G99" s="202">
        <f t="shared" si="2"/>
        <v>32205361</v>
      </c>
      <c r="H99" s="178" t="s">
        <v>26</v>
      </c>
      <c r="I99" s="184" t="s">
        <v>206</v>
      </c>
      <c r="J99" s="184" t="s">
        <v>104</v>
      </c>
      <c r="K99" s="178" t="s">
        <v>325</v>
      </c>
      <c r="L99" s="178" t="s">
        <v>281</v>
      </c>
      <c r="M99" s="178" t="s">
        <v>386</v>
      </c>
      <c r="N99" s="177" t="s">
        <v>333</v>
      </c>
    </row>
    <row r="100" spans="1:14" ht="15" customHeight="1">
      <c r="A100" s="191">
        <v>44515</v>
      </c>
      <c r="B100" s="178" t="s">
        <v>216</v>
      </c>
      <c r="C100" s="178" t="s">
        <v>173</v>
      </c>
      <c r="D100" s="178" t="s">
        <v>169</v>
      </c>
      <c r="E100" s="202"/>
      <c r="F100" s="222">
        <v>10000</v>
      </c>
      <c r="G100" s="202">
        <f t="shared" si="2"/>
        <v>32195361</v>
      </c>
      <c r="H100" s="178" t="s">
        <v>26</v>
      </c>
      <c r="I100" s="178" t="s">
        <v>206</v>
      </c>
      <c r="J100" s="184" t="s">
        <v>172</v>
      </c>
      <c r="K100" s="178" t="s">
        <v>324</v>
      </c>
      <c r="L100" s="178" t="s">
        <v>281</v>
      </c>
      <c r="N100" s="177"/>
    </row>
    <row r="101" spans="1:14" ht="15" customHeight="1">
      <c r="A101" s="191">
        <v>44515</v>
      </c>
      <c r="B101" s="178" t="s">
        <v>217</v>
      </c>
      <c r="C101" s="178" t="s">
        <v>173</v>
      </c>
      <c r="D101" s="178" t="s">
        <v>3</v>
      </c>
      <c r="E101" s="202"/>
      <c r="F101" s="222">
        <v>5000</v>
      </c>
      <c r="G101" s="202">
        <f t="shared" si="2"/>
        <v>32190361</v>
      </c>
      <c r="H101" s="178" t="s">
        <v>26</v>
      </c>
      <c r="I101" s="184" t="s">
        <v>206</v>
      </c>
      <c r="J101" s="184" t="s">
        <v>104</v>
      </c>
      <c r="K101" s="178" t="s">
        <v>325</v>
      </c>
      <c r="L101" s="178" t="s">
        <v>281</v>
      </c>
      <c r="M101" s="178" t="s">
        <v>387</v>
      </c>
      <c r="N101" s="177" t="s">
        <v>333</v>
      </c>
    </row>
    <row r="102" spans="1:14" ht="15" customHeight="1">
      <c r="A102" s="191">
        <v>44515</v>
      </c>
      <c r="B102" s="178" t="s">
        <v>218</v>
      </c>
      <c r="C102" s="178" t="s">
        <v>173</v>
      </c>
      <c r="D102" s="178" t="s">
        <v>171</v>
      </c>
      <c r="E102" s="202"/>
      <c r="F102" s="222">
        <v>10000</v>
      </c>
      <c r="G102" s="202">
        <f t="shared" si="2"/>
        <v>32180361</v>
      </c>
      <c r="H102" s="178" t="s">
        <v>26</v>
      </c>
      <c r="I102" s="184" t="s">
        <v>206</v>
      </c>
      <c r="J102" s="184" t="s">
        <v>104</v>
      </c>
      <c r="K102" s="178" t="s">
        <v>325</v>
      </c>
      <c r="L102" s="178" t="s">
        <v>281</v>
      </c>
      <c r="M102" s="178" t="s">
        <v>388</v>
      </c>
      <c r="N102" s="177" t="s">
        <v>333</v>
      </c>
    </row>
    <row r="103" spans="1:14" ht="15" customHeight="1">
      <c r="A103" s="191">
        <v>44515</v>
      </c>
      <c r="B103" s="178" t="s">
        <v>219</v>
      </c>
      <c r="C103" s="178" t="s">
        <v>199</v>
      </c>
      <c r="D103" s="178" t="s">
        <v>263</v>
      </c>
      <c r="E103" s="202"/>
      <c r="F103" s="222">
        <v>7890</v>
      </c>
      <c r="G103" s="202">
        <f t="shared" si="2"/>
        <v>32172471</v>
      </c>
      <c r="H103" s="178" t="s">
        <v>26</v>
      </c>
      <c r="I103" s="184" t="s">
        <v>206</v>
      </c>
      <c r="J103" s="184" t="s">
        <v>104</v>
      </c>
      <c r="K103" s="178" t="s">
        <v>325</v>
      </c>
      <c r="L103" s="178" t="s">
        <v>281</v>
      </c>
      <c r="M103" s="178" t="s">
        <v>389</v>
      </c>
      <c r="N103" s="177" t="s">
        <v>326</v>
      </c>
    </row>
    <row r="104" spans="1:14" ht="15" hidden="1" customHeight="1">
      <c r="A104" s="191">
        <v>44515</v>
      </c>
      <c r="B104" s="178" t="s">
        <v>30</v>
      </c>
      <c r="C104" s="178" t="s">
        <v>77</v>
      </c>
      <c r="E104" s="202"/>
      <c r="F104" s="222">
        <v>127000</v>
      </c>
      <c r="G104" s="202">
        <f t="shared" si="2"/>
        <v>32045471</v>
      </c>
      <c r="H104" s="178" t="s">
        <v>26</v>
      </c>
      <c r="I104" s="178"/>
      <c r="N104" s="177"/>
    </row>
    <row r="105" spans="1:14" ht="15" hidden="1" customHeight="1">
      <c r="A105" s="191">
        <v>44515</v>
      </c>
      <c r="B105" s="178" t="s">
        <v>184</v>
      </c>
      <c r="C105" s="178" t="s">
        <v>77</v>
      </c>
      <c r="E105" s="202"/>
      <c r="F105" s="222">
        <v>136000</v>
      </c>
      <c r="G105" s="202">
        <f t="shared" si="2"/>
        <v>31909471</v>
      </c>
      <c r="H105" s="178" t="s">
        <v>26</v>
      </c>
      <c r="I105" s="178"/>
      <c r="N105" s="177"/>
    </row>
    <row r="106" spans="1:14" ht="15" hidden="1" customHeight="1">
      <c r="A106" s="218">
        <v>44515</v>
      </c>
      <c r="B106" s="178" t="s">
        <v>264</v>
      </c>
      <c r="C106" s="178" t="s">
        <v>77</v>
      </c>
      <c r="E106" s="178"/>
      <c r="F106" s="222">
        <v>1000000</v>
      </c>
      <c r="G106" s="202">
        <f t="shared" si="2"/>
        <v>30909471</v>
      </c>
      <c r="H106" s="202" t="s">
        <v>25</v>
      </c>
      <c r="I106" s="178"/>
      <c r="J106" s="232"/>
      <c r="N106" s="177"/>
    </row>
    <row r="107" spans="1:14" ht="15" hidden="1" customHeight="1">
      <c r="A107" s="218">
        <v>44515</v>
      </c>
      <c r="B107" s="184" t="s">
        <v>271</v>
      </c>
      <c r="C107" s="178" t="s">
        <v>77</v>
      </c>
      <c r="D107" s="203"/>
      <c r="E107" s="200"/>
      <c r="F107" s="222">
        <v>1000000</v>
      </c>
      <c r="G107" s="202">
        <f t="shared" si="2"/>
        <v>29909471</v>
      </c>
      <c r="H107" s="178" t="s">
        <v>163</v>
      </c>
      <c r="I107" s="177"/>
      <c r="N107" s="177"/>
    </row>
    <row r="108" spans="1:14" ht="15" hidden="1" customHeight="1">
      <c r="A108" s="191">
        <v>44515</v>
      </c>
      <c r="B108" s="178" t="s">
        <v>292</v>
      </c>
      <c r="C108" s="178" t="s">
        <v>77</v>
      </c>
      <c r="E108" s="202">
        <v>10000</v>
      </c>
      <c r="F108" s="222"/>
      <c r="G108" s="202">
        <f t="shared" si="2"/>
        <v>29919471</v>
      </c>
      <c r="H108" s="178" t="s">
        <v>95</v>
      </c>
      <c r="J108" s="221"/>
      <c r="K108" s="184"/>
      <c r="N108" s="177"/>
    </row>
    <row r="109" spans="1:14" ht="15" hidden="1" customHeight="1">
      <c r="A109" s="191">
        <v>44515</v>
      </c>
      <c r="B109" s="178" t="s">
        <v>298</v>
      </c>
      <c r="C109" s="178" t="s">
        <v>77</v>
      </c>
      <c r="D109" s="213"/>
      <c r="E109" s="178">
        <v>136000</v>
      </c>
      <c r="F109" s="224"/>
      <c r="G109" s="202">
        <f t="shared" si="2"/>
        <v>30055471</v>
      </c>
      <c r="H109" s="178" t="s">
        <v>50</v>
      </c>
      <c r="I109" s="178"/>
      <c r="N109" s="177"/>
    </row>
    <row r="110" spans="1:14" ht="15" hidden="1" customHeight="1">
      <c r="A110" s="191">
        <v>44515</v>
      </c>
      <c r="B110" s="178" t="s">
        <v>301</v>
      </c>
      <c r="C110" s="178" t="s">
        <v>77</v>
      </c>
      <c r="E110" s="178">
        <v>127000</v>
      </c>
      <c r="F110" s="225"/>
      <c r="G110" s="202">
        <f t="shared" si="2"/>
        <v>30182471</v>
      </c>
      <c r="H110" s="178" t="s">
        <v>30</v>
      </c>
      <c r="I110" s="178"/>
      <c r="N110" s="177"/>
    </row>
    <row r="111" spans="1:14" ht="15" hidden="1" customHeight="1">
      <c r="A111" s="219">
        <v>44515</v>
      </c>
      <c r="B111" s="185" t="s">
        <v>287</v>
      </c>
      <c r="C111" s="178" t="s">
        <v>77</v>
      </c>
      <c r="D111" s="185"/>
      <c r="E111" s="210">
        <v>15000</v>
      </c>
      <c r="F111" s="223"/>
      <c r="G111" s="202">
        <f t="shared" si="2"/>
        <v>30197471</v>
      </c>
      <c r="H111" s="212" t="s">
        <v>168</v>
      </c>
      <c r="I111" s="178"/>
      <c r="J111" s="230"/>
      <c r="K111" s="212"/>
      <c r="M111" s="177"/>
      <c r="N111" s="177"/>
    </row>
    <row r="112" spans="1:14" ht="15" hidden="1" customHeight="1">
      <c r="A112" s="191">
        <v>44516</v>
      </c>
      <c r="B112" s="178" t="s">
        <v>204</v>
      </c>
      <c r="C112" s="178" t="s">
        <v>77</v>
      </c>
      <c r="E112" s="202"/>
      <c r="F112" s="222">
        <v>10000</v>
      </c>
      <c r="G112" s="202">
        <f t="shared" si="2"/>
        <v>30187471</v>
      </c>
      <c r="H112" s="178" t="s">
        <v>26</v>
      </c>
      <c r="I112" s="178"/>
      <c r="N112" s="177"/>
    </row>
    <row r="113" spans="1:14" ht="15" hidden="1" customHeight="1">
      <c r="A113" s="220">
        <v>44516</v>
      </c>
      <c r="B113" s="214" t="s">
        <v>316</v>
      </c>
      <c r="C113" s="178" t="s">
        <v>77</v>
      </c>
      <c r="D113" s="214"/>
      <c r="E113" s="215">
        <v>10000</v>
      </c>
      <c r="F113" s="226"/>
      <c r="G113" s="202">
        <f t="shared" si="2"/>
        <v>30197471</v>
      </c>
      <c r="H113" s="216" t="s">
        <v>204</v>
      </c>
      <c r="I113" s="178"/>
      <c r="J113" s="231"/>
      <c r="K113" s="216"/>
    </row>
    <row r="114" spans="1:14" ht="15" hidden="1" customHeight="1">
      <c r="A114" s="191">
        <v>44517</v>
      </c>
      <c r="B114" s="178" t="s">
        <v>204</v>
      </c>
      <c r="C114" s="178" t="s">
        <v>77</v>
      </c>
      <c r="E114" s="202"/>
      <c r="F114" s="222">
        <v>5000</v>
      </c>
      <c r="G114" s="202">
        <f t="shared" si="2"/>
        <v>30192471</v>
      </c>
      <c r="H114" s="178" t="s">
        <v>26</v>
      </c>
      <c r="I114" s="178"/>
      <c r="N114" s="177"/>
    </row>
    <row r="115" spans="1:14" ht="15" customHeight="1">
      <c r="A115" s="191">
        <v>44517</v>
      </c>
      <c r="B115" s="178" t="s">
        <v>220</v>
      </c>
      <c r="C115" s="178" t="s">
        <v>202</v>
      </c>
      <c r="D115" s="178" t="s">
        <v>3</v>
      </c>
      <c r="E115" s="202"/>
      <c r="F115" s="222">
        <v>10500</v>
      </c>
      <c r="G115" s="202">
        <f t="shared" si="2"/>
        <v>30181971</v>
      </c>
      <c r="H115" s="178" t="s">
        <v>26</v>
      </c>
      <c r="I115" s="178" t="s">
        <v>206</v>
      </c>
      <c r="J115" s="184" t="s">
        <v>172</v>
      </c>
      <c r="K115" s="178" t="s">
        <v>324</v>
      </c>
      <c r="L115" s="178" t="s">
        <v>281</v>
      </c>
      <c r="N115" s="177"/>
    </row>
    <row r="116" spans="1:14" ht="15" customHeight="1">
      <c r="A116" s="191">
        <v>44517</v>
      </c>
      <c r="B116" s="178" t="s">
        <v>221</v>
      </c>
      <c r="C116" s="178" t="s">
        <v>202</v>
      </c>
      <c r="D116" s="178" t="s">
        <v>3</v>
      </c>
      <c r="E116" s="202"/>
      <c r="F116" s="222">
        <v>10500</v>
      </c>
      <c r="G116" s="202">
        <f t="shared" si="2"/>
        <v>30171471</v>
      </c>
      <c r="H116" s="178" t="s">
        <v>26</v>
      </c>
      <c r="I116" s="178" t="s">
        <v>206</v>
      </c>
      <c r="J116" s="184" t="s">
        <v>172</v>
      </c>
      <c r="K116" s="178" t="s">
        <v>324</v>
      </c>
      <c r="L116" s="178" t="s">
        <v>281</v>
      </c>
      <c r="N116" s="177"/>
    </row>
    <row r="117" spans="1:14" ht="15" customHeight="1">
      <c r="A117" s="191">
        <v>44517</v>
      </c>
      <c r="B117" s="178" t="s">
        <v>222</v>
      </c>
      <c r="C117" s="178" t="s">
        <v>170</v>
      </c>
      <c r="D117" s="178" t="s">
        <v>223</v>
      </c>
      <c r="E117" s="202"/>
      <c r="F117" s="222">
        <v>323751</v>
      </c>
      <c r="G117" s="202">
        <f t="shared" si="2"/>
        <v>29847720</v>
      </c>
      <c r="H117" s="178" t="s">
        <v>26</v>
      </c>
      <c r="I117" s="178" t="s">
        <v>206</v>
      </c>
      <c r="J117" s="184" t="s">
        <v>172</v>
      </c>
      <c r="K117" s="178" t="s">
        <v>324</v>
      </c>
      <c r="L117" s="178" t="s">
        <v>281</v>
      </c>
      <c r="N117" s="177"/>
    </row>
    <row r="118" spans="1:14" ht="15" customHeight="1">
      <c r="A118" s="191">
        <v>44517</v>
      </c>
      <c r="B118" s="178" t="s">
        <v>441</v>
      </c>
      <c r="C118" s="178" t="s">
        <v>199</v>
      </c>
      <c r="D118" s="178" t="s">
        <v>263</v>
      </c>
      <c r="E118" s="202"/>
      <c r="F118" s="222">
        <v>21063</v>
      </c>
      <c r="G118" s="202">
        <f t="shared" si="2"/>
        <v>29826657</v>
      </c>
      <c r="H118" s="178" t="s">
        <v>26</v>
      </c>
      <c r="I118" s="184" t="s">
        <v>206</v>
      </c>
      <c r="J118" s="184" t="s">
        <v>172</v>
      </c>
      <c r="K118" s="178" t="s">
        <v>324</v>
      </c>
      <c r="L118" s="178" t="s">
        <v>281</v>
      </c>
      <c r="N118" s="177"/>
    </row>
    <row r="119" spans="1:14" ht="15" hidden="1" customHeight="1">
      <c r="A119" s="220">
        <v>44517</v>
      </c>
      <c r="B119" s="217" t="s">
        <v>287</v>
      </c>
      <c r="C119" s="178" t="s">
        <v>77</v>
      </c>
      <c r="D119" s="214"/>
      <c r="E119" s="215">
        <v>5000</v>
      </c>
      <c r="F119" s="226"/>
      <c r="G119" s="202">
        <f t="shared" si="2"/>
        <v>29831657</v>
      </c>
      <c r="H119" s="216" t="s">
        <v>204</v>
      </c>
      <c r="I119" s="178"/>
      <c r="J119" s="231"/>
      <c r="K119" s="216"/>
    </row>
    <row r="120" spans="1:14" ht="15" hidden="1" customHeight="1">
      <c r="A120" s="191">
        <v>44518</v>
      </c>
      <c r="B120" s="178" t="s">
        <v>168</v>
      </c>
      <c r="C120" s="178" t="s">
        <v>77</v>
      </c>
      <c r="E120" s="202"/>
      <c r="F120" s="222">
        <v>10000</v>
      </c>
      <c r="G120" s="202">
        <f t="shared" si="2"/>
        <v>29821657</v>
      </c>
      <c r="H120" s="178" t="s">
        <v>26</v>
      </c>
      <c r="I120" s="178"/>
      <c r="N120" s="177"/>
    </row>
    <row r="121" spans="1:14" ht="15" hidden="1" customHeight="1">
      <c r="A121" s="191">
        <v>44518</v>
      </c>
      <c r="B121" s="178" t="s">
        <v>32</v>
      </c>
      <c r="C121" s="178" t="s">
        <v>77</v>
      </c>
      <c r="E121" s="202"/>
      <c r="F121" s="222">
        <v>15000</v>
      </c>
      <c r="G121" s="202">
        <f t="shared" si="2"/>
        <v>29806657</v>
      </c>
      <c r="H121" s="178" t="s">
        <v>26</v>
      </c>
      <c r="I121" s="178"/>
      <c r="N121" s="177"/>
    </row>
    <row r="122" spans="1:14" ht="15" hidden="1" customHeight="1">
      <c r="A122" s="191">
        <v>44518</v>
      </c>
      <c r="B122" s="178" t="s">
        <v>204</v>
      </c>
      <c r="C122" s="178" t="s">
        <v>77</v>
      </c>
      <c r="E122" s="202"/>
      <c r="F122" s="222">
        <v>6000</v>
      </c>
      <c r="G122" s="202">
        <f t="shared" si="2"/>
        <v>29800657</v>
      </c>
      <c r="H122" s="178" t="s">
        <v>26</v>
      </c>
      <c r="I122" s="178"/>
      <c r="N122" s="177"/>
    </row>
    <row r="123" spans="1:14" ht="15" hidden="1" customHeight="1">
      <c r="A123" s="191">
        <v>44518</v>
      </c>
      <c r="B123" s="178" t="s">
        <v>294</v>
      </c>
      <c r="C123" s="178" t="s">
        <v>77</v>
      </c>
      <c r="E123" s="202">
        <v>15000</v>
      </c>
      <c r="F123" s="222"/>
      <c r="G123" s="202">
        <f t="shared" si="2"/>
        <v>29815657</v>
      </c>
      <c r="H123" s="178" t="s">
        <v>32</v>
      </c>
      <c r="I123" s="178"/>
      <c r="N123" s="177"/>
    </row>
    <row r="124" spans="1:14" ht="15" customHeight="1">
      <c r="A124" s="191">
        <v>44518</v>
      </c>
      <c r="B124" s="178" t="s">
        <v>353</v>
      </c>
      <c r="C124" s="178" t="s">
        <v>162</v>
      </c>
      <c r="D124" s="178" t="s">
        <v>5</v>
      </c>
      <c r="E124" s="178"/>
      <c r="F124" s="224">
        <v>75000</v>
      </c>
      <c r="G124" s="202">
        <f t="shared" si="2"/>
        <v>29740657</v>
      </c>
      <c r="H124" s="178" t="s">
        <v>50</v>
      </c>
      <c r="I124" s="184" t="s">
        <v>206</v>
      </c>
      <c r="J124" s="184" t="s">
        <v>104</v>
      </c>
      <c r="K124" s="178" t="s">
        <v>325</v>
      </c>
      <c r="L124" s="178" t="s">
        <v>281</v>
      </c>
      <c r="M124" s="178" t="s">
        <v>390</v>
      </c>
      <c r="N124" s="177" t="s">
        <v>345</v>
      </c>
    </row>
    <row r="125" spans="1:14" ht="15" customHeight="1">
      <c r="A125" s="191">
        <v>44518</v>
      </c>
      <c r="B125" s="178" t="s">
        <v>479</v>
      </c>
      <c r="C125" s="178" t="s">
        <v>35</v>
      </c>
      <c r="D125" s="178" t="s">
        <v>5</v>
      </c>
      <c r="E125" s="178"/>
      <c r="F125" s="224">
        <v>6000</v>
      </c>
      <c r="G125" s="202">
        <f t="shared" si="2"/>
        <v>29734657</v>
      </c>
      <c r="H125" s="178" t="s">
        <v>50</v>
      </c>
      <c r="I125" s="184" t="s">
        <v>206</v>
      </c>
      <c r="J125" s="184" t="s">
        <v>104</v>
      </c>
      <c r="K125" s="184" t="s">
        <v>325</v>
      </c>
      <c r="L125" s="178" t="s">
        <v>281</v>
      </c>
      <c r="M125" s="178" t="s">
        <v>391</v>
      </c>
      <c r="N125" s="177" t="s">
        <v>341</v>
      </c>
    </row>
    <row r="126" spans="1:14" ht="15" customHeight="1">
      <c r="A126" s="191">
        <v>44518</v>
      </c>
      <c r="B126" s="178" t="s">
        <v>480</v>
      </c>
      <c r="C126" s="178" t="s">
        <v>35</v>
      </c>
      <c r="D126" s="178" t="s">
        <v>5</v>
      </c>
      <c r="E126" s="178"/>
      <c r="F126" s="224">
        <v>3000</v>
      </c>
      <c r="G126" s="202">
        <f t="shared" si="2"/>
        <v>29731657</v>
      </c>
      <c r="H126" s="178" t="s">
        <v>50</v>
      </c>
      <c r="I126" s="184" t="s">
        <v>206</v>
      </c>
      <c r="J126" s="184" t="s">
        <v>104</v>
      </c>
      <c r="K126" s="184" t="s">
        <v>325</v>
      </c>
      <c r="L126" s="178" t="s">
        <v>281</v>
      </c>
      <c r="M126" s="178" t="s">
        <v>392</v>
      </c>
      <c r="N126" s="177" t="s">
        <v>341</v>
      </c>
    </row>
    <row r="127" spans="1:14" ht="15" customHeight="1">
      <c r="A127" s="191">
        <v>44518</v>
      </c>
      <c r="B127" s="178" t="s">
        <v>350</v>
      </c>
      <c r="C127" s="178" t="s">
        <v>162</v>
      </c>
      <c r="D127" s="178" t="s">
        <v>5</v>
      </c>
      <c r="E127" s="178"/>
      <c r="F127" s="225">
        <v>75000</v>
      </c>
      <c r="G127" s="202">
        <f t="shared" si="2"/>
        <v>29656657</v>
      </c>
      <c r="H127" s="178" t="s">
        <v>30</v>
      </c>
      <c r="I127" s="184" t="s">
        <v>206</v>
      </c>
      <c r="J127" s="184" t="s">
        <v>104</v>
      </c>
      <c r="K127" s="178" t="s">
        <v>325</v>
      </c>
      <c r="L127" s="178" t="s">
        <v>281</v>
      </c>
      <c r="M127" s="178" t="s">
        <v>393</v>
      </c>
      <c r="N127" s="177" t="s">
        <v>345</v>
      </c>
    </row>
    <row r="128" spans="1:14" ht="15" customHeight="1">
      <c r="A128" s="191">
        <v>44518</v>
      </c>
      <c r="B128" s="178" t="s">
        <v>487</v>
      </c>
      <c r="C128" s="178" t="s">
        <v>35</v>
      </c>
      <c r="D128" s="178" t="s">
        <v>5</v>
      </c>
      <c r="E128" s="178"/>
      <c r="F128" s="225">
        <v>5000</v>
      </c>
      <c r="G128" s="202">
        <f t="shared" si="2"/>
        <v>29651657</v>
      </c>
      <c r="H128" s="178" t="s">
        <v>30</v>
      </c>
      <c r="I128" s="184" t="s">
        <v>206</v>
      </c>
      <c r="J128" s="184" t="s">
        <v>104</v>
      </c>
      <c r="K128" s="184" t="s">
        <v>325</v>
      </c>
      <c r="L128" s="178" t="s">
        <v>281</v>
      </c>
      <c r="M128" s="178" t="s">
        <v>394</v>
      </c>
      <c r="N128" s="177" t="s">
        <v>341</v>
      </c>
    </row>
    <row r="129" spans="1:15" ht="15.75" hidden="1" customHeight="1">
      <c r="A129" s="219">
        <v>44518</v>
      </c>
      <c r="B129" s="185" t="s">
        <v>287</v>
      </c>
      <c r="C129" s="178" t="s">
        <v>77</v>
      </c>
      <c r="D129" s="185"/>
      <c r="E129" s="210">
        <v>10000</v>
      </c>
      <c r="F129" s="223"/>
      <c r="G129" s="202">
        <f t="shared" si="2"/>
        <v>29661657</v>
      </c>
      <c r="H129" s="212" t="s">
        <v>168</v>
      </c>
      <c r="I129" s="178"/>
      <c r="J129" s="230"/>
      <c r="K129" s="212"/>
      <c r="N129" s="177"/>
      <c r="O129" s="177"/>
    </row>
    <row r="130" spans="1:15" ht="15" hidden="1" customHeight="1">
      <c r="A130" s="220">
        <v>44518</v>
      </c>
      <c r="B130" s="213" t="s">
        <v>317</v>
      </c>
      <c r="C130" s="178" t="s">
        <v>77</v>
      </c>
      <c r="D130" s="214"/>
      <c r="E130" s="215">
        <v>6000</v>
      </c>
      <c r="F130" s="226"/>
      <c r="G130" s="202">
        <f t="shared" si="2"/>
        <v>29667657</v>
      </c>
      <c r="H130" s="216" t="s">
        <v>204</v>
      </c>
      <c r="I130" s="178"/>
      <c r="J130" s="231"/>
      <c r="K130" s="216"/>
    </row>
    <row r="131" spans="1:15" ht="15" hidden="1" customHeight="1">
      <c r="A131" s="191">
        <v>44519</v>
      </c>
      <c r="B131" s="178" t="s">
        <v>49</v>
      </c>
      <c r="C131" s="178" t="s">
        <v>77</v>
      </c>
      <c r="E131" s="202"/>
      <c r="F131" s="222">
        <v>100000</v>
      </c>
      <c r="G131" s="202">
        <f t="shared" si="2"/>
        <v>29567657</v>
      </c>
      <c r="H131" s="178" t="s">
        <v>26</v>
      </c>
      <c r="I131" s="178"/>
      <c r="N131" s="177"/>
    </row>
    <row r="132" spans="1:15" ht="15" hidden="1" customHeight="1">
      <c r="A132" s="191">
        <v>44519</v>
      </c>
      <c r="B132" s="178" t="s">
        <v>204</v>
      </c>
      <c r="C132" s="178" t="s">
        <v>77</v>
      </c>
      <c r="E132" s="202"/>
      <c r="F132" s="222">
        <v>20000</v>
      </c>
      <c r="G132" s="202">
        <f t="shared" si="2"/>
        <v>29547657</v>
      </c>
      <c r="H132" s="178" t="s">
        <v>26</v>
      </c>
      <c r="I132" s="178"/>
      <c r="N132" s="177"/>
    </row>
    <row r="133" spans="1:15" ht="15" hidden="1" customHeight="1">
      <c r="A133" s="191">
        <v>44519</v>
      </c>
      <c r="B133" s="178" t="s">
        <v>204</v>
      </c>
      <c r="C133" s="178" t="s">
        <v>77</v>
      </c>
      <c r="E133" s="202"/>
      <c r="F133" s="222">
        <v>10000</v>
      </c>
      <c r="G133" s="202">
        <f t="shared" si="2"/>
        <v>29537657</v>
      </c>
      <c r="H133" s="178" t="s">
        <v>26</v>
      </c>
      <c r="I133" s="178"/>
      <c r="N133" s="177"/>
    </row>
    <row r="134" spans="1:15" ht="15" hidden="1" customHeight="1">
      <c r="A134" s="191">
        <v>44519</v>
      </c>
      <c r="B134" s="178" t="s">
        <v>195</v>
      </c>
      <c r="C134" s="178" t="s">
        <v>77</v>
      </c>
      <c r="E134" s="202"/>
      <c r="F134" s="222">
        <v>15000</v>
      </c>
      <c r="G134" s="202">
        <f t="shared" si="2"/>
        <v>29522657</v>
      </c>
      <c r="H134" s="178" t="s">
        <v>26</v>
      </c>
      <c r="I134" s="178"/>
      <c r="N134" s="177"/>
    </row>
    <row r="135" spans="1:15" ht="15" hidden="1" customHeight="1">
      <c r="A135" s="191">
        <v>44519</v>
      </c>
      <c r="B135" s="178" t="s">
        <v>156</v>
      </c>
      <c r="C135" s="178" t="s">
        <v>77</v>
      </c>
      <c r="E135" s="202"/>
      <c r="F135" s="222">
        <v>10000</v>
      </c>
      <c r="G135" s="202">
        <f t="shared" si="2"/>
        <v>29512657</v>
      </c>
      <c r="H135" s="178" t="s">
        <v>26</v>
      </c>
      <c r="I135" s="178"/>
      <c r="N135" s="177"/>
    </row>
    <row r="136" spans="1:15" ht="15" customHeight="1">
      <c r="A136" s="191">
        <v>44519</v>
      </c>
      <c r="B136" s="178" t="s">
        <v>224</v>
      </c>
      <c r="C136" s="178" t="s">
        <v>36</v>
      </c>
      <c r="D136" s="178" t="s">
        <v>263</v>
      </c>
      <c r="E136" s="202"/>
      <c r="F136" s="222">
        <v>8000</v>
      </c>
      <c r="G136" s="202">
        <f t="shared" si="2"/>
        <v>29504657</v>
      </c>
      <c r="H136" s="178" t="s">
        <v>26</v>
      </c>
      <c r="I136" s="184" t="s">
        <v>206</v>
      </c>
      <c r="J136" s="184" t="s">
        <v>104</v>
      </c>
      <c r="K136" s="178" t="s">
        <v>325</v>
      </c>
      <c r="L136" s="178" t="s">
        <v>281</v>
      </c>
      <c r="M136" s="178" t="s">
        <v>395</v>
      </c>
      <c r="N136" s="177" t="s">
        <v>332</v>
      </c>
    </row>
    <row r="137" spans="1:15" ht="15" hidden="1" customHeight="1">
      <c r="A137" s="191">
        <v>44519</v>
      </c>
      <c r="B137" s="178" t="s">
        <v>280</v>
      </c>
      <c r="C137" s="178" t="s">
        <v>77</v>
      </c>
      <c r="E137" s="178">
        <v>100000</v>
      </c>
      <c r="F137" s="224"/>
      <c r="G137" s="202">
        <f t="shared" si="2"/>
        <v>29604657</v>
      </c>
      <c r="H137" s="178" t="s">
        <v>49</v>
      </c>
      <c r="I137" s="178"/>
      <c r="N137" s="177"/>
    </row>
    <row r="138" spans="1:15" ht="15" customHeight="1">
      <c r="A138" s="191">
        <v>44519</v>
      </c>
      <c r="B138" s="178" t="s">
        <v>458</v>
      </c>
      <c r="C138" s="178" t="s">
        <v>148</v>
      </c>
      <c r="D138" s="178" t="s">
        <v>169</v>
      </c>
      <c r="E138" s="178"/>
      <c r="F138" s="224">
        <v>15100</v>
      </c>
      <c r="G138" s="202">
        <f t="shared" si="2"/>
        <v>29589557</v>
      </c>
      <c r="H138" s="178" t="s">
        <v>49</v>
      </c>
      <c r="I138" s="178" t="s">
        <v>206</v>
      </c>
      <c r="J138" s="184" t="s">
        <v>172</v>
      </c>
      <c r="K138" s="178" t="s">
        <v>324</v>
      </c>
      <c r="L138" s="178" t="s">
        <v>281</v>
      </c>
      <c r="N138" s="177"/>
    </row>
    <row r="139" spans="1:15" ht="15" customHeight="1">
      <c r="A139" s="191">
        <v>44519</v>
      </c>
      <c r="B139" s="178" t="s">
        <v>459</v>
      </c>
      <c r="C139" s="178" t="s">
        <v>148</v>
      </c>
      <c r="D139" s="178" t="s">
        <v>169</v>
      </c>
      <c r="E139" s="178"/>
      <c r="F139" s="224">
        <v>10000</v>
      </c>
      <c r="G139" s="202">
        <f t="shared" si="2"/>
        <v>29579557</v>
      </c>
      <c r="H139" s="178" t="s">
        <v>49</v>
      </c>
      <c r="I139" s="178" t="s">
        <v>206</v>
      </c>
      <c r="J139" s="184" t="s">
        <v>172</v>
      </c>
      <c r="K139" s="178" t="s">
        <v>324</v>
      </c>
      <c r="L139" s="178" t="s">
        <v>281</v>
      </c>
      <c r="N139" s="177"/>
    </row>
    <row r="140" spans="1:15" ht="15" hidden="1" customHeight="1">
      <c r="A140" s="219">
        <v>44519</v>
      </c>
      <c r="B140" s="185" t="s">
        <v>287</v>
      </c>
      <c r="C140" s="178" t="s">
        <v>77</v>
      </c>
      <c r="D140" s="185"/>
      <c r="E140" s="210">
        <v>10000</v>
      </c>
      <c r="F140" s="223"/>
      <c r="G140" s="202">
        <f t="shared" si="2"/>
        <v>29589557</v>
      </c>
      <c r="H140" s="212" t="s">
        <v>156</v>
      </c>
      <c r="I140" s="178"/>
      <c r="N140" s="177"/>
    </row>
    <row r="141" spans="1:15" ht="15" customHeight="1">
      <c r="A141" s="191">
        <v>44519</v>
      </c>
      <c r="B141" s="178" t="s">
        <v>481</v>
      </c>
      <c r="C141" s="178" t="s">
        <v>35</v>
      </c>
      <c r="D141" s="178" t="s">
        <v>5</v>
      </c>
      <c r="E141" s="178"/>
      <c r="F141" s="224">
        <v>10000</v>
      </c>
      <c r="G141" s="202">
        <f t="shared" si="2"/>
        <v>29579557</v>
      </c>
      <c r="H141" s="178" t="s">
        <v>50</v>
      </c>
      <c r="I141" s="184" t="s">
        <v>206</v>
      </c>
      <c r="J141" s="184" t="s">
        <v>104</v>
      </c>
      <c r="K141" s="184" t="s">
        <v>325</v>
      </c>
      <c r="L141" s="178" t="s">
        <v>281</v>
      </c>
      <c r="M141" s="178" t="s">
        <v>396</v>
      </c>
      <c r="N141" s="177" t="s">
        <v>341</v>
      </c>
    </row>
    <row r="142" spans="1:15" ht="15" customHeight="1">
      <c r="A142" s="191">
        <v>44519</v>
      </c>
      <c r="B142" s="178" t="s">
        <v>485</v>
      </c>
      <c r="C142" s="178" t="s">
        <v>35</v>
      </c>
      <c r="D142" s="178" t="s">
        <v>5</v>
      </c>
      <c r="E142" s="178"/>
      <c r="F142" s="225">
        <v>15000</v>
      </c>
      <c r="G142" s="202">
        <f t="shared" si="2"/>
        <v>29564557</v>
      </c>
      <c r="H142" s="178" t="s">
        <v>30</v>
      </c>
      <c r="I142" s="184" t="s">
        <v>206</v>
      </c>
      <c r="J142" s="184" t="s">
        <v>104</v>
      </c>
      <c r="K142" s="184" t="s">
        <v>325</v>
      </c>
      <c r="L142" s="178" t="s">
        <v>281</v>
      </c>
      <c r="M142" s="178" t="s">
        <v>397</v>
      </c>
      <c r="N142" s="177" t="s">
        <v>341</v>
      </c>
    </row>
    <row r="143" spans="1:15" ht="15" hidden="1" customHeight="1">
      <c r="A143" s="219">
        <v>44519</v>
      </c>
      <c r="B143" s="185" t="s">
        <v>287</v>
      </c>
      <c r="C143" s="178" t="s">
        <v>77</v>
      </c>
      <c r="D143" s="185"/>
      <c r="E143" s="210">
        <v>15000</v>
      </c>
      <c r="F143" s="223"/>
      <c r="G143" s="202">
        <f t="shared" si="2"/>
        <v>29579557</v>
      </c>
      <c r="H143" s="211" t="s">
        <v>157</v>
      </c>
      <c r="I143" s="185"/>
      <c r="M143" s="177"/>
      <c r="N143" s="177"/>
    </row>
    <row r="144" spans="1:15" ht="15" hidden="1" customHeight="1">
      <c r="A144" s="220">
        <v>44519</v>
      </c>
      <c r="B144" s="213" t="s">
        <v>317</v>
      </c>
      <c r="C144" s="178" t="s">
        <v>77</v>
      </c>
      <c r="D144" s="214"/>
      <c r="E144" s="215">
        <v>30000</v>
      </c>
      <c r="F144" s="226"/>
      <c r="G144" s="202">
        <f t="shared" ref="G144:G207" si="3">+G143+E144-F144</f>
        <v>29609557</v>
      </c>
      <c r="H144" s="216" t="s">
        <v>204</v>
      </c>
      <c r="I144" s="178"/>
      <c r="J144" s="231"/>
      <c r="K144" s="216"/>
    </row>
    <row r="145" spans="1:14" ht="15" hidden="1" customHeight="1">
      <c r="A145" s="191">
        <v>44520</v>
      </c>
      <c r="B145" s="178" t="s">
        <v>49</v>
      </c>
      <c r="C145" s="178" t="s">
        <v>77</v>
      </c>
      <c r="E145" s="202"/>
      <c r="F145" s="222">
        <v>150000</v>
      </c>
      <c r="G145" s="202">
        <f t="shared" si="3"/>
        <v>29459557</v>
      </c>
      <c r="H145" s="178" t="s">
        <v>26</v>
      </c>
      <c r="I145" s="178"/>
      <c r="N145" s="177"/>
    </row>
    <row r="146" spans="1:14" ht="15" customHeight="1">
      <c r="A146" s="191">
        <v>44520</v>
      </c>
      <c r="B146" s="178" t="s">
        <v>460</v>
      </c>
      <c r="C146" s="178" t="s">
        <v>148</v>
      </c>
      <c r="D146" s="178" t="s">
        <v>169</v>
      </c>
      <c r="E146" s="178"/>
      <c r="F146" s="224">
        <v>4500</v>
      </c>
      <c r="G146" s="202">
        <f t="shared" si="3"/>
        <v>29455057</v>
      </c>
      <c r="H146" s="178" t="s">
        <v>49</v>
      </c>
      <c r="I146" s="178" t="s">
        <v>206</v>
      </c>
      <c r="J146" s="184" t="s">
        <v>172</v>
      </c>
      <c r="K146" s="178" t="s">
        <v>324</v>
      </c>
      <c r="L146" s="178" t="s">
        <v>281</v>
      </c>
      <c r="N146" s="177"/>
    </row>
    <row r="147" spans="1:14" ht="15" customHeight="1">
      <c r="A147" s="191">
        <v>44520</v>
      </c>
      <c r="B147" s="178" t="s">
        <v>461</v>
      </c>
      <c r="C147" s="178" t="s">
        <v>148</v>
      </c>
      <c r="D147" s="178" t="s">
        <v>169</v>
      </c>
      <c r="E147" s="178"/>
      <c r="F147" s="224">
        <v>15000</v>
      </c>
      <c r="G147" s="202">
        <f t="shared" si="3"/>
        <v>29440057</v>
      </c>
      <c r="H147" s="178" t="s">
        <v>49</v>
      </c>
      <c r="I147" s="178" t="s">
        <v>206</v>
      </c>
      <c r="J147" s="184" t="s">
        <v>172</v>
      </c>
      <c r="K147" s="178" t="s">
        <v>324</v>
      </c>
      <c r="L147" s="178" t="s">
        <v>281</v>
      </c>
      <c r="N147" s="177"/>
    </row>
    <row r="148" spans="1:14" ht="15" customHeight="1">
      <c r="A148" s="191">
        <v>44520</v>
      </c>
      <c r="B148" s="178" t="s">
        <v>458</v>
      </c>
      <c r="C148" s="178" t="s">
        <v>148</v>
      </c>
      <c r="D148" s="178" t="s">
        <v>169</v>
      </c>
      <c r="E148" s="178"/>
      <c r="F148" s="224">
        <v>41200</v>
      </c>
      <c r="G148" s="202">
        <f t="shared" si="3"/>
        <v>29398857</v>
      </c>
      <c r="H148" s="178" t="s">
        <v>49</v>
      </c>
      <c r="I148" s="178" t="s">
        <v>206</v>
      </c>
      <c r="J148" s="184" t="s">
        <v>172</v>
      </c>
      <c r="K148" s="178" t="s">
        <v>324</v>
      </c>
      <c r="L148" s="178" t="s">
        <v>281</v>
      </c>
      <c r="N148" s="177"/>
    </row>
    <row r="149" spans="1:14" ht="15" customHeight="1">
      <c r="A149" s="191">
        <v>44520</v>
      </c>
      <c r="B149" s="178" t="s">
        <v>462</v>
      </c>
      <c r="C149" s="178" t="s">
        <v>148</v>
      </c>
      <c r="D149" s="178" t="s">
        <v>169</v>
      </c>
      <c r="E149" s="178"/>
      <c r="F149" s="224">
        <v>2500</v>
      </c>
      <c r="G149" s="202">
        <f t="shared" si="3"/>
        <v>29396357</v>
      </c>
      <c r="H149" s="178" t="s">
        <v>49</v>
      </c>
      <c r="I149" s="178" t="s">
        <v>206</v>
      </c>
      <c r="J149" s="184" t="s">
        <v>172</v>
      </c>
      <c r="K149" s="178" t="s">
        <v>324</v>
      </c>
      <c r="L149" s="178" t="s">
        <v>281</v>
      </c>
      <c r="N149" s="177"/>
    </row>
    <row r="150" spans="1:14" ht="15" customHeight="1">
      <c r="A150" s="191">
        <v>44520</v>
      </c>
      <c r="B150" s="178" t="s">
        <v>463</v>
      </c>
      <c r="C150" s="178" t="s">
        <v>148</v>
      </c>
      <c r="D150" s="178" t="s">
        <v>169</v>
      </c>
      <c r="E150" s="178"/>
      <c r="F150" s="224">
        <v>5000</v>
      </c>
      <c r="G150" s="202">
        <f t="shared" si="3"/>
        <v>29391357</v>
      </c>
      <c r="H150" s="178" t="s">
        <v>49</v>
      </c>
      <c r="I150" s="178" t="s">
        <v>206</v>
      </c>
      <c r="J150" s="184" t="s">
        <v>172</v>
      </c>
      <c r="K150" s="178" t="s">
        <v>324</v>
      </c>
      <c r="L150" s="178" t="s">
        <v>281</v>
      </c>
      <c r="N150" s="177"/>
    </row>
    <row r="151" spans="1:14" ht="15" customHeight="1">
      <c r="A151" s="191">
        <v>44520</v>
      </c>
      <c r="B151" s="178" t="s">
        <v>354</v>
      </c>
      <c r="C151" s="178" t="s">
        <v>162</v>
      </c>
      <c r="D151" s="178" t="s">
        <v>5</v>
      </c>
      <c r="E151" s="178"/>
      <c r="F151" s="224">
        <v>30000</v>
      </c>
      <c r="G151" s="202">
        <f t="shared" si="3"/>
        <v>29361357</v>
      </c>
      <c r="H151" s="178" t="s">
        <v>50</v>
      </c>
      <c r="I151" s="184" t="s">
        <v>206</v>
      </c>
      <c r="J151" s="184" t="s">
        <v>104</v>
      </c>
      <c r="K151" s="178" t="s">
        <v>325</v>
      </c>
      <c r="L151" s="178" t="s">
        <v>281</v>
      </c>
      <c r="M151" s="178" t="s">
        <v>398</v>
      </c>
      <c r="N151" s="177" t="s">
        <v>345</v>
      </c>
    </row>
    <row r="152" spans="1:14" ht="15" customHeight="1">
      <c r="A152" s="191">
        <v>44520</v>
      </c>
      <c r="B152" s="178" t="s">
        <v>351</v>
      </c>
      <c r="C152" s="178" t="s">
        <v>162</v>
      </c>
      <c r="D152" s="178" t="s">
        <v>5</v>
      </c>
      <c r="E152" s="178"/>
      <c r="F152" s="225">
        <v>30000</v>
      </c>
      <c r="G152" s="202">
        <f t="shared" si="3"/>
        <v>29331357</v>
      </c>
      <c r="H152" s="178" t="s">
        <v>30</v>
      </c>
      <c r="I152" s="184" t="s">
        <v>206</v>
      </c>
      <c r="J152" s="184" t="s">
        <v>104</v>
      </c>
      <c r="K152" s="178" t="s">
        <v>325</v>
      </c>
      <c r="L152" s="178" t="s">
        <v>281</v>
      </c>
      <c r="M152" s="178" t="s">
        <v>399</v>
      </c>
      <c r="N152" s="177" t="s">
        <v>345</v>
      </c>
    </row>
    <row r="153" spans="1:14" ht="15" customHeight="1">
      <c r="A153" s="191">
        <v>44521</v>
      </c>
      <c r="B153" s="178" t="s">
        <v>464</v>
      </c>
      <c r="C153" s="178" t="s">
        <v>148</v>
      </c>
      <c r="D153" s="178" t="s">
        <v>169</v>
      </c>
      <c r="E153" s="178"/>
      <c r="F153" s="224">
        <v>1700</v>
      </c>
      <c r="G153" s="202">
        <f t="shared" si="3"/>
        <v>29329657</v>
      </c>
      <c r="H153" s="178" t="s">
        <v>49</v>
      </c>
      <c r="I153" s="178" t="s">
        <v>206</v>
      </c>
      <c r="J153" s="184" t="s">
        <v>172</v>
      </c>
      <c r="K153" s="178" t="s">
        <v>324</v>
      </c>
      <c r="L153" s="178" t="s">
        <v>281</v>
      </c>
      <c r="N153" s="177"/>
    </row>
    <row r="154" spans="1:14" ht="15" hidden="1" customHeight="1">
      <c r="A154" s="191">
        <v>44521</v>
      </c>
      <c r="B154" s="178" t="s">
        <v>280</v>
      </c>
      <c r="C154" s="178" t="s">
        <v>77</v>
      </c>
      <c r="E154" s="178">
        <v>150000</v>
      </c>
      <c r="F154" s="224"/>
      <c r="G154" s="202">
        <f t="shared" si="3"/>
        <v>29479657</v>
      </c>
      <c r="H154" s="178" t="s">
        <v>49</v>
      </c>
      <c r="I154" s="178"/>
      <c r="N154" s="177"/>
    </row>
    <row r="155" spans="1:14" ht="15" customHeight="1">
      <c r="A155" s="191">
        <v>44521</v>
      </c>
      <c r="B155" s="178" t="s">
        <v>465</v>
      </c>
      <c r="C155" s="178" t="s">
        <v>148</v>
      </c>
      <c r="D155" s="178" t="s">
        <v>169</v>
      </c>
      <c r="E155" s="178"/>
      <c r="F155" s="224">
        <v>6475</v>
      </c>
      <c r="G155" s="202">
        <f t="shared" si="3"/>
        <v>29473182</v>
      </c>
      <c r="H155" s="178" t="s">
        <v>49</v>
      </c>
      <c r="I155" s="178" t="s">
        <v>206</v>
      </c>
      <c r="J155" s="184" t="s">
        <v>172</v>
      </c>
      <c r="K155" s="178" t="s">
        <v>324</v>
      </c>
      <c r="L155" s="178" t="s">
        <v>281</v>
      </c>
      <c r="N155" s="177"/>
    </row>
    <row r="156" spans="1:14" ht="15" customHeight="1">
      <c r="A156" s="191">
        <v>44521</v>
      </c>
      <c r="B156" s="178" t="s">
        <v>466</v>
      </c>
      <c r="C156" s="178" t="s">
        <v>148</v>
      </c>
      <c r="D156" s="178" t="s">
        <v>169</v>
      </c>
      <c r="E156" s="178"/>
      <c r="F156" s="224">
        <v>5000</v>
      </c>
      <c r="G156" s="202">
        <f t="shared" si="3"/>
        <v>29468182</v>
      </c>
      <c r="H156" s="178" t="s">
        <v>49</v>
      </c>
      <c r="I156" s="178" t="s">
        <v>206</v>
      </c>
      <c r="J156" s="184" t="s">
        <v>172</v>
      </c>
      <c r="K156" s="178" t="s">
        <v>324</v>
      </c>
      <c r="L156" s="178" t="s">
        <v>281</v>
      </c>
      <c r="N156" s="177"/>
    </row>
    <row r="157" spans="1:14" ht="15" hidden="1" customHeight="1">
      <c r="A157" s="191">
        <v>44522</v>
      </c>
      <c r="B157" s="178" t="s">
        <v>49</v>
      </c>
      <c r="C157" s="178" t="s">
        <v>77</v>
      </c>
      <c r="E157" s="202">
        <v>70000</v>
      </c>
      <c r="F157" s="222"/>
      <c r="G157" s="202">
        <f t="shared" si="3"/>
        <v>29538182</v>
      </c>
      <c r="H157" s="178" t="s">
        <v>26</v>
      </c>
      <c r="I157" s="178"/>
      <c r="N157" s="177"/>
    </row>
    <row r="158" spans="1:14" ht="15" hidden="1" customHeight="1">
      <c r="A158" s="191">
        <v>44522</v>
      </c>
      <c r="B158" s="178" t="s">
        <v>168</v>
      </c>
      <c r="C158" s="178" t="s">
        <v>77</v>
      </c>
      <c r="E158" s="202"/>
      <c r="F158" s="222">
        <v>20000</v>
      </c>
      <c r="G158" s="202">
        <f t="shared" si="3"/>
        <v>29518182</v>
      </c>
      <c r="H158" s="178" t="s">
        <v>26</v>
      </c>
      <c r="I158" s="178"/>
      <c r="N158" s="177"/>
    </row>
    <row r="159" spans="1:14" ht="15" customHeight="1">
      <c r="A159" s="191">
        <v>44522</v>
      </c>
      <c r="B159" s="178" t="s">
        <v>282</v>
      </c>
      <c r="C159" s="178" t="s">
        <v>148</v>
      </c>
      <c r="D159" s="178" t="s">
        <v>169</v>
      </c>
      <c r="E159" s="178"/>
      <c r="F159" s="224">
        <v>30000</v>
      </c>
      <c r="G159" s="202">
        <f t="shared" si="3"/>
        <v>29488182</v>
      </c>
      <c r="H159" s="178" t="s">
        <v>49</v>
      </c>
      <c r="I159" s="178" t="s">
        <v>206</v>
      </c>
      <c r="J159" s="184" t="s">
        <v>172</v>
      </c>
      <c r="K159" s="178" t="s">
        <v>324</v>
      </c>
      <c r="L159" s="178" t="s">
        <v>281</v>
      </c>
      <c r="N159" s="177"/>
    </row>
    <row r="160" spans="1:14" ht="15" customHeight="1">
      <c r="A160" s="191">
        <v>44522</v>
      </c>
      <c r="B160" s="178" t="s">
        <v>457</v>
      </c>
      <c r="C160" s="178" t="s">
        <v>148</v>
      </c>
      <c r="D160" s="178" t="s">
        <v>169</v>
      </c>
      <c r="E160" s="178"/>
      <c r="F160" s="224">
        <v>10000</v>
      </c>
      <c r="G160" s="202">
        <f t="shared" si="3"/>
        <v>29478182</v>
      </c>
      <c r="H160" s="178" t="s">
        <v>49</v>
      </c>
      <c r="I160" s="178" t="s">
        <v>206</v>
      </c>
      <c r="J160" s="184" t="s">
        <v>172</v>
      </c>
      <c r="K160" s="178" t="s">
        <v>324</v>
      </c>
      <c r="L160" s="178" t="s">
        <v>281</v>
      </c>
      <c r="N160" s="177"/>
    </row>
    <row r="161" spans="1:14" ht="15" customHeight="1">
      <c r="A161" s="191">
        <v>44522</v>
      </c>
      <c r="B161" s="178" t="s">
        <v>467</v>
      </c>
      <c r="C161" s="178" t="s">
        <v>148</v>
      </c>
      <c r="D161" s="178" t="s">
        <v>169</v>
      </c>
      <c r="E161" s="178"/>
      <c r="F161" s="224">
        <v>5000</v>
      </c>
      <c r="G161" s="202">
        <f t="shared" si="3"/>
        <v>29473182</v>
      </c>
      <c r="H161" s="178" t="s">
        <v>49</v>
      </c>
      <c r="I161" s="178" t="s">
        <v>206</v>
      </c>
      <c r="J161" s="184" t="s">
        <v>172</v>
      </c>
      <c r="K161" s="178" t="s">
        <v>324</v>
      </c>
      <c r="L161" s="178" t="s">
        <v>281</v>
      </c>
      <c r="N161" s="177"/>
    </row>
    <row r="162" spans="1:14" ht="15" hidden="1" customHeight="1">
      <c r="A162" s="191">
        <v>44522</v>
      </c>
      <c r="B162" s="178" t="s">
        <v>283</v>
      </c>
      <c r="C162" s="178" t="s">
        <v>77</v>
      </c>
      <c r="E162" s="178"/>
      <c r="F162" s="224">
        <v>70000</v>
      </c>
      <c r="G162" s="202">
        <f t="shared" si="3"/>
        <v>29403182</v>
      </c>
      <c r="H162" s="178" t="s">
        <v>49</v>
      </c>
      <c r="I162" s="178"/>
      <c r="N162" s="177"/>
    </row>
    <row r="163" spans="1:14" ht="15" hidden="1" customHeight="1">
      <c r="A163" s="219">
        <v>44522</v>
      </c>
      <c r="B163" s="185" t="s">
        <v>287</v>
      </c>
      <c r="C163" s="178" t="s">
        <v>77</v>
      </c>
      <c r="D163" s="185"/>
      <c r="E163" s="210">
        <v>20000</v>
      </c>
      <c r="F163" s="223"/>
      <c r="G163" s="202">
        <f t="shared" si="3"/>
        <v>29423182</v>
      </c>
      <c r="H163" s="212" t="s">
        <v>168</v>
      </c>
      <c r="I163" s="178"/>
      <c r="J163" s="230"/>
      <c r="K163" s="212"/>
      <c r="N163" s="177"/>
    </row>
    <row r="164" spans="1:14" ht="15" customHeight="1">
      <c r="A164" s="191">
        <v>44523</v>
      </c>
      <c r="B164" s="178" t="s">
        <v>225</v>
      </c>
      <c r="C164" s="178" t="s">
        <v>158</v>
      </c>
      <c r="D164" s="178" t="s">
        <v>263</v>
      </c>
      <c r="E164" s="202"/>
      <c r="F164" s="222">
        <v>200000</v>
      </c>
      <c r="G164" s="202">
        <f t="shared" si="3"/>
        <v>29223182</v>
      </c>
      <c r="H164" s="178" t="s">
        <v>26</v>
      </c>
      <c r="I164" s="184" t="s">
        <v>206</v>
      </c>
      <c r="J164" s="221" t="s">
        <v>104</v>
      </c>
      <c r="K164" s="178" t="s">
        <v>325</v>
      </c>
      <c r="L164" s="178" t="s">
        <v>281</v>
      </c>
      <c r="M164" s="178" t="s">
        <v>400</v>
      </c>
      <c r="N164" s="177" t="s">
        <v>328</v>
      </c>
    </row>
    <row r="165" spans="1:14" ht="15" customHeight="1">
      <c r="A165" s="191">
        <v>44523</v>
      </c>
      <c r="B165" s="178" t="s">
        <v>226</v>
      </c>
      <c r="C165" s="178" t="s">
        <v>36</v>
      </c>
      <c r="D165" s="178" t="s">
        <v>263</v>
      </c>
      <c r="E165" s="202"/>
      <c r="F165" s="222">
        <v>60000</v>
      </c>
      <c r="G165" s="202">
        <f t="shared" si="3"/>
        <v>29163182</v>
      </c>
      <c r="H165" s="178" t="s">
        <v>26</v>
      </c>
      <c r="I165" s="184" t="s">
        <v>206</v>
      </c>
      <c r="J165" s="184" t="s">
        <v>104</v>
      </c>
      <c r="K165" s="178" t="s">
        <v>325</v>
      </c>
      <c r="L165" s="178" t="s">
        <v>281</v>
      </c>
      <c r="M165" s="178" t="s">
        <v>401</v>
      </c>
      <c r="N165" s="177" t="s">
        <v>332</v>
      </c>
    </row>
    <row r="166" spans="1:14" ht="15" hidden="1" customHeight="1">
      <c r="A166" s="191">
        <v>44523</v>
      </c>
      <c r="B166" s="178" t="s">
        <v>184</v>
      </c>
      <c r="C166" s="178" t="s">
        <v>77</v>
      </c>
      <c r="D166" s="202"/>
      <c r="E166" s="202"/>
      <c r="F166" s="222">
        <v>8000</v>
      </c>
      <c r="G166" s="202">
        <f t="shared" si="3"/>
        <v>29155182</v>
      </c>
      <c r="H166" s="178" t="s">
        <v>26</v>
      </c>
      <c r="I166" s="178"/>
      <c r="N166" s="177"/>
    </row>
    <row r="167" spans="1:14" ht="15" customHeight="1">
      <c r="A167" s="191">
        <v>44523</v>
      </c>
      <c r="B167" s="178" t="s">
        <v>227</v>
      </c>
      <c r="C167" s="178" t="s">
        <v>173</v>
      </c>
      <c r="D167" s="178" t="s">
        <v>5</v>
      </c>
      <c r="E167" s="202"/>
      <c r="F167" s="222">
        <v>5000</v>
      </c>
      <c r="G167" s="202">
        <f t="shared" si="3"/>
        <v>29150182</v>
      </c>
      <c r="H167" s="178" t="s">
        <v>26</v>
      </c>
      <c r="I167" s="178" t="s">
        <v>206</v>
      </c>
      <c r="J167" s="184" t="s">
        <v>172</v>
      </c>
      <c r="K167" s="178" t="s">
        <v>324</v>
      </c>
      <c r="L167" s="178" t="s">
        <v>281</v>
      </c>
      <c r="N167" s="177"/>
    </row>
    <row r="168" spans="1:14" ht="15" hidden="1" customHeight="1">
      <c r="A168" s="191">
        <v>44523</v>
      </c>
      <c r="B168" s="178" t="s">
        <v>298</v>
      </c>
      <c r="C168" s="178" t="s">
        <v>77</v>
      </c>
      <c r="D168" s="213"/>
      <c r="E168" s="178">
        <v>8000</v>
      </c>
      <c r="F168" s="224"/>
      <c r="G168" s="202">
        <f t="shared" si="3"/>
        <v>29158182</v>
      </c>
      <c r="H168" s="178" t="s">
        <v>50</v>
      </c>
      <c r="I168" s="178"/>
      <c r="M168" s="177"/>
      <c r="N168" s="177"/>
    </row>
    <row r="169" spans="1:14" ht="15" hidden="1" customHeight="1">
      <c r="A169" s="191">
        <v>44524</v>
      </c>
      <c r="B169" s="178" t="s">
        <v>156</v>
      </c>
      <c r="C169" s="178" t="s">
        <v>77</v>
      </c>
      <c r="D169" s="202"/>
      <c r="E169" s="202"/>
      <c r="F169" s="222">
        <v>10000</v>
      </c>
      <c r="G169" s="202">
        <f t="shared" si="3"/>
        <v>29148182</v>
      </c>
      <c r="H169" s="178" t="s">
        <v>26</v>
      </c>
      <c r="I169" s="178"/>
      <c r="N169" s="177"/>
    </row>
    <row r="170" spans="1:14" ht="15" hidden="1" customHeight="1">
      <c r="A170" s="191">
        <v>44524</v>
      </c>
      <c r="B170" s="178" t="s">
        <v>168</v>
      </c>
      <c r="C170" s="178" t="s">
        <v>77</v>
      </c>
      <c r="D170" s="202"/>
      <c r="E170" s="202"/>
      <c r="F170" s="222">
        <v>84000</v>
      </c>
      <c r="G170" s="202">
        <f t="shared" si="3"/>
        <v>29064182</v>
      </c>
      <c r="H170" s="178" t="s">
        <v>26</v>
      </c>
      <c r="I170" s="178"/>
      <c r="N170" s="177"/>
    </row>
    <row r="171" spans="1:14" ht="15" customHeight="1">
      <c r="A171" s="191">
        <v>44524</v>
      </c>
      <c r="B171" s="178" t="s">
        <v>228</v>
      </c>
      <c r="C171" s="178" t="s">
        <v>147</v>
      </c>
      <c r="D171" s="178" t="s">
        <v>169</v>
      </c>
      <c r="E171" s="202"/>
      <c r="F171" s="222">
        <v>76000</v>
      </c>
      <c r="G171" s="202">
        <f t="shared" si="3"/>
        <v>28988182</v>
      </c>
      <c r="H171" s="178" t="s">
        <v>26</v>
      </c>
      <c r="I171" s="184" t="s">
        <v>206</v>
      </c>
      <c r="J171" s="184" t="s">
        <v>104</v>
      </c>
      <c r="K171" s="178" t="s">
        <v>325</v>
      </c>
      <c r="L171" s="178" t="s">
        <v>281</v>
      </c>
      <c r="M171" s="178" t="s">
        <v>402</v>
      </c>
      <c r="N171" s="177" t="s">
        <v>330</v>
      </c>
    </row>
    <row r="172" spans="1:14" ht="15" hidden="1" customHeight="1">
      <c r="A172" s="191">
        <v>44524</v>
      </c>
      <c r="B172" s="178" t="s">
        <v>204</v>
      </c>
      <c r="C172" s="178" t="s">
        <v>77</v>
      </c>
      <c r="D172" s="202"/>
      <c r="E172" s="202"/>
      <c r="F172" s="222">
        <v>15000</v>
      </c>
      <c r="G172" s="202">
        <f t="shared" si="3"/>
        <v>28973182</v>
      </c>
      <c r="H172" s="178" t="s">
        <v>26</v>
      </c>
      <c r="I172" s="178"/>
      <c r="N172" s="177"/>
    </row>
    <row r="173" spans="1:14" ht="15" hidden="1" customHeight="1">
      <c r="A173" s="191">
        <v>44524</v>
      </c>
      <c r="B173" s="178" t="s">
        <v>30</v>
      </c>
      <c r="C173" s="178" t="s">
        <v>77</v>
      </c>
      <c r="E173" s="202"/>
      <c r="F173" s="222">
        <v>15000</v>
      </c>
      <c r="G173" s="202">
        <f t="shared" si="3"/>
        <v>28958182</v>
      </c>
      <c r="H173" s="178" t="s">
        <v>26</v>
      </c>
      <c r="I173" s="178"/>
      <c r="N173" s="177"/>
    </row>
    <row r="174" spans="1:14" ht="15" customHeight="1">
      <c r="A174" s="191">
        <v>44524</v>
      </c>
      <c r="B174" s="178" t="s">
        <v>229</v>
      </c>
      <c r="C174" s="178" t="s">
        <v>36</v>
      </c>
      <c r="D174" s="178" t="s">
        <v>263</v>
      </c>
      <c r="E174" s="202"/>
      <c r="F174" s="222">
        <v>27500</v>
      </c>
      <c r="G174" s="202">
        <f t="shared" si="3"/>
        <v>28930682</v>
      </c>
      <c r="H174" s="178" t="s">
        <v>26</v>
      </c>
      <c r="I174" s="184" t="s">
        <v>206</v>
      </c>
      <c r="J174" s="184" t="s">
        <v>104</v>
      </c>
      <c r="K174" s="178" t="s">
        <v>325</v>
      </c>
      <c r="L174" s="178" t="s">
        <v>281</v>
      </c>
      <c r="M174" s="178" t="s">
        <v>403</v>
      </c>
      <c r="N174" s="177" t="s">
        <v>332</v>
      </c>
    </row>
    <row r="175" spans="1:14" ht="15" customHeight="1">
      <c r="A175" s="191">
        <v>44524</v>
      </c>
      <c r="B175" s="178" t="s">
        <v>230</v>
      </c>
      <c r="C175" s="178" t="s">
        <v>36</v>
      </c>
      <c r="D175" s="178" t="s">
        <v>263</v>
      </c>
      <c r="E175" s="202"/>
      <c r="F175" s="222">
        <v>4000</v>
      </c>
      <c r="G175" s="202">
        <f t="shared" si="3"/>
        <v>28926682</v>
      </c>
      <c r="H175" s="178" t="s">
        <v>26</v>
      </c>
      <c r="I175" s="184" t="s">
        <v>206</v>
      </c>
      <c r="J175" s="184" t="s">
        <v>104</v>
      </c>
      <c r="K175" s="178" t="s">
        <v>325</v>
      </c>
      <c r="L175" s="178" t="s">
        <v>281</v>
      </c>
      <c r="M175" s="178" t="s">
        <v>404</v>
      </c>
      <c r="N175" s="177" t="s">
        <v>332</v>
      </c>
    </row>
    <row r="176" spans="1:14" ht="15" hidden="1" customHeight="1">
      <c r="A176" s="219">
        <v>44524</v>
      </c>
      <c r="B176" s="185" t="s">
        <v>287</v>
      </c>
      <c r="C176" s="178" t="s">
        <v>77</v>
      </c>
      <c r="D176" s="185"/>
      <c r="E176" s="210">
        <v>10000</v>
      </c>
      <c r="F176" s="223"/>
      <c r="G176" s="202">
        <f t="shared" si="3"/>
        <v>28936682</v>
      </c>
      <c r="H176" s="212" t="s">
        <v>156</v>
      </c>
      <c r="I176" s="178"/>
      <c r="J176" s="221"/>
      <c r="N176" s="177"/>
    </row>
    <row r="177" spans="1:15" ht="15" hidden="1" customHeight="1">
      <c r="A177" s="191">
        <v>44524</v>
      </c>
      <c r="B177" s="178" t="s">
        <v>321</v>
      </c>
      <c r="C177" s="178" t="s">
        <v>77</v>
      </c>
      <c r="E177" s="178">
        <v>15000</v>
      </c>
      <c r="F177" s="225"/>
      <c r="G177" s="202">
        <f t="shared" si="3"/>
        <v>28951682</v>
      </c>
      <c r="H177" s="178" t="s">
        <v>30</v>
      </c>
      <c r="I177" s="178"/>
      <c r="M177" s="177"/>
      <c r="N177" s="177"/>
    </row>
    <row r="178" spans="1:15" ht="15" hidden="1" customHeight="1">
      <c r="A178" s="219">
        <v>44524</v>
      </c>
      <c r="B178" s="185" t="s">
        <v>309</v>
      </c>
      <c r="C178" s="178" t="s">
        <v>77</v>
      </c>
      <c r="D178" s="185"/>
      <c r="E178" s="210">
        <v>84000</v>
      </c>
      <c r="F178" s="223"/>
      <c r="G178" s="202">
        <f t="shared" si="3"/>
        <v>29035682</v>
      </c>
      <c r="H178" s="212" t="s">
        <v>168</v>
      </c>
      <c r="I178" s="178"/>
      <c r="J178" s="230"/>
      <c r="K178" s="212"/>
      <c r="N178" s="177"/>
    </row>
    <row r="179" spans="1:15" ht="15" customHeight="1">
      <c r="A179" s="219">
        <v>44524</v>
      </c>
      <c r="B179" s="185" t="s">
        <v>469</v>
      </c>
      <c r="C179" s="185" t="s">
        <v>35</v>
      </c>
      <c r="D179" s="178" t="s">
        <v>169</v>
      </c>
      <c r="E179" s="210"/>
      <c r="F179" s="223">
        <v>10000</v>
      </c>
      <c r="G179" s="202">
        <f t="shared" si="3"/>
        <v>29025682</v>
      </c>
      <c r="H179" s="212" t="s">
        <v>168</v>
      </c>
      <c r="I179" s="178" t="s">
        <v>206</v>
      </c>
      <c r="J179" s="184" t="s">
        <v>172</v>
      </c>
      <c r="K179" s="184" t="s">
        <v>324</v>
      </c>
      <c r="L179" s="178" t="s">
        <v>281</v>
      </c>
      <c r="N179" s="177"/>
    </row>
    <row r="180" spans="1:15" ht="15" hidden="1" customHeight="1">
      <c r="A180" s="220">
        <v>44524</v>
      </c>
      <c r="B180" s="214" t="s">
        <v>317</v>
      </c>
      <c r="C180" s="178" t="s">
        <v>77</v>
      </c>
      <c r="D180" s="214"/>
      <c r="E180" s="215">
        <v>15000</v>
      </c>
      <c r="F180" s="226"/>
      <c r="G180" s="202">
        <f t="shared" si="3"/>
        <v>29040682</v>
      </c>
      <c r="H180" s="216" t="s">
        <v>204</v>
      </c>
      <c r="I180" s="178"/>
      <c r="J180" s="231"/>
      <c r="K180" s="216"/>
    </row>
    <row r="181" spans="1:15" ht="15" hidden="1" customHeight="1">
      <c r="A181" s="191">
        <v>44525</v>
      </c>
      <c r="B181" s="178" t="s">
        <v>184</v>
      </c>
      <c r="C181" s="178" t="s">
        <v>77</v>
      </c>
      <c r="E181" s="202"/>
      <c r="F181" s="222">
        <v>25000</v>
      </c>
      <c r="G181" s="202">
        <f t="shared" si="3"/>
        <v>29015682</v>
      </c>
      <c r="H181" s="178" t="s">
        <v>26</v>
      </c>
      <c r="I181" s="178"/>
      <c r="N181" s="177"/>
    </row>
    <row r="182" spans="1:15" ht="15" hidden="1" customHeight="1">
      <c r="A182" s="191">
        <v>44525</v>
      </c>
      <c r="B182" s="178" t="s">
        <v>30</v>
      </c>
      <c r="C182" s="178" t="s">
        <v>77</v>
      </c>
      <c r="E182" s="202"/>
      <c r="F182" s="222">
        <v>11000</v>
      </c>
      <c r="G182" s="202">
        <f t="shared" si="3"/>
        <v>29004682</v>
      </c>
      <c r="H182" s="178" t="s">
        <v>26</v>
      </c>
      <c r="I182" s="178"/>
      <c r="N182" s="177"/>
    </row>
    <row r="183" spans="1:15" ht="15" hidden="1" customHeight="1">
      <c r="A183" s="191">
        <v>44525</v>
      </c>
      <c r="B183" s="178" t="s">
        <v>30</v>
      </c>
      <c r="C183" s="178" t="s">
        <v>77</v>
      </c>
      <c r="E183" s="202"/>
      <c r="F183" s="222">
        <v>10000</v>
      </c>
      <c r="G183" s="202">
        <f t="shared" si="3"/>
        <v>28994682</v>
      </c>
      <c r="H183" s="178" t="s">
        <v>26</v>
      </c>
      <c r="I183" s="178"/>
      <c r="N183" s="177"/>
    </row>
    <row r="184" spans="1:15" ht="15" customHeight="1">
      <c r="A184" s="191">
        <v>44525</v>
      </c>
      <c r="B184" s="178" t="s">
        <v>231</v>
      </c>
      <c r="C184" s="178" t="s">
        <v>36</v>
      </c>
      <c r="D184" s="178" t="s">
        <v>263</v>
      </c>
      <c r="E184" s="202"/>
      <c r="F184" s="222">
        <v>13500</v>
      </c>
      <c r="G184" s="202">
        <f t="shared" si="3"/>
        <v>28981182</v>
      </c>
      <c r="H184" s="178" t="s">
        <v>26</v>
      </c>
      <c r="I184" s="178" t="s">
        <v>206</v>
      </c>
      <c r="J184" s="184" t="s">
        <v>172</v>
      </c>
      <c r="K184" s="178" t="s">
        <v>324</v>
      </c>
      <c r="L184" s="178" t="s">
        <v>281</v>
      </c>
      <c r="N184" s="177"/>
    </row>
    <row r="185" spans="1:15" ht="14.25" customHeight="1">
      <c r="A185" s="191">
        <v>44525</v>
      </c>
      <c r="B185" s="178" t="s">
        <v>232</v>
      </c>
      <c r="C185" s="178" t="s">
        <v>202</v>
      </c>
      <c r="D185" s="178" t="s">
        <v>3</v>
      </c>
      <c r="E185" s="202"/>
      <c r="F185" s="222">
        <v>57333</v>
      </c>
      <c r="G185" s="202">
        <f t="shared" si="3"/>
        <v>28923849</v>
      </c>
      <c r="H185" s="178" t="s">
        <v>26</v>
      </c>
      <c r="I185" s="178" t="s">
        <v>207</v>
      </c>
      <c r="J185" s="184" t="s">
        <v>172</v>
      </c>
      <c r="K185" s="178" t="s">
        <v>324</v>
      </c>
      <c r="L185" s="178" t="s">
        <v>281</v>
      </c>
      <c r="N185" s="177"/>
    </row>
    <row r="186" spans="1:15" ht="15" hidden="1" customHeight="1">
      <c r="A186" s="191">
        <v>44525</v>
      </c>
      <c r="B186" s="178" t="s">
        <v>233</v>
      </c>
      <c r="C186" s="178" t="s">
        <v>77</v>
      </c>
      <c r="E186" s="202">
        <v>2000000</v>
      </c>
      <c r="F186" s="222"/>
      <c r="G186" s="202">
        <f t="shared" si="3"/>
        <v>30923849</v>
      </c>
      <c r="H186" s="178" t="s">
        <v>26</v>
      </c>
      <c r="I186" s="178"/>
      <c r="N186" s="177"/>
    </row>
    <row r="187" spans="1:15" ht="15" hidden="1" customHeight="1">
      <c r="A187" s="191">
        <v>44525</v>
      </c>
      <c r="B187" s="178" t="s">
        <v>204</v>
      </c>
      <c r="C187" s="178" t="s">
        <v>77</v>
      </c>
      <c r="E187" s="202"/>
      <c r="F187" s="222">
        <v>11500</v>
      </c>
      <c r="G187" s="202">
        <f t="shared" si="3"/>
        <v>30912349</v>
      </c>
      <c r="H187" s="178" t="s">
        <v>26</v>
      </c>
      <c r="I187" s="178"/>
      <c r="N187" s="177"/>
    </row>
    <row r="188" spans="1:15" ht="15" hidden="1" customHeight="1">
      <c r="A188" s="218">
        <v>44525</v>
      </c>
      <c r="B188" s="184" t="s">
        <v>272</v>
      </c>
      <c r="C188" s="178" t="s">
        <v>77</v>
      </c>
      <c r="D188" s="203"/>
      <c r="E188" s="200"/>
      <c r="F188" s="222">
        <v>2000000</v>
      </c>
      <c r="G188" s="202">
        <f t="shared" si="3"/>
        <v>28912349</v>
      </c>
      <c r="H188" s="178" t="s">
        <v>163</v>
      </c>
      <c r="I188" s="177"/>
      <c r="N188" s="177"/>
      <c r="O188" s="177"/>
    </row>
    <row r="189" spans="1:15" ht="15" customHeight="1">
      <c r="A189" s="218">
        <v>44525</v>
      </c>
      <c r="B189" s="184" t="s">
        <v>273</v>
      </c>
      <c r="C189" s="178" t="s">
        <v>202</v>
      </c>
      <c r="D189" s="178" t="s">
        <v>3</v>
      </c>
      <c r="E189" s="200"/>
      <c r="F189" s="222">
        <v>350000</v>
      </c>
      <c r="G189" s="202">
        <f t="shared" si="3"/>
        <v>28562349</v>
      </c>
      <c r="H189" s="178" t="s">
        <v>163</v>
      </c>
      <c r="I189" s="184">
        <v>3643560</v>
      </c>
      <c r="J189" s="221" t="s">
        <v>104</v>
      </c>
      <c r="K189" s="178" t="s">
        <v>325</v>
      </c>
      <c r="L189" s="178" t="s">
        <v>281</v>
      </c>
      <c r="M189" s="178" t="s">
        <v>405</v>
      </c>
      <c r="N189" s="177" t="s">
        <v>335</v>
      </c>
    </row>
    <row r="190" spans="1:15" ht="15" customHeight="1">
      <c r="A190" s="218">
        <v>44525</v>
      </c>
      <c r="B190" s="184" t="s">
        <v>274</v>
      </c>
      <c r="C190" s="178" t="s">
        <v>202</v>
      </c>
      <c r="D190" s="178" t="s">
        <v>169</v>
      </c>
      <c r="E190" s="200"/>
      <c r="F190" s="222">
        <v>357982</v>
      </c>
      <c r="G190" s="202">
        <f t="shared" si="3"/>
        <v>28204367</v>
      </c>
      <c r="H190" s="178" t="s">
        <v>163</v>
      </c>
      <c r="I190" s="184">
        <v>3643561</v>
      </c>
      <c r="J190" s="221" t="s">
        <v>104</v>
      </c>
      <c r="K190" s="178" t="s">
        <v>325</v>
      </c>
      <c r="L190" s="178" t="s">
        <v>281</v>
      </c>
      <c r="M190" s="178" t="s">
        <v>406</v>
      </c>
      <c r="N190" s="177" t="s">
        <v>336</v>
      </c>
    </row>
    <row r="191" spans="1:15" ht="15" customHeight="1">
      <c r="A191" s="218">
        <v>44525</v>
      </c>
      <c r="B191" s="184" t="s">
        <v>275</v>
      </c>
      <c r="C191" s="178" t="s">
        <v>202</v>
      </c>
      <c r="D191" s="178" t="s">
        <v>171</v>
      </c>
      <c r="E191" s="200"/>
      <c r="F191" s="222">
        <v>234309</v>
      </c>
      <c r="G191" s="202">
        <f t="shared" si="3"/>
        <v>27970058</v>
      </c>
      <c r="H191" s="178" t="s">
        <v>163</v>
      </c>
      <c r="I191" s="184">
        <v>3643562</v>
      </c>
      <c r="J191" s="221" t="s">
        <v>104</v>
      </c>
      <c r="K191" s="178" t="s">
        <v>325</v>
      </c>
      <c r="L191" s="178" t="s">
        <v>281</v>
      </c>
      <c r="M191" s="178" t="s">
        <v>407</v>
      </c>
      <c r="N191" s="177" t="s">
        <v>337</v>
      </c>
    </row>
    <row r="192" spans="1:15" ht="15" customHeight="1">
      <c r="A192" s="218">
        <v>44525</v>
      </c>
      <c r="B192" s="184" t="s">
        <v>276</v>
      </c>
      <c r="C192" s="178" t="s">
        <v>202</v>
      </c>
      <c r="D192" s="178" t="s">
        <v>169</v>
      </c>
      <c r="E192" s="200"/>
      <c r="F192" s="222">
        <v>96800</v>
      </c>
      <c r="G192" s="202">
        <f t="shared" si="3"/>
        <v>27873258</v>
      </c>
      <c r="H192" s="178" t="s">
        <v>163</v>
      </c>
      <c r="I192" s="184">
        <v>3643563</v>
      </c>
      <c r="J192" s="221" t="s">
        <v>104</v>
      </c>
      <c r="K192" s="178" t="s">
        <v>325</v>
      </c>
      <c r="L192" s="178" t="s">
        <v>281</v>
      </c>
      <c r="M192" s="178" t="s">
        <v>408</v>
      </c>
      <c r="N192" s="177" t="s">
        <v>336</v>
      </c>
    </row>
    <row r="193" spans="1:14" ht="15" customHeight="1">
      <c r="A193" s="218">
        <v>44525</v>
      </c>
      <c r="B193" s="184" t="s">
        <v>265</v>
      </c>
      <c r="C193" s="178" t="s">
        <v>202</v>
      </c>
      <c r="D193" s="178" t="s">
        <v>3</v>
      </c>
      <c r="E193" s="200"/>
      <c r="F193" s="222">
        <v>509927</v>
      </c>
      <c r="G193" s="202">
        <f t="shared" si="3"/>
        <v>27363331</v>
      </c>
      <c r="H193" s="178" t="s">
        <v>163</v>
      </c>
      <c r="I193" s="184">
        <v>3643564</v>
      </c>
      <c r="J193" s="221" t="s">
        <v>104</v>
      </c>
      <c r="K193" s="178" t="s">
        <v>325</v>
      </c>
      <c r="L193" s="178" t="s">
        <v>281</v>
      </c>
      <c r="M193" s="178" t="s">
        <v>409</v>
      </c>
      <c r="N193" s="177" t="s">
        <v>335</v>
      </c>
    </row>
    <row r="194" spans="1:14" ht="15" customHeight="1">
      <c r="A194" s="218">
        <v>44525</v>
      </c>
      <c r="B194" s="184" t="s">
        <v>266</v>
      </c>
      <c r="C194" s="178" t="s">
        <v>202</v>
      </c>
      <c r="D194" s="178" t="s">
        <v>3</v>
      </c>
      <c r="E194" s="200"/>
      <c r="F194" s="222">
        <v>1311914</v>
      </c>
      <c r="G194" s="202">
        <f t="shared" si="3"/>
        <v>26051417</v>
      </c>
      <c r="H194" s="178" t="s">
        <v>163</v>
      </c>
      <c r="I194" s="184">
        <v>3643566</v>
      </c>
      <c r="J194" s="221" t="s">
        <v>104</v>
      </c>
      <c r="K194" s="178" t="s">
        <v>325</v>
      </c>
      <c r="L194" s="178" t="s">
        <v>281</v>
      </c>
      <c r="M194" s="178" t="s">
        <v>410</v>
      </c>
      <c r="N194" s="177" t="s">
        <v>338</v>
      </c>
    </row>
    <row r="195" spans="1:14" ht="15" hidden="1" customHeight="1">
      <c r="A195" s="191">
        <v>44525</v>
      </c>
      <c r="B195" s="178" t="s">
        <v>298</v>
      </c>
      <c r="C195" s="178" t="s">
        <v>77</v>
      </c>
      <c r="D195" s="213"/>
      <c r="E195" s="178">
        <v>25000</v>
      </c>
      <c r="F195" s="224"/>
      <c r="G195" s="202">
        <f t="shared" si="3"/>
        <v>26076417</v>
      </c>
      <c r="H195" s="178" t="s">
        <v>50</v>
      </c>
      <c r="I195" s="178"/>
      <c r="N195" s="177"/>
    </row>
    <row r="196" spans="1:14" ht="15" customHeight="1">
      <c r="A196" s="191">
        <v>44525</v>
      </c>
      <c r="B196" s="178" t="s">
        <v>299</v>
      </c>
      <c r="C196" s="178" t="s">
        <v>238</v>
      </c>
      <c r="D196" s="178" t="s">
        <v>5</v>
      </c>
      <c r="E196" s="178"/>
      <c r="F196" s="224">
        <v>57500</v>
      </c>
      <c r="G196" s="202">
        <f t="shared" si="3"/>
        <v>26018917</v>
      </c>
      <c r="H196" s="178" t="s">
        <v>50</v>
      </c>
      <c r="I196" s="178" t="s">
        <v>206</v>
      </c>
      <c r="J196" s="184" t="s">
        <v>172</v>
      </c>
      <c r="K196" s="184" t="s">
        <v>324</v>
      </c>
      <c r="L196" s="178" t="s">
        <v>281</v>
      </c>
      <c r="N196" s="177"/>
    </row>
    <row r="197" spans="1:14" ht="15" hidden="1" customHeight="1">
      <c r="A197" s="191">
        <v>44525</v>
      </c>
      <c r="B197" s="178" t="s">
        <v>301</v>
      </c>
      <c r="C197" s="178" t="s">
        <v>77</v>
      </c>
      <c r="E197" s="178">
        <v>21000</v>
      </c>
      <c r="F197" s="225"/>
      <c r="G197" s="202">
        <f t="shared" si="3"/>
        <v>26039917</v>
      </c>
      <c r="H197" s="178" t="s">
        <v>30</v>
      </c>
      <c r="I197" s="178"/>
      <c r="M197" s="177"/>
      <c r="N197" s="177"/>
    </row>
    <row r="198" spans="1:14" ht="15" hidden="1" customHeight="1">
      <c r="A198" s="220">
        <v>44525</v>
      </c>
      <c r="B198" s="178" t="s">
        <v>317</v>
      </c>
      <c r="C198" s="178" t="s">
        <v>77</v>
      </c>
      <c r="D198" s="214"/>
      <c r="E198" s="215">
        <v>11500</v>
      </c>
      <c r="F198" s="226"/>
      <c r="G198" s="202">
        <f t="shared" si="3"/>
        <v>26051417</v>
      </c>
      <c r="H198" s="216" t="s">
        <v>204</v>
      </c>
      <c r="I198" s="178"/>
      <c r="J198" s="231"/>
      <c r="K198" s="216"/>
    </row>
    <row r="199" spans="1:14" ht="15" customHeight="1">
      <c r="A199" s="219">
        <v>44525</v>
      </c>
      <c r="B199" s="185" t="s">
        <v>446</v>
      </c>
      <c r="C199" s="185" t="s">
        <v>308</v>
      </c>
      <c r="D199" s="178" t="s">
        <v>169</v>
      </c>
      <c r="E199" s="210"/>
      <c r="F199" s="223">
        <v>20000</v>
      </c>
      <c r="G199" s="202">
        <f t="shared" si="3"/>
        <v>26031417</v>
      </c>
      <c r="H199" s="212" t="s">
        <v>168</v>
      </c>
      <c r="I199" s="178" t="s">
        <v>207</v>
      </c>
      <c r="J199" s="184" t="s">
        <v>172</v>
      </c>
      <c r="K199" s="184" t="s">
        <v>324</v>
      </c>
      <c r="L199" s="178" t="s">
        <v>281</v>
      </c>
      <c r="N199" s="177"/>
    </row>
    <row r="200" spans="1:14" ht="15" customHeight="1">
      <c r="A200" s="191">
        <v>44526</v>
      </c>
      <c r="B200" s="178" t="s">
        <v>234</v>
      </c>
      <c r="C200" s="178" t="s">
        <v>141</v>
      </c>
      <c r="D200" s="178" t="s">
        <v>263</v>
      </c>
      <c r="E200" s="202"/>
      <c r="F200" s="222">
        <v>89175</v>
      </c>
      <c r="G200" s="202">
        <f t="shared" si="3"/>
        <v>25942242</v>
      </c>
      <c r="H200" s="178" t="s">
        <v>26</v>
      </c>
      <c r="I200" s="184" t="s">
        <v>206</v>
      </c>
      <c r="J200" s="184" t="s">
        <v>104</v>
      </c>
      <c r="K200" s="178" t="s">
        <v>325</v>
      </c>
      <c r="L200" s="178" t="s">
        <v>281</v>
      </c>
      <c r="M200" s="178" t="s">
        <v>411</v>
      </c>
      <c r="N200" s="177" t="s">
        <v>329</v>
      </c>
    </row>
    <row r="201" spans="1:14" ht="15" hidden="1" customHeight="1">
      <c r="A201" s="191">
        <v>44526</v>
      </c>
      <c r="B201" s="178" t="s">
        <v>32</v>
      </c>
      <c r="C201" s="178" t="s">
        <v>77</v>
      </c>
      <c r="E201" s="202"/>
      <c r="F201" s="222">
        <v>10500</v>
      </c>
      <c r="G201" s="202">
        <f t="shared" si="3"/>
        <v>25931742</v>
      </c>
      <c r="H201" s="178" t="s">
        <v>26</v>
      </c>
      <c r="I201" s="178"/>
      <c r="N201" s="177"/>
    </row>
    <row r="202" spans="1:14" ht="15.75" customHeight="1">
      <c r="A202" s="191">
        <v>44526</v>
      </c>
      <c r="B202" s="178" t="s">
        <v>327</v>
      </c>
      <c r="C202" s="178" t="s">
        <v>170</v>
      </c>
      <c r="D202" s="178" t="s">
        <v>171</v>
      </c>
      <c r="E202" s="202"/>
      <c r="F202" s="222">
        <v>29000</v>
      </c>
      <c r="G202" s="202">
        <f t="shared" si="3"/>
        <v>25902742</v>
      </c>
      <c r="H202" s="178" t="s">
        <v>26</v>
      </c>
      <c r="I202" s="178" t="s">
        <v>207</v>
      </c>
      <c r="J202" s="184" t="s">
        <v>172</v>
      </c>
      <c r="K202" s="178" t="s">
        <v>324</v>
      </c>
      <c r="L202" s="178" t="s">
        <v>281</v>
      </c>
      <c r="N202" s="177"/>
    </row>
    <row r="203" spans="1:14" ht="15.75" customHeight="1">
      <c r="A203" s="191">
        <v>44526</v>
      </c>
      <c r="B203" s="178" t="s">
        <v>235</v>
      </c>
      <c r="C203" s="178" t="s">
        <v>36</v>
      </c>
      <c r="D203" s="178" t="s">
        <v>263</v>
      </c>
      <c r="E203" s="202"/>
      <c r="F203" s="222">
        <v>10000</v>
      </c>
      <c r="G203" s="202">
        <f t="shared" si="3"/>
        <v>25892742</v>
      </c>
      <c r="H203" s="178" t="s">
        <v>26</v>
      </c>
      <c r="I203" s="178" t="s">
        <v>206</v>
      </c>
      <c r="J203" s="184" t="s">
        <v>172</v>
      </c>
      <c r="K203" s="178" t="s">
        <v>324</v>
      </c>
      <c r="L203" s="178" t="s">
        <v>281</v>
      </c>
      <c r="N203" s="177"/>
    </row>
    <row r="204" spans="1:14" ht="15" hidden="1" customHeight="1">
      <c r="A204" s="191">
        <v>44526</v>
      </c>
      <c r="B204" s="178" t="s">
        <v>95</v>
      </c>
      <c r="C204" s="178" t="s">
        <v>77</v>
      </c>
      <c r="E204" s="202"/>
      <c r="F204" s="222">
        <v>10000</v>
      </c>
      <c r="G204" s="202">
        <f t="shared" si="3"/>
        <v>25882742</v>
      </c>
      <c r="H204" s="178" t="s">
        <v>26</v>
      </c>
      <c r="I204" s="178"/>
      <c r="N204" s="177"/>
    </row>
    <row r="205" spans="1:14" ht="15" hidden="1" customHeight="1">
      <c r="A205" s="191">
        <v>44526</v>
      </c>
      <c r="B205" s="178" t="s">
        <v>30</v>
      </c>
      <c r="C205" s="178" t="s">
        <v>77</v>
      </c>
      <c r="E205" s="202"/>
      <c r="F205" s="222">
        <v>11000</v>
      </c>
      <c r="G205" s="202">
        <f t="shared" si="3"/>
        <v>25871742</v>
      </c>
      <c r="H205" s="178" t="s">
        <v>26</v>
      </c>
      <c r="I205" s="178"/>
      <c r="N205" s="177"/>
    </row>
    <row r="206" spans="1:14" ht="15" customHeight="1">
      <c r="A206" s="191">
        <v>44526</v>
      </c>
      <c r="B206" s="178" t="s">
        <v>236</v>
      </c>
      <c r="C206" s="178" t="s">
        <v>158</v>
      </c>
      <c r="D206" s="178" t="s">
        <v>263</v>
      </c>
      <c r="E206" s="202"/>
      <c r="F206" s="222">
        <v>97860</v>
      </c>
      <c r="G206" s="202">
        <f t="shared" si="3"/>
        <v>25773882</v>
      </c>
      <c r="H206" s="178" t="s">
        <v>26</v>
      </c>
      <c r="I206" s="178" t="s">
        <v>206</v>
      </c>
      <c r="J206" s="184" t="s">
        <v>172</v>
      </c>
      <c r="K206" s="178" t="s">
        <v>324</v>
      </c>
      <c r="L206" s="178" t="s">
        <v>281</v>
      </c>
      <c r="N206" s="177"/>
    </row>
    <row r="207" spans="1:14" ht="15" hidden="1" customHeight="1">
      <c r="A207" s="191">
        <v>44526</v>
      </c>
      <c r="B207" s="178" t="s">
        <v>292</v>
      </c>
      <c r="C207" s="178" t="s">
        <v>77</v>
      </c>
      <c r="E207" s="202">
        <v>10000</v>
      </c>
      <c r="F207" s="222"/>
      <c r="G207" s="202">
        <f t="shared" si="3"/>
        <v>25783882</v>
      </c>
      <c r="H207" s="178" t="s">
        <v>95</v>
      </c>
      <c r="N207" s="177"/>
    </row>
    <row r="208" spans="1:14" ht="15" hidden="1" customHeight="1">
      <c r="A208" s="191">
        <v>44526</v>
      </c>
      <c r="B208" s="178" t="s">
        <v>295</v>
      </c>
      <c r="C208" s="178" t="s">
        <v>77</v>
      </c>
      <c r="E208" s="202">
        <v>10500</v>
      </c>
      <c r="F208" s="222"/>
      <c r="G208" s="202">
        <f t="shared" ref="G208:G271" si="4">+G207+E208-F208</f>
        <v>25794382</v>
      </c>
      <c r="H208" s="178" t="s">
        <v>32</v>
      </c>
      <c r="I208" s="178"/>
      <c r="N208" s="177"/>
    </row>
    <row r="209" spans="1:14" ht="15" customHeight="1">
      <c r="A209" s="191">
        <v>44526</v>
      </c>
      <c r="B209" s="178" t="s">
        <v>442</v>
      </c>
      <c r="C209" s="178" t="s">
        <v>36</v>
      </c>
      <c r="D209" s="178" t="s">
        <v>263</v>
      </c>
      <c r="E209" s="202"/>
      <c r="F209" s="222">
        <v>8000</v>
      </c>
      <c r="G209" s="202">
        <f t="shared" si="4"/>
        <v>25786382</v>
      </c>
      <c r="H209" s="178" t="s">
        <v>26</v>
      </c>
      <c r="I209" s="184" t="s">
        <v>206</v>
      </c>
      <c r="J209" s="184" t="s">
        <v>104</v>
      </c>
      <c r="K209" s="178" t="s">
        <v>325</v>
      </c>
      <c r="L209" s="178" t="s">
        <v>281</v>
      </c>
      <c r="M209" s="178" t="s">
        <v>412</v>
      </c>
      <c r="N209" s="177" t="s">
        <v>332</v>
      </c>
    </row>
    <row r="210" spans="1:14" ht="15" hidden="1" customHeight="1">
      <c r="A210" s="191">
        <v>44526</v>
      </c>
      <c r="B210" s="178" t="s">
        <v>321</v>
      </c>
      <c r="C210" s="178" t="s">
        <v>77</v>
      </c>
      <c r="E210" s="178">
        <v>11000</v>
      </c>
      <c r="F210" s="225"/>
      <c r="G210" s="202">
        <f t="shared" si="4"/>
        <v>25797382</v>
      </c>
      <c r="H210" s="178" t="s">
        <v>30</v>
      </c>
      <c r="I210" s="178"/>
      <c r="M210" s="177"/>
      <c r="N210" s="177"/>
    </row>
    <row r="211" spans="1:14" ht="15" customHeight="1">
      <c r="A211" s="191">
        <v>44526</v>
      </c>
      <c r="B211" s="178" t="s">
        <v>436</v>
      </c>
      <c r="C211" s="178" t="s">
        <v>238</v>
      </c>
      <c r="D211" s="178" t="s">
        <v>223</v>
      </c>
      <c r="E211" s="202"/>
      <c r="F211" s="222">
        <v>500</v>
      </c>
      <c r="G211" s="202">
        <f t="shared" si="4"/>
        <v>25796882</v>
      </c>
      <c r="H211" s="178" t="s">
        <v>32</v>
      </c>
      <c r="I211" s="178" t="s">
        <v>207</v>
      </c>
      <c r="J211" s="184" t="s">
        <v>172</v>
      </c>
      <c r="K211" s="184" t="s">
        <v>324</v>
      </c>
      <c r="L211" s="178" t="s">
        <v>281</v>
      </c>
      <c r="M211" s="184"/>
      <c r="N211" s="177"/>
    </row>
    <row r="212" spans="1:14" ht="15" customHeight="1">
      <c r="A212" s="219">
        <v>44526</v>
      </c>
      <c r="B212" s="185" t="s">
        <v>471</v>
      </c>
      <c r="C212" s="185" t="s">
        <v>35</v>
      </c>
      <c r="D212" s="178" t="s">
        <v>169</v>
      </c>
      <c r="E212" s="210"/>
      <c r="F212" s="223">
        <v>10000</v>
      </c>
      <c r="G212" s="202">
        <f t="shared" si="4"/>
        <v>25786882</v>
      </c>
      <c r="H212" s="212" t="s">
        <v>168</v>
      </c>
      <c r="I212" s="178" t="s">
        <v>206</v>
      </c>
      <c r="J212" s="184" t="s">
        <v>172</v>
      </c>
      <c r="K212" s="184" t="s">
        <v>324</v>
      </c>
      <c r="L212" s="178" t="s">
        <v>281</v>
      </c>
      <c r="N212" s="177"/>
    </row>
    <row r="213" spans="1:14" ht="15" customHeight="1">
      <c r="A213" s="219">
        <v>44527</v>
      </c>
      <c r="B213" s="185" t="s">
        <v>348</v>
      </c>
      <c r="C213" s="185" t="s">
        <v>308</v>
      </c>
      <c r="D213" s="178" t="s">
        <v>169</v>
      </c>
      <c r="E213" s="210"/>
      <c r="F213" s="223">
        <v>30000</v>
      </c>
      <c r="G213" s="202">
        <f t="shared" si="4"/>
        <v>25756882</v>
      </c>
      <c r="H213" s="212" t="s">
        <v>168</v>
      </c>
      <c r="I213" s="178" t="s">
        <v>207</v>
      </c>
      <c r="J213" s="184" t="s">
        <v>172</v>
      </c>
      <c r="K213" s="184" t="s">
        <v>324</v>
      </c>
      <c r="L213" s="178" t="s">
        <v>281</v>
      </c>
      <c r="N213" s="177"/>
    </row>
    <row r="214" spans="1:14" ht="15" customHeight="1">
      <c r="A214" s="191">
        <v>44527</v>
      </c>
      <c r="B214" s="178" t="s">
        <v>322</v>
      </c>
      <c r="C214" s="178" t="s">
        <v>238</v>
      </c>
      <c r="D214" s="178" t="s">
        <v>5</v>
      </c>
      <c r="E214" s="178"/>
      <c r="F214" s="225">
        <v>36000</v>
      </c>
      <c r="G214" s="202">
        <f t="shared" si="4"/>
        <v>25720882</v>
      </c>
      <c r="H214" s="178" t="s">
        <v>30</v>
      </c>
      <c r="I214" s="178" t="s">
        <v>207</v>
      </c>
      <c r="J214" s="184" t="s">
        <v>172</v>
      </c>
      <c r="K214" s="184" t="s">
        <v>324</v>
      </c>
      <c r="L214" s="178" t="s">
        <v>281</v>
      </c>
      <c r="N214" s="177"/>
    </row>
    <row r="215" spans="1:14" ht="15" hidden="1" customHeight="1">
      <c r="A215" s="191">
        <v>44528</v>
      </c>
      <c r="B215" s="178" t="s">
        <v>156</v>
      </c>
      <c r="C215" s="178" t="s">
        <v>77</v>
      </c>
      <c r="E215" s="202"/>
      <c r="F215" s="222">
        <v>16000</v>
      </c>
      <c r="G215" s="202">
        <f t="shared" si="4"/>
        <v>25704882</v>
      </c>
      <c r="H215" s="178" t="s">
        <v>26</v>
      </c>
      <c r="I215" s="178"/>
      <c r="N215" s="177"/>
    </row>
    <row r="216" spans="1:14" ht="15" hidden="1" customHeight="1">
      <c r="A216" s="191">
        <v>44528</v>
      </c>
      <c r="B216" s="178" t="s">
        <v>49</v>
      </c>
      <c r="C216" s="178" t="s">
        <v>77</v>
      </c>
      <c r="E216" s="202"/>
      <c r="F216" s="222">
        <v>26000</v>
      </c>
      <c r="G216" s="202">
        <f t="shared" si="4"/>
        <v>25678882</v>
      </c>
      <c r="H216" s="178" t="s">
        <v>26</v>
      </c>
      <c r="I216" s="178"/>
      <c r="N216" s="177"/>
    </row>
    <row r="217" spans="1:14" ht="15" hidden="1" customHeight="1">
      <c r="A217" s="191">
        <v>44528</v>
      </c>
      <c r="B217" s="178" t="s">
        <v>237</v>
      </c>
      <c r="C217" s="178" t="s">
        <v>77</v>
      </c>
      <c r="E217" s="202"/>
      <c r="F217" s="222">
        <v>30000</v>
      </c>
      <c r="G217" s="202">
        <f t="shared" si="4"/>
        <v>25648882</v>
      </c>
      <c r="H217" s="178" t="s">
        <v>26</v>
      </c>
      <c r="I217" s="178"/>
      <c r="N217" s="177"/>
    </row>
    <row r="218" spans="1:14" ht="15" hidden="1" customHeight="1">
      <c r="A218" s="191">
        <v>44528</v>
      </c>
      <c r="B218" s="178" t="s">
        <v>168</v>
      </c>
      <c r="C218" s="178" t="s">
        <v>77</v>
      </c>
      <c r="E218" s="202"/>
      <c r="F218" s="222">
        <v>22000</v>
      </c>
      <c r="G218" s="202">
        <f t="shared" si="4"/>
        <v>25626882</v>
      </c>
      <c r="H218" s="178" t="s">
        <v>26</v>
      </c>
      <c r="I218" s="178"/>
      <c r="N218" s="177"/>
    </row>
    <row r="219" spans="1:14" ht="15" customHeight="1">
      <c r="A219" s="191">
        <v>44528</v>
      </c>
      <c r="B219" s="178" t="s">
        <v>340</v>
      </c>
      <c r="C219" s="178" t="s">
        <v>173</v>
      </c>
      <c r="D219" s="178" t="s">
        <v>223</v>
      </c>
      <c r="E219" s="202"/>
      <c r="F219" s="222">
        <v>35000</v>
      </c>
      <c r="G219" s="202">
        <f t="shared" si="4"/>
        <v>25591882</v>
      </c>
      <c r="H219" s="178" t="s">
        <v>26</v>
      </c>
      <c r="I219" s="178" t="s">
        <v>206</v>
      </c>
      <c r="J219" s="184" t="s">
        <v>172</v>
      </c>
      <c r="K219" s="178" t="s">
        <v>324</v>
      </c>
      <c r="L219" s="178" t="s">
        <v>281</v>
      </c>
      <c r="N219" s="177"/>
    </row>
    <row r="220" spans="1:14" ht="15" customHeight="1">
      <c r="A220" s="191">
        <v>44528</v>
      </c>
      <c r="B220" s="178" t="s">
        <v>443</v>
      </c>
      <c r="C220" s="178" t="s">
        <v>308</v>
      </c>
      <c r="D220" s="178" t="s">
        <v>223</v>
      </c>
      <c r="E220" s="202"/>
      <c r="F220" s="222">
        <v>15900</v>
      </c>
      <c r="G220" s="202">
        <f t="shared" si="4"/>
        <v>25575982</v>
      </c>
      <c r="H220" s="178" t="s">
        <v>26</v>
      </c>
      <c r="I220" s="178" t="s">
        <v>206</v>
      </c>
      <c r="J220" s="184" t="s">
        <v>172</v>
      </c>
      <c r="K220" s="184" t="s">
        <v>324</v>
      </c>
      <c r="L220" s="178" t="s">
        <v>281</v>
      </c>
      <c r="N220" s="177"/>
    </row>
    <row r="221" spans="1:14" ht="15" hidden="1" customHeight="1">
      <c r="A221" s="191">
        <v>44528</v>
      </c>
      <c r="B221" s="178" t="s">
        <v>32</v>
      </c>
      <c r="C221" s="178" t="s">
        <v>77</v>
      </c>
      <c r="E221" s="202"/>
      <c r="F221" s="222">
        <v>15000</v>
      </c>
      <c r="G221" s="202">
        <f t="shared" si="4"/>
        <v>25560982</v>
      </c>
      <c r="H221" s="178" t="s">
        <v>26</v>
      </c>
      <c r="I221" s="178"/>
      <c r="N221" s="177"/>
    </row>
    <row r="222" spans="1:14" ht="15" hidden="1" customHeight="1">
      <c r="A222" s="191">
        <v>44528</v>
      </c>
      <c r="B222" s="178" t="s">
        <v>204</v>
      </c>
      <c r="C222" s="178" t="s">
        <v>77</v>
      </c>
      <c r="E222" s="202"/>
      <c r="F222" s="222">
        <v>10500</v>
      </c>
      <c r="G222" s="202">
        <f t="shared" si="4"/>
        <v>25550482</v>
      </c>
      <c r="H222" s="178" t="s">
        <v>26</v>
      </c>
      <c r="I222" s="178"/>
      <c r="N222" s="177"/>
    </row>
    <row r="223" spans="1:14" ht="15" hidden="1" customHeight="1">
      <c r="A223" s="191">
        <v>44528</v>
      </c>
      <c r="B223" s="178" t="s">
        <v>115</v>
      </c>
      <c r="C223" s="178" t="s">
        <v>77</v>
      </c>
      <c r="E223" s="202"/>
      <c r="F223" s="222">
        <v>30000</v>
      </c>
      <c r="G223" s="202">
        <f t="shared" si="4"/>
        <v>25520482</v>
      </c>
      <c r="H223" s="178" t="s">
        <v>26</v>
      </c>
      <c r="I223" s="178"/>
      <c r="N223" s="177"/>
    </row>
    <row r="224" spans="1:14" ht="15" hidden="1" customHeight="1">
      <c r="A224" s="191">
        <v>44528</v>
      </c>
      <c r="B224" s="178" t="s">
        <v>115</v>
      </c>
      <c r="C224" s="178" t="s">
        <v>77</v>
      </c>
      <c r="E224" s="202"/>
      <c r="F224" s="222">
        <v>6000</v>
      </c>
      <c r="G224" s="202">
        <f t="shared" si="4"/>
        <v>25514482</v>
      </c>
      <c r="H224" s="178" t="s">
        <v>26</v>
      </c>
      <c r="I224" s="178"/>
      <c r="N224" s="177"/>
    </row>
    <row r="225" spans="1:14" ht="16.5" customHeight="1">
      <c r="A225" s="218">
        <v>44528</v>
      </c>
      <c r="B225" s="185" t="s">
        <v>342</v>
      </c>
      <c r="C225" s="185" t="s">
        <v>35</v>
      </c>
      <c r="D225" s="185" t="s">
        <v>223</v>
      </c>
      <c r="E225" s="209"/>
      <c r="F225" s="223">
        <v>30000</v>
      </c>
      <c r="G225" s="202">
        <f t="shared" si="4"/>
        <v>25484482</v>
      </c>
      <c r="H225" s="185" t="s">
        <v>115</v>
      </c>
      <c r="I225" s="178" t="s">
        <v>206</v>
      </c>
      <c r="J225" s="184" t="s">
        <v>172</v>
      </c>
      <c r="K225" s="184" t="s">
        <v>324</v>
      </c>
      <c r="L225" s="178" t="s">
        <v>281</v>
      </c>
      <c r="N225" s="177"/>
    </row>
    <row r="226" spans="1:14" ht="15" customHeight="1">
      <c r="A226" s="218">
        <v>44528</v>
      </c>
      <c r="B226" s="185" t="s">
        <v>277</v>
      </c>
      <c r="C226" s="178" t="s">
        <v>238</v>
      </c>
      <c r="D226" s="185" t="s">
        <v>223</v>
      </c>
      <c r="E226" s="209"/>
      <c r="F226" s="223">
        <v>2000</v>
      </c>
      <c r="G226" s="202">
        <f t="shared" si="4"/>
        <v>25482482</v>
      </c>
      <c r="H226" s="185" t="s">
        <v>115</v>
      </c>
      <c r="I226" s="178" t="s">
        <v>207</v>
      </c>
      <c r="J226" s="184" t="s">
        <v>172</v>
      </c>
      <c r="K226" s="184" t="s">
        <v>324</v>
      </c>
      <c r="L226" s="178" t="s">
        <v>281</v>
      </c>
      <c r="N226" s="177"/>
    </row>
    <row r="227" spans="1:14" ht="15" hidden="1" customHeight="1">
      <c r="A227" s="218">
        <v>44528</v>
      </c>
      <c r="B227" s="185" t="s">
        <v>278</v>
      </c>
      <c r="C227" s="178" t="s">
        <v>77</v>
      </c>
      <c r="D227" s="211"/>
      <c r="E227" s="210">
        <v>30000</v>
      </c>
      <c r="F227" s="227"/>
      <c r="G227" s="202">
        <f t="shared" si="4"/>
        <v>25512482</v>
      </c>
      <c r="H227" s="185" t="s">
        <v>115</v>
      </c>
      <c r="I227" s="178"/>
      <c r="N227" s="177"/>
    </row>
    <row r="228" spans="1:14" ht="15" hidden="1" customHeight="1">
      <c r="A228" s="218">
        <v>44528</v>
      </c>
      <c r="B228" s="185" t="s">
        <v>278</v>
      </c>
      <c r="C228" s="178" t="s">
        <v>77</v>
      </c>
      <c r="D228" s="211"/>
      <c r="E228" s="210">
        <v>6000</v>
      </c>
      <c r="F228" s="227"/>
      <c r="G228" s="202">
        <f t="shared" si="4"/>
        <v>25518482</v>
      </c>
      <c r="H228" s="185" t="s">
        <v>115</v>
      </c>
      <c r="I228" s="178"/>
      <c r="N228" s="177"/>
    </row>
    <row r="229" spans="1:14" ht="15" hidden="1" customHeight="1">
      <c r="A229" s="191">
        <v>44528</v>
      </c>
      <c r="B229" s="178" t="s">
        <v>280</v>
      </c>
      <c r="C229" s="178" t="s">
        <v>77</v>
      </c>
      <c r="E229" s="178">
        <v>26000</v>
      </c>
      <c r="F229" s="224"/>
      <c r="G229" s="202">
        <f t="shared" si="4"/>
        <v>25544482</v>
      </c>
      <c r="H229" s="178" t="s">
        <v>49</v>
      </c>
      <c r="I229" s="178"/>
      <c r="N229" s="177"/>
    </row>
    <row r="230" spans="1:14" ht="15" customHeight="1">
      <c r="A230" s="191">
        <v>44528</v>
      </c>
      <c r="B230" s="178" t="s">
        <v>284</v>
      </c>
      <c r="C230" s="178" t="s">
        <v>35</v>
      </c>
      <c r="D230" s="178" t="s">
        <v>223</v>
      </c>
      <c r="E230" s="178"/>
      <c r="F230" s="224">
        <v>25000</v>
      </c>
      <c r="G230" s="202">
        <f t="shared" si="4"/>
        <v>25519482</v>
      </c>
      <c r="H230" s="178" t="s">
        <v>49</v>
      </c>
      <c r="I230" s="178" t="s">
        <v>206</v>
      </c>
      <c r="J230" s="184" t="s">
        <v>172</v>
      </c>
      <c r="K230" s="184" t="s">
        <v>324</v>
      </c>
      <c r="L230" s="178" t="s">
        <v>281</v>
      </c>
      <c r="N230" s="177"/>
    </row>
    <row r="231" spans="1:14" ht="15" customHeight="1">
      <c r="A231" s="191">
        <v>44528</v>
      </c>
      <c r="B231" s="178" t="s">
        <v>285</v>
      </c>
      <c r="C231" s="178" t="s">
        <v>238</v>
      </c>
      <c r="D231" s="178" t="s">
        <v>223</v>
      </c>
      <c r="E231" s="178"/>
      <c r="F231" s="224">
        <v>12000</v>
      </c>
      <c r="G231" s="202">
        <f t="shared" si="4"/>
        <v>25507482</v>
      </c>
      <c r="H231" s="178" t="s">
        <v>49</v>
      </c>
      <c r="I231" s="178" t="s">
        <v>207</v>
      </c>
      <c r="J231" s="184" t="s">
        <v>172</v>
      </c>
      <c r="K231" s="184" t="s">
        <v>324</v>
      </c>
      <c r="L231" s="178" t="s">
        <v>281</v>
      </c>
      <c r="N231" s="177"/>
    </row>
    <row r="232" spans="1:14" ht="15" customHeight="1">
      <c r="A232" s="191">
        <v>44528</v>
      </c>
      <c r="B232" s="178" t="s">
        <v>286</v>
      </c>
      <c r="C232" s="178" t="s">
        <v>35</v>
      </c>
      <c r="D232" s="178" t="s">
        <v>3</v>
      </c>
      <c r="E232" s="178"/>
      <c r="F232" s="224">
        <v>38400</v>
      </c>
      <c r="G232" s="202">
        <f t="shared" si="4"/>
        <v>25469082</v>
      </c>
      <c r="H232" s="178" t="s">
        <v>49</v>
      </c>
      <c r="I232" s="184" t="s">
        <v>207</v>
      </c>
      <c r="J232" s="184" t="s">
        <v>104</v>
      </c>
      <c r="K232" s="184" t="s">
        <v>325</v>
      </c>
      <c r="L232" s="178" t="s">
        <v>281</v>
      </c>
      <c r="M232" s="178" t="s">
        <v>413</v>
      </c>
      <c r="N232" s="177" t="s">
        <v>341</v>
      </c>
    </row>
    <row r="233" spans="1:14" ht="15" customHeight="1">
      <c r="A233" s="219">
        <v>44528</v>
      </c>
      <c r="B233" s="185" t="s">
        <v>288</v>
      </c>
      <c r="C233" s="185" t="s">
        <v>35</v>
      </c>
      <c r="D233" s="185" t="s">
        <v>223</v>
      </c>
      <c r="E233" s="210"/>
      <c r="F233" s="228">
        <v>5000</v>
      </c>
      <c r="G233" s="202">
        <f t="shared" si="4"/>
        <v>25464082</v>
      </c>
      <c r="H233" s="212" t="s">
        <v>156</v>
      </c>
      <c r="I233" s="178" t="s">
        <v>206</v>
      </c>
      <c r="J233" s="184" t="s">
        <v>172</v>
      </c>
      <c r="K233" s="184" t="s">
        <v>324</v>
      </c>
      <c r="L233" s="178" t="s">
        <v>281</v>
      </c>
      <c r="N233" s="177"/>
    </row>
    <row r="234" spans="1:14" ht="15" hidden="1" customHeight="1">
      <c r="A234" s="219">
        <v>44528</v>
      </c>
      <c r="B234" s="185" t="s">
        <v>287</v>
      </c>
      <c r="C234" s="178" t="s">
        <v>77</v>
      </c>
      <c r="D234" s="185"/>
      <c r="E234" s="210">
        <v>16000</v>
      </c>
      <c r="F234" s="223"/>
      <c r="G234" s="202">
        <f t="shared" si="4"/>
        <v>25480082</v>
      </c>
      <c r="H234" s="212" t="s">
        <v>156</v>
      </c>
      <c r="I234" s="178"/>
      <c r="N234" s="177"/>
    </row>
    <row r="235" spans="1:14" ht="15" customHeight="1">
      <c r="A235" s="219">
        <v>44528</v>
      </c>
      <c r="B235" s="185" t="s">
        <v>289</v>
      </c>
      <c r="C235" s="185" t="s">
        <v>35</v>
      </c>
      <c r="D235" s="185" t="s">
        <v>223</v>
      </c>
      <c r="E235" s="210"/>
      <c r="F235" s="228">
        <v>5000</v>
      </c>
      <c r="G235" s="202">
        <f t="shared" si="4"/>
        <v>25475082</v>
      </c>
      <c r="H235" s="212" t="s">
        <v>156</v>
      </c>
      <c r="I235" s="178" t="s">
        <v>206</v>
      </c>
      <c r="J235" s="184" t="s">
        <v>172</v>
      </c>
      <c r="K235" s="184" t="s">
        <v>324</v>
      </c>
      <c r="L235" s="178" t="s">
        <v>281</v>
      </c>
      <c r="N235" s="177"/>
    </row>
    <row r="236" spans="1:14" ht="15" customHeight="1">
      <c r="A236" s="219">
        <v>44528</v>
      </c>
      <c r="B236" s="185" t="s">
        <v>290</v>
      </c>
      <c r="C236" s="178" t="s">
        <v>238</v>
      </c>
      <c r="D236" s="178" t="s">
        <v>223</v>
      </c>
      <c r="E236" s="210"/>
      <c r="F236" s="223">
        <v>6000</v>
      </c>
      <c r="G236" s="202">
        <f t="shared" si="4"/>
        <v>25469082</v>
      </c>
      <c r="H236" s="212" t="s">
        <v>156</v>
      </c>
      <c r="I236" s="178" t="s">
        <v>207</v>
      </c>
      <c r="J236" s="184" t="s">
        <v>172</v>
      </c>
      <c r="K236" s="184" t="s">
        <v>324</v>
      </c>
      <c r="L236" s="178" t="s">
        <v>281</v>
      </c>
      <c r="N236" s="177"/>
    </row>
    <row r="237" spans="1:14" ht="15" hidden="1" customHeight="1">
      <c r="A237" s="191">
        <v>44528</v>
      </c>
      <c r="B237" s="178" t="s">
        <v>295</v>
      </c>
      <c r="C237" s="178" t="s">
        <v>77</v>
      </c>
      <c r="E237" s="202">
        <v>15000</v>
      </c>
      <c r="F237" s="222"/>
      <c r="G237" s="202">
        <f t="shared" si="4"/>
        <v>25484082</v>
      </c>
      <c r="H237" s="178" t="s">
        <v>32</v>
      </c>
      <c r="I237" s="178"/>
      <c r="N237" s="177"/>
    </row>
    <row r="238" spans="1:14" ht="15" hidden="1" customHeight="1">
      <c r="A238" s="191">
        <v>44528</v>
      </c>
      <c r="B238" s="178" t="s">
        <v>295</v>
      </c>
      <c r="C238" s="178" t="s">
        <v>77</v>
      </c>
      <c r="E238" s="202">
        <v>30000</v>
      </c>
      <c r="F238" s="222"/>
      <c r="G238" s="202">
        <f t="shared" si="4"/>
        <v>25514082</v>
      </c>
      <c r="H238" s="178" t="s">
        <v>32</v>
      </c>
      <c r="I238" s="178"/>
      <c r="N238" s="177"/>
    </row>
    <row r="239" spans="1:14" ht="15" customHeight="1">
      <c r="A239" s="191">
        <v>44528</v>
      </c>
      <c r="B239" s="178" t="s">
        <v>296</v>
      </c>
      <c r="C239" s="178" t="s">
        <v>35</v>
      </c>
      <c r="D239" s="185" t="s">
        <v>223</v>
      </c>
      <c r="E239" s="202"/>
      <c r="F239" s="222">
        <v>30000</v>
      </c>
      <c r="G239" s="202">
        <f t="shared" si="4"/>
        <v>25484082</v>
      </c>
      <c r="H239" s="178" t="s">
        <v>32</v>
      </c>
      <c r="I239" s="178" t="s">
        <v>206</v>
      </c>
      <c r="J239" s="184" t="s">
        <v>172</v>
      </c>
      <c r="K239" s="184" t="s">
        <v>324</v>
      </c>
      <c r="L239" s="178" t="s">
        <v>281</v>
      </c>
      <c r="N239" s="177"/>
    </row>
    <row r="240" spans="1:14" ht="15" customHeight="1">
      <c r="A240" s="219">
        <v>44528</v>
      </c>
      <c r="B240" s="185" t="s">
        <v>303</v>
      </c>
      <c r="C240" s="178" t="s">
        <v>308</v>
      </c>
      <c r="D240" s="178" t="s">
        <v>223</v>
      </c>
      <c r="E240" s="210"/>
      <c r="F240" s="223">
        <v>3550</v>
      </c>
      <c r="G240" s="202">
        <f t="shared" si="4"/>
        <v>25480532</v>
      </c>
      <c r="H240" s="211" t="s">
        <v>157</v>
      </c>
      <c r="I240" s="178" t="s">
        <v>206</v>
      </c>
      <c r="J240" s="184" t="s">
        <v>172</v>
      </c>
      <c r="K240" s="178" t="s">
        <v>324</v>
      </c>
      <c r="L240" s="178" t="s">
        <v>281</v>
      </c>
      <c r="N240" s="177"/>
    </row>
    <row r="241" spans="1:14" ht="15" hidden="1" customHeight="1">
      <c r="A241" s="219">
        <v>44528</v>
      </c>
      <c r="B241" s="185" t="s">
        <v>310</v>
      </c>
      <c r="C241" s="178" t="s">
        <v>77</v>
      </c>
      <c r="D241" s="185"/>
      <c r="E241" s="210">
        <v>22000</v>
      </c>
      <c r="F241" s="223"/>
      <c r="G241" s="202">
        <f t="shared" si="4"/>
        <v>25502532</v>
      </c>
      <c r="H241" s="212" t="s">
        <v>168</v>
      </c>
      <c r="I241" s="178"/>
      <c r="J241" s="230"/>
      <c r="K241" s="212"/>
      <c r="N241" s="177"/>
    </row>
    <row r="242" spans="1:14" ht="15" customHeight="1">
      <c r="A242" s="219">
        <v>44528</v>
      </c>
      <c r="B242" s="185" t="s">
        <v>472</v>
      </c>
      <c r="C242" s="185" t="s">
        <v>35</v>
      </c>
      <c r="D242" s="185" t="s">
        <v>223</v>
      </c>
      <c r="E242" s="210"/>
      <c r="F242" s="223">
        <v>5000</v>
      </c>
      <c r="G242" s="202">
        <f t="shared" si="4"/>
        <v>25497532</v>
      </c>
      <c r="H242" s="212" t="s">
        <v>168</v>
      </c>
      <c r="I242" s="178" t="s">
        <v>206</v>
      </c>
      <c r="J242" s="184" t="s">
        <v>172</v>
      </c>
      <c r="K242" s="184" t="s">
        <v>324</v>
      </c>
      <c r="L242" s="178" t="s">
        <v>281</v>
      </c>
      <c r="N242" s="177"/>
    </row>
    <row r="243" spans="1:14" ht="15" customHeight="1">
      <c r="A243" s="219">
        <v>44528</v>
      </c>
      <c r="B243" s="185" t="s">
        <v>311</v>
      </c>
      <c r="C243" s="178" t="s">
        <v>238</v>
      </c>
      <c r="D243" s="178" t="s">
        <v>223</v>
      </c>
      <c r="E243" s="210"/>
      <c r="F243" s="223">
        <v>12000</v>
      </c>
      <c r="G243" s="202">
        <f t="shared" si="4"/>
        <v>25485532</v>
      </c>
      <c r="H243" s="212" t="s">
        <v>168</v>
      </c>
      <c r="I243" s="178" t="s">
        <v>207</v>
      </c>
      <c r="J243" s="184" t="s">
        <v>172</v>
      </c>
      <c r="K243" s="184" t="s">
        <v>324</v>
      </c>
      <c r="L243" s="178" t="s">
        <v>281</v>
      </c>
      <c r="N243" s="177"/>
    </row>
    <row r="244" spans="1:14" ht="15" customHeight="1">
      <c r="A244" s="219">
        <v>44528</v>
      </c>
      <c r="B244" s="185" t="s">
        <v>473</v>
      </c>
      <c r="C244" s="185" t="s">
        <v>35</v>
      </c>
      <c r="D244" s="185" t="s">
        <v>223</v>
      </c>
      <c r="E244" s="210"/>
      <c r="F244" s="223">
        <v>5000</v>
      </c>
      <c r="G244" s="202">
        <f t="shared" si="4"/>
        <v>25480532</v>
      </c>
      <c r="H244" s="212" t="s">
        <v>168</v>
      </c>
      <c r="I244" s="178" t="s">
        <v>206</v>
      </c>
      <c r="J244" s="184" t="s">
        <v>172</v>
      </c>
      <c r="K244" s="184" t="s">
        <v>324</v>
      </c>
      <c r="L244" s="178" t="s">
        <v>281</v>
      </c>
      <c r="M244" s="177"/>
      <c r="N244" s="177"/>
    </row>
    <row r="245" spans="1:14" ht="15" hidden="1" customHeight="1">
      <c r="A245" s="220">
        <v>44528</v>
      </c>
      <c r="B245" s="214" t="s">
        <v>317</v>
      </c>
      <c r="C245" s="178" t="s">
        <v>77</v>
      </c>
      <c r="D245" s="214"/>
      <c r="E245" s="215">
        <v>10500</v>
      </c>
      <c r="F245" s="224"/>
      <c r="G245" s="202">
        <f t="shared" si="4"/>
        <v>25491032</v>
      </c>
      <c r="H245" s="216" t="s">
        <v>204</v>
      </c>
      <c r="I245" s="178"/>
      <c r="J245" s="231"/>
      <c r="K245" s="216"/>
    </row>
    <row r="246" spans="1:14" ht="15" customHeight="1">
      <c r="A246" s="220">
        <v>44528</v>
      </c>
      <c r="B246" s="214" t="s">
        <v>474</v>
      </c>
      <c r="C246" s="214" t="s">
        <v>35</v>
      </c>
      <c r="D246" s="178" t="s">
        <v>5</v>
      </c>
      <c r="E246" s="215"/>
      <c r="F246" s="226">
        <v>5000</v>
      </c>
      <c r="G246" s="202">
        <f t="shared" si="4"/>
        <v>25486032</v>
      </c>
      <c r="H246" s="216" t="s">
        <v>204</v>
      </c>
      <c r="I246" s="178" t="s">
        <v>206</v>
      </c>
      <c r="J246" s="184" t="s">
        <v>172</v>
      </c>
      <c r="K246" s="184" t="s">
        <v>324</v>
      </c>
      <c r="L246" s="178" t="s">
        <v>281</v>
      </c>
    </row>
    <row r="247" spans="1:14" ht="15" customHeight="1">
      <c r="A247" s="220">
        <v>44528</v>
      </c>
      <c r="B247" s="178" t="s">
        <v>475</v>
      </c>
      <c r="C247" s="214" t="s">
        <v>35</v>
      </c>
      <c r="D247" s="178" t="s">
        <v>5</v>
      </c>
      <c r="E247" s="178"/>
      <c r="F247" s="226">
        <v>5000</v>
      </c>
      <c r="G247" s="202">
        <f t="shared" si="4"/>
        <v>25481032</v>
      </c>
      <c r="H247" s="216" t="s">
        <v>204</v>
      </c>
      <c r="I247" s="178" t="s">
        <v>206</v>
      </c>
      <c r="J247" s="184" t="s">
        <v>172</v>
      </c>
      <c r="K247" s="184" t="s">
        <v>324</v>
      </c>
      <c r="L247" s="178" t="s">
        <v>281</v>
      </c>
    </row>
    <row r="248" spans="1:14" ht="15" hidden="1" customHeight="1">
      <c r="A248" s="191">
        <v>44529</v>
      </c>
      <c r="B248" s="178" t="s">
        <v>204</v>
      </c>
      <c r="C248" s="178" t="s">
        <v>77</v>
      </c>
      <c r="E248" s="202"/>
      <c r="F248" s="222">
        <v>15000</v>
      </c>
      <c r="G248" s="202">
        <f t="shared" si="4"/>
        <v>25466032</v>
      </c>
      <c r="H248" s="178" t="s">
        <v>26</v>
      </c>
      <c r="I248" s="178"/>
      <c r="N248" s="177"/>
    </row>
    <row r="249" spans="1:14" ht="15" customHeight="1">
      <c r="A249" s="191">
        <v>44529</v>
      </c>
      <c r="B249" s="178" t="s">
        <v>468</v>
      </c>
      <c r="C249" s="178" t="s">
        <v>170</v>
      </c>
      <c r="D249" s="178" t="s">
        <v>223</v>
      </c>
      <c r="E249" s="202"/>
      <c r="F249" s="222">
        <v>140000</v>
      </c>
      <c r="G249" s="202">
        <f t="shared" si="4"/>
        <v>25326032</v>
      </c>
      <c r="H249" s="178" t="s">
        <v>26</v>
      </c>
      <c r="I249" s="178" t="s">
        <v>207</v>
      </c>
      <c r="J249" s="184" t="s">
        <v>172</v>
      </c>
      <c r="K249" s="178" t="s">
        <v>324</v>
      </c>
      <c r="L249" s="178" t="s">
        <v>281</v>
      </c>
      <c r="N249" s="177"/>
    </row>
    <row r="250" spans="1:14" ht="15" customHeight="1">
      <c r="A250" s="191">
        <v>44529</v>
      </c>
      <c r="B250" s="178" t="s">
        <v>239</v>
      </c>
      <c r="C250" s="178" t="s">
        <v>36</v>
      </c>
      <c r="D250" s="178" t="s">
        <v>263</v>
      </c>
      <c r="E250" s="202"/>
      <c r="F250" s="222">
        <v>5000</v>
      </c>
      <c r="G250" s="202">
        <f t="shared" si="4"/>
        <v>25321032</v>
      </c>
      <c r="H250" s="178" t="s">
        <v>26</v>
      </c>
      <c r="I250" s="178" t="s">
        <v>206</v>
      </c>
      <c r="J250" s="184" t="s">
        <v>172</v>
      </c>
      <c r="K250" s="184" t="s">
        <v>324</v>
      </c>
      <c r="L250" s="178" t="s">
        <v>281</v>
      </c>
      <c r="N250" s="177"/>
    </row>
    <row r="251" spans="1:14" ht="15" customHeight="1">
      <c r="A251" s="191">
        <v>44529</v>
      </c>
      <c r="B251" s="178" t="s">
        <v>240</v>
      </c>
      <c r="C251" s="178" t="s">
        <v>4</v>
      </c>
      <c r="D251" s="178" t="s">
        <v>263</v>
      </c>
      <c r="E251" s="202"/>
      <c r="F251" s="222">
        <v>75625</v>
      </c>
      <c r="G251" s="202">
        <f t="shared" si="4"/>
        <v>25245407</v>
      </c>
      <c r="H251" s="178" t="s">
        <v>26</v>
      </c>
      <c r="I251" s="178" t="s">
        <v>206</v>
      </c>
      <c r="J251" s="184" t="s">
        <v>172</v>
      </c>
      <c r="K251" s="178" t="s">
        <v>324</v>
      </c>
      <c r="L251" s="178" t="s">
        <v>281</v>
      </c>
      <c r="N251" s="177"/>
    </row>
    <row r="252" spans="1:14" ht="15" hidden="1" customHeight="1">
      <c r="A252" s="191">
        <v>44529</v>
      </c>
      <c r="B252" s="178" t="s">
        <v>437</v>
      </c>
      <c r="C252" s="178" t="s">
        <v>77</v>
      </c>
      <c r="E252" s="202">
        <v>20000</v>
      </c>
      <c r="F252" s="222"/>
      <c r="G252" s="202">
        <f t="shared" si="4"/>
        <v>25265407</v>
      </c>
      <c r="H252" s="178" t="s">
        <v>26</v>
      </c>
      <c r="I252" s="178"/>
      <c r="N252" s="177"/>
    </row>
    <row r="253" spans="1:14" ht="15" customHeight="1">
      <c r="A253" s="191">
        <v>44529</v>
      </c>
      <c r="B253" s="178" t="s">
        <v>241</v>
      </c>
      <c r="C253" s="178" t="s">
        <v>36</v>
      </c>
      <c r="D253" s="178" t="s">
        <v>263</v>
      </c>
      <c r="E253" s="202"/>
      <c r="F253" s="222">
        <v>6500</v>
      </c>
      <c r="G253" s="202">
        <f t="shared" si="4"/>
        <v>25258907</v>
      </c>
      <c r="H253" s="178" t="s">
        <v>26</v>
      </c>
      <c r="I253" s="178" t="s">
        <v>206</v>
      </c>
      <c r="J253" s="184" t="s">
        <v>172</v>
      </c>
      <c r="K253" s="184" t="s">
        <v>324</v>
      </c>
      <c r="L253" s="178" t="s">
        <v>281</v>
      </c>
      <c r="N253" s="177"/>
    </row>
    <row r="254" spans="1:14" ht="15" customHeight="1">
      <c r="A254" s="191">
        <v>44529</v>
      </c>
      <c r="B254" s="178" t="s">
        <v>242</v>
      </c>
      <c r="C254" s="178" t="s">
        <v>36</v>
      </c>
      <c r="D254" s="178" t="s">
        <v>263</v>
      </c>
      <c r="E254" s="202"/>
      <c r="F254" s="222">
        <v>2150</v>
      </c>
      <c r="G254" s="202">
        <f t="shared" si="4"/>
        <v>25256757</v>
      </c>
      <c r="H254" s="178" t="s">
        <v>26</v>
      </c>
      <c r="I254" s="178" t="s">
        <v>206</v>
      </c>
      <c r="J254" s="184" t="s">
        <v>172</v>
      </c>
      <c r="K254" s="184" t="s">
        <v>324</v>
      </c>
      <c r="L254" s="178" t="s">
        <v>281</v>
      </c>
      <c r="N254" s="177"/>
    </row>
    <row r="255" spans="1:14" ht="15" customHeight="1">
      <c r="A255" s="191">
        <v>44529</v>
      </c>
      <c r="B255" s="178" t="s">
        <v>243</v>
      </c>
      <c r="C255" s="178" t="s">
        <v>435</v>
      </c>
      <c r="D255" s="185" t="s">
        <v>223</v>
      </c>
      <c r="E255" s="202"/>
      <c r="F255" s="222">
        <v>40000</v>
      </c>
      <c r="G255" s="202">
        <f t="shared" si="4"/>
        <v>25216757</v>
      </c>
      <c r="H255" s="178" t="s">
        <v>26</v>
      </c>
      <c r="I255" s="178" t="s">
        <v>206</v>
      </c>
      <c r="J255" s="184" t="s">
        <v>172</v>
      </c>
      <c r="K255" s="184" t="s">
        <v>324</v>
      </c>
      <c r="L255" s="178" t="s">
        <v>281</v>
      </c>
      <c r="N255" s="177"/>
    </row>
    <row r="256" spans="1:14" ht="15" customHeight="1">
      <c r="A256" s="191">
        <v>44529</v>
      </c>
      <c r="B256" s="178" t="s">
        <v>244</v>
      </c>
      <c r="C256" s="178" t="s">
        <v>435</v>
      </c>
      <c r="D256" s="185" t="s">
        <v>223</v>
      </c>
      <c r="E256" s="202"/>
      <c r="F256" s="222">
        <v>38000</v>
      </c>
      <c r="G256" s="202">
        <f t="shared" si="4"/>
        <v>25178757</v>
      </c>
      <c r="H256" s="178" t="s">
        <v>26</v>
      </c>
      <c r="I256" s="178" t="s">
        <v>206</v>
      </c>
      <c r="J256" s="184" t="s">
        <v>172</v>
      </c>
      <c r="K256" s="184" t="s">
        <v>324</v>
      </c>
      <c r="L256" s="178" t="s">
        <v>281</v>
      </c>
      <c r="N256" s="177"/>
    </row>
    <row r="257" spans="1:14" ht="15" customHeight="1">
      <c r="A257" s="191">
        <v>44529</v>
      </c>
      <c r="B257" s="178" t="s">
        <v>245</v>
      </c>
      <c r="C257" s="178" t="s">
        <v>308</v>
      </c>
      <c r="D257" s="178" t="s">
        <v>223</v>
      </c>
      <c r="E257" s="202"/>
      <c r="F257" s="222">
        <v>5000</v>
      </c>
      <c r="G257" s="202">
        <f t="shared" si="4"/>
        <v>25173757</v>
      </c>
      <c r="H257" s="178" t="s">
        <v>26</v>
      </c>
      <c r="I257" s="178" t="s">
        <v>206</v>
      </c>
      <c r="J257" s="184" t="s">
        <v>172</v>
      </c>
      <c r="K257" s="178" t="s">
        <v>324</v>
      </c>
      <c r="L257" s="178" t="s">
        <v>281</v>
      </c>
      <c r="N257" s="177"/>
    </row>
    <row r="258" spans="1:14" ht="15" customHeight="1">
      <c r="A258" s="191">
        <v>44529</v>
      </c>
      <c r="B258" s="178" t="s">
        <v>246</v>
      </c>
      <c r="C258" s="178" t="s">
        <v>308</v>
      </c>
      <c r="D258" s="178" t="s">
        <v>223</v>
      </c>
      <c r="E258" s="202"/>
      <c r="F258" s="222">
        <v>23285</v>
      </c>
      <c r="G258" s="202">
        <f t="shared" si="4"/>
        <v>25150472</v>
      </c>
      <c r="H258" s="178" t="s">
        <v>26</v>
      </c>
      <c r="I258" s="178" t="s">
        <v>206</v>
      </c>
      <c r="J258" s="184" t="s">
        <v>172</v>
      </c>
      <c r="K258" s="178" t="s">
        <v>324</v>
      </c>
      <c r="L258" s="178" t="s">
        <v>281</v>
      </c>
      <c r="N258" s="177"/>
    </row>
    <row r="259" spans="1:14" ht="15" customHeight="1">
      <c r="A259" s="191">
        <v>44529</v>
      </c>
      <c r="B259" s="178" t="s">
        <v>247</v>
      </c>
      <c r="C259" s="178" t="s">
        <v>308</v>
      </c>
      <c r="D259" s="178" t="s">
        <v>223</v>
      </c>
      <c r="E259" s="202"/>
      <c r="F259" s="222">
        <v>24925</v>
      </c>
      <c r="G259" s="202">
        <f t="shared" si="4"/>
        <v>25125547</v>
      </c>
      <c r="H259" s="178" t="s">
        <v>26</v>
      </c>
      <c r="I259" s="178" t="s">
        <v>206</v>
      </c>
      <c r="J259" s="184" t="s">
        <v>172</v>
      </c>
      <c r="K259" s="178" t="s">
        <v>324</v>
      </c>
      <c r="L259" s="178" t="s">
        <v>281</v>
      </c>
      <c r="N259" s="177"/>
    </row>
    <row r="260" spans="1:14" ht="15" customHeight="1">
      <c r="A260" s="218">
        <v>44529</v>
      </c>
      <c r="B260" s="184" t="s">
        <v>267</v>
      </c>
      <c r="C260" s="178" t="s">
        <v>202</v>
      </c>
      <c r="D260" s="178" t="s">
        <v>5</v>
      </c>
      <c r="E260" s="200"/>
      <c r="F260" s="222">
        <v>450000</v>
      </c>
      <c r="G260" s="202">
        <f t="shared" si="4"/>
        <v>24675547</v>
      </c>
      <c r="H260" s="178" t="s">
        <v>163</v>
      </c>
      <c r="I260" s="184">
        <v>3643576</v>
      </c>
      <c r="J260" s="221" t="s">
        <v>104</v>
      </c>
      <c r="K260" s="178" t="s">
        <v>325</v>
      </c>
      <c r="L260" s="178" t="s">
        <v>281</v>
      </c>
      <c r="M260" s="178" t="s">
        <v>414</v>
      </c>
      <c r="N260" s="177" t="s">
        <v>339</v>
      </c>
    </row>
    <row r="261" spans="1:14" ht="15" customHeight="1">
      <c r="A261" s="218">
        <v>44529</v>
      </c>
      <c r="B261" s="184" t="s">
        <v>268</v>
      </c>
      <c r="C261" s="178" t="s">
        <v>202</v>
      </c>
      <c r="D261" s="178" t="s">
        <v>5</v>
      </c>
      <c r="E261" s="178"/>
      <c r="F261" s="222">
        <v>245000</v>
      </c>
      <c r="G261" s="202">
        <f t="shared" si="4"/>
        <v>24430547</v>
      </c>
      <c r="H261" s="178" t="s">
        <v>163</v>
      </c>
      <c r="I261" s="184">
        <v>3643577</v>
      </c>
      <c r="J261" s="221" t="s">
        <v>104</v>
      </c>
      <c r="K261" s="178" t="s">
        <v>325</v>
      </c>
      <c r="L261" s="178" t="s">
        <v>281</v>
      </c>
      <c r="M261" s="178" t="s">
        <v>415</v>
      </c>
      <c r="N261" s="177" t="s">
        <v>339</v>
      </c>
    </row>
    <row r="262" spans="1:14" ht="15" customHeight="1">
      <c r="A262" s="219">
        <v>44529</v>
      </c>
      <c r="B262" s="185" t="s">
        <v>304</v>
      </c>
      <c r="C262" s="178" t="s">
        <v>36</v>
      </c>
      <c r="D262" s="178" t="s">
        <v>263</v>
      </c>
      <c r="E262" s="210"/>
      <c r="F262" s="223">
        <v>4300</v>
      </c>
      <c r="G262" s="202">
        <f t="shared" si="4"/>
        <v>24426247</v>
      </c>
      <c r="H262" s="211" t="s">
        <v>157</v>
      </c>
      <c r="I262" s="178" t="s">
        <v>206</v>
      </c>
      <c r="J262" s="184" t="s">
        <v>172</v>
      </c>
      <c r="K262" s="178" t="s">
        <v>324</v>
      </c>
      <c r="L262" s="178" t="s">
        <v>281</v>
      </c>
      <c r="N262" s="177"/>
    </row>
    <row r="263" spans="1:14" ht="15" customHeight="1">
      <c r="A263" s="219">
        <v>44529</v>
      </c>
      <c r="B263" s="185" t="s">
        <v>305</v>
      </c>
      <c r="C263" s="178" t="s">
        <v>36</v>
      </c>
      <c r="D263" s="178" t="s">
        <v>263</v>
      </c>
      <c r="E263" s="210"/>
      <c r="F263" s="223">
        <v>4200</v>
      </c>
      <c r="G263" s="202">
        <f t="shared" si="4"/>
        <v>24422047</v>
      </c>
      <c r="H263" s="211" t="s">
        <v>157</v>
      </c>
      <c r="I263" s="178" t="s">
        <v>206</v>
      </c>
      <c r="J263" s="184" t="s">
        <v>172</v>
      </c>
      <c r="K263" s="178" t="s">
        <v>324</v>
      </c>
      <c r="L263" s="178" t="s">
        <v>281</v>
      </c>
      <c r="N263" s="177"/>
    </row>
    <row r="264" spans="1:14" ht="15" customHeight="1">
      <c r="A264" s="219">
        <v>44529</v>
      </c>
      <c r="B264" s="185" t="s">
        <v>313</v>
      </c>
      <c r="C264" s="178" t="s">
        <v>36</v>
      </c>
      <c r="D264" s="178" t="s">
        <v>263</v>
      </c>
      <c r="E264" s="210"/>
      <c r="F264" s="223">
        <v>450</v>
      </c>
      <c r="G264" s="202">
        <f t="shared" si="4"/>
        <v>24421597</v>
      </c>
      <c r="H264" s="212" t="s">
        <v>168</v>
      </c>
      <c r="I264" s="178" t="s">
        <v>207</v>
      </c>
      <c r="J264" s="184" t="s">
        <v>172</v>
      </c>
      <c r="K264" s="184" t="s">
        <v>324</v>
      </c>
      <c r="L264" s="178" t="s">
        <v>281</v>
      </c>
      <c r="N264" s="177"/>
    </row>
    <row r="265" spans="1:14" ht="15" hidden="1" customHeight="1">
      <c r="A265" s="220">
        <v>44529</v>
      </c>
      <c r="B265" s="214" t="s">
        <v>317</v>
      </c>
      <c r="C265" s="178" t="s">
        <v>77</v>
      </c>
      <c r="D265" s="214"/>
      <c r="E265" s="215">
        <v>15000</v>
      </c>
      <c r="F265" s="224"/>
      <c r="G265" s="202">
        <f t="shared" si="4"/>
        <v>24436597</v>
      </c>
      <c r="H265" s="216" t="s">
        <v>204</v>
      </c>
      <c r="I265" s="178"/>
    </row>
    <row r="266" spans="1:14" ht="15" hidden="1" customHeight="1">
      <c r="A266" s="219">
        <v>44529</v>
      </c>
      <c r="B266" s="185" t="s">
        <v>438</v>
      </c>
      <c r="C266" s="178" t="s">
        <v>77</v>
      </c>
      <c r="D266" s="178" t="s">
        <v>223</v>
      </c>
      <c r="E266" s="210"/>
      <c r="F266" s="223">
        <v>20000</v>
      </c>
      <c r="G266" s="202">
        <f t="shared" si="4"/>
        <v>24416597</v>
      </c>
      <c r="H266" s="212" t="s">
        <v>156</v>
      </c>
      <c r="I266" s="178" t="s">
        <v>207</v>
      </c>
      <c r="J266" s="184" t="s">
        <v>172</v>
      </c>
      <c r="K266" s="184" t="s">
        <v>324</v>
      </c>
      <c r="L266" s="178" t="s">
        <v>281</v>
      </c>
      <c r="N266" s="177"/>
    </row>
    <row r="267" spans="1:14" ht="15" customHeight="1">
      <c r="A267" s="219">
        <v>44530</v>
      </c>
      <c r="B267" s="185" t="s">
        <v>312</v>
      </c>
      <c r="C267" s="185" t="s">
        <v>308</v>
      </c>
      <c r="D267" s="178" t="s">
        <v>169</v>
      </c>
      <c r="E267" s="210"/>
      <c r="F267" s="223">
        <v>17000</v>
      </c>
      <c r="G267" s="202">
        <f t="shared" si="4"/>
        <v>24399597</v>
      </c>
      <c r="H267" s="212" t="s">
        <v>168</v>
      </c>
      <c r="I267" s="178" t="s">
        <v>207</v>
      </c>
      <c r="J267" s="184" t="s">
        <v>172</v>
      </c>
      <c r="K267" s="184" t="s">
        <v>324</v>
      </c>
      <c r="L267" s="178" t="s">
        <v>281</v>
      </c>
      <c r="M267" s="177"/>
      <c r="N267" s="177"/>
    </row>
    <row r="268" spans="1:14" ht="15" hidden="1" customHeight="1">
      <c r="A268" s="191">
        <v>44530</v>
      </c>
      <c r="B268" s="178" t="s">
        <v>168</v>
      </c>
      <c r="C268" s="178" t="s">
        <v>77</v>
      </c>
      <c r="E268" s="202"/>
      <c r="F268" s="222">
        <v>30000</v>
      </c>
      <c r="G268" s="202">
        <f t="shared" si="4"/>
        <v>24369597</v>
      </c>
      <c r="H268" s="178" t="s">
        <v>26</v>
      </c>
      <c r="I268" s="178"/>
      <c r="N268" s="177"/>
    </row>
    <row r="269" spans="1:14" ht="15" hidden="1" customHeight="1">
      <c r="A269" s="191">
        <v>44530</v>
      </c>
      <c r="B269" s="178" t="s">
        <v>168</v>
      </c>
      <c r="C269" s="178" t="s">
        <v>77</v>
      </c>
      <c r="E269" s="202"/>
      <c r="F269" s="222">
        <v>12000</v>
      </c>
      <c r="G269" s="202">
        <f t="shared" si="4"/>
        <v>24357597</v>
      </c>
      <c r="H269" s="178" t="s">
        <v>26</v>
      </c>
      <c r="I269" s="178"/>
      <c r="N269" s="177"/>
    </row>
    <row r="270" spans="1:14" ht="15" customHeight="1">
      <c r="A270" s="191">
        <v>44530</v>
      </c>
      <c r="B270" s="178" t="s">
        <v>248</v>
      </c>
      <c r="C270" s="178" t="s">
        <v>173</v>
      </c>
      <c r="D270" s="178" t="s">
        <v>3</v>
      </c>
      <c r="E270" s="202"/>
      <c r="F270" s="222">
        <v>41000</v>
      </c>
      <c r="G270" s="202">
        <f t="shared" si="4"/>
        <v>24316597</v>
      </c>
      <c r="H270" s="178" t="s">
        <v>26</v>
      </c>
      <c r="I270" s="184" t="s">
        <v>206</v>
      </c>
      <c r="J270" s="184" t="s">
        <v>104</v>
      </c>
      <c r="K270" s="178" t="s">
        <v>325</v>
      </c>
      <c r="L270" s="178" t="s">
        <v>281</v>
      </c>
      <c r="M270" s="178" t="s">
        <v>416</v>
      </c>
      <c r="N270" s="177" t="s">
        <v>333</v>
      </c>
    </row>
    <row r="271" spans="1:14" ht="15" customHeight="1">
      <c r="A271" s="191">
        <v>44530</v>
      </c>
      <c r="B271" s="178" t="s">
        <v>249</v>
      </c>
      <c r="C271" s="178" t="s">
        <v>173</v>
      </c>
      <c r="D271" s="178" t="s">
        <v>169</v>
      </c>
      <c r="E271" s="202"/>
      <c r="F271" s="222">
        <v>37000</v>
      </c>
      <c r="G271" s="202">
        <f t="shared" si="4"/>
        <v>24279597</v>
      </c>
      <c r="H271" s="178" t="s">
        <v>26</v>
      </c>
      <c r="I271" s="184" t="s">
        <v>206</v>
      </c>
      <c r="J271" s="184" t="s">
        <v>104</v>
      </c>
      <c r="K271" s="178" t="s">
        <v>325</v>
      </c>
      <c r="L271" s="178" t="s">
        <v>281</v>
      </c>
      <c r="M271" s="178" t="s">
        <v>417</v>
      </c>
      <c r="N271" s="177" t="s">
        <v>333</v>
      </c>
    </row>
    <row r="272" spans="1:14" ht="15" customHeight="1">
      <c r="A272" s="191">
        <v>44530</v>
      </c>
      <c r="B272" s="178" t="s">
        <v>250</v>
      </c>
      <c r="C272" s="178" t="s">
        <v>173</v>
      </c>
      <c r="D272" s="178" t="s">
        <v>169</v>
      </c>
      <c r="E272" s="202"/>
      <c r="F272" s="222">
        <v>21000</v>
      </c>
      <c r="G272" s="202">
        <f t="shared" ref="G272:G311" si="5">+G271+E272-F272</f>
        <v>24258597</v>
      </c>
      <c r="H272" s="178" t="s">
        <v>26</v>
      </c>
      <c r="I272" s="178" t="s">
        <v>206</v>
      </c>
      <c r="J272" s="184" t="s">
        <v>172</v>
      </c>
      <c r="K272" s="178" t="s">
        <v>324</v>
      </c>
      <c r="L272" s="178" t="s">
        <v>281</v>
      </c>
      <c r="N272" s="177"/>
    </row>
    <row r="273" spans="1:15" ht="15" customHeight="1">
      <c r="A273" s="191">
        <v>44530</v>
      </c>
      <c r="B273" s="178" t="s">
        <v>251</v>
      </c>
      <c r="C273" s="178" t="s">
        <v>173</v>
      </c>
      <c r="D273" s="178" t="s">
        <v>5</v>
      </c>
      <c r="E273" s="202"/>
      <c r="F273" s="222">
        <v>20000</v>
      </c>
      <c r="G273" s="202">
        <f t="shared" si="5"/>
        <v>24238597</v>
      </c>
      <c r="H273" s="178" t="s">
        <v>26</v>
      </c>
      <c r="I273" s="184" t="s">
        <v>206</v>
      </c>
      <c r="J273" s="184" t="s">
        <v>104</v>
      </c>
      <c r="K273" s="178" t="s">
        <v>325</v>
      </c>
      <c r="L273" s="178" t="s">
        <v>281</v>
      </c>
      <c r="M273" s="178" t="s">
        <v>418</v>
      </c>
      <c r="N273" s="177" t="s">
        <v>333</v>
      </c>
    </row>
    <row r="274" spans="1:15" ht="15" customHeight="1">
      <c r="A274" s="191">
        <v>44530</v>
      </c>
      <c r="B274" s="178" t="s">
        <v>252</v>
      </c>
      <c r="C274" s="178" t="s">
        <v>173</v>
      </c>
      <c r="D274" s="178" t="s">
        <v>5</v>
      </c>
      <c r="E274" s="202"/>
      <c r="F274" s="222">
        <v>10000</v>
      </c>
      <c r="G274" s="202">
        <f t="shared" si="5"/>
        <v>24228597</v>
      </c>
      <c r="H274" s="178" t="s">
        <v>26</v>
      </c>
      <c r="I274" s="178" t="s">
        <v>206</v>
      </c>
      <c r="J274" s="184" t="s">
        <v>172</v>
      </c>
      <c r="K274" s="178" t="s">
        <v>324</v>
      </c>
      <c r="L274" s="178" t="s">
        <v>281</v>
      </c>
      <c r="N274" s="177"/>
    </row>
    <row r="275" spans="1:15" ht="15" customHeight="1">
      <c r="A275" s="191">
        <v>44530</v>
      </c>
      <c r="B275" s="178" t="s">
        <v>253</v>
      </c>
      <c r="C275" s="178" t="s">
        <v>173</v>
      </c>
      <c r="D275" s="178" t="s">
        <v>171</v>
      </c>
      <c r="E275" s="202"/>
      <c r="F275" s="222">
        <v>5000</v>
      </c>
      <c r="G275" s="202">
        <f t="shared" si="5"/>
        <v>24223597</v>
      </c>
      <c r="H275" s="178" t="s">
        <v>26</v>
      </c>
      <c r="I275" s="184" t="s">
        <v>206</v>
      </c>
      <c r="J275" s="184" t="s">
        <v>104</v>
      </c>
      <c r="K275" s="178" t="s">
        <v>325</v>
      </c>
      <c r="L275" s="178" t="s">
        <v>281</v>
      </c>
      <c r="M275" s="178" t="s">
        <v>419</v>
      </c>
      <c r="N275" s="177" t="s">
        <v>333</v>
      </c>
    </row>
    <row r="276" spans="1:15" ht="15" customHeight="1">
      <c r="A276" s="191">
        <v>44530</v>
      </c>
      <c r="B276" s="178" t="s">
        <v>449</v>
      </c>
      <c r="C276" s="178" t="s">
        <v>173</v>
      </c>
      <c r="D276" s="178" t="s">
        <v>3</v>
      </c>
      <c r="E276" s="202"/>
      <c r="F276" s="222">
        <v>32000</v>
      </c>
      <c r="G276" s="202">
        <f t="shared" si="5"/>
        <v>24191597</v>
      </c>
      <c r="H276" s="178" t="s">
        <v>26</v>
      </c>
      <c r="I276" s="184" t="s">
        <v>206</v>
      </c>
      <c r="J276" s="184" t="s">
        <v>104</v>
      </c>
      <c r="K276" s="178" t="s">
        <v>325</v>
      </c>
      <c r="L276" s="178" t="s">
        <v>281</v>
      </c>
      <c r="M276" s="178" t="s">
        <v>420</v>
      </c>
      <c r="N276" s="177" t="s">
        <v>333</v>
      </c>
    </row>
    <row r="277" spans="1:15" ht="15" customHeight="1">
      <c r="A277" s="191">
        <v>44530</v>
      </c>
      <c r="B277" s="178" t="s">
        <v>254</v>
      </c>
      <c r="C277" s="178" t="s">
        <v>173</v>
      </c>
      <c r="D277" s="178" t="s">
        <v>5</v>
      </c>
      <c r="E277" s="202"/>
      <c r="F277" s="222">
        <v>32000</v>
      </c>
      <c r="G277" s="202">
        <f t="shared" si="5"/>
        <v>24159597</v>
      </c>
      <c r="H277" s="178" t="s">
        <v>26</v>
      </c>
      <c r="I277" s="184" t="s">
        <v>206</v>
      </c>
      <c r="J277" s="184" t="s">
        <v>104</v>
      </c>
      <c r="K277" s="178" t="s">
        <v>325</v>
      </c>
      <c r="L277" s="178" t="s">
        <v>281</v>
      </c>
      <c r="M277" s="178" t="s">
        <v>421</v>
      </c>
      <c r="N277" s="177" t="s">
        <v>333</v>
      </c>
    </row>
    <row r="278" spans="1:15" ht="15" customHeight="1">
      <c r="A278" s="191">
        <v>44530</v>
      </c>
      <c r="B278" s="178" t="s">
        <v>255</v>
      </c>
      <c r="C278" s="178" t="s">
        <v>173</v>
      </c>
      <c r="D278" s="178" t="s">
        <v>5</v>
      </c>
      <c r="E278" s="202"/>
      <c r="F278" s="222">
        <v>16000</v>
      </c>
      <c r="G278" s="202">
        <f t="shared" si="5"/>
        <v>24143597</v>
      </c>
      <c r="H278" s="178" t="s">
        <v>26</v>
      </c>
      <c r="I278" s="178" t="s">
        <v>206</v>
      </c>
      <c r="J278" s="184" t="s">
        <v>172</v>
      </c>
      <c r="K278" s="178" t="s">
        <v>324</v>
      </c>
      <c r="L278" s="178" t="s">
        <v>281</v>
      </c>
      <c r="N278" s="177"/>
    </row>
    <row r="279" spans="1:15" ht="15" customHeight="1">
      <c r="A279" s="191">
        <v>44530</v>
      </c>
      <c r="B279" s="178" t="s">
        <v>193</v>
      </c>
      <c r="C279" s="178" t="s">
        <v>173</v>
      </c>
      <c r="D279" s="178" t="s">
        <v>169</v>
      </c>
      <c r="E279" s="202"/>
      <c r="F279" s="222">
        <v>5000</v>
      </c>
      <c r="G279" s="202">
        <f t="shared" si="5"/>
        <v>24138597</v>
      </c>
      <c r="H279" s="178" t="s">
        <v>26</v>
      </c>
      <c r="I279" s="184" t="s">
        <v>206</v>
      </c>
      <c r="J279" s="184" t="s">
        <v>104</v>
      </c>
      <c r="K279" s="178" t="s">
        <v>325</v>
      </c>
      <c r="L279" s="178" t="s">
        <v>281</v>
      </c>
      <c r="M279" s="178" t="s">
        <v>422</v>
      </c>
      <c r="N279" s="177" t="s">
        <v>333</v>
      </c>
    </row>
    <row r="280" spans="1:15" ht="15" customHeight="1">
      <c r="A280" s="191">
        <v>44530</v>
      </c>
      <c r="B280" s="178" t="s">
        <v>194</v>
      </c>
      <c r="C280" s="178" t="s">
        <v>173</v>
      </c>
      <c r="D280" s="178" t="s">
        <v>171</v>
      </c>
      <c r="E280" s="202"/>
      <c r="F280" s="222">
        <v>11000</v>
      </c>
      <c r="G280" s="202">
        <f t="shared" si="5"/>
        <v>24127597</v>
      </c>
      <c r="H280" s="178" t="s">
        <v>26</v>
      </c>
      <c r="I280" s="184" t="s">
        <v>206</v>
      </c>
      <c r="J280" s="184" t="s">
        <v>104</v>
      </c>
      <c r="K280" s="178" t="s">
        <v>325</v>
      </c>
      <c r="L280" s="178" t="s">
        <v>281</v>
      </c>
      <c r="M280" s="178" t="s">
        <v>423</v>
      </c>
      <c r="N280" s="177" t="s">
        <v>333</v>
      </c>
    </row>
    <row r="281" spans="1:15" ht="15" hidden="1" customHeight="1">
      <c r="A281" s="191">
        <v>44530</v>
      </c>
      <c r="B281" s="178" t="s">
        <v>156</v>
      </c>
      <c r="C281" s="178" t="s">
        <v>77</v>
      </c>
      <c r="E281" s="202"/>
      <c r="F281" s="222">
        <v>15000</v>
      </c>
      <c r="G281" s="202">
        <f t="shared" si="5"/>
        <v>24112597</v>
      </c>
      <c r="H281" s="178" t="s">
        <v>26</v>
      </c>
      <c r="I281" s="178"/>
      <c r="N281" s="177"/>
    </row>
    <row r="282" spans="1:15" ht="15" hidden="1" customHeight="1">
      <c r="A282" s="191">
        <v>44530</v>
      </c>
      <c r="B282" s="178" t="s">
        <v>195</v>
      </c>
      <c r="C282" s="178" t="s">
        <v>77</v>
      </c>
      <c r="E282" s="202"/>
      <c r="F282" s="222">
        <v>8000</v>
      </c>
      <c r="G282" s="202">
        <f t="shared" si="5"/>
        <v>24104597</v>
      </c>
      <c r="H282" s="178" t="s">
        <v>26</v>
      </c>
      <c r="I282" s="178"/>
      <c r="N282" s="177"/>
      <c r="O282" s="177"/>
    </row>
    <row r="283" spans="1:15" ht="15" customHeight="1">
      <c r="A283" s="191">
        <v>44530</v>
      </c>
      <c r="B283" s="178" t="s">
        <v>444</v>
      </c>
      <c r="C283" s="178" t="s">
        <v>170</v>
      </c>
      <c r="D283" s="178" t="s">
        <v>169</v>
      </c>
      <c r="E283" s="202"/>
      <c r="F283" s="222">
        <v>20000</v>
      </c>
      <c r="G283" s="202">
        <f t="shared" si="5"/>
        <v>24084597</v>
      </c>
      <c r="H283" s="178" t="s">
        <v>26</v>
      </c>
      <c r="I283" s="178" t="s">
        <v>207</v>
      </c>
      <c r="J283" s="184" t="s">
        <v>172</v>
      </c>
      <c r="K283" s="178" t="s">
        <v>324</v>
      </c>
      <c r="L283" s="178" t="s">
        <v>281</v>
      </c>
      <c r="N283" s="177"/>
    </row>
    <row r="284" spans="1:15" ht="15" customHeight="1">
      <c r="A284" s="191">
        <v>44530</v>
      </c>
      <c r="B284" s="178" t="s">
        <v>256</v>
      </c>
      <c r="C284" s="178" t="s">
        <v>170</v>
      </c>
      <c r="D284" s="178" t="s">
        <v>169</v>
      </c>
      <c r="E284" s="202"/>
      <c r="F284" s="222">
        <v>30000</v>
      </c>
      <c r="G284" s="202">
        <f t="shared" si="5"/>
        <v>24054597</v>
      </c>
      <c r="H284" s="178" t="s">
        <v>26</v>
      </c>
      <c r="I284" s="178" t="s">
        <v>207</v>
      </c>
      <c r="J284" s="184" t="s">
        <v>172</v>
      </c>
      <c r="K284" s="178" t="s">
        <v>324</v>
      </c>
      <c r="L284" s="178" t="s">
        <v>281</v>
      </c>
      <c r="N284" s="177"/>
    </row>
    <row r="285" spans="1:15" ht="15" customHeight="1">
      <c r="A285" s="191">
        <v>44530</v>
      </c>
      <c r="B285" s="178" t="s">
        <v>257</v>
      </c>
      <c r="C285" s="178" t="s">
        <v>170</v>
      </c>
      <c r="D285" s="178" t="s">
        <v>171</v>
      </c>
      <c r="E285" s="202"/>
      <c r="F285" s="222">
        <v>15000</v>
      </c>
      <c r="G285" s="202">
        <f t="shared" si="5"/>
        <v>24039597</v>
      </c>
      <c r="H285" s="178" t="s">
        <v>26</v>
      </c>
      <c r="I285" s="178" t="s">
        <v>207</v>
      </c>
      <c r="J285" s="184" t="s">
        <v>172</v>
      </c>
      <c r="K285" s="178" t="s">
        <v>324</v>
      </c>
      <c r="L285" s="178" t="s">
        <v>281</v>
      </c>
      <c r="N285" s="177"/>
      <c r="O285" s="177"/>
    </row>
    <row r="286" spans="1:15" ht="15" customHeight="1">
      <c r="A286" s="191">
        <v>44530</v>
      </c>
      <c r="B286" s="178" t="s">
        <v>258</v>
      </c>
      <c r="C286" s="178" t="s">
        <v>170</v>
      </c>
      <c r="D286" s="178" t="s">
        <v>171</v>
      </c>
      <c r="E286" s="202"/>
      <c r="F286" s="222">
        <v>29000</v>
      </c>
      <c r="G286" s="202">
        <f t="shared" si="5"/>
        <v>24010597</v>
      </c>
      <c r="H286" s="178" t="s">
        <v>26</v>
      </c>
      <c r="I286" s="178" t="s">
        <v>207</v>
      </c>
      <c r="J286" s="184" t="s">
        <v>172</v>
      </c>
      <c r="K286" s="178" t="s">
        <v>324</v>
      </c>
      <c r="L286" s="178" t="s">
        <v>281</v>
      </c>
      <c r="N286" s="177"/>
    </row>
    <row r="287" spans="1:15" ht="15" customHeight="1">
      <c r="A287" s="191">
        <v>44530</v>
      </c>
      <c r="B287" s="178" t="s">
        <v>259</v>
      </c>
      <c r="C287" s="178" t="s">
        <v>170</v>
      </c>
      <c r="D287" s="178" t="s">
        <v>171</v>
      </c>
      <c r="E287" s="202"/>
      <c r="F287" s="222">
        <v>29000</v>
      </c>
      <c r="G287" s="202">
        <f t="shared" si="5"/>
        <v>23981597</v>
      </c>
      <c r="H287" s="178" t="s">
        <v>26</v>
      </c>
      <c r="I287" s="178" t="s">
        <v>207</v>
      </c>
      <c r="J287" s="184" t="s">
        <v>172</v>
      </c>
      <c r="K287" s="178" t="s">
        <v>324</v>
      </c>
      <c r="L287" s="178" t="s">
        <v>281</v>
      </c>
      <c r="N287" s="177"/>
    </row>
    <row r="288" spans="1:15" ht="15" customHeight="1">
      <c r="A288" s="191">
        <v>44530</v>
      </c>
      <c r="B288" s="178" t="s">
        <v>260</v>
      </c>
      <c r="C288" s="178" t="s">
        <v>170</v>
      </c>
      <c r="D288" s="178" t="s">
        <v>171</v>
      </c>
      <c r="E288" s="202"/>
      <c r="F288" s="222">
        <v>150000</v>
      </c>
      <c r="G288" s="202">
        <f t="shared" si="5"/>
        <v>23831597</v>
      </c>
      <c r="H288" s="178" t="s">
        <v>26</v>
      </c>
      <c r="I288" s="178" t="s">
        <v>207</v>
      </c>
      <c r="J288" s="184" t="s">
        <v>172</v>
      </c>
      <c r="K288" s="178" t="s">
        <v>324</v>
      </c>
      <c r="L288" s="178" t="s">
        <v>281</v>
      </c>
      <c r="N288" s="177"/>
    </row>
    <row r="289" spans="1:14" ht="15" hidden="1" customHeight="1">
      <c r="A289" s="191">
        <v>44530</v>
      </c>
      <c r="B289" s="178" t="s">
        <v>30</v>
      </c>
      <c r="C289" s="178" t="s">
        <v>77</v>
      </c>
      <c r="E289" s="202"/>
      <c r="F289" s="222">
        <v>25000</v>
      </c>
      <c r="G289" s="202">
        <f t="shared" si="5"/>
        <v>23806597</v>
      </c>
      <c r="H289" s="178" t="s">
        <v>26</v>
      </c>
      <c r="I289" s="178"/>
      <c r="N289" s="177"/>
    </row>
    <row r="290" spans="1:14" ht="15" hidden="1" customHeight="1">
      <c r="A290" s="191">
        <v>44530</v>
      </c>
      <c r="B290" s="178" t="s">
        <v>184</v>
      </c>
      <c r="C290" s="178" t="s">
        <v>77</v>
      </c>
      <c r="E290" s="202"/>
      <c r="F290" s="222">
        <v>25000</v>
      </c>
      <c r="G290" s="202">
        <f t="shared" si="5"/>
        <v>23781597</v>
      </c>
      <c r="H290" s="178" t="s">
        <v>26</v>
      </c>
      <c r="I290" s="178"/>
      <c r="N290" s="177"/>
    </row>
    <row r="291" spans="1:14" ht="15" customHeight="1">
      <c r="A291" s="218">
        <v>44530</v>
      </c>
      <c r="B291" s="185" t="s">
        <v>279</v>
      </c>
      <c r="C291" s="185" t="s">
        <v>35</v>
      </c>
      <c r="D291" s="178" t="s">
        <v>3</v>
      </c>
      <c r="E291" s="209"/>
      <c r="F291" s="223">
        <v>21000</v>
      </c>
      <c r="G291" s="202">
        <f t="shared" si="5"/>
        <v>23760597</v>
      </c>
      <c r="H291" s="185" t="s">
        <v>115</v>
      </c>
      <c r="I291" s="184" t="s">
        <v>207</v>
      </c>
      <c r="J291" s="184" t="s">
        <v>104</v>
      </c>
      <c r="K291" s="184" t="s">
        <v>325</v>
      </c>
      <c r="L291" s="178" t="s">
        <v>281</v>
      </c>
      <c r="M291" s="178" t="s">
        <v>424</v>
      </c>
      <c r="N291" s="177" t="s">
        <v>341</v>
      </c>
    </row>
    <row r="292" spans="1:14" ht="15" customHeight="1">
      <c r="A292" s="219">
        <v>44530</v>
      </c>
      <c r="B292" s="185" t="s">
        <v>291</v>
      </c>
      <c r="C292" s="185" t="s">
        <v>35</v>
      </c>
      <c r="D292" s="178" t="s">
        <v>3</v>
      </c>
      <c r="E292" s="210"/>
      <c r="F292" s="223">
        <v>29900</v>
      </c>
      <c r="G292" s="202">
        <f t="shared" si="5"/>
        <v>23730697</v>
      </c>
      <c r="H292" s="212" t="s">
        <v>156</v>
      </c>
      <c r="I292" s="184" t="s">
        <v>207</v>
      </c>
      <c r="J292" s="184" t="s">
        <v>104</v>
      </c>
      <c r="K292" s="184" t="s">
        <v>325</v>
      </c>
      <c r="L292" s="178" t="s">
        <v>281</v>
      </c>
      <c r="M292" s="178" t="s">
        <v>425</v>
      </c>
      <c r="N292" s="177" t="s">
        <v>341</v>
      </c>
    </row>
    <row r="293" spans="1:14" ht="15" hidden="1" customHeight="1">
      <c r="A293" s="219">
        <v>44530</v>
      </c>
      <c r="B293" s="185" t="s">
        <v>287</v>
      </c>
      <c r="C293" s="178" t="s">
        <v>77</v>
      </c>
      <c r="D293" s="185"/>
      <c r="E293" s="210">
        <v>15000</v>
      </c>
      <c r="F293" s="223"/>
      <c r="G293" s="202">
        <f t="shared" si="5"/>
        <v>23745697</v>
      </c>
      <c r="H293" s="212" t="s">
        <v>156</v>
      </c>
      <c r="I293" s="178"/>
      <c r="J293" s="221"/>
      <c r="M293" s="184"/>
      <c r="N293" s="177"/>
    </row>
    <row r="294" spans="1:14" ht="15" customHeight="1">
      <c r="A294" s="191">
        <v>44530</v>
      </c>
      <c r="B294" s="178" t="s">
        <v>293</v>
      </c>
      <c r="C294" s="178" t="s">
        <v>35</v>
      </c>
      <c r="D294" s="178" t="s">
        <v>3</v>
      </c>
      <c r="E294" s="202"/>
      <c r="F294" s="222">
        <v>24000</v>
      </c>
      <c r="G294" s="202">
        <f t="shared" si="5"/>
        <v>23721697</v>
      </c>
      <c r="H294" s="178" t="s">
        <v>95</v>
      </c>
      <c r="I294" s="184" t="s">
        <v>207</v>
      </c>
      <c r="J294" s="184" t="s">
        <v>104</v>
      </c>
      <c r="K294" s="184" t="s">
        <v>325</v>
      </c>
      <c r="L294" s="178" t="s">
        <v>281</v>
      </c>
      <c r="M294" s="178" t="s">
        <v>426</v>
      </c>
      <c r="N294" s="177" t="s">
        <v>341</v>
      </c>
    </row>
    <row r="295" spans="1:14" ht="15" customHeight="1">
      <c r="A295" s="191">
        <v>44530</v>
      </c>
      <c r="B295" s="178" t="s">
        <v>297</v>
      </c>
      <c r="C295" s="178" t="s">
        <v>35</v>
      </c>
      <c r="D295" s="178" t="s">
        <v>171</v>
      </c>
      <c r="E295" s="202"/>
      <c r="F295" s="222">
        <v>42500</v>
      </c>
      <c r="G295" s="202">
        <f t="shared" si="5"/>
        <v>23679197</v>
      </c>
      <c r="H295" s="178" t="s">
        <v>32</v>
      </c>
      <c r="I295" s="184" t="s">
        <v>207</v>
      </c>
      <c r="J295" s="184" t="s">
        <v>104</v>
      </c>
      <c r="K295" s="184" t="s">
        <v>325</v>
      </c>
      <c r="L295" s="178" t="s">
        <v>281</v>
      </c>
      <c r="M295" s="178" t="s">
        <v>427</v>
      </c>
      <c r="N295" s="177" t="s">
        <v>341</v>
      </c>
    </row>
    <row r="296" spans="1:14" ht="15" hidden="1" customHeight="1">
      <c r="A296" s="191">
        <v>44530</v>
      </c>
      <c r="B296" s="178" t="s">
        <v>298</v>
      </c>
      <c r="C296" s="178" t="s">
        <v>77</v>
      </c>
      <c r="D296" s="213"/>
      <c r="E296" s="178">
        <v>25000</v>
      </c>
      <c r="F296" s="224"/>
      <c r="G296" s="202">
        <f t="shared" si="5"/>
        <v>23704197</v>
      </c>
      <c r="H296" s="178" t="s">
        <v>50</v>
      </c>
      <c r="I296" s="178"/>
      <c r="N296" s="177"/>
    </row>
    <row r="297" spans="1:14" ht="15" customHeight="1">
      <c r="A297" s="191">
        <v>44530</v>
      </c>
      <c r="B297" s="178" t="s">
        <v>300</v>
      </c>
      <c r="C297" s="178" t="s">
        <v>35</v>
      </c>
      <c r="D297" s="178" t="s">
        <v>5</v>
      </c>
      <c r="E297" s="178"/>
      <c r="F297" s="224">
        <v>91500</v>
      </c>
      <c r="G297" s="202">
        <f t="shared" si="5"/>
        <v>23612697</v>
      </c>
      <c r="H297" s="178" t="s">
        <v>50</v>
      </c>
      <c r="I297" s="184" t="s">
        <v>207</v>
      </c>
      <c r="J297" s="184" t="s">
        <v>104</v>
      </c>
      <c r="K297" s="184" t="s">
        <v>325</v>
      </c>
      <c r="L297" s="178" t="s">
        <v>281</v>
      </c>
      <c r="M297" s="178" t="s">
        <v>428</v>
      </c>
      <c r="N297" s="177" t="s">
        <v>341</v>
      </c>
    </row>
    <row r="298" spans="1:14" ht="15" customHeight="1">
      <c r="A298" s="191">
        <v>44530</v>
      </c>
      <c r="B298" s="178" t="s">
        <v>482</v>
      </c>
      <c r="C298" s="178" t="s">
        <v>35</v>
      </c>
      <c r="D298" s="178" t="s">
        <v>5</v>
      </c>
      <c r="E298" s="178"/>
      <c r="F298" s="224">
        <v>7000</v>
      </c>
      <c r="G298" s="202">
        <f t="shared" si="5"/>
        <v>23605697</v>
      </c>
      <c r="H298" s="178" t="s">
        <v>50</v>
      </c>
      <c r="I298" s="184" t="s">
        <v>206</v>
      </c>
      <c r="J298" s="184" t="s">
        <v>104</v>
      </c>
      <c r="K298" s="184" t="s">
        <v>325</v>
      </c>
      <c r="L298" s="178" t="s">
        <v>281</v>
      </c>
      <c r="M298" s="178" t="s">
        <v>429</v>
      </c>
      <c r="N298" s="177" t="s">
        <v>341</v>
      </c>
    </row>
    <row r="299" spans="1:14" ht="15" customHeight="1">
      <c r="A299" s="191">
        <v>44530</v>
      </c>
      <c r="B299" s="178" t="s">
        <v>483</v>
      </c>
      <c r="C299" s="178" t="s">
        <v>35</v>
      </c>
      <c r="D299" s="178" t="s">
        <v>5</v>
      </c>
      <c r="E299" s="178"/>
      <c r="F299" s="224">
        <v>7000</v>
      </c>
      <c r="G299" s="202">
        <f t="shared" si="5"/>
        <v>23598697</v>
      </c>
      <c r="H299" s="178" t="s">
        <v>50</v>
      </c>
      <c r="I299" s="184" t="s">
        <v>206</v>
      </c>
      <c r="J299" s="184" t="s">
        <v>104</v>
      </c>
      <c r="K299" s="184" t="s">
        <v>325</v>
      </c>
      <c r="L299" s="178" t="s">
        <v>281</v>
      </c>
      <c r="M299" s="178" t="s">
        <v>430</v>
      </c>
      <c r="N299" s="177" t="s">
        <v>341</v>
      </c>
    </row>
    <row r="300" spans="1:14" ht="15.75" customHeight="1">
      <c r="A300" s="191">
        <v>44530</v>
      </c>
      <c r="B300" s="178" t="s">
        <v>488</v>
      </c>
      <c r="C300" s="178" t="s">
        <v>35</v>
      </c>
      <c r="D300" s="178" t="s">
        <v>5</v>
      </c>
      <c r="E300" s="178"/>
      <c r="F300" s="225">
        <v>3000</v>
      </c>
      <c r="G300" s="202">
        <f t="shared" si="5"/>
        <v>23595697</v>
      </c>
      <c r="H300" s="178" t="s">
        <v>30</v>
      </c>
      <c r="I300" s="184" t="s">
        <v>206</v>
      </c>
      <c r="J300" s="184" t="s">
        <v>104</v>
      </c>
      <c r="K300" s="184" t="s">
        <v>325</v>
      </c>
      <c r="L300" s="178" t="s">
        <v>281</v>
      </c>
      <c r="M300" s="178" t="s">
        <v>431</v>
      </c>
      <c r="N300" s="177" t="s">
        <v>341</v>
      </c>
    </row>
    <row r="301" spans="1:14" ht="15.75" customHeight="1">
      <c r="A301" s="191">
        <v>44530</v>
      </c>
      <c r="B301" s="178" t="s">
        <v>489</v>
      </c>
      <c r="C301" s="178" t="s">
        <v>35</v>
      </c>
      <c r="D301" s="178" t="s">
        <v>5</v>
      </c>
      <c r="E301" s="178"/>
      <c r="F301" s="225">
        <v>3000</v>
      </c>
      <c r="G301" s="202">
        <f t="shared" si="5"/>
        <v>23592697</v>
      </c>
      <c r="H301" s="178" t="s">
        <v>30</v>
      </c>
      <c r="I301" s="184" t="s">
        <v>206</v>
      </c>
      <c r="J301" s="184" t="s">
        <v>104</v>
      </c>
      <c r="K301" s="184" t="s">
        <v>325</v>
      </c>
      <c r="L301" s="178" t="s">
        <v>281</v>
      </c>
      <c r="M301" s="178" t="s">
        <v>432</v>
      </c>
      <c r="N301" s="177" t="s">
        <v>341</v>
      </c>
    </row>
    <row r="302" spans="1:14" ht="15.75" customHeight="1">
      <c r="A302" s="191">
        <v>44530</v>
      </c>
      <c r="B302" s="178" t="s">
        <v>323</v>
      </c>
      <c r="C302" s="178" t="s">
        <v>35</v>
      </c>
      <c r="D302" s="178" t="s">
        <v>5</v>
      </c>
      <c r="E302" s="178"/>
      <c r="F302" s="225">
        <v>84500</v>
      </c>
      <c r="G302" s="202">
        <f t="shared" si="5"/>
        <v>23508197</v>
      </c>
      <c r="H302" s="178" t="s">
        <v>30</v>
      </c>
      <c r="I302" s="184" t="s">
        <v>207</v>
      </c>
      <c r="J302" s="184" t="s">
        <v>104</v>
      </c>
      <c r="K302" s="184" t="s">
        <v>325</v>
      </c>
      <c r="L302" s="178" t="s">
        <v>281</v>
      </c>
      <c r="M302" s="178" t="s">
        <v>433</v>
      </c>
      <c r="N302" s="177" t="s">
        <v>341</v>
      </c>
    </row>
    <row r="303" spans="1:14" ht="15.75" hidden="1" customHeight="1">
      <c r="A303" s="191">
        <v>44530</v>
      </c>
      <c r="B303" s="178" t="s">
        <v>301</v>
      </c>
      <c r="C303" s="178" t="s">
        <v>77</v>
      </c>
      <c r="E303" s="178">
        <v>25000</v>
      </c>
      <c r="F303" s="225"/>
      <c r="G303" s="202">
        <f t="shared" si="5"/>
        <v>23533197</v>
      </c>
      <c r="H303" s="178" t="s">
        <v>30</v>
      </c>
      <c r="I303" s="178"/>
      <c r="M303" s="177"/>
      <c r="N303" s="177"/>
    </row>
    <row r="304" spans="1:14" ht="15.75" hidden="1" customHeight="1">
      <c r="A304" s="219">
        <v>44530</v>
      </c>
      <c r="B304" s="185" t="s">
        <v>287</v>
      </c>
      <c r="C304" s="178" t="s">
        <v>77</v>
      </c>
      <c r="D304" s="185"/>
      <c r="E304" s="210">
        <v>8000</v>
      </c>
      <c r="F304" s="223"/>
      <c r="G304" s="202">
        <f t="shared" si="5"/>
        <v>23541197</v>
      </c>
      <c r="H304" s="211" t="s">
        <v>157</v>
      </c>
      <c r="I304" s="185"/>
      <c r="N304" s="177"/>
    </row>
    <row r="305" spans="1:14" ht="15.75" customHeight="1">
      <c r="A305" s="219">
        <v>44530</v>
      </c>
      <c r="B305" s="185" t="s">
        <v>306</v>
      </c>
      <c r="C305" s="185" t="s">
        <v>35</v>
      </c>
      <c r="D305" s="178" t="s">
        <v>169</v>
      </c>
      <c r="E305" s="210"/>
      <c r="F305" s="223">
        <v>15700</v>
      </c>
      <c r="G305" s="202">
        <f t="shared" si="5"/>
        <v>23525497</v>
      </c>
      <c r="H305" s="211" t="s">
        <v>157</v>
      </c>
      <c r="I305" s="184" t="s">
        <v>207</v>
      </c>
      <c r="J305" s="184" t="s">
        <v>104</v>
      </c>
      <c r="K305" s="184" t="s">
        <v>325</v>
      </c>
      <c r="L305" s="178" t="s">
        <v>281</v>
      </c>
      <c r="M305" s="178" t="s">
        <v>434</v>
      </c>
      <c r="N305" s="177" t="s">
        <v>341</v>
      </c>
    </row>
    <row r="306" spans="1:14" ht="15.75" customHeight="1">
      <c r="A306" s="219">
        <v>44530</v>
      </c>
      <c r="B306" s="185" t="s">
        <v>307</v>
      </c>
      <c r="C306" s="178" t="s">
        <v>148</v>
      </c>
      <c r="D306" s="178" t="s">
        <v>169</v>
      </c>
      <c r="E306" s="210"/>
      <c r="F306" s="223">
        <v>1000</v>
      </c>
      <c r="G306" s="202">
        <f t="shared" si="5"/>
        <v>23524497</v>
      </c>
      <c r="H306" s="211" t="s">
        <v>157</v>
      </c>
      <c r="I306" s="178" t="s">
        <v>207</v>
      </c>
      <c r="J306" s="184" t="s">
        <v>172</v>
      </c>
      <c r="K306" s="178" t="s">
        <v>324</v>
      </c>
      <c r="L306" s="178" t="s">
        <v>281</v>
      </c>
      <c r="N306" s="177"/>
    </row>
    <row r="307" spans="1:14" ht="15.75" customHeight="1">
      <c r="A307" s="219">
        <v>44530</v>
      </c>
      <c r="B307" s="185" t="s">
        <v>314</v>
      </c>
      <c r="C307" s="185" t="s">
        <v>35</v>
      </c>
      <c r="D307" s="178" t="s">
        <v>169</v>
      </c>
      <c r="E307" s="210"/>
      <c r="F307" s="223">
        <v>87200</v>
      </c>
      <c r="G307" s="202">
        <f t="shared" si="5"/>
        <v>23437297</v>
      </c>
      <c r="H307" s="212" t="s">
        <v>168</v>
      </c>
      <c r="I307" s="178" t="s">
        <v>207</v>
      </c>
      <c r="J307" s="184" t="s">
        <v>172</v>
      </c>
      <c r="K307" s="184" t="s">
        <v>324</v>
      </c>
      <c r="L307" s="178" t="s">
        <v>281</v>
      </c>
      <c r="N307" s="177"/>
    </row>
    <row r="308" spans="1:14" ht="15.75" customHeight="1">
      <c r="A308" s="219">
        <v>44530</v>
      </c>
      <c r="B308" s="185" t="s">
        <v>315</v>
      </c>
      <c r="C308" s="178" t="s">
        <v>148</v>
      </c>
      <c r="D308" s="178" t="s">
        <v>169</v>
      </c>
      <c r="E308" s="210"/>
      <c r="F308" s="223">
        <v>8000</v>
      </c>
      <c r="G308" s="202">
        <f t="shared" si="5"/>
        <v>23429297</v>
      </c>
      <c r="H308" s="212" t="s">
        <v>168</v>
      </c>
      <c r="I308" s="178" t="s">
        <v>207</v>
      </c>
      <c r="J308" s="184" t="s">
        <v>172</v>
      </c>
      <c r="K308" s="184" t="s">
        <v>324</v>
      </c>
      <c r="L308" s="178" t="s">
        <v>281</v>
      </c>
      <c r="M308" s="177"/>
      <c r="N308" s="177"/>
    </row>
    <row r="309" spans="1:14" ht="15.75" customHeight="1">
      <c r="A309" s="220">
        <v>44530</v>
      </c>
      <c r="B309" s="214" t="s">
        <v>318</v>
      </c>
      <c r="C309" s="178" t="s">
        <v>308</v>
      </c>
      <c r="D309" s="178" t="s">
        <v>5</v>
      </c>
      <c r="E309" s="178"/>
      <c r="F309" s="226">
        <v>15000</v>
      </c>
      <c r="G309" s="202">
        <f t="shared" si="5"/>
        <v>23414297</v>
      </c>
      <c r="H309" s="216" t="s">
        <v>204</v>
      </c>
      <c r="I309" s="178" t="s">
        <v>207</v>
      </c>
      <c r="J309" s="184" t="s">
        <v>172</v>
      </c>
      <c r="K309" s="184" t="s">
        <v>324</v>
      </c>
      <c r="L309" s="178" t="s">
        <v>281</v>
      </c>
    </row>
    <row r="310" spans="1:14" ht="15.75" customHeight="1">
      <c r="A310" s="220">
        <v>44530</v>
      </c>
      <c r="B310" s="214" t="s">
        <v>319</v>
      </c>
      <c r="C310" s="214" t="s">
        <v>35</v>
      </c>
      <c r="D310" s="178" t="s">
        <v>5</v>
      </c>
      <c r="E310" s="178"/>
      <c r="F310" s="226">
        <v>75500</v>
      </c>
      <c r="G310" s="202">
        <f t="shared" si="5"/>
        <v>23338797</v>
      </c>
      <c r="H310" s="216" t="s">
        <v>204</v>
      </c>
      <c r="I310" s="178" t="s">
        <v>207</v>
      </c>
      <c r="J310" s="184" t="s">
        <v>172</v>
      </c>
      <c r="K310" s="184" t="s">
        <v>324</v>
      </c>
      <c r="L310" s="178" t="s">
        <v>281</v>
      </c>
    </row>
    <row r="311" spans="1:14" ht="15.75" customHeight="1">
      <c r="A311" s="220">
        <v>44530</v>
      </c>
      <c r="B311" s="178" t="s">
        <v>320</v>
      </c>
      <c r="C311" s="178" t="s">
        <v>238</v>
      </c>
      <c r="D311" s="178" t="s">
        <v>5</v>
      </c>
      <c r="E311" s="178"/>
      <c r="F311" s="226">
        <v>13500</v>
      </c>
      <c r="G311" s="202">
        <f t="shared" si="5"/>
        <v>23325297</v>
      </c>
      <c r="H311" s="216" t="s">
        <v>204</v>
      </c>
      <c r="I311" s="178" t="s">
        <v>207</v>
      </c>
      <c r="J311" s="184" t="s">
        <v>172</v>
      </c>
      <c r="K311" s="184" t="s">
        <v>324</v>
      </c>
      <c r="L311" s="178" t="s">
        <v>281</v>
      </c>
    </row>
    <row r="312" spans="1:14" hidden="1">
      <c r="A312" s="219">
        <v>44530</v>
      </c>
      <c r="B312" s="185" t="s">
        <v>287</v>
      </c>
      <c r="C312" s="178" t="s">
        <v>77</v>
      </c>
      <c r="D312" s="185"/>
      <c r="E312" s="210">
        <v>30000</v>
      </c>
      <c r="G312" s="202">
        <f t="shared" ref="G312:G313" si="6">+G311+E312-F312</f>
        <v>23355297</v>
      </c>
      <c r="H312" s="178" t="s">
        <v>168</v>
      </c>
    </row>
    <row r="313" spans="1:14" hidden="1">
      <c r="A313" s="219">
        <v>44530</v>
      </c>
      <c r="B313" s="185" t="s">
        <v>287</v>
      </c>
      <c r="C313" s="178" t="s">
        <v>77</v>
      </c>
      <c r="D313" s="185"/>
      <c r="E313" s="210">
        <v>12000</v>
      </c>
      <c r="G313" s="202">
        <f t="shared" si="6"/>
        <v>23367297</v>
      </c>
      <c r="H313" s="178" t="s">
        <v>168</v>
      </c>
    </row>
    <row r="314" spans="1:14" hidden="1">
      <c r="G314" s="202"/>
    </row>
    <row r="315" spans="1:14" hidden="1">
      <c r="G315" s="202"/>
    </row>
    <row r="316" spans="1:14" hidden="1">
      <c r="G316" s="202"/>
    </row>
  </sheetData>
  <autoFilter ref="A11:O316">
    <filterColumn colId="2">
      <filters>
        <filter val="Bank fees"/>
        <filter val="Bonus"/>
        <filter val="Equipement"/>
        <filter val="Flight"/>
        <filter val="Internet"/>
        <filter val="Jail Visits"/>
        <filter val="Lawyer Fees"/>
        <filter val="Office Materials"/>
        <filter val="Personnel"/>
        <filter val="Rent &amp; Utilities"/>
        <filter val="Services"/>
        <filter val="Telephone"/>
        <filter val="Transfer fees"/>
        <filter val="Transport"/>
        <filter val="Travel Subsistence"/>
        <filter val="Trust Building"/>
      </filters>
    </filterColumn>
    <filterColumn colId="7"/>
    <filterColumn colId="9"/>
    <filterColumn colId="10"/>
    <sortState ref="A16:O311">
      <sortCondition ref="A11:A316"/>
    </sortState>
  </autoFilter>
  <sortState ref="A12:P196">
    <sortCondition ref="M18"/>
  </sortState>
  <mergeCells count="1">
    <mergeCell ref="A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Récapitulatif</vt:lpstr>
      <vt:lpstr>Donateurs</vt:lpstr>
      <vt:lpstr>Feuil1</vt:lpstr>
      <vt:lpstr>DATA  Novembre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2021-06-11T09:45:49Z</cp:lastPrinted>
  <dcterms:created xsi:type="dcterms:W3CDTF">2020-09-02T13:35:58Z</dcterms:created>
  <dcterms:modified xsi:type="dcterms:W3CDTF">2022-01-19T09:38:47Z</dcterms:modified>
</cp:coreProperties>
</file>