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 activeTab="3"/>
  </bookViews>
  <sheets>
    <sheet name="Récapitulatif" sheetId="16" r:id="rId1"/>
    <sheet name="Feuil3" sheetId="143" r:id="rId2"/>
    <sheet name="Donateur" sheetId="145" r:id="rId3"/>
    <sheet name="DATA MAI 2022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MAI 2022'!$A$11:$P$421</definedName>
  </definedNames>
  <calcPr calcId="124519"/>
  <pivotCaches>
    <pivotCache cacheId="3" r:id="rId16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62" i="95"/>
  <c r="K42" i="16" l="1"/>
  <c r="K41"/>
  <c r="J41"/>
  <c r="J42"/>
  <c r="I41"/>
  <c r="I42"/>
  <c r="H41"/>
  <c r="H42"/>
  <c r="E41"/>
  <c r="E42"/>
  <c r="C41"/>
  <c r="C42"/>
  <c r="C48" s="1"/>
  <c r="J47"/>
  <c r="A22"/>
  <c r="C19"/>
  <c r="D19"/>
  <c r="F19"/>
  <c r="G19"/>
  <c r="H19"/>
  <c r="I18"/>
  <c r="J18" s="1"/>
  <c r="I17"/>
  <c r="N19" l="1"/>
  <c r="M19"/>
  <c r="L19"/>
  <c r="A41"/>
  <c r="G18"/>
  <c r="F18"/>
  <c r="E18"/>
  <c r="D18"/>
  <c r="A18"/>
  <c r="B20" i="145"/>
  <c r="B19"/>
  <c r="AP8" i="143" l="1"/>
  <c r="AP9"/>
  <c r="AP10"/>
  <c r="AP11"/>
  <c r="AP12"/>
  <c r="AP13"/>
  <c r="AP14"/>
  <c r="AP15"/>
  <c r="AP16"/>
  <c r="AP17"/>
  <c r="AP18"/>
  <c r="AP19"/>
  <c r="AP6"/>
  <c r="AP7"/>
  <c r="AQ7"/>
  <c r="AR7" s="1"/>
  <c r="AQ8"/>
  <c r="AR8" s="1"/>
  <c r="AQ9"/>
  <c r="AR9" s="1"/>
  <c r="AQ10"/>
  <c r="AR10" s="1"/>
  <c r="AQ11"/>
  <c r="AR11" s="1"/>
  <c r="AQ12"/>
  <c r="AR12" s="1"/>
  <c r="AQ13"/>
  <c r="AR13" s="1"/>
  <c r="AQ14"/>
  <c r="AR14" s="1"/>
  <c r="AQ15"/>
  <c r="AR15" s="1"/>
  <c r="AQ16"/>
  <c r="AR16" s="1"/>
  <c r="AQ17"/>
  <c r="AR17" s="1"/>
  <c r="AQ18"/>
  <c r="AR18" s="1"/>
  <c r="AQ19"/>
  <c r="AR19" s="1"/>
  <c r="AQ6"/>
  <c r="AO19"/>
  <c r="AO7"/>
  <c r="AO8"/>
  <c r="AO9"/>
  <c r="AO10"/>
  <c r="AO11"/>
  <c r="AO12"/>
  <c r="AO13"/>
  <c r="AO14"/>
  <c r="AO15"/>
  <c r="AO16"/>
  <c r="AO17"/>
  <c r="AO18"/>
  <c r="AO6"/>
  <c r="AS6"/>
  <c r="AS7"/>
  <c r="AQ20" l="1"/>
  <c r="AS20"/>
  <c r="AR6"/>
  <c r="AR20" s="1"/>
  <c r="AP20"/>
  <c r="AR22"/>
  <c r="AQ22" l="1"/>
  <c r="U56" i="95" l="1"/>
  <c r="C47" i="16" l="1"/>
  <c r="C46"/>
  <c r="C44"/>
  <c r="C40"/>
  <c r="C39"/>
  <c r="C38"/>
  <c r="C37"/>
  <c r="C36"/>
  <c r="C35"/>
  <c r="C34"/>
  <c r="C33"/>
  <c r="C32"/>
  <c r="C31"/>
  <c r="A31"/>
  <c r="A32" s="1"/>
  <c r="A33" s="1"/>
  <c r="A34" s="1"/>
  <c r="A35" s="1"/>
  <c r="A36" s="1"/>
  <c r="C30"/>
  <c r="O19"/>
  <c r="G17"/>
  <c r="F17"/>
  <c r="E17"/>
  <c r="D17"/>
  <c r="A17"/>
  <c r="G16"/>
  <c r="F16"/>
  <c r="E16"/>
  <c r="D16"/>
  <c r="A16"/>
  <c r="G15"/>
  <c r="F15"/>
  <c r="H39" s="1"/>
  <c r="E15"/>
  <c r="I39" s="1"/>
  <c r="D15"/>
  <c r="E39" s="1"/>
  <c r="A15"/>
  <c r="G14"/>
  <c r="F14"/>
  <c r="H38" s="1"/>
  <c r="E14"/>
  <c r="I38" s="1"/>
  <c r="D14"/>
  <c r="E38" s="1"/>
  <c r="A14"/>
  <c r="G13"/>
  <c r="F13"/>
  <c r="H37" s="1"/>
  <c r="E13"/>
  <c r="I37" s="1"/>
  <c r="D13"/>
  <c r="E37" s="1"/>
  <c r="A13"/>
  <c r="G12"/>
  <c r="F12"/>
  <c r="H36" s="1"/>
  <c r="E12"/>
  <c r="I36" s="1"/>
  <c r="D12"/>
  <c r="E36" s="1"/>
  <c r="A12"/>
  <c r="G11"/>
  <c r="F11"/>
  <c r="H35" s="1"/>
  <c r="E11"/>
  <c r="I35" s="1"/>
  <c r="D11"/>
  <c r="E35" s="1"/>
  <c r="A11"/>
  <c r="G10"/>
  <c r="F10"/>
  <c r="H34" s="1"/>
  <c r="E10"/>
  <c r="I34" s="1"/>
  <c r="D10"/>
  <c r="E34" s="1"/>
  <c r="A10"/>
  <c r="G9"/>
  <c r="F9"/>
  <c r="H33" s="1"/>
  <c r="E9"/>
  <c r="I33" s="1"/>
  <c r="D9"/>
  <c r="E33" s="1"/>
  <c r="A9"/>
  <c r="G8"/>
  <c r="F8"/>
  <c r="H32" s="1"/>
  <c r="E8"/>
  <c r="I32" s="1"/>
  <c r="D8"/>
  <c r="A8"/>
  <c r="G7"/>
  <c r="F7"/>
  <c r="H31" s="1"/>
  <c r="E7"/>
  <c r="I31" s="1"/>
  <c r="D7"/>
  <c r="E31" s="1"/>
  <c r="A7"/>
  <c r="G6"/>
  <c r="F6"/>
  <c r="H30" s="1"/>
  <c r="E6"/>
  <c r="D6"/>
  <c r="E30" s="1"/>
  <c r="A6"/>
  <c r="G5"/>
  <c r="F5"/>
  <c r="H44" s="1"/>
  <c r="E5"/>
  <c r="I44" s="1"/>
  <c r="D5"/>
  <c r="E44" s="1"/>
  <c r="A5"/>
  <c r="G4"/>
  <c r="D47" s="1"/>
  <c r="F4"/>
  <c r="H47" s="1"/>
  <c r="E4"/>
  <c r="I47" s="1"/>
  <c r="D4"/>
  <c r="A4"/>
  <c r="G3"/>
  <c r="D46" s="1"/>
  <c r="F3"/>
  <c r="E3"/>
  <c r="I46" s="1"/>
  <c r="D3"/>
  <c r="A3"/>
  <c r="A52"/>
  <c r="D52"/>
  <c r="E52"/>
  <c r="F52"/>
  <c r="G52"/>
  <c r="A53"/>
  <c r="D53"/>
  <c r="E53"/>
  <c r="F53"/>
  <c r="I53" s="1"/>
  <c r="J53" s="1"/>
  <c r="G53"/>
  <c r="A54"/>
  <c r="D54"/>
  <c r="E54"/>
  <c r="F54"/>
  <c r="G54"/>
  <c r="G12" i="95"/>
  <c r="C5"/>
  <c r="I30" i="16" l="1"/>
  <c r="I48" s="1"/>
  <c r="E19"/>
  <c r="C22" s="1"/>
  <c r="D22" s="1"/>
  <c r="I40"/>
  <c r="H40"/>
  <c r="J35"/>
  <c r="J31"/>
  <c r="J36"/>
  <c r="I54"/>
  <c r="J54" s="1"/>
  <c r="I52"/>
  <c r="J52" s="1"/>
  <c r="I4"/>
  <c r="J4" s="1"/>
  <c r="I8"/>
  <c r="J8" s="1"/>
  <c r="I12"/>
  <c r="J12" s="1"/>
  <c r="I16"/>
  <c r="J16" s="1"/>
  <c r="E32"/>
  <c r="J32" s="1"/>
  <c r="E40"/>
  <c r="I3"/>
  <c r="J3" s="1"/>
  <c r="A37"/>
  <c r="A39" s="1"/>
  <c r="A42" s="1"/>
  <c r="A44" s="1"/>
  <c r="A46" s="1"/>
  <c r="A47" s="1"/>
  <c r="A38"/>
  <c r="A40" s="1"/>
  <c r="J39"/>
  <c r="J30"/>
  <c r="J34"/>
  <c r="J38"/>
  <c r="J37"/>
  <c r="J33"/>
  <c r="K47"/>
  <c r="J44"/>
  <c r="I5"/>
  <c r="J5" s="1"/>
  <c r="I9"/>
  <c r="J9" s="1"/>
  <c r="I13"/>
  <c r="J13" s="1"/>
  <c r="J17"/>
  <c r="I6"/>
  <c r="I10"/>
  <c r="J10" s="1"/>
  <c r="I14"/>
  <c r="J14" s="1"/>
  <c r="I7"/>
  <c r="J7" s="1"/>
  <c r="I11"/>
  <c r="J11" s="1"/>
  <c r="I15"/>
  <c r="J15" s="1"/>
  <c r="B22"/>
  <c r="H46"/>
  <c r="J46" s="1"/>
  <c r="J48" l="1"/>
  <c r="J6"/>
  <c r="I19"/>
  <c r="J40"/>
  <c r="K40"/>
  <c r="G21"/>
  <c r="K46"/>
  <c r="K36"/>
  <c r="K34"/>
  <c r="K32"/>
  <c r="K39"/>
  <c r="K44"/>
  <c r="K33"/>
  <c r="K38"/>
  <c r="K37"/>
  <c r="K31"/>
  <c r="K30"/>
  <c r="K35"/>
  <c r="I20" l="1"/>
  <c r="K48"/>
  <c r="J19"/>
  <c r="E22"/>
  <c r="C6" i="95" l="1"/>
  <c r="C94" i="16" l="1"/>
  <c r="C93"/>
  <c r="C91"/>
  <c r="C89"/>
  <c r="C88"/>
  <c r="C87"/>
  <c r="C86"/>
  <c r="C85"/>
  <c r="C84"/>
  <c r="C83"/>
  <c r="C82"/>
  <c r="C81"/>
  <c r="C80"/>
  <c r="C79"/>
  <c r="A79"/>
  <c r="A80" s="1"/>
  <c r="A81" s="1"/>
  <c r="A82" s="1"/>
  <c r="A83" s="1"/>
  <c r="A84" s="1"/>
  <c r="C78"/>
  <c r="O67"/>
  <c r="N67"/>
  <c r="M67"/>
  <c r="L67"/>
  <c r="H67"/>
  <c r="C67"/>
  <c r="A70" s="1"/>
  <c r="G66"/>
  <c r="F66"/>
  <c r="H89" s="1"/>
  <c r="E66"/>
  <c r="I89" s="1"/>
  <c r="D66"/>
  <c r="A66"/>
  <c r="G65"/>
  <c r="F65"/>
  <c r="H88" s="1"/>
  <c r="E65"/>
  <c r="I88" s="1"/>
  <c r="D65"/>
  <c r="A65"/>
  <c r="G64"/>
  <c r="F64"/>
  <c r="H87" s="1"/>
  <c r="E64"/>
  <c r="I87" s="1"/>
  <c r="D64"/>
  <c r="E87" s="1"/>
  <c r="A64"/>
  <c r="G63"/>
  <c r="F63"/>
  <c r="H86" s="1"/>
  <c r="E63"/>
  <c r="I86" s="1"/>
  <c r="D63"/>
  <c r="E86" s="1"/>
  <c r="A63"/>
  <c r="G62"/>
  <c r="F62"/>
  <c r="H85" s="1"/>
  <c r="E62"/>
  <c r="I85" s="1"/>
  <c r="D62"/>
  <c r="A62"/>
  <c r="G61"/>
  <c r="F61"/>
  <c r="H84" s="1"/>
  <c r="E61"/>
  <c r="I84" s="1"/>
  <c r="D61"/>
  <c r="A61"/>
  <c r="G60"/>
  <c r="F60"/>
  <c r="H83" s="1"/>
  <c r="E60"/>
  <c r="I83" s="1"/>
  <c r="D60"/>
  <c r="E83" s="1"/>
  <c r="A60"/>
  <c r="G59"/>
  <c r="F59"/>
  <c r="H82" s="1"/>
  <c r="E59"/>
  <c r="I82" s="1"/>
  <c r="D59"/>
  <c r="E82" s="1"/>
  <c r="A59"/>
  <c r="G58"/>
  <c r="F58"/>
  <c r="H81" s="1"/>
  <c r="E58"/>
  <c r="I81" s="1"/>
  <c r="D58"/>
  <c r="A58"/>
  <c r="G57"/>
  <c r="F57"/>
  <c r="H80" s="1"/>
  <c r="E57"/>
  <c r="I80" s="1"/>
  <c r="D57"/>
  <c r="A57"/>
  <c r="G56"/>
  <c r="F56"/>
  <c r="H79" s="1"/>
  <c r="E56"/>
  <c r="I79" s="1"/>
  <c r="D56"/>
  <c r="E79" s="1"/>
  <c r="A56"/>
  <c r="G55"/>
  <c r="F55"/>
  <c r="H78" s="1"/>
  <c r="E55"/>
  <c r="I78" s="1"/>
  <c r="D55"/>
  <c r="A55"/>
  <c r="H91"/>
  <c r="I91"/>
  <c r="E91"/>
  <c r="D94"/>
  <c r="H94"/>
  <c r="I94"/>
  <c r="D93"/>
  <c r="I93"/>
  <c r="E89" l="1"/>
  <c r="I66"/>
  <c r="C95"/>
  <c r="J89"/>
  <c r="I55"/>
  <c r="J55" s="1"/>
  <c r="J79"/>
  <c r="I58"/>
  <c r="J58" s="1"/>
  <c r="J83"/>
  <c r="I62"/>
  <c r="J62" s="1"/>
  <c r="J87"/>
  <c r="J66"/>
  <c r="E81"/>
  <c r="J81" s="1"/>
  <c r="F67"/>
  <c r="I57"/>
  <c r="J57" s="1"/>
  <c r="I61"/>
  <c r="J61" s="1"/>
  <c r="I65"/>
  <c r="J65" s="1"/>
  <c r="E88"/>
  <c r="J88" s="1"/>
  <c r="E85"/>
  <c r="J85" s="1"/>
  <c r="J94"/>
  <c r="A85"/>
  <c r="A87" s="1"/>
  <c r="A89" s="1"/>
  <c r="A91" s="1"/>
  <c r="A93" s="1"/>
  <c r="A94" s="1"/>
  <c r="A86"/>
  <c r="A88" s="1"/>
  <c r="J86"/>
  <c r="J91"/>
  <c r="I95"/>
  <c r="J82"/>
  <c r="I63"/>
  <c r="J63" s="1"/>
  <c r="E67"/>
  <c r="C70" s="1"/>
  <c r="E80"/>
  <c r="J80" s="1"/>
  <c r="E84"/>
  <c r="J84" s="1"/>
  <c r="I59"/>
  <c r="J59" s="1"/>
  <c r="D67"/>
  <c r="I64"/>
  <c r="J64" s="1"/>
  <c r="G67"/>
  <c r="B70" s="1"/>
  <c r="E78"/>
  <c r="J78" s="1"/>
  <c r="H93"/>
  <c r="J93" s="1"/>
  <c r="I56"/>
  <c r="J56" s="1"/>
  <c r="I60"/>
  <c r="J60" s="1"/>
  <c r="C142"/>
  <c r="C141"/>
  <c r="C139"/>
  <c r="C132"/>
  <c r="C133"/>
  <c r="C134"/>
  <c r="C135"/>
  <c r="C131"/>
  <c r="C136"/>
  <c r="C137"/>
  <c r="C127"/>
  <c r="C128"/>
  <c r="C126"/>
  <c r="G101"/>
  <c r="D142" s="1"/>
  <c r="G102"/>
  <c r="G103"/>
  <c r="G104"/>
  <c r="F101"/>
  <c r="H142" s="1"/>
  <c r="F102"/>
  <c r="H139" s="1"/>
  <c r="F103"/>
  <c r="H126" s="1"/>
  <c r="F104"/>
  <c r="F105"/>
  <c r="F106"/>
  <c r="F107"/>
  <c r="F108"/>
  <c r="F109"/>
  <c r="F110"/>
  <c r="F111"/>
  <c r="F112"/>
  <c r="F113"/>
  <c r="H136" s="1"/>
  <c r="F114"/>
  <c r="F100"/>
  <c r="H141" s="1"/>
  <c r="E101"/>
  <c r="I142" s="1"/>
  <c r="E102"/>
  <c r="I139" s="1"/>
  <c r="E103"/>
  <c r="I126" s="1"/>
  <c r="E104"/>
  <c r="E105"/>
  <c r="E106"/>
  <c r="E107"/>
  <c r="E108"/>
  <c r="E109"/>
  <c r="E110"/>
  <c r="E111"/>
  <c r="E112"/>
  <c r="E113"/>
  <c r="I136" s="1"/>
  <c r="E114"/>
  <c r="E100"/>
  <c r="I141" s="1"/>
  <c r="D106"/>
  <c r="D107"/>
  <c r="D108"/>
  <c r="E131" s="1"/>
  <c r="D109"/>
  <c r="E132" s="1"/>
  <c r="D110"/>
  <c r="E133" s="1"/>
  <c r="D111"/>
  <c r="E134" s="1"/>
  <c r="D112"/>
  <c r="E135" s="1"/>
  <c r="D113"/>
  <c r="E136" s="1"/>
  <c r="D114"/>
  <c r="E137" s="1"/>
  <c r="D101"/>
  <c r="D102"/>
  <c r="E139" s="1"/>
  <c r="D103"/>
  <c r="E126" s="1"/>
  <c r="D104"/>
  <c r="E127" s="1"/>
  <c r="D105"/>
  <c r="E128" s="1"/>
  <c r="D100"/>
  <c r="A101"/>
  <c r="A102"/>
  <c r="A103"/>
  <c r="A104"/>
  <c r="A105"/>
  <c r="A106"/>
  <c r="A107"/>
  <c r="A108"/>
  <c r="A109"/>
  <c r="A110"/>
  <c r="A111"/>
  <c r="A112"/>
  <c r="A113"/>
  <c r="A114"/>
  <c r="A100"/>
  <c r="G113"/>
  <c r="K85" l="1"/>
  <c r="K89"/>
  <c r="K88"/>
  <c r="D70"/>
  <c r="K87"/>
  <c r="K93"/>
  <c r="G69"/>
  <c r="K84"/>
  <c r="K81"/>
  <c r="K80"/>
  <c r="K82"/>
  <c r="K94"/>
  <c r="K91"/>
  <c r="K78"/>
  <c r="J95"/>
  <c r="K86"/>
  <c r="K83"/>
  <c r="K79"/>
  <c r="I67"/>
  <c r="J136"/>
  <c r="I113"/>
  <c r="J113" s="1"/>
  <c r="J67" l="1"/>
  <c r="I68"/>
  <c r="E70"/>
  <c r="K95"/>
  <c r="K136"/>
  <c r="C130" l="1"/>
  <c r="C129"/>
  <c r="A127"/>
  <c r="A128" s="1"/>
  <c r="A129" s="1"/>
  <c r="A130" s="1"/>
  <c r="A131" s="1"/>
  <c r="A132" s="1"/>
  <c r="O115"/>
  <c r="N115"/>
  <c r="M115"/>
  <c r="L115"/>
  <c r="H115"/>
  <c r="C115"/>
  <c r="A118" s="1"/>
  <c r="G114"/>
  <c r="H137"/>
  <c r="I137"/>
  <c r="G112"/>
  <c r="H135"/>
  <c r="I135"/>
  <c r="G111"/>
  <c r="H134"/>
  <c r="I134"/>
  <c r="G110"/>
  <c r="H133"/>
  <c r="I133"/>
  <c r="G109"/>
  <c r="H132"/>
  <c r="I132"/>
  <c r="G108"/>
  <c r="H131"/>
  <c r="I131"/>
  <c r="G107"/>
  <c r="H130"/>
  <c r="I130"/>
  <c r="E130"/>
  <c r="G106"/>
  <c r="H129"/>
  <c r="I129"/>
  <c r="E129"/>
  <c r="G105"/>
  <c r="H128"/>
  <c r="I128"/>
  <c r="H127"/>
  <c r="I127"/>
  <c r="G100"/>
  <c r="D141" s="1"/>
  <c r="A149"/>
  <c r="D149"/>
  <c r="E149"/>
  <c r="F149"/>
  <c r="H174" s="1"/>
  <c r="G149"/>
  <c r="A150"/>
  <c r="D150"/>
  <c r="E150"/>
  <c r="I188" s="1"/>
  <c r="F150"/>
  <c r="G150"/>
  <c r="D188" s="1"/>
  <c r="A151"/>
  <c r="D151"/>
  <c r="E151"/>
  <c r="F151"/>
  <c r="G151"/>
  <c r="A152"/>
  <c r="D152"/>
  <c r="E186" s="1"/>
  <c r="E152"/>
  <c r="F152"/>
  <c r="H186" s="1"/>
  <c r="G152"/>
  <c r="A153"/>
  <c r="D153"/>
  <c r="E153"/>
  <c r="F153"/>
  <c r="H175" s="1"/>
  <c r="G153"/>
  <c r="A154"/>
  <c r="D154"/>
  <c r="E176" s="1"/>
  <c r="E154"/>
  <c r="F154"/>
  <c r="G154"/>
  <c r="A155"/>
  <c r="D155"/>
  <c r="E177" s="1"/>
  <c r="E155"/>
  <c r="F155"/>
  <c r="H177" s="1"/>
  <c r="G155"/>
  <c r="A156"/>
  <c r="D156"/>
  <c r="E156"/>
  <c r="F156"/>
  <c r="H178" s="1"/>
  <c r="G156"/>
  <c r="A157"/>
  <c r="D157"/>
  <c r="E157"/>
  <c r="F157"/>
  <c r="H179" s="1"/>
  <c r="G157"/>
  <c r="A158"/>
  <c r="D158"/>
  <c r="E158"/>
  <c r="I180" s="1"/>
  <c r="F158"/>
  <c r="H180" s="1"/>
  <c r="G158"/>
  <c r="A159"/>
  <c r="D159"/>
  <c r="E181" s="1"/>
  <c r="E159"/>
  <c r="F159"/>
  <c r="G159"/>
  <c r="A160"/>
  <c r="D160"/>
  <c r="E182" s="1"/>
  <c r="E160"/>
  <c r="F160"/>
  <c r="H182" s="1"/>
  <c r="G160"/>
  <c r="A161"/>
  <c r="D161"/>
  <c r="E161"/>
  <c r="I183" s="1"/>
  <c r="F161"/>
  <c r="H183" s="1"/>
  <c r="G161"/>
  <c r="A162"/>
  <c r="D162"/>
  <c r="E184" s="1"/>
  <c r="E162"/>
  <c r="F162"/>
  <c r="G162"/>
  <c r="C163"/>
  <c r="A166" s="1"/>
  <c r="H163"/>
  <c r="L163"/>
  <c r="M163"/>
  <c r="N163"/>
  <c r="O163"/>
  <c r="C174"/>
  <c r="E174"/>
  <c r="I174"/>
  <c r="A175"/>
  <c r="A176" s="1"/>
  <c r="A177" s="1"/>
  <c r="A178" s="1"/>
  <c r="A179" s="1"/>
  <c r="A180" s="1"/>
  <c r="C175"/>
  <c r="E175"/>
  <c r="I175"/>
  <c r="C176"/>
  <c r="H176"/>
  <c r="C177"/>
  <c r="C178"/>
  <c r="E178"/>
  <c r="I178"/>
  <c r="C179"/>
  <c r="E179"/>
  <c r="I179"/>
  <c r="C180"/>
  <c r="C181"/>
  <c r="H181"/>
  <c r="C182"/>
  <c r="I182"/>
  <c r="C183"/>
  <c r="E183"/>
  <c r="C184"/>
  <c r="H184"/>
  <c r="C186"/>
  <c r="I186"/>
  <c r="C188"/>
  <c r="C189"/>
  <c r="D189"/>
  <c r="H189"/>
  <c r="I162" l="1"/>
  <c r="J162" s="1"/>
  <c r="I154"/>
  <c r="J154" s="1"/>
  <c r="J175"/>
  <c r="I150"/>
  <c r="J150" s="1"/>
  <c r="I184"/>
  <c r="J183"/>
  <c r="I158"/>
  <c r="J158" s="1"/>
  <c r="I157"/>
  <c r="J157" s="1"/>
  <c r="G115"/>
  <c r="B118" s="1"/>
  <c r="I103"/>
  <c r="J103" s="1"/>
  <c r="I101"/>
  <c r="J101" s="1"/>
  <c r="I102"/>
  <c r="J102" s="1"/>
  <c r="C143"/>
  <c r="I143"/>
  <c r="J127"/>
  <c r="J131"/>
  <c r="J135"/>
  <c r="J142"/>
  <c r="A134"/>
  <c r="A136" s="1"/>
  <c r="A133"/>
  <c r="A135" s="1"/>
  <c r="A137" s="1"/>
  <c r="A139" s="1"/>
  <c r="A141" s="1"/>
  <c r="A142" s="1"/>
  <c r="J130"/>
  <c r="J134"/>
  <c r="J141"/>
  <c r="J129"/>
  <c r="J133"/>
  <c r="J128"/>
  <c r="J132"/>
  <c r="J137"/>
  <c r="I100"/>
  <c r="I104"/>
  <c r="J104" s="1"/>
  <c r="I108"/>
  <c r="J108" s="1"/>
  <c r="I112"/>
  <c r="J112" s="1"/>
  <c r="F115"/>
  <c r="J126"/>
  <c r="K126" s="1"/>
  <c r="I105"/>
  <c r="J105" s="1"/>
  <c r="I109"/>
  <c r="J109" s="1"/>
  <c r="I114"/>
  <c r="J114" s="1"/>
  <c r="E115"/>
  <c r="C118" s="1"/>
  <c r="I106"/>
  <c r="J106" s="1"/>
  <c r="I110"/>
  <c r="J110" s="1"/>
  <c r="D115"/>
  <c r="J139"/>
  <c r="I107"/>
  <c r="J107" s="1"/>
  <c r="I111"/>
  <c r="J111" s="1"/>
  <c r="J184"/>
  <c r="K184" s="1"/>
  <c r="J182"/>
  <c r="J179"/>
  <c r="I151"/>
  <c r="J151" s="1"/>
  <c r="H188"/>
  <c r="J188" s="1"/>
  <c r="J186"/>
  <c r="E180"/>
  <c r="J180" s="1"/>
  <c r="K180" s="1"/>
  <c r="I176"/>
  <c r="C190"/>
  <c r="E163"/>
  <c r="C166" s="1"/>
  <c r="I161"/>
  <c r="J161" s="1"/>
  <c r="I159"/>
  <c r="J159" s="1"/>
  <c r="I155"/>
  <c r="J155" s="1"/>
  <c r="D163"/>
  <c r="I149"/>
  <c r="J149" s="1"/>
  <c r="J176"/>
  <c r="K176" s="1"/>
  <c r="J178"/>
  <c r="G163"/>
  <c r="B166" s="1"/>
  <c r="D166" s="1"/>
  <c r="I153"/>
  <c r="J153" s="1"/>
  <c r="I152"/>
  <c r="J152" s="1"/>
  <c r="A182"/>
  <c r="A181"/>
  <c r="A183" s="1"/>
  <c r="A184" s="1"/>
  <c r="A186" s="1"/>
  <c r="A188" s="1"/>
  <c r="A189" s="1"/>
  <c r="K179"/>
  <c r="K183"/>
  <c r="I181"/>
  <c r="J181" s="1"/>
  <c r="K181" s="1"/>
  <c r="I177"/>
  <c r="J177" s="1"/>
  <c r="J174"/>
  <c r="F163"/>
  <c r="I160"/>
  <c r="J160" s="1"/>
  <c r="I156"/>
  <c r="J156" s="1"/>
  <c r="I189"/>
  <c r="J189" s="1"/>
  <c r="G165" l="1"/>
  <c r="K139"/>
  <c r="K142"/>
  <c r="K189"/>
  <c r="K188"/>
  <c r="K177"/>
  <c r="K141"/>
  <c r="D118"/>
  <c r="G117"/>
  <c r="K132"/>
  <c r="K137"/>
  <c r="K133"/>
  <c r="K130"/>
  <c r="K135"/>
  <c r="J100"/>
  <c r="I115"/>
  <c r="K134"/>
  <c r="J143"/>
  <c r="K128"/>
  <c r="K127"/>
  <c r="K129"/>
  <c r="K131"/>
  <c r="K186"/>
  <c r="K175"/>
  <c r="I190"/>
  <c r="K174"/>
  <c r="J190"/>
  <c r="K182"/>
  <c r="I163"/>
  <c r="K178"/>
  <c r="K143" l="1"/>
  <c r="I116"/>
  <c r="E118"/>
  <c r="J115"/>
  <c r="K190"/>
  <c r="I164"/>
  <c r="E166"/>
  <c r="J163"/>
  <c r="C235"/>
  <c r="C234"/>
  <c r="C232"/>
  <c r="C230"/>
  <c r="C229"/>
  <c r="C228"/>
  <c r="C227"/>
  <c r="C226"/>
  <c r="C225"/>
  <c r="C224"/>
  <c r="C223"/>
  <c r="C222"/>
  <c r="C221"/>
  <c r="C220"/>
  <c r="A221"/>
  <c r="A222" s="1"/>
  <c r="A223" s="1"/>
  <c r="A224" s="1"/>
  <c r="A225" s="1"/>
  <c r="A226" s="1"/>
  <c r="O209"/>
  <c r="N209"/>
  <c r="M209"/>
  <c r="L209"/>
  <c r="H209"/>
  <c r="C209"/>
  <c r="A212" s="1"/>
  <c r="G208"/>
  <c r="F208"/>
  <c r="H230" s="1"/>
  <c r="E208"/>
  <c r="I230" s="1"/>
  <c r="D208"/>
  <c r="E230" s="1"/>
  <c r="A208"/>
  <c r="G207"/>
  <c r="F207"/>
  <c r="H229" s="1"/>
  <c r="E207"/>
  <c r="I229" s="1"/>
  <c r="D207"/>
  <c r="A207"/>
  <c r="G206"/>
  <c r="F206"/>
  <c r="H228" s="1"/>
  <c r="E206"/>
  <c r="I228" s="1"/>
  <c r="D206"/>
  <c r="E228" s="1"/>
  <c r="A206"/>
  <c r="G205"/>
  <c r="F205"/>
  <c r="H227" s="1"/>
  <c r="E205"/>
  <c r="I227" s="1"/>
  <c r="D205"/>
  <c r="E227" s="1"/>
  <c r="A205"/>
  <c r="G204"/>
  <c r="F204"/>
  <c r="H226" s="1"/>
  <c r="E204"/>
  <c r="I226" s="1"/>
  <c r="D204"/>
  <c r="E226" s="1"/>
  <c r="A204"/>
  <c r="G203"/>
  <c r="F203"/>
  <c r="H225" s="1"/>
  <c r="E203"/>
  <c r="I225" s="1"/>
  <c r="D203"/>
  <c r="A203"/>
  <c r="G202"/>
  <c r="F202"/>
  <c r="H224" s="1"/>
  <c r="E202"/>
  <c r="I224" s="1"/>
  <c r="D202"/>
  <c r="E224" s="1"/>
  <c r="A202"/>
  <c r="G201"/>
  <c r="F201"/>
  <c r="H223" s="1"/>
  <c r="E201"/>
  <c r="I223" s="1"/>
  <c r="D201"/>
  <c r="E223" s="1"/>
  <c r="A201"/>
  <c r="G200"/>
  <c r="F200"/>
  <c r="H222" s="1"/>
  <c r="E200"/>
  <c r="I222" s="1"/>
  <c r="D200"/>
  <c r="E222" s="1"/>
  <c r="A200"/>
  <c r="G199"/>
  <c r="F199"/>
  <c r="H221" s="1"/>
  <c r="E199"/>
  <c r="I221" s="1"/>
  <c r="D199"/>
  <c r="A199"/>
  <c r="G198"/>
  <c r="F198"/>
  <c r="H232" s="1"/>
  <c r="E198"/>
  <c r="I232" s="1"/>
  <c r="D198"/>
  <c r="E232" s="1"/>
  <c r="A198"/>
  <c r="G197"/>
  <c r="D235" s="1"/>
  <c r="F197"/>
  <c r="H235" s="1"/>
  <c r="E197"/>
  <c r="I235" s="1"/>
  <c r="D197"/>
  <c r="A197"/>
  <c r="G196"/>
  <c r="D234" s="1"/>
  <c r="F196"/>
  <c r="H234" s="1"/>
  <c r="E196"/>
  <c r="I234" s="1"/>
  <c r="D196"/>
  <c r="A196"/>
  <c r="G195"/>
  <c r="F195"/>
  <c r="H220" s="1"/>
  <c r="E195"/>
  <c r="I220" s="1"/>
  <c r="D195"/>
  <c r="E220" s="1"/>
  <c r="A195"/>
  <c r="E251"/>
  <c r="G209" l="1"/>
  <c r="B212" s="1"/>
  <c r="I197"/>
  <c r="J197" s="1"/>
  <c r="I196"/>
  <c r="J196" s="1"/>
  <c r="C236"/>
  <c r="J235"/>
  <c r="I199"/>
  <c r="J199" s="1"/>
  <c r="J223"/>
  <c r="I203"/>
  <c r="J203" s="1"/>
  <c r="J227"/>
  <c r="I207"/>
  <c r="J207" s="1"/>
  <c r="F209"/>
  <c r="J220"/>
  <c r="I236"/>
  <c r="J232"/>
  <c r="J224"/>
  <c r="J228"/>
  <c r="A228"/>
  <c r="A227"/>
  <c r="A229" s="1"/>
  <c r="A230" s="1"/>
  <c r="A232" s="1"/>
  <c r="A234" s="1"/>
  <c r="A235" s="1"/>
  <c r="J234"/>
  <c r="K234" s="1"/>
  <c r="J222"/>
  <c r="J226"/>
  <c r="J230"/>
  <c r="I200"/>
  <c r="J200" s="1"/>
  <c r="I204"/>
  <c r="J204" s="1"/>
  <c r="I208"/>
  <c r="J208" s="1"/>
  <c r="E209"/>
  <c r="C212" s="1"/>
  <c r="E221"/>
  <c r="J221" s="1"/>
  <c r="E225"/>
  <c r="J225" s="1"/>
  <c r="K225" s="1"/>
  <c r="E229"/>
  <c r="J229" s="1"/>
  <c r="I201"/>
  <c r="J201" s="1"/>
  <c r="I205"/>
  <c r="J205" s="1"/>
  <c r="D209"/>
  <c r="I198"/>
  <c r="J198" s="1"/>
  <c r="I202"/>
  <c r="J202" s="1"/>
  <c r="I206"/>
  <c r="J206" s="1"/>
  <c r="I195"/>
  <c r="J195" s="1"/>
  <c r="N256"/>
  <c r="M256"/>
  <c r="O256"/>
  <c r="L256"/>
  <c r="D253"/>
  <c r="D212" l="1"/>
  <c r="K221"/>
  <c r="K235"/>
  <c r="K230"/>
  <c r="G211"/>
  <c r="K229"/>
  <c r="I209"/>
  <c r="K227"/>
  <c r="K220"/>
  <c r="K232"/>
  <c r="K224"/>
  <c r="J236"/>
  <c r="K222"/>
  <c r="K226"/>
  <c r="K223"/>
  <c r="K228"/>
  <c r="J209" l="1"/>
  <c r="I210"/>
  <c r="E212"/>
  <c r="K236"/>
  <c r="C283" l="1"/>
  <c r="C282"/>
  <c r="C280"/>
  <c r="C278"/>
  <c r="C277"/>
  <c r="C276"/>
  <c r="C275"/>
  <c r="C274"/>
  <c r="C273"/>
  <c r="C272"/>
  <c r="C271"/>
  <c r="C270"/>
  <c r="C269"/>
  <c r="C268"/>
  <c r="A268"/>
  <c r="A269" s="1"/>
  <c r="A270" s="1"/>
  <c r="A271" s="1"/>
  <c r="A272" s="1"/>
  <c r="A273" s="1"/>
  <c r="A274" s="1"/>
  <c r="C267"/>
  <c r="H256"/>
  <c r="C256"/>
  <c r="A259" s="1"/>
  <c r="G255"/>
  <c r="F255"/>
  <c r="H278" s="1"/>
  <c r="E255"/>
  <c r="I278" s="1"/>
  <c r="D255"/>
  <c r="E278" s="1"/>
  <c r="A255"/>
  <c r="G254"/>
  <c r="F254"/>
  <c r="H277" s="1"/>
  <c r="E254"/>
  <c r="I277" s="1"/>
  <c r="D254"/>
  <c r="A254"/>
  <c r="G253"/>
  <c r="F253"/>
  <c r="H276" s="1"/>
  <c r="E253"/>
  <c r="A253"/>
  <c r="G252"/>
  <c r="F252"/>
  <c r="H275" s="1"/>
  <c r="E252"/>
  <c r="I275" s="1"/>
  <c r="D252"/>
  <c r="E275" s="1"/>
  <c r="A252"/>
  <c r="G251"/>
  <c r="F251"/>
  <c r="H274" s="1"/>
  <c r="I274"/>
  <c r="D251"/>
  <c r="E274" s="1"/>
  <c r="A251"/>
  <c r="G250"/>
  <c r="F250"/>
  <c r="H273" s="1"/>
  <c r="E250"/>
  <c r="I273" s="1"/>
  <c r="D250"/>
  <c r="A250"/>
  <c r="G249"/>
  <c r="F249"/>
  <c r="H272" s="1"/>
  <c r="E249"/>
  <c r="I272" s="1"/>
  <c r="D249"/>
  <c r="E272" s="1"/>
  <c r="A249"/>
  <c r="G248"/>
  <c r="F248"/>
  <c r="H271" s="1"/>
  <c r="E248"/>
  <c r="I271" s="1"/>
  <c r="D248"/>
  <c r="E271" s="1"/>
  <c r="A248"/>
  <c r="G247"/>
  <c r="F247"/>
  <c r="H270" s="1"/>
  <c r="E247"/>
  <c r="I270" s="1"/>
  <c r="D247"/>
  <c r="E270" s="1"/>
  <c r="A247"/>
  <c r="G246"/>
  <c r="F246"/>
  <c r="H269" s="1"/>
  <c r="E246"/>
  <c r="I269" s="1"/>
  <c r="D246"/>
  <c r="A246"/>
  <c r="G245"/>
  <c r="F245"/>
  <c r="H280" s="1"/>
  <c r="E245"/>
  <c r="I280" s="1"/>
  <c r="D245"/>
  <c r="E280" s="1"/>
  <c r="A245"/>
  <c r="G244"/>
  <c r="D283" s="1"/>
  <c r="F244"/>
  <c r="H283" s="1"/>
  <c r="E244"/>
  <c r="I283" s="1"/>
  <c r="D244"/>
  <c r="A244"/>
  <c r="G243"/>
  <c r="D282" s="1"/>
  <c r="F243"/>
  <c r="H282" s="1"/>
  <c r="E243"/>
  <c r="I282" s="1"/>
  <c r="D243"/>
  <c r="A243"/>
  <c r="G242"/>
  <c r="F242"/>
  <c r="H268" s="1"/>
  <c r="E242"/>
  <c r="I268" s="1"/>
  <c r="D242"/>
  <c r="E268" s="1"/>
  <c r="A242"/>
  <c r="G241"/>
  <c r="F241"/>
  <c r="E241"/>
  <c r="I267" s="1"/>
  <c r="D241"/>
  <c r="E267" s="1"/>
  <c r="A241"/>
  <c r="I276" l="1"/>
  <c r="I284" s="1"/>
  <c r="I253"/>
  <c r="J253" s="1"/>
  <c r="I246"/>
  <c r="J246" s="1"/>
  <c r="J272"/>
  <c r="G256"/>
  <c r="B259" s="1"/>
  <c r="C284"/>
  <c r="I254"/>
  <c r="J254" s="1"/>
  <c r="J280"/>
  <c r="I250"/>
  <c r="J250" s="1"/>
  <c r="I244"/>
  <c r="J244" s="1"/>
  <c r="F256"/>
  <c r="I243"/>
  <c r="J243" s="1"/>
  <c r="E276"/>
  <c r="H267"/>
  <c r="J283"/>
  <c r="J271"/>
  <c r="J275"/>
  <c r="J267"/>
  <c r="J282"/>
  <c r="J270"/>
  <c r="J274"/>
  <c r="J278"/>
  <c r="J268"/>
  <c r="A276"/>
  <c r="A275"/>
  <c r="A277" s="1"/>
  <c r="A278" s="1"/>
  <c r="A280" s="1"/>
  <c r="A282" s="1"/>
  <c r="A283" s="1"/>
  <c r="I248"/>
  <c r="J248" s="1"/>
  <c r="D256"/>
  <c r="I247"/>
  <c r="J247" s="1"/>
  <c r="I251"/>
  <c r="J251" s="1"/>
  <c r="I255"/>
  <c r="J255" s="1"/>
  <c r="E256"/>
  <c r="C259" s="1"/>
  <c r="E269"/>
  <c r="J269" s="1"/>
  <c r="E273"/>
  <c r="J273" s="1"/>
  <c r="E277"/>
  <c r="J277" s="1"/>
  <c r="I252"/>
  <c r="J252" s="1"/>
  <c r="I241"/>
  <c r="I245"/>
  <c r="J245" s="1"/>
  <c r="I249"/>
  <c r="J249" s="1"/>
  <c r="I242"/>
  <c r="J242" s="1"/>
  <c r="C331"/>
  <c r="C330"/>
  <c r="C328"/>
  <c r="C322"/>
  <c r="C323"/>
  <c r="C324"/>
  <c r="C325"/>
  <c r="C326"/>
  <c r="C321"/>
  <c r="C320"/>
  <c r="C319"/>
  <c r="C318"/>
  <c r="C317"/>
  <c r="C316"/>
  <c r="C315"/>
  <c r="C304"/>
  <c r="K282" l="1"/>
  <c r="D259"/>
  <c r="J276"/>
  <c r="K276" s="1"/>
  <c r="K269"/>
  <c r="K277"/>
  <c r="K283"/>
  <c r="K273"/>
  <c r="G258"/>
  <c r="K267"/>
  <c r="K274"/>
  <c r="K275"/>
  <c r="K280"/>
  <c r="K278"/>
  <c r="K272"/>
  <c r="K268"/>
  <c r="I256"/>
  <c r="J241"/>
  <c r="K270"/>
  <c r="K271"/>
  <c r="C332"/>
  <c r="A302"/>
  <c r="A303"/>
  <c r="J284" l="1"/>
  <c r="K284" s="1"/>
  <c r="J256"/>
  <c r="I257"/>
  <c r="E259"/>
  <c r="A316" l="1"/>
  <c r="A317" s="1"/>
  <c r="A318" s="1"/>
  <c r="A319" s="1"/>
  <c r="A320" s="1"/>
  <c r="A321" s="1"/>
  <c r="A322" s="1"/>
  <c r="C340"/>
  <c r="E376"/>
  <c r="H304"/>
  <c r="D289"/>
  <c r="E315" s="1"/>
  <c r="D290"/>
  <c r="E316" s="1"/>
  <c r="D291"/>
  <c r="D292"/>
  <c r="D293"/>
  <c r="D294"/>
  <c r="E317" s="1"/>
  <c r="D295"/>
  <c r="E318" s="1"/>
  <c r="D296"/>
  <c r="E319" s="1"/>
  <c r="D297"/>
  <c r="E320" s="1"/>
  <c r="D298"/>
  <c r="E321" s="1"/>
  <c r="D299"/>
  <c r="E322" s="1"/>
  <c r="D300"/>
  <c r="E323" s="1"/>
  <c r="D301"/>
  <c r="E324" s="1"/>
  <c r="D302"/>
  <c r="E325" s="1"/>
  <c r="E328" l="1"/>
  <c r="A324"/>
  <c r="A323"/>
  <c r="A325" s="1"/>
  <c r="A326" s="1"/>
  <c r="A328" s="1"/>
  <c r="A330" s="1"/>
  <c r="A331" s="1"/>
  <c r="E340"/>
  <c r="G302" l="1"/>
  <c r="G301"/>
  <c r="F301"/>
  <c r="H324" s="1"/>
  <c r="E289" l="1"/>
  <c r="I315" s="1"/>
  <c r="F289"/>
  <c r="H315" s="1"/>
  <c r="G289"/>
  <c r="G290"/>
  <c r="D355" s="1"/>
  <c r="G291"/>
  <c r="A300"/>
  <c r="A301"/>
  <c r="A289"/>
  <c r="E301"/>
  <c r="I324" s="1"/>
  <c r="J324" s="1"/>
  <c r="E349"/>
  <c r="H349"/>
  <c r="C349"/>
  <c r="J315" l="1"/>
  <c r="D356"/>
  <c r="D330"/>
  <c r="I349"/>
  <c r="J349" s="1"/>
  <c r="I301"/>
  <c r="J301" s="1"/>
  <c r="I340"/>
  <c r="I289"/>
  <c r="H340"/>
  <c r="J340" l="1"/>
  <c r="K340" s="1"/>
  <c r="K315"/>
  <c r="K324"/>
  <c r="K349"/>
  <c r="J289"/>
  <c r="C356" l="1"/>
  <c r="C355"/>
  <c r="C353"/>
  <c r="C351"/>
  <c r="C350"/>
  <c r="C348"/>
  <c r="C347"/>
  <c r="C346"/>
  <c r="C345"/>
  <c r="C344"/>
  <c r="C343"/>
  <c r="C342"/>
  <c r="A342"/>
  <c r="A343" s="1"/>
  <c r="A344" s="1"/>
  <c r="A345" s="1"/>
  <c r="A346" s="1"/>
  <c r="A347" s="1"/>
  <c r="C341"/>
  <c r="A307"/>
  <c r="G303"/>
  <c r="F303"/>
  <c r="E303"/>
  <c r="D303"/>
  <c r="E326" s="1"/>
  <c r="F302"/>
  <c r="E302"/>
  <c r="E350"/>
  <c r="G300"/>
  <c r="F300"/>
  <c r="E300"/>
  <c r="G299"/>
  <c r="F299"/>
  <c r="E299"/>
  <c r="A299"/>
  <c r="G298"/>
  <c r="F298"/>
  <c r="E298"/>
  <c r="E346"/>
  <c r="A298"/>
  <c r="G297"/>
  <c r="F297"/>
  <c r="E297"/>
  <c r="E345"/>
  <c r="A297"/>
  <c r="G296"/>
  <c r="F296"/>
  <c r="E296"/>
  <c r="E344"/>
  <c r="A296"/>
  <c r="G295"/>
  <c r="F295"/>
  <c r="E295"/>
  <c r="A295"/>
  <c r="G294"/>
  <c r="F294"/>
  <c r="E294"/>
  <c r="E342"/>
  <c r="A294"/>
  <c r="G293"/>
  <c r="F293"/>
  <c r="E293"/>
  <c r="E341"/>
  <c r="A293"/>
  <c r="G292"/>
  <c r="D331" s="1"/>
  <c r="F292"/>
  <c r="E292"/>
  <c r="I331" s="1"/>
  <c r="A292"/>
  <c r="F291"/>
  <c r="E291"/>
  <c r="A291"/>
  <c r="F290"/>
  <c r="H316" s="1"/>
  <c r="E290"/>
  <c r="I316" s="1"/>
  <c r="A290"/>
  <c r="H356" l="1"/>
  <c r="H330"/>
  <c r="H341"/>
  <c r="H328"/>
  <c r="I342"/>
  <c r="I317"/>
  <c r="I343"/>
  <c r="I318"/>
  <c r="J316"/>
  <c r="I356"/>
  <c r="I330"/>
  <c r="H353"/>
  <c r="H331"/>
  <c r="J331" s="1"/>
  <c r="I341"/>
  <c r="I328"/>
  <c r="I293"/>
  <c r="J293" s="1"/>
  <c r="H342"/>
  <c r="J342" s="1"/>
  <c r="H317"/>
  <c r="J317" s="1"/>
  <c r="H343"/>
  <c r="H318"/>
  <c r="J318" s="1"/>
  <c r="I344"/>
  <c r="I319"/>
  <c r="H345"/>
  <c r="H320"/>
  <c r="I346"/>
  <c r="I321"/>
  <c r="I347"/>
  <c r="I322"/>
  <c r="H348"/>
  <c r="H323"/>
  <c r="H350"/>
  <c r="H325"/>
  <c r="I351"/>
  <c r="I326"/>
  <c r="H344"/>
  <c r="H319"/>
  <c r="I345"/>
  <c r="I320"/>
  <c r="H346"/>
  <c r="H321"/>
  <c r="H347"/>
  <c r="H322"/>
  <c r="I348"/>
  <c r="I323"/>
  <c r="I350"/>
  <c r="I325"/>
  <c r="H351"/>
  <c r="H326"/>
  <c r="A348"/>
  <c r="A350" s="1"/>
  <c r="A351" s="1"/>
  <c r="A353" s="1"/>
  <c r="A355" s="1"/>
  <c r="A356" s="1"/>
  <c r="A349"/>
  <c r="I353"/>
  <c r="I292"/>
  <c r="J292" s="1"/>
  <c r="E351"/>
  <c r="D304"/>
  <c r="F304"/>
  <c r="I355"/>
  <c r="E304"/>
  <c r="C307" s="1"/>
  <c r="G304"/>
  <c r="B307" s="1"/>
  <c r="E353"/>
  <c r="C357"/>
  <c r="I290"/>
  <c r="I291"/>
  <c r="J291" s="1"/>
  <c r="I295"/>
  <c r="J295" s="1"/>
  <c r="I299"/>
  <c r="J299" s="1"/>
  <c r="I300"/>
  <c r="J300" s="1"/>
  <c r="I302"/>
  <c r="J302" s="1"/>
  <c r="I297"/>
  <c r="J297" s="1"/>
  <c r="I296"/>
  <c r="J296" s="1"/>
  <c r="I303"/>
  <c r="J303" s="1"/>
  <c r="E343"/>
  <c r="E347"/>
  <c r="E348"/>
  <c r="H355"/>
  <c r="I298"/>
  <c r="J298" s="1"/>
  <c r="I294"/>
  <c r="J294" s="1"/>
  <c r="C376"/>
  <c r="J343" l="1"/>
  <c r="K343" s="1"/>
  <c r="J350"/>
  <c r="K350" s="1"/>
  <c r="J346"/>
  <c r="J344"/>
  <c r="K344" s="1"/>
  <c r="J326"/>
  <c r="J321"/>
  <c r="K321" s="1"/>
  <c r="J319"/>
  <c r="K319" s="1"/>
  <c r="J351"/>
  <c r="K351" s="1"/>
  <c r="J356"/>
  <c r="K356" s="1"/>
  <c r="J347"/>
  <c r="K347" s="1"/>
  <c r="J355"/>
  <c r="K355" s="1"/>
  <c r="J345"/>
  <c r="K345" s="1"/>
  <c r="J341"/>
  <c r="K341" s="1"/>
  <c r="J322"/>
  <c r="J348"/>
  <c r="K348" s="1"/>
  <c r="I332"/>
  <c r="D307"/>
  <c r="I357"/>
  <c r="K331"/>
  <c r="K316"/>
  <c r="K326"/>
  <c r="K322"/>
  <c r="J325"/>
  <c r="K325" s="1"/>
  <c r="J323"/>
  <c r="K323" s="1"/>
  <c r="J320"/>
  <c r="K320" s="1"/>
  <c r="K318"/>
  <c r="K317"/>
  <c r="J328"/>
  <c r="K328" s="1"/>
  <c r="J330"/>
  <c r="K330" s="1"/>
  <c r="G306"/>
  <c r="J353"/>
  <c r="K353" s="1"/>
  <c r="J290"/>
  <c r="I304"/>
  <c r="K346"/>
  <c r="K342"/>
  <c r="E367"/>
  <c r="E366"/>
  <c r="E365"/>
  <c r="J357" l="1"/>
  <c r="K357" s="1"/>
  <c r="I305"/>
  <c r="J332"/>
  <c r="K332" s="1"/>
  <c r="E307"/>
  <c r="J304"/>
  <c r="A366" l="1"/>
  <c r="A367" s="1"/>
  <c r="A368" s="1"/>
  <c r="A369" s="1"/>
  <c r="A370" s="1"/>
  <c r="A371" s="1"/>
  <c r="A372" s="1"/>
  <c r="A373" s="1"/>
  <c r="C379"/>
  <c r="C378"/>
  <c r="C374"/>
  <c r="C373"/>
  <c r="C372"/>
  <c r="C371"/>
  <c r="C370"/>
  <c r="C369"/>
  <c r="C368"/>
  <c r="C367"/>
  <c r="C366"/>
  <c r="C365"/>
  <c r="H374"/>
  <c r="I374"/>
  <c r="E374"/>
  <c r="H373"/>
  <c r="I373"/>
  <c r="H372"/>
  <c r="I372"/>
  <c r="E372"/>
  <c r="H371"/>
  <c r="I371"/>
  <c r="E371"/>
  <c r="H370"/>
  <c r="I370"/>
  <c r="H369"/>
  <c r="I369"/>
  <c r="E369"/>
  <c r="H368"/>
  <c r="I368"/>
  <c r="E368"/>
  <c r="H367"/>
  <c r="I367"/>
  <c r="H366"/>
  <c r="I366"/>
  <c r="H365"/>
  <c r="I365"/>
  <c r="H376"/>
  <c r="I376"/>
  <c r="H379"/>
  <c r="I379"/>
  <c r="I378"/>
  <c r="A374" l="1"/>
  <c r="A376" s="1"/>
  <c r="A378" s="1"/>
  <c r="A379" s="1"/>
  <c r="J379"/>
  <c r="J371"/>
  <c r="J374"/>
  <c r="C380"/>
  <c r="J367"/>
  <c r="J365"/>
  <c r="J380" s="1"/>
  <c r="K380" s="1"/>
  <c r="J376"/>
  <c r="I380"/>
  <c r="J368"/>
  <c r="J372"/>
  <c r="J369"/>
  <c r="J366"/>
  <c r="E373"/>
  <c r="J373" s="1"/>
  <c r="E370"/>
  <c r="J370" s="1"/>
  <c r="H378"/>
  <c r="J378" s="1"/>
  <c r="C7" i="95"/>
  <c r="D7" l="1"/>
  <c r="E6"/>
  <c r="K370" i="16"/>
  <c r="K373"/>
  <c r="K378"/>
  <c r="K374"/>
  <c r="K366"/>
  <c r="K376"/>
  <c r="K372"/>
  <c r="K367"/>
  <c r="K379"/>
  <c r="K369"/>
  <c r="K371"/>
  <c r="K365"/>
  <c r="K368"/>
  <c r="C402" l="1"/>
  <c r="C388"/>
  <c r="C397"/>
  <c r="I393" l="1"/>
  <c r="I394"/>
  <c r="I395"/>
  <c r="I396"/>
  <c r="I397"/>
  <c r="I398"/>
  <c r="I392"/>
  <c r="I391"/>
  <c r="I402"/>
  <c r="H397"/>
  <c r="E397"/>
  <c r="J397" l="1"/>
  <c r="K397" l="1"/>
  <c r="C403" l="1"/>
  <c r="C400"/>
  <c r="C398"/>
  <c r="C396"/>
  <c r="C395"/>
  <c r="C394"/>
  <c r="C393"/>
  <c r="C392"/>
  <c r="C391"/>
  <c r="C390"/>
  <c r="C389"/>
  <c r="H402"/>
  <c r="J402" s="1"/>
  <c r="C423"/>
  <c r="K402" l="1"/>
  <c r="C404"/>
  <c r="C426"/>
  <c r="J426" s="1"/>
  <c r="K426" s="1"/>
  <c r="C425"/>
  <c r="J425" s="1"/>
  <c r="K425" s="1"/>
  <c r="J423"/>
  <c r="C413"/>
  <c r="J413" s="1"/>
  <c r="C414"/>
  <c r="J414" s="1"/>
  <c r="C415"/>
  <c r="J415" s="1"/>
  <c r="C416"/>
  <c r="J416" s="1"/>
  <c r="C417"/>
  <c r="J417" s="1"/>
  <c r="C418"/>
  <c r="J418" s="1"/>
  <c r="C419"/>
  <c r="J419" s="1"/>
  <c r="C420"/>
  <c r="C421"/>
  <c r="J421" s="1"/>
  <c r="C412"/>
  <c r="J412" s="1"/>
  <c r="I427"/>
  <c r="J420"/>
  <c r="C427" l="1"/>
  <c r="J427"/>
  <c r="G428" s="1"/>
  <c r="K418" l="1"/>
  <c r="K414"/>
  <c r="K423"/>
  <c r="K421" l="1"/>
  <c r="K413"/>
  <c r="K412"/>
  <c r="K419"/>
  <c r="K415"/>
  <c r="K416"/>
  <c r="K417"/>
  <c r="K420"/>
  <c r="K427" l="1"/>
  <c r="F439" l="1"/>
  <c r="H438"/>
  <c r="F437"/>
  <c r="C447" l="1"/>
  <c r="J447" s="1"/>
  <c r="C446"/>
  <c r="J446" s="1"/>
  <c r="C445"/>
  <c r="J445" s="1"/>
  <c r="C444"/>
  <c r="J444" s="1"/>
  <c r="C443"/>
  <c r="J443" s="1"/>
  <c r="C442"/>
  <c r="J442" s="1"/>
  <c r="C441"/>
  <c r="J441" s="1"/>
  <c r="C440"/>
  <c r="J440" s="1"/>
  <c r="C439"/>
  <c r="J439" s="1"/>
  <c r="C438"/>
  <c r="J438" s="1"/>
  <c r="C437"/>
  <c r="J437" s="1"/>
  <c r="C436"/>
  <c r="J436" s="1"/>
  <c r="C449"/>
  <c r="J449" s="1"/>
  <c r="C452"/>
  <c r="J452" s="1"/>
  <c r="I453"/>
  <c r="C479"/>
  <c r="C451" l="1"/>
  <c r="J451" s="1"/>
  <c r="J453" s="1"/>
  <c r="C453" l="1"/>
  <c r="I479" l="1"/>
  <c r="J478" l="1"/>
  <c r="J477"/>
  <c r="J475"/>
  <c r="J473"/>
  <c r="J472"/>
  <c r="J471"/>
  <c r="J470"/>
  <c r="J469"/>
  <c r="J468"/>
  <c r="J467"/>
  <c r="J466"/>
  <c r="J465"/>
  <c r="J464"/>
  <c r="J463"/>
  <c r="J462"/>
  <c r="J461"/>
  <c r="J479" l="1"/>
  <c r="J498" l="1"/>
  <c r="J497"/>
  <c r="J496"/>
  <c r="J495"/>
  <c r="J494"/>
  <c r="J493"/>
  <c r="J492"/>
  <c r="J490"/>
  <c r="J487"/>
  <c r="J501"/>
  <c r="J504"/>
  <c r="J503"/>
  <c r="I505"/>
  <c r="J491"/>
  <c r="C505" l="1"/>
  <c r="J489"/>
  <c r="J488"/>
  <c r="J499"/>
  <c r="J505" l="1"/>
  <c r="F525" l="1"/>
  <c r="H525"/>
  <c r="F516"/>
  <c r="H515"/>
  <c r="F514"/>
  <c r="I531"/>
  <c r="J525" l="1"/>
  <c r="J524"/>
  <c r="J523"/>
  <c r="J522"/>
  <c r="J521"/>
  <c r="J520"/>
  <c r="J519"/>
  <c r="J518"/>
  <c r="J517"/>
  <c r="J516"/>
  <c r="J515"/>
  <c r="J514"/>
  <c r="J527"/>
  <c r="J530"/>
  <c r="J529"/>
  <c r="J513" l="1"/>
  <c r="J531" s="1"/>
  <c r="C531"/>
  <c r="I560" l="1"/>
  <c r="J554"/>
  <c r="J540" l="1"/>
  <c r="J553" l="1"/>
  <c r="J552"/>
  <c r="J551"/>
  <c r="J550"/>
  <c r="J549"/>
  <c r="J548"/>
  <c r="J547"/>
  <c r="J546"/>
  <c r="J545"/>
  <c r="J544"/>
  <c r="J543"/>
  <c r="J542"/>
  <c r="C556"/>
  <c r="J556" s="1"/>
  <c r="C559"/>
  <c r="J559" s="1"/>
  <c r="C558"/>
  <c r="J558" s="1"/>
  <c r="C587"/>
  <c r="J541" l="1"/>
  <c r="J560" s="1"/>
  <c r="C560"/>
  <c r="J600" l="1"/>
  <c r="J581" l="1"/>
  <c r="J580"/>
  <c r="J579"/>
  <c r="J578"/>
  <c r="J577"/>
  <c r="J576"/>
  <c r="J575"/>
  <c r="J574"/>
  <c r="J573"/>
  <c r="J572"/>
  <c r="J571"/>
  <c r="J570"/>
  <c r="J569"/>
  <c r="J583"/>
  <c r="J586"/>
  <c r="J585"/>
  <c r="I587"/>
  <c r="J568" l="1"/>
  <c r="J587" s="1"/>
  <c r="I615" l="1"/>
  <c r="J608" l="1"/>
  <c r="J605" l="1"/>
  <c r="J601"/>
  <c r="J597"/>
  <c r="J611"/>
  <c r="J613"/>
  <c r="J614"/>
  <c r="J607"/>
  <c r="J606"/>
  <c r="J604"/>
  <c r="J603"/>
  <c r="J602"/>
  <c r="J599"/>
  <c r="J598"/>
  <c r="J596"/>
  <c r="J609" l="1"/>
  <c r="J615" s="1"/>
  <c r="K615" s="1"/>
  <c r="C532" l="1"/>
  <c r="C506"/>
  <c r="J632"/>
  <c r="J633" l="1"/>
  <c r="J631"/>
  <c r="J630"/>
  <c r="J629"/>
  <c r="J628"/>
  <c r="J627"/>
  <c r="J626"/>
  <c r="J625"/>
  <c r="J624"/>
  <c r="J623"/>
  <c r="J637"/>
  <c r="J640"/>
  <c r="J639"/>
  <c r="J635" l="1"/>
  <c r="J634"/>
  <c r="J641" l="1"/>
  <c r="J659" l="1"/>
  <c r="F649" l="1"/>
  <c r="J683"/>
  <c r="J686"/>
  <c r="J667"/>
  <c r="J666"/>
  <c r="J665"/>
  <c r="C658" l="1"/>
  <c r="J658" s="1"/>
  <c r="C657"/>
  <c r="J657" s="1"/>
  <c r="C656"/>
  <c r="J656" s="1"/>
  <c r="C655"/>
  <c r="J655" s="1"/>
  <c r="C654"/>
  <c r="J654" s="1"/>
  <c r="J653"/>
  <c r="C652"/>
  <c r="J652" s="1"/>
  <c r="C651"/>
  <c r="J651" s="1"/>
  <c r="C650"/>
  <c r="J650" s="1"/>
  <c r="C649"/>
  <c r="J649" s="1"/>
  <c r="C661"/>
  <c r="J661" s="1"/>
  <c r="C664"/>
  <c r="J664" s="1"/>
  <c r="C663" l="1"/>
  <c r="J663" s="1"/>
  <c r="J668" s="1"/>
  <c r="J694" l="1"/>
  <c r="J693"/>
  <c r="J692"/>
  <c r="J745"/>
  <c r="J718"/>
  <c r="J717"/>
  <c r="J715"/>
  <c r="E713"/>
  <c r="J713" s="1"/>
  <c r="E712"/>
  <c r="J712" s="1"/>
  <c r="E710"/>
  <c r="J710" s="1"/>
  <c r="H709"/>
  <c r="E709"/>
  <c r="F708"/>
  <c r="E708"/>
  <c r="E707"/>
  <c r="J707" s="1"/>
  <c r="I706"/>
  <c r="H706"/>
  <c r="E706"/>
  <c r="I705"/>
  <c r="E705"/>
  <c r="H704"/>
  <c r="E704"/>
  <c r="I703"/>
  <c r="J695"/>
  <c r="J679"/>
  <c r="J691"/>
  <c r="B679" l="1"/>
  <c r="B683"/>
  <c r="B684"/>
  <c r="B677"/>
  <c r="B680"/>
  <c r="B681"/>
  <c r="B678"/>
  <c r="B682"/>
  <c r="J678"/>
  <c r="I720"/>
  <c r="J705"/>
  <c r="J688"/>
  <c r="J704"/>
  <c r="J676"/>
  <c r="J682"/>
  <c r="J677"/>
  <c r="J690"/>
  <c r="J685"/>
  <c r="J708"/>
  <c r="J706"/>
  <c r="J709"/>
  <c r="J703"/>
  <c r="J681" l="1"/>
  <c r="J680"/>
  <c r="J684"/>
  <c r="C711"/>
  <c r="J696" l="1"/>
  <c r="C720"/>
  <c r="J711"/>
  <c r="J720" s="1"/>
  <c r="K449" l="1"/>
  <c r="K436"/>
  <c r="K452"/>
  <c r="K442"/>
  <c r="K447"/>
  <c r="K446"/>
  <c r="K518" l="1"/>
  <c r="K440"/>
  <c r="K469"/>
  <c r="K443"/>
  <c r="K438"/>
  <c r="K470"/>
  <c r="K444"/>
  <c r="K439"/>
  <c r="K437"/>
  <c r="K467"/>
  <c r="K441"/>
  <c r="K471"/>
  <c r="K466"/>
  <c r="K519"/>
  <c r="K515"/>
  <c r="K530"/>
  <c r="K478"/>
  <c r="K465"/>
  <c r="K517"/>
  <c r="K472"/>
  <c r="K524"/>
  <c r="K473"/>
  <c r="K525"/>
  <c r="K520"/>
  <c r="K468"/>
  <c r="K527"/>
  <c r="K475"/>
  <c r="K451"/>
  <c r="K514"/>
  <c r="K522"/>
  <c r="K513"/>
  <c r="K521"/>
  <c r="K464"/>
  <c r="K462"/>
  <c r="K463"/>
  <c r="K516"/>
  <c r="K461"/>
  <c r="K523" l="1"/>
  <c r="K445"/>
  <c r="K529"/>
  <c r="K477"/>
  <c r="K453" l="1"/>
  <c r="K531"/>
  <c r="K668"/>
  <c r="K479"/>
  <c r="H388" l="1"/>
  <c r="H389"/>
  <c r="H400"/>
  <c r="H390"/>
  <c r="I400"/>
  <c r="H403"/>
  <c r="H394"/>
  <c r="H393"/>
  <c r="H391"/>
  <c r="H395"/>
  <c r="J395" s="1"/>
  <c r="I388"/>
  <c r="H392"/>
  <c r="I403"/>
  <c r="H396"/>
  <c r="H398"/>
  <c r="I390"/>
  <c r="E394"/>
  <c r="E393"/>
  <c r="E392"/>
  <c r="I389"/>
  <c r="E396"/>
  <c r="K395" l="1"/>
  <c r="J403"/>
  <c r="K403" s="1"/>
  <c r="J390"/>
  <c r="K390" s="1"/>
  <c r="E391"/>
  <c r="J391" s="1"/>
  <c r="K391" s="1"/>
  <c r="E389"/>
  <c r="J389" s="1"/>
  <c r="E398"/>
  <c r="J398" s="1"/>
  <c r="K398" s="1"/>
  <c r="I404"/>
  <c r="J393"/>
  <c r="J396"/>
  <c r="J392"/>
  <c r="E388"/>
  <c r="J388" s="1"/>
  <c r="J394"/>
  <c r="J400"/>
  <c r="K393" l="1"/>
  <c r="K400"/>
  <c r="K389"/>
  <c r="K388"/>
  <c r="J404"/>
  <c r="K392"/>
  <c r="K394"/>
  <c r="K396"/>
  <c r="G405" l="1"/>
  <c r="K404"/>
  <c r="G13" i="95" l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l="1"/>
  <c r="G58" l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l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l="1"/>
  <c r="G132" s="1"/>
  <c r="G133" s="1"/>
  <c r="G134" l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l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</calcChain>
</file>

<file path=xl/sharedStrings.xml><?xml version="1.0" encoding="utf-8"?>
<sst xmlns="http://schemas.openxmlformats.org/spreadsheetml/2006/main" count="3882" uniqueCount="641">
  <si>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</si>
  <si>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</si>
  <si>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</si>
  <si>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</si>
  <si>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</si>
  <si>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</si>
  <si>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</si>
  <si>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</si>
  <si>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</si>
  <si>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</si>
  <si>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</si>
  <si>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</si>
  <si>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</si>
  <si>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</si>
  <si>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</si>
  <si>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</si>
  <si>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</si>
  <si>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</si>
  <si>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</si>
  <si>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</si>
  <si>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</si>
  <si>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</si>
  <si>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</si>
  <si>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</si>
  <si>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</si>
  <si>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</si>
  <si>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</si>
  <si>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</si>
  <si>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</si>
  <si>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</si>
  <si>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</si>
  <si>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</si>
  <si>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</si>
  <si>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</si>
  <si>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</si>
  <si>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</si>
  <si>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</si>
  <si>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</si>
  <si>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</si>
  <si>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</si>
  <si>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</si>
  <si>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</si>
  <si>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</si>
  <si>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</si>
  <si>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</si>
  <si>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</si>
  <si>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</si>
  <si>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</si>
  <si>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</si>
  <si>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</si>
  <si>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</si>
  <si>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</si>
  <si>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</si>
  <si>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</si>
  <si>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</si>
  <si>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</si>
  <si>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</si>
  <si>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</si>
  <si>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</si>
  <si>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</si>
  <si>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</si>
  <si>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</si>
  <si>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</si>
  <si>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</si>
  <si>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</si>
  <si>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</si>
  <si>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</si>
  <si>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</si>
  <si>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</si>
  <si>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</si>
  <si>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</si>
  <si>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</si>
  <si>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</si>
  <si>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</si>
  <si>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</si>
  <si>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</si>
  <si>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</si>
  <si>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</si>
  <si>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</si>
  <si>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</si>
  <si>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</si>
  <si>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</si>
  <si>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</si>
  <si>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</si>
  <si>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</si>
  <si>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</si>
  <si>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</si>
  <si>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</si>
  <si>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</si>
  <si>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</si>
  <si>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</si>
  <si>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</si>
  <si>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</si>
  <si>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</si>
  <si>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</si>
  <si>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</si>
  <si>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</si>
  <si>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</si>
  <si>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</si>
  <si>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</si>
  <si>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</si>
  <si>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</si>
  <si>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</si>
  <si>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</si>
  <si>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</si>
  <si>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</si>
  <si>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</si>
  <si>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</si>
  <si>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</si>
  <si>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</si>
  <si>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</si>
  <si>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</si>
  <si>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</si>
  <si>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</si>
  <si>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</si>
  <si>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</si>
  <si>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</si>
  <si>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</si>
  <si>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</si>
  <si>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</si>
  <si>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</si>
  <si>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</si>
  <si>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</si>
  <si>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</si>
  <si>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</si>
  <si>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</si>
  <si>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</si>
  <si>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</si>
  <si>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</si>
  <si>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</si>
  <si>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</si>
  <si>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</si>
  <si>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</si>
  <si>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</si>
  <si>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</si>
  <si>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</si>
  <si>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</si>
  <si>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</si>
  <si>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</si>
  <si>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</si>
  <si>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</si>
  <si>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</si>
  <si>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</si>
  <si>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</si>
  <si>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</si>
  <si>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</si>
  <si>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</si>
  <si>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</si>
  <si>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</si>
  <si>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</si>
  <si>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</si>
  <si>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</si>
  <si>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</si>
  <si>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</si>
  <si>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</si>
  <si>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</si>
  <si>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</si>
  <si>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</si>
  <si>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</si>
  <si>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</si>
  <si>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</si>
  <si>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</si>
  <si>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</si>
  <si>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</si>
  <si>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</si>
  <si>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</si>
  <si>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Wildcat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</si>
  <si>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</si>
  <si>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</si>
  <si>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</si>
  <si>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</si>
  <si>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</si>
  <si>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</si>
  <si>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</si>
  <si>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</si>
  <si>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</si>
  <si>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</si>
  <si>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</si>
  <si>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</si>
  <si>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</si>
  <si>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</si>
  <si>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</si>
  <si>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</si>
  <si>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CONGO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</si>
  <si>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</si>
  <si>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</si>
  <si>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</si>
  <si>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</si>
  <si>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</si>
  <si>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</si>
  <si>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</si>
  <si>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</si>
  <si>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</si>
  <si>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</si>
  <si>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Court Fees</t>
  </si>
  <si>
    <t>Bank Fees</t>
  </si>
  <si>
    <t>Names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</si>
  <si>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</si>
  <si>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</si>
  <si>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</si>
  <si>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</si>
  <si>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</si>
  <si>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</si>
  <si>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Bonus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</si>
  <si>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</si>
  <si>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</si>
  <si>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</si>
  <si>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</si>
  <si>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</si>
  <si>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</si>
  <si>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</si>
  <si>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</si>
  <si>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</si>
  <si>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</si>
  <si>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</si>
  <si>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</si>
  <si>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Jail Visits</t>
  </si>
  <si>
    <t>RALFF/UE</t>
  </si>
  <si>
    <t>RALFF/Wildcat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</si>
  <si>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</si>
  <si>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</si>
  <si>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</si>
  <si>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</si>
  <si>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</si>
  <si>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</si>
  <si>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</si>
  <si>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RAPPORT FINANCIER AVRIL 2022</t>
  </si>
  <si>
    <t>Solde au 01/04/2022</t>
  </si>
  <si>
    <t xml:space="preserve">Management </t>
  </si>
  <si>
    <t>Oui</t>
  </si>
  <si>
    <t>Office</t>
  </si>
  <si>
    <t>Décharge</t>
  </si>
  <si>
    <t>Frais de transfert charden Farell à I23C</t>
  </si>
  <si>
    <t>Supplément paiement Prime de fin d'année</t>
  </si>
  <si>
    <t>Légal</t>
  </si>
  <si>
    <t>Godfre</t>
  </si>
  <si>
    <t>Operation</t>
  </si>
  <si>
    <t>versement</t>
  </si>
  <si>
    <t>Reçu Caisse/ Tiffany</t>
  </si>
  <si>
    <t>5.6</t>
  </si>
  <si>
    <t>3.2</t>
  </si>
  <si>
    <t>4.4</t>
  </si>
  <si>
    <t>4.5</t>
  </si>
  <si>
    <t>5.2.1</t>
  </si>
  <si>
    <t>5.2.2</t>
  </si>
  <si>
    <t>4.3</t>
  </si>
  <si>
    <t>1.1.1.7</t>
  </si>
  <si>
    <t>1.1.1.4</t>
  </si>
  <si>
    <t>1.1.2.1</t>
  </si>
  <si>
    <t>1.1.1.1</t>
  </si>
  <si>
    <t>4.6</t>
  </si>
  <si>
    <t>2.2</t>
  </si>
  <si>
    <t>Reçu de la caisse/Evariste</t>
  </si>
  <si>
    <t>Réçu caisse/I23C</t>
  </si>
  <si>
    <t>Reçu caisse/Merveille</t>
  </si>
  <si>
    <t>Recu de caisse/P29</t>
  </si>
  <si>
    <t>Reçu caisse/Paule</t>
  </si>
  <si>
    <t>Solde au 01/05/2022</t>
  </si>
  <si>
    <t>TOTAL DEPENSE EN MAI</t>
  </si>
  <si>
    <t>TOTAL RECU EN MAI</t>
  </si>
  <si>
    <t>BALANCE 01 MAI 2022</t>
  </si>
  <si>
    <t>Balance a   01 MAI 2022</t>
  </si>
  <si>
    <t>Achat credit  teléphonique MTN/PALF/Prémière partie Mai 2022/Management</t>
  </si>
  <si>
    <t>Achat credit  teléphonique MTN/PALF/Prémière partie Mai 2022/Legal</t>
  </si>
  <si>
    <t>Achat credit  teléphonique MTN/PALF/Prémière partie Mai 2022/Legal Volontaire</t>
  </si>
  <si>
    <t>Achat credit  teléphonique MTN/PALF/Prémière partie Mai 2022/Investigation</t>
  </si>
  <si>
    <t>Achat credit  teléphonique MTN/PALF/Prémière partie Mai 2022/Media</t>
  </si>
  <si>
    <t>Achat credit  teléphonique Airtel/PALF/Prémière partie Mai 2022/Management</t>
  </si>
  <si>
    <t>Achat credit  teléphonique Airtel/PALF/Prémière partie Mai 2022/Legal</t>
  </si>
  <si>
    <t>Achat credit  teléphonique Airtel/PALF/Prémière partie Mai 2022/Investigation</t>
  </si>
  <si>
    <t>Achat credit  teléphonique Airtel/PALF/Prémière partie Mai 2022/Media</t>
  </si>
  <si>
    <t>Yan</t>
  </si>
  <si>
    <t>Frais de transfert charden Farell à Hurielle</t>
  </si>
  <si>
    <t>Transfer fees</t>
  </si>
  <si>
    <t>Achat 03 Bobonnes d'eau minerale</t>
  </si>
  <si>
    <t>BCI-3654481/34</t>
  </si>
  <si>
    <t>Crepin</t>
  </si>
  <si>
    <t>Frais de transfert charden Farell à Crepin</t>
  </si>
  <si>
    <t>Reglement facture E²C electricité/ période Mars - Avril 2022/bureau PALF</t>
  </si>
  <si>
    <t>Frais de mission maitre Anicet MOUSSAHOU-GOMA à pointe-noire du 09 au 11 Mai 2022</t>
  </si>
  <si>
    <t>Lawyer fees</t>
  </si>
  <si>
    <t>Bonus média portant sur annonce du verdict du 12/05/22 TGI d'Oyo</t>
  </si>
  <si>
    <t>Frais de mission Me Marie Hélène à oyo du 11 au 13 Mai 2022</t>
  </si>
  <si>
    <t xml:space="preserve">Raffraichissement pendant l'Operation </t>
  </si>
  <si>
    <t>Achat credit  teléphonique MTN/PALF/OP 13-05-22/Agents /Opération</t>
  </si>
  <si>
    <t>P29/Retour Caisse</t>
  </si>
  <si>
    <t>BCI-3654480/34</t>
  </si>
  <si>
    <t>Paiement salaire mois de Mai 2022/MALONGA Godfre</t>
  </si>
  <si>
    <t>Bonus Op du 13/05/2022-Godfre MALONGA</t>
  </si>
  <si>
    <t>Bonus des mois d'Avril et Mai 2022 - Godfre MALONGA</t>
  </si>
  <si>
    <t>Retour caisse /Godfre</t>
  </si>
  <si>
    <t>Achat Cable telephone Iphone/Trafs</t>
  </si>
  <si>
    <t>Bonus média portant sur l'annonce des audiences du 16 et 18 Mai 2022</t>
  </si>
  <si>
    <t>Bonus média sur la condamnation ferme d'un Trafiquant d'ivoire Par le TGI de brazzaville, le 02 mai 2022</t>
  </si>
  <si>
    <t>Bonus média portant sur la condamnation de 03 Trafiquants d'ivoir le 12 mai 2022 par le TGI d'oyo</t>
  </si>
  <si>
    <t>Bonus média interpellation de 02 trafiquants d'ivoire à brazzaville le 13/05/2022</t>
  </si>
  <si>
    <t>Achat credit  teléphonique MTN/PALF/Deuxième partie Mai 2022/Management</t>
  </si>
  <si>
    <t>Achat credit  teléphonique MTN/PALF/Deuxième  partie Mai 2022/Legal</t>
  </si>
  <si>
    <t>Achat credit  teléphonique MTN/PALF/Deuxième partie Mai 2022/Legal Volontaire</t>
  </si>
  <si>
    <t>Achat credit  teléphonique MTN/PALF/Deuxième partie Mai 2022/Investigation</t>
  </si>
  <si>
    <t>Achat credit  teléphonique MTN/PALF/Deuxième partie Mai 2022/Media</t>
  </si>
  <si>
    <t>Achat credit  teléphonique Airtel/PALF/Deuxième partie Mai 2022/Management</t>
  </si>
  <si>
    <t>Achat credit  teléphonique Airtel/PALF/Deuxième partie Mai 2022/Investigation</t>
  </si>
  <si>
    <t>Impression photos Trafiquant</t>
  </si>
  <si>
    <t>BCI-3654482/34</t>
  </si>
  <si>
    <t>Achat fournitures de bureau/Classeurs,papier bristol,papier transparent,baguette et encre pour cachet</t>
  </si>
  <si>
    <t>Frais de transfert mobile money à P29</t>
  </si>
  <si>
    <t>Bonus media/interpellation 02 trafs le 13 Mai 2022 à brazzaville</t>
  </si>
  <si>
    <t>Bonus media/Condamnation du 12 mai au TGI d'OYO</t>
  </si>
  <si>
    <t>Bonus Op du 13/05/2022-Paule MALONGA</t>
  </si>
  <si>
    <t>Retour caisse /Paule</t>
  </si>
  <si>
    <t>Frais de mission Me Scrutin MOUYETI à Dolisie du 22 au 24 Mai 2022</t>
  </si>
  <si>
    <t>Avance frais Maintenance pour 2 Ordinateur Lenovo et Asus</t>
  </si>
  <si>
    <t>Website</t>
  </si>
  <si>
    <t>BCI-3654483/34</t>
  </si>
  <si>
    <t>Achat 04 cartes sim enquete</t>
  </si>
  <si>
    <t>Solde frais Maintenance pour 2 Ordinateur Lenovo et Asus</t>
  </si>
  <si>
    <t>Retour caisse /i23c</t>
  </si>
  <si>
    <t>Bonus media portant sur l'interpellation de deux présumés trafiquants des trophées de panthère le 21/05/2022</t>
  </si>
  <si>
    <t>Achat 02 claviers et 02 souris pour le Bureau</t>
  </si>
  <si>
    <t>Reglément Facture Congo Telecom Redevance Mai 2022</t>
  </si>
  <si>
    <t>Frais de mission maitre Marie Hélène à Oyo du 26 au 28 Mai 2022</t>
  </si>
  <si>
    <t>Entretretien général Jardin, Bureau PALF Mois de Mai 2022</t>
  </si>
  <si>
    <t>Bonus média Portant sur l'interpellation de 02 présumés trafiquants de peaux de panthère le 21/05/2022 à Oyo</t>
  </si>
  <si>
    <t>Bonus média portant sur l'interpellation de 02 présumés trafiquants d'ivoire le 13/05/2022 à Brazzaville</t>
  </si>
  <si>
    <t>Bonus media portant sur la condamnation de 03 Trafiquan- d'ivoire au TGI d'Oyo le 12 Mai 2022</t>
  </si>
  <si>
    <t>Reglement prestation Entretient bureau Mois de Mai   2022/Odile</t>
  </si>
  <si>
    <t>Achat produits d'entretien Bureau/javel,balai,sucre,lait papier toilette,chifon</t>
  </si>
  <si>
    <t>BCI-3654485/34</t>
  </si>
  <si>
    <t>Reglement Facture Gardiennage Mois de Avril 2022/3654479</t>
  </si>
  <si>
    <t>Frais Bancaires /Compte 34</t>
  </si>
  <si>
    <t>Fonds reçu de Wildcat</t>
  </si>
  <si>
    <t>Grant</t>
  </si>
  <si>
    <t>Retrait especes/appro caisse/bord n°3654481</t>
  </si>
  <si>
    <t>Retrait especes/appro caisse/bord n°3654480</t>
  </si>
  <si>
    <t>Retrait especes/appro caisse/bord n°3654482</t>
  </si>
  <si>
    <t>Retrait especes/appro caisse/bord n°3654483</t>
  </si>
  <si>
    <t>Reglement Facture Gardiennage Mois de Mai 2022/3654484</t>
  </si>
  <si>
    <t>Retrait especes/appro caisse/bord n°3654485</t>
  </si>
  <si>
    <t>Releve</t>
  </si>
  <si>
    <t>Frais bancaire mois Mai 22/Compte 56</t>
  </si>
  <si>
    <t>Paiement Honoraire Me LOCKO/Mois d'Avril 2022</t>
  </si>
  <si>
    <t>Reglement loyer mois d'Avril 2022/Bureau PALF</t>
  </si>
  <si>
    <t>office</t>
  </si>
  <si>
    <t>Paiement salaire mois de Mai 2022/MOLENDE Grace</t>
  </si>
  <si>
    <t>Paiement salaire mois de Mai 2022/Merveille MAHANGA</t>
  </si>
  <si>
    <t>Paiement salaire mois de Mai 2022/IBOUILI IBOUILI Crepin</t>
  </si>
  <si>
    <t>Paiement salaire mois Mai  2022/Evariste LELOUSSI</t>
  </si>
  <si>
    <t>Paiement salaire mois de Mai 2022/Tiffany GOBERT</t>
  </si>
  <si>
    <t>Reglement loyer mois de Mai 2022/Bureau PALF</t>
  </si>
  <si>
    <t>Reçu Caisse/Grace</t>
  </si>
  <si>
    <t>Cumul frais de Transport local mois de Mai 2022/Grace MOLENDE</t>
  </si>
  <si>
    <t>4.2</t>
  </si>
  <si>
    <t>Solde Honoraire contrat N°43 Cas KAMBA et consort OYO/Me Hélène NANITELAMIO</t>
  </si>
  <si>
    <t>Acompte contrat ,n°44 cas Sam Divin et Lamine KOULIBALI / Me Hélène NANITELAMIO</t>
  </si>
  <si>
    <t>Remise d'argent à Godfré/ Tiffany</t>
  </si>
  <si>
    <t>Achat Billet Brazzaville-Oyo/ Tiffany</t>
  </si>
  <si>
    <t>TIFFANY - CONGO Food allowance du 20 au 22 mai 2022</t>
  </si>
  <si>
    <t>Travel subsistence</t>
  </si>
  <si>
    <t>TIFFANY - CONGO  Frais d'Hôtel 1 nuitée du 20 au 21 mai 2022 à Oyo</t>
  </si>
  <si>
    <t>Achat Billet Oyo- Brazzaville/ Tiffany</t>
  </si>
  <si>
    <t>TIFFANY - CONGO Frais d'hôtel du 21 mai au 22 mai à Oyo</t>
  </si>
  <si>
    <t>Transfert Caisse/ Tiffany</t>
  </si>
  <si>
    <t>Cumul frais de transport local du mois de Mai/2022</t>
  </si>
  <si>
    <t>Billet Brazzaville-Oyo/Crepin</t>
  </si>
  <si>
    <t>Reçu de caisse/Crépin</t>
  </si>
  <si>
    <t>Billet Oyo-Brazzaville/Crepin</t>
  </si>
  <si>
    <t>CREPIN - CONGO Hotel 02 Nuitées du 05 au 07/05/2022 à Oyo</t>
  </si>
  <si>
    <t>CREPIN - CONGO Food-Allowance du 05 au 07/05/2022</t>
  </si>
  <si>
    <t>Frais de visite des appartements à Diata</t>
  </si>
  <si>
    <t>Frais de visite des appartements au plateau et à Batignole</t>
  </si>
  <si>
    <t>Frais de visite des appartements à la glacière et Bacongo</t>
  </si>
  <si>
    <t>Rafraichissement avavt OP pour l'adjudant Moussa, Reine, Sovy, le capitaine, IBARA, Paule et moi de 8h à 16h</t>
  </si>
  <si>
    <t>Billet Brazzaville-Oyo/Crépin</t>
  </si>
  <si>
    <t>Raffraichissement pour 4 gendarmes et 1 angent PALF en attendant le top de l'opération</t>
  </si>
  <si>
    <t>Ration pour 4 gendarmes d'Owando le 21/05/2022</t>
  </si>
  <si>
    <t>Ration pour 4 gendarmes d'Owando le 22/05/2022</t>
  </si>
  <si>
    <t>Ration pour 4 gendarmes d'Owando le 23/05/2022</t>
  </si>
  <si>
    <t>Ration pour 4 gendarmes d'Owando le 24/05/2022</t>
  </si>
  <si>
    <t>Ration pour 4 gendarmes d'Owando le 25/05/2022</t>
  </si>
  <si>
    <t>Ration pour 4 gendarmes d'Owando le 26/05/2022</t>
  </si>
  <si>
    <t>Cumul frais de jail visits du mois de Mai 2022/Crépin</t>
  </si>
  <si>
    <t>Frais d'impression pour la procédure EF et l'analyse juridique</t>
  </si>
  <si>
    <t>Frais d'impression pour la procédure de la gendarmerie et accessoirs</t>
  </si>
  <si>
    <t>Ration pour 4 gendarmes d'Owando le 27/05/2022</t>
  </si>
  <si>
    <t>Location du taxi pour 4 gendarmes Oyo-Owando</t>
  </si>
  <si>
    <t>CREPIN - CONGO Hotel 08 Nuitées du 20 au 28/05/2022 à Oyo pour moi.</t>
  </si>
  <si>
    <t>CREPIN - CONGO Food-Allowance du 20 au 28/05/2022</t>
  </si>
  <si>
    <t>Billet: Oyo-Brazzaville/Crépin</t>
  </si>
  <si>
    <t>Cumul frais de transport local du mois de Mai 2022/Crépin</t>
  </si>
  <si>
    <t>Frais demarcheur pour visite des appartements/Diata,château d'eau,la poudrière</t>
  </si>
  <si>
    <t>Frais demarcheur pour visite des appartements/Bacongo ,poto poto , Moungali Diata</t>
  </si>
  <si>
    <t>Achat Billet Brazzaville -OYO/Merveille</t>
  </si>
  <si>
    <t>MERVEILLE - CONGO Foodallowance mission du  20 au 22/05/2022</t>
  </si>
  <si>
    <t>Achat raffraichissement (jus,eau,biscuit,jus)</t>
  </si>
  <si>
    <t>MERVEILLE - CONGO Frais d'Hotel du 20 au 21 Mai  2022 - OYO</t>
  </si>
  <si>
    <t>Location taxi pour 3h en attente extraction</t>
  </si>
  <si>
    <t>Frais de Taxi ( OYO-NGO) Extration I23c après OP</t>
  </si>
  <si>
    <t>MERVEILLE - CONGO Frais d'Hotel du 21 au 22 Mai  2022 - NGO</t>
  </si>
  <si>
    <t>Cumul frais de transport local mois de Mai 2022/Merveille</t>
  </si>
  <si>
    <t>Retour Caisse/Godfre</t>
  </si>
  <si>
    <t>GODFRE - CONGO Food Allowance du 09 au 11/05/2022</t>
  </si>
  <si>
    <t>GODFRE - CONGO Frais d'hotel du 09 au 11/05/2022</t>
  </si>
  <si>
    <t>Achat boisson et plats des gendarmes pendant l'opération du 13-05-2022</t>
  </si>
  <si>
    <t>Reçu de tiffany / Godfre</t>
  </si>
  <si>
    <t>Cumul Frais de Transport local mois de Mai 2022/Godfre</t>
  </si>
  <si>
    <t>Retour Caisse /Godfre</t>
  </si>
  <si>
    <t xml:space="preserve">Frais visite appartement/Demarcheurs </t>
  </si>
  <si>
    <t>Frais visite appartement Bacongo/Demarcheurs</t>
  </si>
  <si>
    <t>Frais visite appartement Château d'eau /démarcheurs</t>
  </si>
  <si>
    <t>Reçu de Tiffany /Paule</t>
  </si>
  <si>
    <t>Cumul frais de Jails Visits mois de Mai 2022/Paule</t>
  </si>
  <si>
    <t>Cumul frais de Ration Journalière mois de Mai 2022/Paule</t>
  </si>
  <si>
    <t>Cumul frais de transport local du mois de Mai 2022/ Paule</t>
  </si>
  <si>
    <t>Retour caisse/Paule</t>
  </si>
  <si>
    <t>Reçu Caisse/Yan</t>
  </si>
  <si>
    <t>Achat billet brazzaville - Dolisie /Yan</t>
  </si>
  <si>
    <t>YAN GOMAT - CONGO Food Allowance du 12 au 14/05/22</t>
  </si>
  <si>
    <t xml:space="preserve">Frais de l'expedition et de la Grosse </t>
  </si>
  <si>
    <t xml:space="preserve">YAN GOMAT - CONGO Frais d'hôtel Dolisie du 12 au 14/05/22 </t>
  </si>
  <si>
    <t>Achat billet Dolisie - Brazzaville / Yan</t>
  </si>
  <si>
    <t>YAN GOMAT - CONGO Food Allowance du 22 au 24/05/22</t>
  </si>
  <si>
    <t>Frais Acte d'appel et expédition  aff  NGATSE Serge et NDINGA</t>
  </si>
  <si>
    <t>Achat billet Dolisie - Brazzaville /Yan</t>
  </si>
  <si>
    <t xml:space="preserve">YAN GOMAT - CONGO Frais d'hôtel 22 au 24/05/22 </t>
  </si>
  <si>
    <t>Cumul frais de ration Journalière Mai 2022/Yan</t>
  </si>
  <si>
    <t>Cumul frais de transport local de Mai 2022/Yan</t>
  </si>
  <si>
    <t>HURIELLE - CONGO Food Allowance du 01 Mai-04 Mai 2022 à OYO</t>
  </si>
  <si>
    <t>Recu caisse/Hurielle</t>
  </si>
  <si>
    <t>Consultaion médical du prévenu Fabrice</t>
  </si>
  <si>
    <t>Examens médicaux du prévenu Fabrice</t>
  </si>
  <si>
    <t>Achat médicaments du Prévenu le 03/05/2022</t>
  </si>
  <si>
    <t>HURIELLE - CONGO Frais d'Hotel du 01 Mai au 04 Mai 2022 à OYO</t>
  </si>
  <si>
    <t>Achat Billet de voyage Brazzaville-Oyo/Hureille</t>
  </si>
  <si>
    <t>HURIELLE - CONGO Food Allowance du 11 au 13 Mai 2022</t>
  </si>
  <si>
    <t>Achat du billet Oyo-Brazzaville/Hureille</t>
  </si>
  <si>
    <t>Achat billet Brazzaville-Oyo/Hureille</t>
  </si>
  <si>
    <t>HURIELLE - CONGO Food Allowance du 17-24 Mai 2022 à Oyo</t>
  </si>
  <si>
    <t>Frais de consultation du détenu KAMBA André</t>
  </si>
  <si>
    <t>Taxi:Gendarmerie-Clinique ABO(Aller -Retour)</t>
  </si>
  <si>
    <t>Frais  des examens de laboratoire et l'échographie du détenu KAMBA André</t>
  </si>
  <si>
    <t>Achat produits de la tention de KAMBA André</t>
  </si>
  <si>
    <t>Achat produits du traitement de KAMBA André</t>
  </si>
  <si>
    <t>HURIELLE - CONGO Frais d'hotel du 17 au 20 mai 2022 à Oyo</t>
  </si>
  <si>
    <t>Reçu Merveille à Hureille</t>
  </si>
  <si>
    <t>Reçu Tiffany à Hureille</t>
  </si>
  <si>
    <t>Achat rafraichissement pour l'opération du 21/05/2022 à Oyo</t>
  </si>
  <si>
    <t>HURIELLE - CONGO Frais d'hotel 1 nuitée du 20 au 21/05/2021 à Oyo</t>
  </si>
  <si>
    <t>Achat d'un pantalon et d'un calecon du prévenu Freddy</t>
  </si>
  <si>
    <t>Cumul frais de jail visites du mois de Mai 2022/Hurielle</t>
  </si>
  <si>
    <t>HURIELLE - CONGO Frais d'hotel du 21 au 24 mai 2022 à oyo</t>
  </si>
  <si>
    <t>Achat billet de retour Oyo-Brazzaville</t>
  </si>
  <si>
    <t>Cumul Ration journalière du mois de Mai 2022/Hurielle</t>
  </si>
  <si>
    <t>Cumul frais de transport local du mois de Mai 2022/Hurielle</t>
  </si>
  <si>
    <t>Frais des visites des appartements</t>
  </si>
  <si>
    <t>Achat du carburant pour la BJ des Gendarmes OP Brazzaville</t>
  </si>
  <si>
    <t>Achat billet Brazzaville-Oyo à l'agence Océan du Nord/Evariste</t>
  </si>
  <si>
    <t>Achat des jus, Eau minérale et des paquets de biscuits pour les gendarmes lors de l'opération à Oyo</t>
  </si>
  <si>
    <t>Achat du carburant pour la BJ des Gendarmes OP à Oyo</t>
  </si>
  <si>
    <t>Achat billet Oyo-Brazzaville à l'agence Océan du Nord d'Oyo/Evariste</t>
  </si>
  <si>
    <t>EVARISTE - CONGO Food Allowance du 20 au 24 mai 2022 mission Oyo</t>
  </si>
  <si>
    <t>EVARISTE - CONGO Frais d'hôtel du 20 au 24 mai 2022 (4 nuités)</t>
  </si>
  <si>
    <t>Cumul frais de transport local du mois de Mai 2022/Evariste</t>
  </si>
  <si>
    <t>P29 - CONGO Food allowance mission du 03 au 07-05-2022</t>
  </si>
  <si>
    <t>P29 - CONGO Paiement 4 nuitées du 03 au 07-05-2022 à gamboma</t>
  </si>
  <si>
    <t>P29 - CONGO Food allowance mission du 17 au 21-05-2022</t>
  </si>
  <si>
    <t>Billet kinkala - boko</t>
  </si>
  <si>
    <t>P29 - CONGO Paiement 2 nuitées du 17 au 19-05-2022 à kinkala</t>
  </si>
  <si>
    <t>Cumul frais de Trust Building Mai 2022/P29</t>
  </si>
  <si>
    <t>Trust building</t>
  </si>
  <si>
    <t>Achat billet brazzaville-owando</t>
  </si>
  <si>
    <t>P29 - CONGO Food allowance mission du 25 au 30-05-2022</t>
  </si>
  <si>
    <t>Cumul frais de transport local Mai 2022/P29</t>
  </si>
  <si>
    <t>Achat billet owando- brazzaville</t>
  </si>
  <si>
    <t>P29 - CONGO Paiement 5 nuitées du 25  au 30-05-2022 à owando</t>
  </si>
  <si>
    <t>I23C - CONGO Food allowance mission Dolisie du 2 au 4 mai 2022</t>
  </si>
  <si>
    <t>I23C - CONGO Paiement 2 nuitées du 2 au 4 mai 2022 à Lissanga</t>
  </si>
  <si>
    <t>Taxi Bureau-Kintele (départ pour Oyo) /I23C</t>
  </si>
  <si>
    <t>Taxi Brazzaville-Oyo /I23C</t>
  </si>
  <si>
    <t>I23C - CONGO Food allowance mission Oyo du 5 au 7 mai 2022</t>
  </si>
  <si>
    <t>Achat billet Oyo-Brazzaville/I23C</t>
  </si>
  <si>
    <t>I23C - CONGO Paiement 2 nuitées du 5 au 7 mai à Oyo</t>
  </si>
  <si>
    <t>Paiement frais de visite démarcheuur (cfr op Brazza)</t>
  </si>
  <si>
    <t>Reçu caisse/I23C</t>
  </si>
  <si>
    <t>I23C - CONGO Paiement 2 nuitées appartement OCH cfr op Brazza)</t>
  </si>
  <si>
    <t>Paiement % du demarcheur (cfr location appartement OCH, OP Brazza)</t>
  </si>
  <si>
    <t>I23C - CONGO Food allowance mission Oyo du 16 au 22 mai 2022</t>
  </si>
  <si>
    <t>I23C - CONGO Paiement hôtel 4 nuitées du 16 au 20 Mai 2022 cfr mission Oyo</t>
  </si>
  <si>
    <t>Impression Fiche Interp (cfr OP Oyo)</t>
  </si>
  <si>
    <t>I23C - CONGO Paiement hôtel 2 nuitées du 20 au 22 Mai 2022 Hôtel Samba cfr mission OP Oyo</t>
  </si>
  <si>
    <t>I23C - CONGO Paiement d'une nuitée du 21 au 22 mai 2022 à Ngo</t>
  </si>
  <si>
    <t>Taxi Ngo-Brazzaville (départ pour Brazza)/I23C</t>
  </si>
  <si>
    <t>Retour caisse/I23C</t>
  </si>
  <si>
    <t>Achat billet BZ-Dolisie/I23C</t>
  </si>
  <si>
    <t>I23C - CONGO Food allowance mission Dolisie-Pointe-Noire du 25 au 30 mai 2022</t>
  </si>
  <si>
    <t>I23C - CONGO Paiement 2 nuitées du 25 au 27 Mai 2022 à Dolisie</t>
  </si>
  <si>
    <t>Achat billet Dolisie-Pointe-Noire (suite investigation à PN)/I23C</t>
  </si>
  <si>
    <t>Cumul frais de trust Bulding du mois de Mai 2022/I23C</t>
  </si>
  <si>
    <t>Achat billet Pointe-Noire- Brazzaville/I23C</t>
  </si>
  <si>
    <t>I23C - CONGO Paiement 3 nuitées du 27 au 30 Mai 2022 à Pointe-Noire</t>
  </si>
  <si>
    <t>Cumul frais de transport local Mai 2022/I23C</t>
  </si>
  <si>
    <t>Retour à la caisse/P29</t>
  </si>
  <si>
    <t>Remise d'argent à Paule/ Tiffany</t>
  </si>
  <si>
    <t>Reçu caisse (buget supp du 20 au 22 mai 2022+flash OP)/I23C</t>
  </si>
  <si>
    <t>Transfert  à Hurielle/Tiffany</t>
  </si>
  <si>
    <t>Transfert à Huriellle/Merveille</t>
  </si>
  <si>
    <t xml:space="preserve">Frais de transfert charden farell à Evariste,crepin </t>
  </si>
  <si>
    <t>Acchat billet aller/Brazzaville-PNR/Godfre</t>
  </si>
  <si>
    <t>Taxi:Achat billet retour/PNR-Brazzaville./Godfre</t>
  </si>
  <si>
    <t>Achat billet  NGO - Brazzaville/Merveille</t>
  </si>
  <si>
    <t>Frais Hotel 07 Nuitées du 21 au 28/05/2022 à Oyo pour 04 Gendarmes d'Owando NYANGA Marien/OBAMI Ger/AKOUALA Vital/OKANDZE  Brel</t>
  </si>
  <si>
    <t>1.3.2</t>
  </si>
  <si>
    <t>Balance au 31 MAI 2022</t>
  </si>
  <si>
    <t>BALANCE 31 MAI 2022</t>
  </si>
  <si>
    <t>BALANCE CAISSES ET BANQUE AU 31 MAI 2022</t>
  </si>
  <si>
    <t>Cumul frais de Jail Visits du mois de Mai 2022/Yan</t>
  </si>
  <si>
    <t>Frais location taxi aux fins de la suite de l'opération/Deux tours</t>
  </si>
  <si>
    <t>Bonus opération pour 17 gendarmes et 1 EF (le CBEF)</t>
  </si>
  <si>
    <t>Achat Billet Océan du Nord Oyo-Brazzaville/Hurielle</t>
  </si>
  <si>
    <t>P29 - CONGO Paiement 2 nuitées du 19 au 21-05-2022 à Boko</t>
  </si>
  <si>
    <t>Achat credit telephonique MTN/Legal</t>
  </si>
  <si>
    <t>HURIELLE - CONGO Frais d'Hotel du 11 Mai au 13 Mai 2022 à OYO</t>
  </si>
  <si>
    <t>Frais de l'impression des photos trafs</t>
  </si>
  <si>
    <t>RALFF-CO3320</t>
  </si>
  <si>
    <t>RALFF-CO3321</t>
  </si>
  <si>
    <t>RALFF-CO3322</t>
  </si>
  <si>
    <t>RALFF-CO3323</t>
  </si>
  <si>
    <t>RALFF-CO3324</t>
  </si>
  <si>
    <t>RALFF-CO3325</t>
  </si>
  <si>
    <t>RALFF-CO3326</t>
  </si>
  <si>
    <t>RALFF-CO3327</t>
  </si>
  <si>
    <t>RALFF-CO3328</t>
  </si>
  <si>
    <t>RALFF-CO3329</t>
  </si>
  <si>
    <t>RALFF-CO3330</t>
  </si>
  <si>
    <t>RALFF-CO3331</t>
  </si>
  <si>
    <t>RALFF-CO3332</t>
  </si>
  <si>
    <t>RALFF-CO3333</t>
  </si>
  <si>
    <t>RALFF-CO3334</t>
  </si>
  <si>
    <t>RALFF-CO3335</t>
  </si>
  <si>
    <t>RALFF-CO3336</t>
  </si>
  <si>
    <t>RALFF-CO3337</t>
  </si>
  <si>
    <t>RALFF-CO3338</t>
  </si>
  <si>
    <t>RALFF-CO3339</t>
  </si>
  <si>
    <t>RALFF-CO3340</t>
  </si>
  <si>
    <t>RALFF-CO3341</t>
  </si>
  <si>
    <t>RALFF-CO3342</t>
  </si>
  <si>
    <t>RALFF-CO3343</t>
  </si>
  <si>
    <t>RALFF-CO3344</t>
  </si>
  <si>
    <t>RALFF-CO3345</t>
  </si>
  <si>
    <t>RALFF-CO3346</t>
  </si>
  <si>
    <t>RALFF-CO3347</t>
  </si>
  <si>
    <t>RALFF-CO3348</t>
  </si>
  <si>
    <t>RALFF-CO3349</t>
  </si>
  <si>
    <t>RALFF-CO3350</t>
  </si>
  <si>
    <t>RALFF-CO3351</t>
  </si>
  <si>
    <t>RALFF-CO3352</t>
  </si>
  <si>
    <t>RALFF-CO3353</t>
  </si>
  <si>
    <t>RALFF-CO3354</t>
  </si>
  <si>
    <t>RALFF-CO3356</t>
  </si>
  <si>
    <t>RALFF-CO3357</t>
  </si>
  <si>
    <t>RALFF-CO3358</t>
  </si>
  <si>
    <t>RALFF-CO3359</t>
  </si>
  <si>
    <t>RALFF-CO3360</t>
  </si>
  <si>
    <t>RALFF-CO3361</t>
  </si>
  <si>
    <t>RALFF-CO3362</t>
  </si>
  <si>
    <t>RALFF-CO3363</t>
  </si>
  <si>
    <t>RALFF-CO3364</t>
  </si>
  <si>
    <t>RALFF-CO3365</t>
  </si>
  <si>
    <t>RALFF-CO3366</t>
  </si>
  <si>
    <t>RALFF-CO3367</t>
  </si>
  <si>
    <t>RALFF-CO3368</t>
  </si>
  <si>
    <t>RALFF-CO3369</t>
  </si>
  <si>
    <t>RALFF-CO3380</t>
  </si>
  <si>
    <t>RALFF-CO3370</t>
  </si>
  <si>
    <t>RALFF-CO3371</t>
  </si>
  <si>
    <t>RALFF-CO3372</t>
  </si>
  <si>
    <t>RALFF-CO3373</t>
  </si>
  <si>
    <t>RALFF-CO3374</t>
  </si>
  <si>
    <t>RALFF-CO3375</t>
  </si>
  <si>
    <t>RALFF-CO3376</t>
  </si>
  <si>
    <t>RALFF-CO3377</t>
  </si>
  <si>
    <t>RALFF-CO3378</t>
  </si>
  <si>
    <t>RALFF-CO3379</t>
  </si>
  <si>
    <t>RALFF-CO3381</t>
  </si>
  <si>
    <t>RALFF-CO3382</t>
  </si>
  <si>
    <t>RALFF-CO3383</t>
  </si>
  <si>
    <t>RALFF-CO3384</t>
  </si>
  <si>
    <t>RALFF-CO3385</t>
  </si>
  <si>
    <t>RALFF-CO3386</t>
  </si>
  <si>
    <t>RALFF-CO3387</t>
  </si>
  <si>
    <t>RALFF-CO3388</t>
  </si>
  <si>
    <t>RALFF-CO3389</t>
  </si>
  <si>
    <t>RALFF-CO3390</t>
  </si>
  <si>
    <t>RALFF-CO3391</t>
  </si>
  <si>
    <t>RALFF-CO3392</t>
  </si>
  <si>
    <t>RALFF-CO3393</t>
  </si>
  <si>
    <t>RALFF-CO3394</t>
  </si>
  <si>
    <t>RALFF-CO3395</t>
  </si>
  <si>
    <t>RALFF-CO3396</t>
  </si>
  <si>
    <t>RALFF-CO3397</t>
  </si>
  <si>
    <t>RALFF-CO3398</t>
  </si>
  <si>
    <t>RALFF-CO3399</t>
  </si>
  <si>
    <t>RALFF-CO3400</t>
  </si>
  <si>
    <t>RALFF-CO3401</t>
  </si>
  <si>
    <t>RALFF-CO3402</t>
  </si>
  <si>
    <t>RALFF-CO3403</t>
  </si>
  <si>
    <t>RALFF-CO3404</t>
  </si>
  <si>
    <t>RALFF-CO3405</t>
  </si>
  <si>
    <t>RALFF-CO3406</t>
  </si>
  <si>
    <t>RALFF-CO3407</t>
  </si>
  <si>
    <t>RALFF-CO3408</t>
  </si>
  <si>
    <t>RALFF-CO3409</t>
  </si>
  <si>
    <t>RALFF-CO3410</t>
  </si>
  <si>
    <t>RALFF-CO3411</t>
  </si>
  <si>
    <t>RALFF-CO3412</t>
  </si>
  <si>
    <t>RALFF-CO3413</t>
  </si>
  <si>
    <t>RALFF-CO3414</t>
  </si>
  <si>
    <t>RALFF-CO3415</t>
  </si>
  <si>
    <t>RALFF-CO3416</t>
  </si>
  <si>
    <t>RALFF-CO3417</t>
  </si>
  <si>
    <t>RALFF-CO3418</t>
  </si>
  <si>
    <t>RALFF-CO3419</t>
  </si>
  <si>
    <t>RALFF-CO3420</t>
  </si>
  <si>
    <t>RALFF-CO3421</t>
  </si>
  <si>
    <t>RALFF-CO3422</t>
  </si>
  <si>
    <t>RALFF-CO3423</t>
  </si>
  <si>
    <t>RALFF-CO3424</t>
  </si>
  <si>
    <t>RALFF-CO3425</t>
  </si>
  <si>
    <t>RALFF-CO3426</t>
  </si>
  <si>
    <t>Achat credit MTN /pour investigation/Crépin</t>
  </si>
  <si>
    <t>Achat crédit /Recherche appartement OP/I23C</t>
  </si>
  <si>
    <t>Payement bonus opération de 20 agents dont les gendarmes et EF</t>
  </si>
  <si>
    <t>RALFF-CO3427</t>
  </si>
  <si>
    <t>RALFF-CO3428</t>
  </si>
  <si>
    <t>RALFF-CO3429</t>
  </si>
  <si>
    <t>RALFF-CO3430</t>
  </si>
  <si>
    <t>Achat billet brazzaville-gamboma/P29</t>
  </si>
  <si>
    <t>Achat billet gamboma-brazzaville/P29</t>
  </si>
  <si>
    <t>Billet total-kinkala/P29</t>
  </si>
  <si>
    <t>Achat Billet Brazzaville - Oyo / I23C</t>
  </si>
  <si>
    <t>RALFF-CO3431</t>
  </si>
</sst>
</file>

<file path=xl/styles.xml><?xml version="1.0" encoding="utf-8"?>
<styleSheet xmlns="http://schemas.openxmlformats.org/spreadsheetml/2006/main">
  <numFmts count="9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_€_-;\-* #,##0\ _€_-;_-* &quot;-&quot;??\ _€_-;_-@"/>
    <numFmt numFmtId="167" formatCode="[$-409]d\-mmm\-yy;@"/>
    <numFmt numFmtId="168" formatCode="[$-40C]0"/>
    <numFmt numFmtId="169" formatCode="&quot; &quot;#,##0&quot;    &quot;;&quot;-&quot;#,##0&quot;    &quot;;&quot; -&quot;#&quot;    &quot;;&quot; &quot;@&quot; &quot;"/>
    <numFmt numFmtId="170" formatCode="[$-40C]General"/>
    <numFmt numFmtId="171" formatCode="[$]d\ mmm\ yyyy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charset val="1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5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168" fontId="36" fillId="0" borderId="1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5" fontId="36" fillId="0" borderId="1" xfId="1" applyNumberFormat="1" applyFont="1" applyFill="1" applyBorder="1" applyAlignment="1" applyProtection="1">
      <alignment vertical="center"/>
    </xf>
    <xf numFmtId="0" fontId="42" fillId="21" borderId="1" xfId="0" applyFont="1" applyFill="1" applyBorder="1" applyAlignment="1">
      <alignment vertical="center"/>
    </xf>
    <xf numFmtId="165" fontId="36" fillId="0" borderId="1" xfId="0" applyNumberFormat="1" applyFont="1" applyFill="1" applyBorder="1" applyAlignment="1">
      <alignment vertical="center"/>
    </xf>
    <xf numFmtId="165" fontId="36" fillId="0" borderId="1" xfId="1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165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168" fontId="36" fillId="0" borderId="1" xfId="2" applyNumberFormat="1" applyFont="1" applyFill="1" applyBorder="1" applyAlignment="1">
      <alignment vertical="center" wrapText="1"/>
    </xf>
    <xf numFmtId="165" fontId="36" fillId="0" borderId="1" xfId="1" applyNumberFormat="1" applyFont="1" applyFill="1" applyBorder="1" applyAlignment="1">
      <alignment horizontal="left" vertical="center" wrapText="1"/>
    </xf>
    <xf numFmtId="165" fontId="36" fillId="0" borderId="1" xfId="0" applyNumberFormat="1" applyFont="1" applyFill="1" applyBorder="1" applyAlignment="1">
      <alignment horizontal="left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6" fillId="0" borderId="1" xfId="1" applyNumberFormat="1" applyFont="1" applyFill="1" applyBorder="1" applyAlignment="1">
      <alignment horizontal="right" vertical="center"/>
    </xf>
    <xf numFmtId="169" fontId="36" fillId="0" borderId="1" xfId="6" applyNumberFormat="1" applyFont="1" applyFill="1" applyBorder="1" applyAlignment="1">
      <alignment horizontal="right" vertical="center" wrapText="1"/>
    </xf>
    <xf numFmtId="0" fontId="36" fillId="1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3" fontId="34" fillId="0" borderId="0" xfId="0" applyNumberFormat="1" applyFont="1"/>
    <xf numFmtId="3" fontId="44" fillId="24" borderId="1" xfId="1" applyNumberFormat="1" applyFont="1" applyFill="1" applyBorder="1" applyAlignment="1" applyProtection="1">
      <alignment horizontal="right" vertical="center"/>
    </xf>
    <xf numFmtId="0" fontId="43" fillId="0" borderId="1" xfId="0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3" fillId="0" borderId="1" xfId="1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3" fontId="43" fillId="0" borderId="1" xfId="1" applyNumberFormat="1" applyFont="1" applyFill="1" applyBorder="1" applyAlignment="1" applyProtection="1">
      <alignment horizontal="right" vertical="center"/>
    </xf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1" xfId="0" applyFont="1" applyFill="1" applyBorder="1" applyAlignment="1">
      <alignment vertical="center"/>
    </xf>
    <xf numFmtId="171" fontId="36" fillId="0" borderId="1" xfId="0" applyNumberFormat="1" applyFont="1" applyFill="1" applyBorder="1" applyAlignment="1"/>
    <xf numFmtId="171" fontId="36" fillId="0" borderId="1" xfId="2" applyNumberFormat="1" applyFont="1" applyFill="1" applyBorder="1" applyAlignment="1"/>
    <xf numFmtId="171" fontId="36" fillId="0" borderId="1" xfId="2" applyNumberFormat="1" applyFont="1" applyFill="1" applyBorder="1" applyAlignment="1">
      <alignment wrapText="1"/>
    </xf>
    <xf numFmtId="171" fontId="36" fillId="12" borderId="1" xfId="0" applyNumberFormat="1" applyFont="1" applyFill="1" applyBorder="1" applyAlignment="1"/>
    <xf numFmtId="171" fontId="43" fillId="0" borderId="1" xfId="2" applyNumberFormat="1" applyFont="1" applyFill="1" applyBorder="1" applyAlignment="1">
      <alignment wrapText="1"/>
    </xf>
    <xf numFmtId="0" fontId="36" fillId="0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3" fontId="36" fillId="12" borderId="1" xfId="1" applyNumberFormat="1" applyFont="1" applyFill="1" applyBorder="1" applyAlignment="1" applyProtection="1">
      <alignment horizontal="center" vertical="center"/>
    </xf>
    <xf numFmtId="10" fontId="34" fillId="0" borderId="0" xfId="7" applyNumberFormat="1" applyFont="1"/>
    <xf numFmtId="0" fontId="2" fillId="0" borderId="0" xfId="0" applyFont="1"/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8" fontId="41" fillId="5" borderId="1" xfId="2" applyNumberFormat="1" applyFont="1" applyFill="1" applyBorder="1" applyAlignment="1">
      <alignment horizontal="left" vertical="center"/>
    </xf>
    <xf numFmtId="0" fontId="41" fillId="5" borderId="1" xfId="0" applyFont="1" applyFill="1" applyBorder="1" applyAlignment="1"/>
    <xf numFmtId="0" fontId="42" fillId="21" borderId="1" xfId="0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46" fillId="0" borderId="1" xfId="0" applyNumberFormat="1" applyFont="1" applyFill="1" applyBorder="1" applyAlignment="1">
      <alignment horizontal="center" vertical="center"/>
    </xf>
    <xf numFmtId="168" fontId="36" fillId="0" borderId="1" xfId="2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171" fontId="41" fillId="5" borderId="1" xfId="0" applyNumberFormat="1" applyFont="1" applyFill="1" applyBorder="1" applyAlignment="1"/>
    <xf numFmtId="0" fontId="41" fillId="5" borderId="1" xfId="0" applyFont="1" applyFill="1" applyBorder="1" applyAlignment="1">
      <alignment horizontal="center"/>
    </xf>
    <xf numFmtId="165" fontId="41" fillId="5" borderId="1" xfId="1" applyNumberFormat="1" applyFont="1" applyFill="1" applyBorder="1" applyAlignment="1">
      <alignment horizontal="right"/>
    </xf>
    <xf numFmtId="3" fontId="41" fillId="5" borderId="1" xfId="1" applyNumberFormat="1" applyFont="1" applyFill="1" applyBorder="1" applyAlignment="1" applyProtection="1">
      <alignment horizontal="right"/>
    </xf>
    <xf numFmtId="165" fontId="41" fillId="5" borderId="1" xfId="1" applyNumberFormat="1" applyFont="1" applyFill="1" applyBorder="1" applyAlignment="1" applyProtection="1"/>
    <xf numFmtId="0" fontId="41" fillId="5" borderId="1" xfId="0" applyFont="1" applyFill="1" applyBorder="1" applyAlignment="1">
      <alignment vertical="center"/>
    </xf>
    <xf numFmtId="165" fontId="41" fillId="5" borderId="1" xfId="1" applyNumberFormat="1" applyFont="1" applyFill="1" applyBorder="1" applyAlignment="1"/>
    <xf numFmtId="0" fontId="41" fillId="5" borderId="1" xfId="0" applyFont="1" applyFill="1" applyBorder="1" applyAlignment="1">
      <alignment horizontal="left"/>
    </xf>
    <xf numFmtId="0" fontId="41" fillId="5" borderId="1" xfId="0" applyFont="1" applyFill="1" applyBorder="1" applyAlignment="1">
      <alignment horizontal="center" vertical="center"/>
    </xf>
    <xf numFmtId="168" fontId="41" fillId="5" borderId="1" xfId="2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right"/>
    </xf>
    <xf numFmtId="171" fontId="41" fillId="5" borderId="1" xfId="2" applyNumberFormat="1" applyFont="1" applyFill="1" applyBorder="1" applyAlignment="1">
      <alignment wrapText="1"/>
    </xf>
    <xf numFmtId="168" fontId="41" fillId="5" borderId="1" xfId="2" applyNumberFormat="1" applyFont="1" applyFill="1" applyBorder="1" applyAlignment="1"/>
    <xf numFmtId="169" fontId="41" fillId="5" borderId="1" xfId="6" applyNumberFormat="1" applyFont="1" applyFill="1" applyBorder="1" applyAlignment="1">
      <alignment horizontal="right" wrapText="1"/>
    </xf>
    <xf numFmtId="168" fontId="41" fillId="5" borderId="1" xfId="2" applyNumberFormat="1" applyFont="1" applyFill="1" applyBorder="1" applyAlignment="1">
      <alignment wrapText="1"/>
    </xf>
    <xf numFmtId="41" fontId="41" fillId="5" borderId="1" xfId="4" applyFont="1" applyFill="1" applyBorder="1" applyAlignment="1">
      <alignment horizontal="center" wrapText="1"/>
    </xf>
    <xf numFmtId="41" fontId="41" fillId="5" borderId="1" xfId="4" applyFont="1" applyFill="1" applyBorder="1" applyAlignment="1">
      <alignment wrapText="1"/>
    </xf>
    <xf numFmtId="169" fontId="41" fillId="5" borderId="1" xfId="6" applyNumberFormat="1" applyFont="1" applyFill="1" applyBorder="1" applyAlignment="1" applyProtection="1">
      <alignment horizontal="center" wrapText="1"/>
    </xf>
    <xf numFmtId="0" fontId="41" fillId="5" borderId="1" xfId="0" applyFont="1" applyFill="1" applyBorder="1" applyAlignment="1">
      <alignment horizontal="left" vertical="center"/>
    </xf>
    <xf numFmtId="165" fontId="41" fillId="5" borderId="1" xfId="1" applyNumberFormat="1" applyFont="1" applyFill="1" applyBorder="1" applyAlignment="1">
      <alignment horizontal="center"/>
    </xf>
    <xf numFmtId="41" fontId="41" fillId="5" borderId="1" xfId="4" applyFont="1" applyFill="1" applyBorder="1" applyAlignment="1">
      <alignment horizontal="left" wrapText="1"/>
    </xf>
    <xf numFmtId="41" fontId="41" fillId="5" borderId="1" xfId="4" applyFont="1" applyFill="1" applyBorder="1" applyAlignment="1">
      <alignment horizontal="center"/>
    </xf>
    <xf numFmtId="168" fontId="41" fillId="5" borderId="1" xfId="2" applyNumberFormat="1" applyFont="1" applyFill="1" applyBorder="1" applyAlignment="1">
      <alignment vertical="center"/>
    </xf>
    <xf numFmtId="169" fontId="41" fillId="5" borderId="1" xfId="6" applyNumberFormat="1" applyFont="1" applyFill="1" applyBorder="1" applyAlignment="1">
      <alignment horizontal="right" vertical="center" wrapText="1"/>
    </xf>
    <xf numFmtId="168" fontId="41" fillId="5" borderId="1" xfId="2" applyNumberFormat="1" applyFont="1" applyFill="1" applyBorder="1" applyAlignment="1">
      <alignment vertical="center" wrapText="1"/>
    </xf>
    <xf numFmtId="0" fontId="41" fillId="5" borderId="1" xfId="2" applyFont="1" applyFill="1" applyBorder="1" applyAlignment="1" applyProtection="1">
      <alignment horizontal="center"/>
    </xf>
    <xf numFmtId="171" fontId="41" fillId="5" borderId="1" xfId="2" applyNumberFormat="1" applyFont="1" applyFill="1" applyBorder="1" applyAlignment="1" applyProtection="1">
      <alignment wrapText="1"/>
    </xf>
    <xf numFmtId="168" fontId="41" fillId="5" borderId="1" xfId="2" applyNumberFormat="1" applyFont="1" applyFill="1" applyBorder="1" applyAlignment="1" applyProtection="1">
      <alignment vertical="center"/>
    </xf>
    <xf numFmtId="169" fontId="41" fillId="5" borderId="1" xfId="6" applyNumberFormat="1" applyFont="1" applyFill="1" applyBorder="1" applyAlignment="1" applyProtection="1">
      <alignment horizontal="right" vertical="center" wrapText="1"/>
    </xf>
    <xf numFmtId="168" fontId="41" fillId="5" borderId="1" xfId="2" applyNumberFormat="1" applyFont="1" applyFill="1" applyBorder="1" applyAlignment="1" applyProtection="1">
      <alignment vertical="center" wrapText="1"/>
    </xf>
    <xf numFmtId="0" fontId="41" fillId="5" borderId="1" xfId="0" applyFont="1" applyFill="1" applyBorder="1" applyAlignment="1">
      <alignment horizontal="right" vertical="center"/>
    </xf>
    <xf numFmtId="165" fontId="41" fillId="5" borderId="1" xfId="0" applyNumberFormat="1" applyFont="1" applyFill="1" applyBorder="1" applyAlignment="1">
      <alignment horizontal="right"/>
    </xf>
    <xf numFmtId="165" fontId="41" fillId="5" borderId="1" xfId="1" applyNumberFormat="1" applyFont="1" applyFill="1" applyBorder="1" applyAlignment="1">
      <alignment horizontal="right" vertical="center"/>
    </xf>
    <xf numFmtId="171" fontId="41" fillId="5" borderId="1" xfId="2" applyNumberFormat="1" applyFont="1" applyFill="1" applyBorder="1" applyAlignment="1"/>
    <xf numFmtId="165" fontId="41" fillId="5" borderId="1" xfId="0" applyNumberFormat="1" applyFont="1" applyFill="1" applyBorder="1" applyAlignment="1">
      <alignment horizontal="right" vertical="center"/>
    </xf>
    <xf numFmtId="170" fontId="41" fillId="5" borderId="1" xfId="2" applyNumberFormat="1" applyFont="1" applyFill="1" applyBorder="1" applyAlignment="1"/>
    <xf numFmtId="0" fontId="41" fillId="5" borderId="1" xfId="2" applyFont="1" applyFill="1" applyBorder="1" applyAlignment="1">
      <alignment vertical="center"/>
    </xf>
    <xf numFmtId="170" fontId="41" fillId="5" borderId="1" xfId="2" applyNumberFormat="1" applyFont="1" applyFill="1" applyBorder="1" applyAlignment="1">
      <alignment horizontal="center"/>
    </xf>
    <xf numFmtId="0" fontId="47" fillId="5" borderId="1" xfId="0" applyFont="1" applyFill="1" applyBorder="1" applyAlignment="1">
      <alignment vertical="center"/>
    </xf>
    <xf numFmtId="3" fontId="41" fillId="5" borderId="1" xfId="1" applyNumberFormat="1" applyFont="1" applyFill="1" applyBorder="1" applyAlignment="1" applyProtection="1">
      <alignment horizontal="center" vertical="center"/>
    </xf>
    <xf numFmtId="0" fontId="41" fillId="5" borderId="1" xfId="2" applyFont="1" applyFill="1" applyBorder="1" applyAlignment="1" applyProtection="1">
      <alignment horizontal="left"/>
    </xf>
    <xf numFmtId="3" fontId="41" fillId="5" borderId="1" xfId="1" applyNumberFormat="1" applyFont="1" applyFill="1" applyBorder="1" applyAlignment="1" applyProtection="1">
      <alignment horizontal="right" vertical="center"/>
    </xf>
    <xf numFmtId="170" fontId="41" fillId="5" borderId="1" xfId="2" applyNumberFormat="1" applyFont="1" applyFill="1" applyBorder="1" applyAlignment="1">
      <alignment horizontal="center" vertical="center"/>
    </xf>
    <xf numFmtId="169" fontId="41" fillId="5" borderId="1" xfId="6" applyNumberFormat="1" applyFont="1" applyFill="1" applyBorder="1" applyAlignment="1">
      <alignment horizontal="center" vertical="center" wrapText="1"/>
    </xf>
    <xf numFmtId="41" fontId="41" fillId="5" borderId="1" xfId="4" applyFont="1" applyFill="1" applyBorder="1" applyAlignment="1">
      <alignment horizontal="center" vertical="center" wrapText="1"/>
    </xf>
    <xf numFmtId="165" fontId="41" fillId="5" borderId="1" xfId="1" applyNumberFormat="1" applyFont="1" applyFill="1" applyBorder="1" applyAlignment="1">
      <alignment horizontal="center" vertical="center"/>
    </xf>
    <xf numFmtId="41" fontId="41" fillId="5" borderId="1" xfId="4" applyFont="1" applyFill="1" applyBorder="1" applyAlignment="1">
      <alignment horizontal="center" vertical="center"/>
    </xf>
    <xf numFmtId="0" fontId="41" fillId="5" borderId="1" xfId="0" applyFont="1" applyFill="1" applyBorder="1"/>
    <xf numFmtId="165" fontId="41" fillId="5" borderId="1" xfId="1" applyNumberFormat="1" applyFont="1" applyFill="1" applyBorder="1" applyAlignment="1">
      <alignment vertical="center"/>
    </xf>
    <xf numFmtId="169" fontId="41" fillId="5" borderId="1" xfId="6" applyNumberFormat="1" applyFont="1" applyFill="1" applyBorder="1" applyAlignment="1">
      <alignment horizontal="right" vertical="center"/>
    </xf>
    <xf numFmtId="169" fontId="41" fillId="5" borderId="1" xfId="6" applyNumberFormat="1" applyFont="1" applyFill="1" applyBorder="1" applyAlignment="1" applyProtection="1">
      <alignment horizontal="center" vertical="center" wrapText="1"/>
    </xf>
    <xf numFmtId="0" fontId="41" fillId="5" borderId="1" xfId="2" applyFont="1" applyFill="1" applyBorder="1" applyAlignment="1">
      <alignment horizontal="right"/>
    </xf>
    <xf numFmtId="0" fontId="41" fillId="5" borderId="1" xfId="2" applyFont="1" applyFill="1" applyBorder="1" applyAlignment="1" applyProtection="1"/>
    <xf numFmtId="165" fontId="41" fillId="5" borderId="1" xfId="0" applyNumberFormat="1" applyFont="1" applyFill="1" applyBorder="1" applyAlignment="1">
      <alignment horizontal="center" vertical="center"/>
    </xf>
    <xf numFmtId="169" fontId="41" fillId="5" borderId="1" xfId="6" applyNumberFormat="1" applyFont="1" applyFill="1" applyBorder="1" applyAlignment="1">
      <alignment horizontal="right"/>
    </xf>
    <xf numFmtId="168" fontId="41" fillId="5" borderId="1" xfId="2" applyNumberFormat="1" applyFont="1" applyFill="1" applyBorder="1" applyAlignment="1" applyProtection="1">
      <alignment horizontal="center" vertical="center"/>
    </xf>
    <xf numFmtId="169" fontId="41" fillId="5" borderId="1" xfId="6" applyNumberFormat="1" applyFont="1" applyFill="1" applyBorder="1" applyAlignment="1" applyProtection="1">
      <alignment horizontal="right" wrapText="1"/>
    </xf>
    <xf numFmtId="165" fontId="41" fillId="5" borderId="1" xfId="0" applyNumberFormat="1" applyFont="1" applyFill="1" applyBorder="1" applyAlignment="1">
      <alignment horizontal="center"/>
    </xf>
    <xf numFmtId="168" fontId="41" fillId="5" borderId="1" xfId="2" applyNumberFormat="1" applyFont="1" applyFill="1" applyBorder="1" applyAlignment="1">
      <alignment horizontal="right"/>
    </xf>
    <xf numFmtId="0" fontId="41" fillId="5" borderId="1" xfId="2" applyFont="1" applyFill="1" applyBorder="1" applyAlignment="1" applyProtection="1">
      <alignment vertical="center"/>
    </xf>
    <xf numFmtId="166" fontId="41" fillId="5" borderId="1" xfId="0" applyNumberFormat="1" applyFont="1" applyFill="1" applyBorder="1" applyAlignment="1">
      <alignment vertical="center"/>
    </xf>
    <xf numFmtId="171" fontId="41" fillId="5" borderId="1" xfId="0" applyNumberFormat="1" applyFont="1" applyFill="1" applyBorder="1" applyAlignment="1">
      <alignment vertical="center"/>
    </xf>
    <xf numFmtId="165" fontId="41" fillId="5" borderId="1" xfId="1" applyNumberFormat="1" applyFont="1" applyFill="1" applyBorder="1" applyAlignment="1">
      <alignment horizontal="left" vertical="center"/>
    </xf>
    <xf numFmtId="168" fontId="41" fillId="5" borderId="1" xfId="2" applyNumberFormat="1" applyFont="1" applyFill="1" applyBorder="1" applyAlignment="1" applyProtection="1"/>
    <xf numFmtId="168" fontId="41" fillId="5" borderId="1" xfId="2" applyNumberFormat="1" applyFont="1" applyFill="1" applyBorder="1" applyAlignment="1">
      <alignment vertical="top"/>
    </xf>
    <xf numFmtId="170" fontId="41" fillId="5" borderId="1" xfId="2" applyNumberFormat="1" applyFont="1" applyFill="1" applyBorder="1" applyAlignment="1">
      <alignment horizontal="center" vertical="top"/>
    </xf>
    <xf numFmtId="169" fontId="41" fillId="5" borderId="1" xfId="6" applyNumberFormat="1" applyFont="1" applyFill="1" applyBorder="1" applyAlignment="1">
      <alignment horizontal="right" vertical="top"/>
    </xf>
    <xf numFmtId="165" fontId="41" fillId="5" borderId="1" xfId="0" applyNumberFormat="1" applyFont="1" applyFill="1" applyBorder="1" applyAlignment="1">
      <alignment horizontal="left"/>
    </xf>
    <xf numFmtId="0" fontId="48" fillId="5" borderId="1" xfId="0" applyFont="1" applyFill="1" applyBorder="1" applyAlignment="1">
      <alignment vertical="center"/>
    </xf>
    <xf numFmtId="0" fontId="49" fillId="5" borderId="1" xfId="0" applyFont="1" applyFill="1" applyBorder="1" applyAlignment="1">
      <alignment vertical="center"/>
    </xf>
    <xf numFmtId="0" fontId="49" fillId="5" borderId="1" xfId="0" applyFont="1" applyFill="1" applyBorder="1" applyAlignment="1">
      <alignment horizontal="center" vertical="center"/>
    </xf>
    <xf numFmtId="0" fontId="50" fillId="5" borderId="1" xfId="0" applyFont="1" applyFill="1" applyBorder="1" applyAlignment="1">
      <alignment vertical="center"/>
    </xf>
    <xf numFmtId="0" fontId="48" fillId="5" borderId="1" xfId="0" applyFont="1" applyFill="1" applyBorder="1" applyAlignment="1">
      <alignment horizontal="center" vertical="center"/>
    </xf>
    <xf numFmtId="169" fontId="41" fillId="5" borderId="1" xfId="6" applyNumberFormat="1" applyFont="1" applyFill="1" applyBorder="1" applyAlignment="1">
      <alignment horizontal="center" wrapText="1"/>
    </xf>
    <xf numFmtId="41" fontId="41" fillId="5" borderId="1" xfId="4" applyFont="1" applyFill="1" applyBorder="1" applyAlignment="1">
      <alignment horizontal="right" vertical="center"/>
    </xf>
    <xf numFmtId="168" fontId="41" fillId="5" borderId="1" xfId="2" applyNumberFormat="1" applyFont="1" applyFill="1" applyBorder="1" applyAlignment="1">
      <alignment horizontal="right" wrapText="1"/>
    </xf>
    <xf numFmtId="168" fontId="41" fillId="5" borderId="1" xfId="0" applyNumberFormat="1" applyFont="1" applyFill="1" applyBorder="1" applyAlignment="1">
      <alignment vertical="center"/>
    </xf>
    <xf numFmtId="165" fontId="41" fillId="5" borderId="1" xfId="1" applyNumberFormat="1" applyFont="1" applyFill="1" applyBorder="1" applyAlignment="1">
      <alignment horizontal="left"/>
    </xf>
    <xf numFmtId="170" fontId="41" fillId="5" borderId="1" xfId="2" applyNumberFormat="1" applyFont="1" applyFill="1" applyBorder="1" applyAlignment="1">
      <alignment horizontal="left"/>
    </xf>
    <xf numFmtId="168" fontId="41" fillId="5" borderId="1" xfId="2" applyNumberFormat="1" applyFont="1" applyFill="1" applyBorder="1" applyAlignment="1">
      <alignment horizontal="center"/>
    </xf>
    <xf numFmtId="165" fontId="41" fillId="5" borderId="1" xfId="1" applyNumberFormat="1" applyFont="1" applyFill="1" applyBorder="1"/>
    <xf numFmtId="169" fontId="41" fillId="5" borderId="1" xfId="6" applyNumberFormat="1" applyFont="1" applyFill="1" applyBorder="1" applyAlignment="1">
      <alignment wrapText="1"/>
    </xf>
    <xf numFmtId="169" fontId="41" fillId="5" borderId="1" xfId="6" applyNumberFormat="1" applyFont="1" applyFill="1" applyBorder="1" applyAlignment="1">
      <alignment horizontal="right" vertical="top" wrapText="1"/>
    </xf>
    <xf numFmtId="0" fontId="41" fillId="5" borderId="1" xfId="2" applyFont="1" applyFill="1" applyBorder="1" applyAlignment="1"/>
    <xf numFmtId="168" fontId="41" fillId="5" borderId="1" xfId="2" applyNumberFormat="1" applyFont="1" applyFill="1" applyBorder="1" applyAlignment="1" applyProtection="1">
      <alignment horizontal="center"/>
    </xf>
    <xf numFmtId="168" fontId="41" fillId="5" borderId="1" xfId="2" applyNumberFormat="1" applyFont="1" applyFill="1" applyBorder="1" applyAlignment="1" applyProtection="1">
      <alignment wrapText="1"/>
    </xf>
    <xf numFmtId="169" fontId="41" fillId="5" borderId="1" xfId="6" applyNumberFormat="1" applyFont="1" applyFill="1" applyBorder="1" applyAlignment="1">
      <alignment horizontal="center"/>
    </xf>
    <xf numFmtId="0" fontId="41" fillId="5" borderId="1" xfId="2" applyFont="1" applyFill="1" applyBorder="1" applyAlignment="1">
      <alignment horizontal="left" vertical="center"/>
    </xf>
    <xf numFmtId="3" fontId="45" fillId="0" borderId="0" xfId="0" applyNumberFormat="1" applyFont="1"/>
    <xf numFmtId="41" fontId="36" fillId="0" borderId="1" xfId="4" applyFont="1" applyFill="1" applyBorder="1" applyAlignment="1" applyProtection="1">
      <alignment horizontal="center"/>
    </xf>
    <xf numFmtId="41" fontId="36" fillId="12" borderId="1" xfId="4" applyFont="1" applyFill="1" applyBorder="1" applyAlignment="1" applyProtection="1">
      <alignment horizontal="center"/>
    </xf>
    <xf numFmtId="3" fontId="41" fillId="5" borderId="1" xfId="1" applyNumberFormat="1" applyFont="1" applyFill="1" applyBorder="1" applyAlignment="1" applyProtection="1">
      <alignment horizontal="center"/>
    </xf>
    <xf numFmtId="41" fontId="41" fillId="5" borderId="1" xfId="4" applyFont="1" applyFill="1" applyBorder="1" applyAlignment="1" applyProtection="1">
      <alignment horizontal="center" wrapText="1"/>
    </xf>
    <xf numFmtId="41" fontId="41" fillId="5" borderId="1" xfId="4" applyFont="1" applyFill="1" applyBorder="1" applyAlignment="1" applyProtection="1">
      <alignment horizontal="center"/>
    </xf>
    <xf numFmtId="168" fontId="41" fillId="5" borderId="1" xfId="2" applyNumberFormat="1" applyFont="1" applyFill="1" applyBorder="1" applyAlignment="1">
      <alignment horizontal="center" wrapText="1"/>
    </xf>
    <xf numFmtId="165" fontId="36" fillId="0" borderId="1" xfId="1" applyNumberFormat="1" applyFont="1" applyFill="1" applyBorder="1" applyAlignment="1">
      <alignment horizontal="center"/>
    </xf>
    <xf numFmtId="169" fontId="36" fillId="0" borderId="1" xfId="6" applyNumberFormat="1" applyFont="1" applyFill="1" applyBorder="1" applyAlignment="1">
      <alignment horizontal="center" wrapText="1"/>
    </xf>
    <xf numFmtId="169" fontId="36" fillId="0" borderId="1" xfId="6" applyNumberFormat="1" applyFont="1" applyFill="1" applyBorder="1" applyAlignment="1">
      <alignment horizontal="center"/>
    </xf>
    <xf numFmtId="3" fontId="43" fillId="0" borderId="1" xfId="1" applyNumberFormat="1" applyFont="1" applyFill="1" applyBorder="1" applyAlignment="1" applyProtection="1">
      <alignment horizontal="center"/>
    </xf>
    <xf numFmtId="3" fontId="36" fillId="0" borderId="1" xfId="1" applyNumberFormat="1" applyFont="1" applyFill="1" applyBorder="1" applyAlignment="1" applyProtection="1">
      <alignment horizontal="center"/>
    </xf>
    <xf numFmtId="41" fontId="41" fillId="0" borderId="1" xfId="4" applyFont="1" applyFill="1" applyBorder="1" applyAlignment="1" applyProtection="1">
      <alignment horizontal="center"/>
    </xf>
    <xf numFmtId="41" fontId="36" fillId="23" borderId="1" xfId="4" applyFont="1" applyFill="1" applyBorder="1" applyAlignment="1">
      <alignment horizontal="right" vertical="center"/>
    </xf>
    <xf numFmtId="41" fontId="36" fillId="5" borderId="1" xfId="4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41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3" fillId="20" borderId="1" xfId="0" applyFont="1" applyFill="1" applyBorder="1" applyAlignment="1">
      <alignment horizontal="center" vertical="center"/>
    </xf>
  </cellXfs>
  <cellStyles count="8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  <cellStyle name="Pourcentage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734.427003935183" createdVersion="3" refreshedVersion="3" minRefreshableVersion="3" recordCount="384">
  <cacheSource type="worksheet">
    <worksheetSource ref="A11:O395" sheet="DATA MAI 2022"/>
  </cacheSource>
  <cacheFields count="15">
    <cacheField name="Date" numFmtId="171">
      <sharedItems containsSemiMixedTypes="0" containsNonDate="0" containsDate="1" containsString="0" minDate="2022-05-01T00:00:00" maxDate="2022-06-01T00:00:00"/>
    </cacheField>
    <cacheField name="Details" numFmtId="0">
      <sharedItems/>
    </cacheField>
    <cacheField name="Type de dépenses" numFmtId="0">
      <sharedItems containsBlank="1" count="19">
        <m/>
        <s v="Travel Subsistence"/>
        <s v="Telephone"/>
        <s v="Versement"/>
        <s v="Transfer fees"/>
        <s v="Services"/>
        <s v="Grant"/>
        <s v="Bank Fees"/>
        <s v="Jail Visits"/>
        <s v="Transport"/>
        <s v="Lawyer fees"/>
        <s v="Rent &amp; Utilities"/>
        <s v="Bonus"/>
        <s v="Court Fees"/>
        <s v="Personnel"/>
        <s v="Office Materials"/>
        <s v="Website"/>
        <s v="Trust building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5000" maxValue="11963948"/>
    </cacheField>
    <cacheField name="Spent" numFmtId="0">
      <sharedItems containsString="0" containsBlank="1" containsNumber="1" containsInteger="1" minValue="500" maxValue="2000000"/>
    </cacheField>
    <cacheField name="Balance" numFmtId="165">
      <sharedItems containsSemiMixedTypes="0" containsString="0" containsNumber="1" containsInteger="1" minValue="22036228" maxValue="34187913"/>
    </cacheField>
    <cacheField name="Name" numFmtId="0">
      <sharedItems containsBlank="1" count="15">
        <m/>
        <s v="Hurielle"/>
        <s v="Caisse"/>
        <s v="BCI"/>
        <s v="BCI-Sous Compte"/>
        <s v="Yan"/>
        <s v="i23c"/>
        <s v="Merveille"/>
        <s v="P29"/>
        <s v="Crépin"/>
        <s v="Godfré"/>
        <s v="Paule"/>
        <s v="Evariste"/>
        <s v="Tiffany"/>
        <s v="Grace"/>
      </sharedItems>
    </cacheField>
    <cacheField name="Receipt" numFmtId="0">
      <sharedItems containsBlank="1" containsMixedTypes="1" containsNumber="1" containsInteger="1" minValue="3643656" maxValue="3654485"/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 count="3">
        <m/>
        <s v="PALF"/>
        <s v="RALF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String="0" containsBlank="1" containsNumber="1" containsInteger="1" minValue="-110" maxValue="-1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d v="2022-05-01T00:00:00"/>
    <s v="Solde au 01/05/2022"/>
    <x v="0"/>
    <m/>
    <m/>
    <m/>
    <n v="22774658"/>
    <x v="0"/>
    <m/>
    <x v="0"/>
    <x v="0"/>
    <m/>
    <m/>
    <m/>
    <m/>
  </r>
  <r>
    <d v="2022-05-01T00:00:00"/>
    <s v="HURIELLE - CONGO Food Allowance du 01 Mai-04 Mai 2022 à OYO"/>
    <x v="1"/>
    <s v="Legal"/>
    <m/>
    <n v="30000"/>
    <n v="22744658"/>
    <x v="1"/>
    <s v="Décharge"/>
    <x v="1"/>
    <x v="1"/>
    <s v="CONGO"/>
    <m/>
    <m/>
    <m/>
  </r>
  <r>
    <d v="2022-05-02T00:00:00"/>
    <s v="Achat credit  teléphonique MTN/PALF/Prémière partie Mai 2022/Management"/>
    <x v="2"/>
    <s v="Management "/>
    <m/>
    <n v="48000"/>
    <n v="22696658"/>
    <x v="2"/>
    <s v="Oui"/>
    <x v="1"/>
    <x v="2"/>
    <s v="CONGO"/>
    <s v="RALFF-CO3320"/>
    <s v="4.6"/>
    <m/>
  </r>
  <r>
    <d v="2022-05-02T00:00:00"/>
    <s v="Achat credit  teléphonique MTN/PALF/Prémière partie Mai 2022/Legal"/>
    <x v="2"/>
    <s v="Legal"/>
    <m/>
    <n v="37000"/>
    <n v="22659658"/>
    <x v="2"/>
    <s v="Oui"/>
    <x v="1"/>
    <x v="2"/>
    <s v="CONGO"/>
    <s v="RALFF-CO3321"/>
    <s v="4.6"/>
    <m/>
  </r>
  <r>
    <d v="2022-05-02T00:00:00"/>
    <s v="Achat credit  teléphonique MTN/PALF/Prémière partie Mai 2022/Legal Volontaire"/>
    <x v="2"/>
    <s v="Legal"/>
    <m/>
    <n v="63000"/>
    <n v="22596658"/>
    <x v="2"/>
    <s v="Oui"/>
    <x v="1"/>
    <x v="1"/>
    <s v="CONGO"/>
    <m/>
    <m/>
    <m/>
  </r>
  <r>
    <d v="2022-05-02T00:00:00"/>
    <s v="Achat credit  teléphonique MTN/PALF/Prémière partie Mai 2022/Investigation"/>
    <x v="2"/>
    <s v="Investigation"/>
    <m/>
    <n v="20000"/>
    <n v="22576658"/>
    <x v="2"/>
    <s v="Oui"/>
    <x v="1"/>
    <x v="2"/>
    <s v="CONGO"/>
    <s v="RALFF-CO3322"/>
    <s v="4.6"/>
    <m/>
  </r>
  <r>
    <d v="2022-05-02T00:00:00"/>
    <s v="Achat credit  teléphonique MTN/PALF/Prémière partie Mai 2022/Media"/>
    <x v="2"/>
    <s v="Media"/>
    <m/>
    <n v="5000"/>
    <n v="22571658"/>
    <x v="2"/>
    <s v="Oui"/>
    <x v="1"/>
    <x v="2"/>
    <s v="CONGO"/>
    <s v="RALFF-CO3323"/>
    <s v="4.6"/>
    <m/>
  </r>
  <r>
    <d v="2022-05-02T00:00:00"/>
    <s v="Achat credit  teléphonique Airtel/PALF/Prémière partie Mai 2022/Management"/>
    <x v="2"/>
    <s v="Management "/>
    <m/>
    <n v="26000"/>
    <n v="22545658"/>
    <x v="2"/>
    <s v="Oui"/>
    <x v="1"/>
    <x v="2"/>
    <s v="CONGO"/>
    <s v="RALFF-CO3324"/>
    <s v="4.6"/>
    <m/>
  </r>
  <r>
    <d v="2022-05-02T00:00:00"/>
    <s v="Achat credit  teléphonique Airtel/PALF/Prémière partie Mai 2022/Legal"/>
    <x v="2"/>
    <s v="Legal"/>
    <m/>
    <n v="5000"/>
    <n v="22540658"/>
    <x v="2"/>
    <s v="Oui"/>
    <x v="1"/>
    <x v="2"/>
    <s v="CONGO"/>
    <s v="RALFF-CO3325"/>
    <s v="4.6"/>
    <m/>
  </r>
  <r>
    <d v="2022-05-02T00:00:00"/>
    <s v="Achat credit  teléphonique Airtel/PALF/Prémière partie Mai 2022/Investigation"/>
    <x v="2"/>
    <s v="Investigation"/>
    <m/>
    <n v="32000"/>
    <n v="22508658"/>
    <x v="2"/>
    <s v="Oui"/>
    <x v="1"/>
    <x v="2"/>
    <s v="CONGO"/>
    <s v="RALFF-CO3326"/>
    <s v="4.6"/>
    <m/>
  </r>
  <r>
    <d v="2022-05-02T00:00:00"/>
    <s v="Achat credit  teléphonique Airtel/PALF/Prémière partie Mai 2022/Media"/>
    <x v="2"/>
    <s v="Media"/>
    <m/>
    <n v="11000"/>
    <n v="22497658"/>
    <x v="2"/>
    <s v="Oui"/>
    <x v="1"/>
    <x v="2"/>
    <s v="CONGO"/>
    <s v="RALFF-CO3327"/>
    <s v="4.6"/>
    <m/>
  </r>
  <r>
    <d v="2022-05-02T00:00:00"/>
    <s v="Yan"/>
    <x v="3"/>
    <m/>
    <m/>
    <n v="15000"/>
    <n v="22482658"/>
    <x v="2"/>
    <m/>
    <x v="0"/>
    <x v="0"/>
    <m/>
    <m/>
    <m/>
    <m/>
  </r>
  <r>
    <d v="2022-05-02T00:00:00"/>
    <s v="Hurielle"/>
    <x v="3"/>
    <m/>
    <m/>
    <n v="181000"/>
    <n v="22301658"/>
    <x v="2"/>
    <m/>
    <x v="0"/>
    <x v="0"/>
    <m/>
    <m/>
    <m/>
    <m/>
  </r>
  <r>
    <d v="2022-05-02T00:00:00"/>
    <s v="Frais de transfert charden Farell à Hurielle"/>
    <x v="4"/>
    <s v="Office"/>
    <m/>
    <n v="5430"/>
    <n v="22296228"/>
    <x v="2"/>
    <s v="Oui"/>
    <x v="1"/>
    <x v="1"/>
    <s v="CONGO"/>
    <m/>
    <m/>
    <m/>
  </r>
  <r>
    <d v="2022-05-02T00:00:00"/>
    <s v="Reglement Facture Gardiennage Mois de Avril 2022/3654479"/>
    <x v="5"/>
    <s v="Office"/>
    <m/>
    <n v="260000"/>
    <n v="22036228"/>
    <x v="3"/>
    <n v="3654479"/>
    <x v="1"/>
    <x v="1"/>
    <s v="CONGO"/>
    <m/>
    <m/>
    <m/>
  </r>
  <r>
    <d v="2022-05-02T00:00:00"/>
    <s v="Fonds reçu de Wildcat"/>
    <x v="6"/>
    <m/>
    <n v="11963948"/>
    <m/>
    <n v="34000176"/>
    <x v="3"/>
    <s v="Releve"/>
    <x v="1"/>
    <x v="1"/>
    <s v="CONGO"/>
    <m/>
    <m/>
    <m/>
  </r>
  <r>
    <d v="2022-05-02T00:00:00"/>
    <s v="Frais bancaire mois Mai 22/Compte 56"/>
    <x v="7"/>
    <s v="Office"/>
    <m/>
    <n v="15218"/>
    <n v="33984958"/>
    <x v="4"/>
    <s v="Releve"/>
    <x v="2"/>
    <x v="2"/>
    <s v="CONGO"/>
    <s v="RALFF-CO3328"/>
    <s v="5.6"/>
    <m/>
  </r>
  <r>
    <d v="2022-05-02T00:00:00"/>
    <s v="Reçu Caisse/Yan"/>
    <x v="3"/>
    <m/>
    <n v="15000"/>
    <m/>
    <n v="33999958"/>
    <x v="5"/>
    <m/>
    <x v="0"/>
    <x v="0"/>
    <m/>
    <m/>
    <m/>
    <m/>
  </r>
  <r>
    <d v="2022-05-02T00:00:00"/>
    <s v="Recu caisse/Hurielle"/>
    <x v="3"/>
    <m/>
    <n v="181000"/>
    <m/>
    <n v="34180958"/>
    <x v="1"/>
    <m/>
    <x v="0"/>
    <x v="0"/>
    <m/>
    <m/>
    <m/>
    <m/>
  </r>
  <r>
    <d v="2022-05-02T00:00:00"/>
    <s v="Consultaion médical du prévenu Fabrice"/>
    <x v="8"/>
    <s v="Legal"/>
    <m/>
    <n v="20000"/>
    <n v="34160958"/>
    <x v="1"/>
    <s v="Oui"/>
    <x v="1"/>
    <x v="1"/>
    <s v="CONGO"/>
    <m/>
    <m/>
    <m/>
  </r>
  <r>
    <d v="2022-05-02T00:00:00"/>
    <s v="Examens médicaux du prévenu Fabrice"/>
    <x v="8"/>
    <s v="Legal"/>
    <m/>
    <n v="24500"/>
    <n v="34136458"/>
    <x v="1"/>
    <s v="Oui"/>
    <x v="1"/>
    <x v="1"/>
    <s v="CONGO"/>
    <m/>
    <m/>
    <m/>
  </r>
  <r>
    <d v="2022-05-02T00:00:00"/>
    <s v="I23C - CONGO Food allowance mission Dolisie du 2 au 4 mai 2022"/>
    <x v="1"/>
    <s v="Investigation"/>
    <m/>
    <n v="20000"/>
    <n v="34116458"/>
    <x v="6"/>
    <s v="Décharge"/>
    <x v="1"/>
    <x v="2"/>
    <s v="CONGO"/>
    <s v="RALFF-CO3329"/>
    <s v="1.3.2"/>
    <m/>
  </r>
  <r>
    <d v="2022-05-03T00:00:00"/>
    <s v="Merveille"/>
    <x v="3"/>
    <m/>
    <m/>
    <n v="15000"/>
    <n v="34101458"/>
    <x v="2"/>
    <m/>
    <x v="0"/>
    <x v="0"/>
    <m/>
    <m/>
    <m/>
    <m/>
  </r>
  <r>
    <d v="2022-05-03T00:00:00"/>
    <s v="Frais Bancaires /Compte 34"/>
    <x v="7"/>
    <s v="Office"/>
    <m/>
    <n v="23345"/>
    <n v="34078113"/>
    <x v="3"/>
    <s v="Releve"/>
    <x v="1"/>
    <x v="1"/>
    <s v="CONGO"/>
    <m/>
    <m/>
    <m/>
  </r>
  <r>
    <d v="2022-05-03T00:00:00"/>
    <s v="Reçu caisse/Merveille"/>
    <x v="3"/>
    <m/>
    <n v="15000"/>
    <m/>
    <n v="34093113"/>
    <x v="7"/>
    <m/>
    <x v="0"/>
    <x v="0"/>
    <m/>
    <m/>
    <m/>
    <m/>
  </r>
  <r>
    <d v="2022-05-03T00:00:00"/>
    <s v="Achat médicaments du Prévenu le 03/05/2022"/>
    <x v="8"/>
    <s v="Legal"/>
    <m/>
    <n v="33700"/>
    <n v="34059413"/>
    <x v="1"/>
    <s v="Oui"/>
    <x v="1"/>
    <x v="1"/>
    <s v="CONGO"/>
    <m/>
    <m/>
    <m/>
  </r>
  <r>
    <d v="2022-05-03T00:00:00"/>
    <s v="Achat Billet Océan du Nord Oyo-Brazzaville/Hurielle"/>
    <x v="9"/>
    <s v="Legal"/>
    <m/>
    <n v="7000"/>
    <n v="34052413"/>
    <x v="1"/>
    <s v="Oui"/>
    <x v="1"/>
    <x v="1"/>
    <s v="CONGO"/>
    <m/>
    <m/>
    <m/>
  </r>
  <r>
    <d v="2022-05-03T00:00:00"/>
    <s v="Achat billet brazzaville-gamboma/P29"/>
    <x v="9"/>
    <s v="Investigation"/>
    <m/>
    <n v="6000"/>
    <n v="34046413"/>
    <x v="8"/>
    <s v="Oui"/>
    <x v="1"/>
    <x v="2"/>
    <s v="CONGO"/>
    <s v="RALFF-CO3330"/>
    <s v="2.2"/>
    <m/>
  </r>
  <r>
    <d v="2022-05-03T00:00:00"/>
    <s v="P29 - CONGO Food allowance mission du 03 au 07-05-2022"/>
    <x v="1"/>
    <s v="Investigation"/>
    <m/>
    <n v="40000"/>
    <n v="34006413"/>
    <x v="8"/>
    <s v="Décharge"/>
    <x v="2"/>
    <x v="2"/>
    <s v="CONGO"/>
    <s v="RALFF-CO3331"/>
    <s v="1.3.2"/>
    <m/>
  </r>
  <r>
    <d v="2022-05-04T00:00:00"/>
    <s v="Paiement Honoraire Me LOCKO/Mois d'Avril 2022"/>
    <x v="10"/>
    <s v="Legal"/>
    <m/>
    <n v="150000"/>
    <n v="33856413"/>
    <x v="4"/>
    <n v="3643658"/>
    <x v="2"/>
    <x v="2"/>
    <s v="CONGO"/>
    <s v="RALFF-CO3332"/>
    <s v="5.2.1"/>
    <m/>
  </r>
  <r>
    <d v="2022-05-04T00:00:00"/>
    <s v="Reglement loyer mois d'Avril 2022/Bureau PALF"/>
    <x v="11"/>
    <s v="Office"/>
    <m/>
    <n v="500000"/>
    <n v="33356413"/>
    <x v="4"/>
    <n v="3643656"/>
    <x v="2"/>
    <x v="2"/>
    <s v="CONGO"/>
    <s v="RALFF-CO3333"/>
    <s v="4.2"/>
    <m/>
  </r>
  <r>
    <d v="2022-05-04T00:00:00"/>
    <s v="HURIELLE - CONGO Frais d'Hotel du 01 Mai au 04 Mai 2022 à OYO"/>
    <x v="1"/>
    <s v="Legal"/>
    <m/>
    <n v="45000"/>
    <n v="33311413"/>
    <x v="1"/>
    <s v="Oui"/>
    <x v="1"/>
    <x v="1"/>
    <s v="CONGO"/>
    <m/>
    <m/>
    <m/>
  </r>
  <r>
    <d v="2022-05-04T00:00:00"/>
    <s v="I23C - CONGO Paiement 2 nuitées du 2 au 4 mai 2022 à Lissanga"/>
    <x v="1"/>
    <s v="Investigation"/>
    <m/>
    <n v="30000"/>
    <n v="33281413"/>
    <x v="6"/>
    <s v="Oui"/>
    <x v="1"/>
    <x v="2"/>
    <s v="CONGO"/>
    <s v="RALFF-CO3334"/>
    <s v="1.3.2"/>
    <m/>
  </r>
  <r>
    <d v="2022-05-05T00:00:00"/>
    <s v="I23C"/>
    <x v="3"/>
    <m/>
    <m/>
    <n v="80000"/>
    <n v="33201413"/>
    <x v="2"/>
    <m/>
    <x v="0"/>
    <x v="0"/>
    <m/>
    <m/>
    <m/>
    <m/>
  </r>
  <r>
    <d v="2022-05-05T00:00:00"/>
    <s v="Achat 03 Bobonnes d'eau minerale"/>
    <x v="11"/>
    <s v="Office"/>
    <m/>
    <n v="13500"/>
    <n v="33187913"/>
    <x v="2"/>
    <s v="Oui"/>
    <x v="1"/>
    <x v="2"/>
    <s v="CONGO"/>
    <s v="RALFF-CO3335"/>
    <s v="4.3"/>
    <m/>
  </r>
  <r>
    <d v="2022-05-05T00:00:00"/>
    <s v="BCI-3654481/34"/>
    <x v="3"/>
    <m/>
    <n v="1000000"/>
    <m/>
    <n v="34187913"/>
    <x v="2"/>
    <m/>
    <x v="0"/>
    <x v="0"/>
    <m/>
    <m/>
    <m/>
    <m/>
  </r>
  <r>
    <d v="2022-05-05T00:00:00"/>
    <s v="Crepin"/>
    <x v="3"/>
    <m/>
    <m/>
    <n v="88000"/>
    <n v="34099913"/>
    <x v="2"/>
    <m/>
    <x v="0"/>
    <x v="0"/>
    <m/>
    <m/>
    <m/>
    <m/>
  </r>
  <r>
    <d v="2022-05-05T00:00:00"/>
    <s v="Frais de transfert charden Farell à Crepin"/>
    <x v="4"/>
    <s v="Office"/>
    <m/>
    <n v="2640"/>
    <n v="34097273"/>
    <x v="2"/>
    <s v="Oui"/>
    <x v="2"/>
    <x v="2"/>
    <s v="CONGO"/>
    <s v="RALFF-CO3336"/>
    <s v="5.6"/>
    <m/>
  </r>
  <r>
    <d v="2022-05-05T00:00:00"/>
    <s v="Retrait especes/appro caisse/bord n°3654481"/>
    <x v="3"/>
    <m/>
    <m/>
    <n v="1000000"/>
    <n v="33097273"/>
    <x v="3"/>
    <m/>
    <x v="0"/>
    <x v="0"/>
    <m/>
    <m/>
    <m/>
    <m/>
  </r>
  <r>
    <d v="2022-05-05T00:00:00"/>
    <s v="Billet Brazzaville-Oyo/Crepin"/>
    <x v="9"/>
    <s v="Management"/>
    <m/>
    <n v="7000"/>
    <n v="33090273"/>
    <x v="9"/>
    <s v="Oui"/>
    <x v="1"/>
    <x v="2"/>
    <s v="CONGO"/>
    <s v="RALFF-CO3337"/>
    <s v="2.2"/>
    <m/>
  </r>
  <r>
    <d v="2022-05-05T00:00:00"/>
    <s v="Reçu de caisse/Crépin"/>
    <x v="3"/>
    <m/>
    <n v="88000"/>
    <m/>
    <n v="33178273"/>
    <x v="9"/>
    <m/>
    <x v="0"/>
    <x v="0"/>
    <m/>
    <m/>
    <m/>
    <m/>
  </r>
  <r>
    <d v="2022-05-05T00:00:00"/>
    <s v="Réçu caisse/I23C"/>
    <x v="3"/>
    <m/>
    <n v="80000"/>
    <m/>
    <n v="33258273"/>
    <x v="6"/>
    <m/>
    <x v="0"/>
    <x v="0"/>
    <m/>
    <m/>
    <m/>
    <m/>
  </r>
  <r>
    <d v="2022-05-05T00:00:00"/>
    <s v="Taxi Bureau-Kintele (départ pour Oyo) /I23C"/>
    <x v="9"/>
    <s v="Investigation"/>
    <m/>
    <n v="4000"/>
    <n v="33254273"/>
    <x v="6"/>
    <s v="Oui"/>
    <x v="1"/>
    <x v="2"/>
    <s v="CONGO"/>
    <s v="RALFF-CO3338"/>
    <s v="2.2"/>
    <m/>
  </r>
  <r>
    <d v="2022-05-05T00:00:00"/>
    <s v="Taxi Brazzaville-Oyo /I23C"/>
    <x v="9"/>
    <s v="Investigation"/>
    <m/>
    <n v="10000"/>
    <n v="33244273"/>
    <x v="6"/>
    <s v="Oui"/>
    <x v="1"/>
    <x v="2"/>
    <s v="CONGO"/>
    <s v="RALFF-CO3339"/>
    <s v="2.2"/>
    <m/>
  </r>
  <r>
    <d v="2022-05-05T00:00:00"/>
    <s v="I23C - CONGO Food allowance mission Oyo du 5 au 7 mai 2022"/>
    <x v="1"/>
    <s v="Investigation"/>
    <m/>
    <n v="20000"/>
    <n v="33224273"/>
    <x v="6"/>
    <s v="Décharge"/>
    <x v="1"/>
    <x v="2"/>
    <s v="CONGO"/>
    <s v="RALFF-CO3340"/>
    <s v="1.3.2"/>
    <m/>
  </r>
  <r>
    <d v="2022-05-05T00:00:00"/>
    <s v="CREPIN - CONGO Food-Allowance du 05 au 07/05/2022"/>
    <x v="1"/>
    <s v="Management"/>
    <m/>
    <n v="20000"/>
    <n v="33204273"/>
    <x v="9"/>
    <s v="Décharge"/>
    <x v="2"/>
    <x v="2"/>
    <s v="CONGO"/>
    <s v="RALFF-CO3341"/>
    <s v="1.3.2"/>
    <m/>
  </r>
  <r>
    <d v="2022-05-06T00:00:00"/>
    <s v="Godfre"/>
    <x v="3"/>
    <m/>
    <n v="70000"/>
    <m/>
    <n v="33274273"/>
    <x v="2"/>
    <m/>
    <x v="0"/>
    <x v="0"/>
    <m/>
    <m/>
    <m/>
    <m/>
  </r>
  <r>
    <d v="2022-05-06T00:00:00"/>
    <s v="Reglement facture E²C electricité/ période Mars - Avril 2022/bureau PALF"/>
    <x v="11"/>
    <s v="Office"/>
    <m/>
    <n v="70082"/>
    <n v="33204191"/>
    <x v="2"/>
    <s v="Oui"/>
    <x v="2"/>
    <x v="2"/>
    <s v="CONGO"/>
    <s v="RALFF-CO3342"/>
    <s v="4.4"/>
    <m/>
  </r>
  <r>
    <d v="2022-05-06T00:00:00"/>
    <s v="Frais de mission maitre Anicet MOUSSAHOU-GOMA à pointe-noire du 09 au 11 Mai 2022"/>
    <x v="10"/>
    <s v="Legal"/>
    <m/>
    <n v="86000"/>
    <n v="33118191"/>
    <x v="2"/>
    <s v="Oui"/>
    <x v="2"/>
    <x v="2"/>
    <s v="CONGO"/>
    <s v="RALFF-CO3343"/>
    <s v="5.2.2"/>
    <m/>
  </r>
  <r>
    <d v="2022-05-06T00:00:00"/>
    <s v="Godfre"/>
    <x v="3"/>
    <m/>
    <m/>
    <n v="92000"/>
    <n v="33026191"/>
    <x v="2"/>
    <m/>
    <x v="0"/>
    <x v="0"/>
    <m/>
    <m/>
    <m/>
    <m/>
  </r>
  <r>
    <d v="2022-05-06T00:00:00"/>
    <s v="Yan"/>
    <x v="3"/>
    <m/>
    <m/>
    <n v="15000"/>
    <n v="33011191"/>
    <x v="2"/>
    <m/>
    <x v="0"/>
    <x v="0"/>
    <m/>
    <m/>
    <m/>
    <m/>
  </r>
  <r>
    <d v="2022-05-06T00:00:00"/>
    <s v="Paule"/>
    <x v="3"/>
    <m/>
    <m/>
    <n v="15000"/>
    <n v="32996191"/>
    <x v="2"/>
    <m/>
    <x v="0"/>
    <x v="0"/>
    <m/>
    <m/>
    <m/>
    <m/>
  </r>
  <r>
    <d v="2022-05-06T00:00:00"/>
    <s v="Retour Caisse/Godfre"/>
    <x v="3"/>
    <m/>
    <m/>
    <n v="70000"/>
    <n v="32926191"/>
    <x v="10"/>
    <m/>
    <x v="0"/>
    <x v="0"/>
    <m/>
    <m/>
    <m/>
    <m/>
  </r>
  <r>
    <d v="2022-05-06T00:00:00"/>
    <s v="Retour Caisse/Godfre"/>
    <x v="3"/>
    <m/>
    <n v="92000"/>
    <m/>
    <n v="33018191"/>
    <x v="10"/>
    <m/>
    <x v="0"/>
    <x v="0"/>
    <m/>
    <m/>
    <m/>
    <m/>
  </r>
  <r>
    <d v="2022-05-06T00:00:00"/>
    <s v="Reçu caisse/Paule"/>
    <x v="3"/>
    <m/>
    <n v="15000"/>
    <m/>
    <n v="33033191"/>
    <x v="11"/>
    <m/>
    <x v="0"/>
    <x v="0"/>
    <m/>
    <m/>
    <m/>
    <m/>
  </r>
  <r>
    <d v="2022-05-06T00:00:00"/>
    <s v="Reçu Caisse/Yan"/>
    <x v="3"/>
    <m/>
    <n v="15000"/>
    <m/>
    <n v="33048191"/>
    <x v="5"/>
    <m/>
    <x v="0"/>
    <x v="0"/>
    <m/>
    <m/>
    <m/>
    <m/>
  </r>
  <r>
    <d v="2022-05-07T00:00:00"/>
    <s v="Achat billet Oyo-Brazzaville/I23C"/>
    <x v="9"/>
    <s v="Investigation"/>
    <m/>
    <n v="7000"/>
    <n v="33041191"/>
    <x v="6"/>
    <s v="Oui"/>
    <x v="1"/>
    <x v="2"/>
    <s v="CONGO"/>
    <s v="RALFF-CO3344"/>
    <s v="2.2"/>
    <m/>
  </r>
  <r>
    <d v="2022-05-07T00:00:00"/>
    <s v="Billet Oyo-Brazzaville/Crepin"/>
    <x v="9"/>
    <s v="Management"/>
    <m/>
    <n v="7000"/>
    <n v="33034191"/>
    <x v="9"/>
    <s v="Oui"/>
    <x v="1"/>
    <x v="2"/>
    <s v="CONGO"/>
    <s v="RALFF-CO3345"/>
    <s v="2.2"/>
    <m/>
  </r>
  <r>
    <d v="2022-05-07T00:00:00"/>
    <s v="CREPIN - CONGO Hotel 02 Nuitées du 05 au 07/05/2022 à Oyo"/>
    <x v="1"/>
    <s v="Management"/>
    <m/>
    <n v="30000"/>
    <n v="33004191"/>
    <x v="9"/>
    <s v="Oui"/>
    <x v="2"/>
    <x v="2"/>
    <s v="CONGO"/>
    <s v="RALFF-CO3346"/>
    <s v="1.3.2"/>
    <m/>
  </r>
  <r>
    <d v="2022-05-07T00:00:00"/>
    <s v="P29 - CONGO Paiement 4 nuitées du 03 au 07-05-2022 à gamboma"/>
    <x v="1"/>
    <s v="Investigation"/>
    <m/>
    <n v="60000"/>
    <n v="32944191"/>
    <x v="8"/>
    <s v="Oui"/>
    <x v="2"/>
    <x v="2"/>
    <s v="CONGO"/>
    <s v="RALFF-CO3347"/>
    <s v="1.3.2"/>
    <m/>
  </r>
  <r>
    <d v="2022-05-07T00:00:00"/>
    <s v="Achat billet gamboma-brazzaville/P29"/>
    <x v="9"/>
    <s v="Investigation"/>
    <m/>
    <n v="6000"/>
    <n v="32938191"/>
    <x v="8"/>
    <s v="Oui"/>
    <x v="1"/>
    <x v="2"/>
    <s v="CONGO"/>
    <s v="RALFF-CO3348"/>
    <s v="2.2"/>
    <m/>
  </r>
  <r>
    <d v="2022-05-07T00:00:00"/>
    <s v="I23C - CONGO Paiement 2 nuitées du 5 au 7 mai à Oyo"/>
    <x v="1"/>
    <s v="Investigation"/>
    <m/>
    <n v="30000"/>
    <n v="32908191"/>
    <x v="6"/>
    <s v="Oui"/>
    <x v="2"/>
    <x v="2"/>
    <s v="CONGO"/>
    <s v="RALFF-CO3349"/>
    <s v="1.3.2"/>
    <m/>
  </r>
  <r>
    <d v="2022-05-08T00:00:00"/>
    <s v="Acchat billet aller/Brazzaville-PNR/Godfre"/>
    <x v="9"/>
    <s v="Legal"/>
    <m/>
    <n v="13000"/>
    <n v="32895191"/>
    <x v="10"/>
    <s v="Oui"/>
    <x v="1"/>
    <x v="2"/>
    <s v="CONGO"/>
    <s v="RALFF-CO3350"/>
    <s v="2.2"/>
    <m/>
  </r>
  <r>
    <d v="2022-05-09T00:00:00"/>
    <s v="GODFRE - CONGO Food Allowance du 09 au 11/05/2022"/>
    <x v="1"/>
    <s v="Legal"/>
    <m/>
    <n v="20000"/>
    <n v="32875191"/>
    <x v="10"/>
    <s v="Décharge"/>
    <x v="2"/>
    <x v="2"/>
    <s v="CONGO"/>
    <s v="RALFF-CO3351"/>
    <s v="1.3.2"/>
    <m/>
  </r>
  <r>
    <d v="2022-05-10T00:00:00"/>
    <s v="Evariste"/>
    <x v="3"/>
    <m/>
    <m/>
    <n v="15000"/>
    <n v="32860191"/>
    <x v="2"/>
    <m/>
    <x v="0"/>
    <x v="0"/>
    <m/>
    <m/>
    <m/>
    <m/>
  </r>
  <r>
    <d v="2022-05-10T00:00:00"/>
    <s v="Bonus média portant sur annonce du verdict du 12/05/22 TGI d'Oyo"/>
    <x v="12"/>
    <s v="Media"/>
    <m/>
    <n v="29000"/>
    <n v="32831191"/>
    <x v="2"/>
    <s v="Décharge"/>
    <x v="1"/>
    <x v="1"/>
    <s v="CONGO"/>
    <m/>
    <m/>
    <m/>
  </r>
  <r>
    <d v="2022-05-10T00:00:00"/>
    <s v="Crepin"/>
    <x v="3"/>
    <m/>
    <m/>
    <n v="15000"/>
    <n v="32816191"/>
    <x v="2"/>
    <m/>
    <x v="0"/>
    <x v="0"/>
    <m/>
    <m/>
    <m/>
    <m/>
  </r>
  <r>
    <d v="2022-05-10T00:00:00"/>
    <s v="Hurielle"/>
    <x v="3"/>
    <m/>
    <m/>
    <n v="91000"/>
    <n v="32725191"/>
    <x v="2"/>
    <m/>
    <x v="0"/>
    <x v="0"/>
    <m/>
    <m/>
    <m/>
    <m/>
  </r>
  <r>
    <d v="2022-05-10T00:00:00"/>
    <s v="Frais de mission Me Marie Hélène à oyo du 11 au 13 Mai 2022"/>
    <x v="10"/>
    <s v="Legal"/>
    <m/>
    <n v="70000"/>
    <n v="32655191"/>
    <x v="2"/>
    <s v="Oui"/>
    <x v="2"/>
    <x v="2"/>
    <s v="CONGO"/>
    <s v="RALFF-CO3352"/>
    <s v="5.2.2"/>
    <m/>
  </r>
  <r>
    <d v="2022-05-10T00:00:00"/>
    <s v="Achat crédit /Recherche appartement OP/I23C"/>
    <x v="2"/>
    <s v="Office"/>
    <m/>
    <n v="5000"/>
    <n v="32650191"/>
    <x v="2"/>
    <s v="Oui"/>
    <x v="1"/>
    <x v="1"/>
    <s v="CONGO"/>
    <m/>
    <m/>
    <m/>
  </r>
  <r>
    <d v="2022-05-10T00:00:00"/>
    <s v="Reçu de caisse/Crépin"/>
    <x v="3"/>
    <m/>
    <n v="15000"/>
    <m/>
    <n v="32665191"/>
    <x v="9"/>
    <m/>
    <x v="0"/>
    <x v="0"/>
    <m/>
    <m/>
    <m/>
    <m/>
  </r>
  <r>
    <d v="2022-05-10T00:00:00"/>
    <s v="Frais de visite des appartements à Diata"/>
    <x v="9"/>
    <s v="Management"/>
    <m/>
    <n v="5000"/>
    <n v="32660191"/>
    <x v="9"/>
    <s v="Oui"/>
    <x v="1"/>
    <x v="1"/>
    <s v="CONGO"/>
    <m/>
    <m/>
    <m/>
  </r>
  <r>
    <d v="2022-05-10T00:00:00"/>
    <s v="Frais demarcheur pour visite des appartements/Diata,château d'eau,la poudrière"/>
    <x v="9"/>
    <s v="Operation"/>
    <m/>
    <n v="5000"/>
    <n v="32655191"/>
    <x v="7"/>
    <s v="Oui"/>
    <x v="1"/>
    <x v="1"/>
    <s v="CONGO"/>
    <m/>
    <m/>
    <m/>
  </r>
  <r>
    <d v="2022-05-10T00:00:00"/>
    <s v="Recu caisse/Hurielle"/>
    <x v="3"/>
    <m/>
    <n v="91000"/>
    <m/>
    <n v="32746191"/>
    <x v="1"/>
    <m/>
    <x v="0"/>
    <x v="0"/>
    <m/>
    <m/>
    <m/>
    <m/>
  </r>
  <r>
    <d v="2022-05-10T00:00:00"/>
    <s v="Achat Billet de voyage Brazzaville-Oyo/Hureille"/>
    <x v="9"/>
    <s v="Legal"/>
    <m/>
    <n v="7000"/>
    <n v="32739191"/>
    <x v="1"/>
    <s v="Oui"/>
    <x v="1"/>
    <x v="1"/>
    <s v="CONGO"/>
    <m/>
    <m/>
    <m/>
  </r>
  <r>
    <d v="2022-05-10T00:00:00"/>
    <s v="Reçu de la caisse/Evariste"/>
    <x v="3"/>
    <m/>
    <n v="15000"/>
    <m/>
    <n v="32754191"/>
    <x v="12"/>
    <m/>
    <x v="0"/>
    <x v="0"/>
    <m/>
    <m/>
    <m/>
    <m/>
  </r>
  <r>
    <d v="2022-05-11T00:00:00"/>
    <s v="Evariste"/>
    <x v="3"/>
    <m/>
    <m/>
    <n v="15000"/>
    <n v="32739191"/>
    <x v="2"/>
    <m/>
    <x v="0"/>
    <x v="0"/>
    <m/>
    <m/>
    <m/>
    <m/>
  </r>
  <r>
    <d v="2022-05-11T00:00:00"/>
    <s v="Yan"/>
    <x v="3"/>
    <m/>
    <m/>
    <n v="82000"/>
    <n v="32657191"/>
    <x v="2"/>
    <m/>
    <x v="0"/>
    <x v="0"/>
    <m/>
    <m/>
    <m/>
    <m/>
  </r>
  <r>
    <d v="2022-05-11T00:00:00"/>
    <s v="I23C"/>
    <x v="3"/>
    <m/>
    <m/>
    <n v="30000"/>
    <n v="32627191"/>
    <x v="2"/>
    <m/>
    <x v="0"/>
    <x v="0"/>
    <m/>
    <m/>
    <m/>
    <m/>
  </r>
  <r>
    <d v="2022-05-11T00:00:00"/>
    <s v="Merveille"/>
    <x v="3"/>
    <m/>
    <m/>
    <n v="20000"/>
    <n v="32607191"/>
    <x v="2"/>
    <m/>
    <x v="0"/>
    <x v="0"/>
    <m/>
    <m/>
    <m/>
    <m/>
  </r>
  <r>
    <d v="2022-05-11T00:00:00"/>
    <s v="Paule"/>
    <x v="3"/>
    <m/>
    <m/>
    <n v="5000"/>
    <n v="32602191"/>
    <x v="2"/>
    <m/>
    <x v="0"/>
    <x v="0"/>
    <m/>
    <m/>
    <m/>
    <m/>
  </r>
  <r>
    <d v="2022-05-11T00:00:00"/>
    <s v="Godfre"/>
    <x v="3"/>
    <m/>
    <n v="50000"/>
    <m/>
    <n v="32652191"/>
    <x v="2"/>
    <m/>
    <x v="0"/>
    <x v="0"/>
    <m/>
    <m/>
    <m/>
    <m/>
  </r>
  <r>
    <d v="2022-05-11T00:00:00"/>
    <s v="Raffraichissement pendant l'Operation "/>
    <x v="1"/>
    <s v="Operation"/>
    <m/>
    <n v="15750"/>
    <n v="32636441"/>
    <x v="2"/>
    <s v="Oui"/>
    <x v="1"/>
    <x v="1"/>
    <s v="CONGO"/>
    <m/>
    <m/>
    <m/>
  </r>
  <r>
    <d v="2022-05-11T00:00:00"/>
    <s v="Yan"/>
    <x v="3"/>
    <m/>
    <m/>
    <n v="70000"/>
    <n v="32566441"/>
    <x v="2"/>
    <m/>
    <x v="0"/>
    <x v="0"/>
    <m/>
    <m/>
    <m/>
    <m/>
  </r>
  <r>
    <d v="2022-05-11T00:00:00"/>
    <s v="P29"/>
    <x v="3"/>
    <m/>
    <m/>
    <n v="10000"/>
    <n v="32556441"/>
    <x v="2"/>
    <m/>
    <x v="0"/>
    <x v="0"/>
    <m/>
    <m/>
    <m/>
    <m/>
  </r>
  <r>
    <d v="2022-05-11T00:00:00"/>
    <s v="Frais de visite des appartements au plateau et à Batignole"/>
    <x v="9"/>
    <s v="Management"/>
    <m/>
    <n v="5000"/>
    <n v="32551441"/>
    <x v="9"/>
    <s v="Oui"/>
    <x v="1"/>
    <x v="1"/>
    <s v="CONGO"/>
    <m/>
    <m/>
    <m/>
  </r>
  <r>
    <d v="2022-05-11T00:00:00"/>
    <s v="Frais demarcheur pour visite des appartements/Bacongo ,poto poto , Moungali Diata"/>
    <x v="9"/>
    <s v="Operation"/>
    <m/>
    <n v="5000"/>
    <n v="32546441"/>
    <x v="7"/>
    <s v="Oui"/>
    <x v="1"/>
    <x v="1"/>
    <s v="CONGO"/>
    <m/>
    <m/>
    <m/>
  </r>
  <r>
    <d v="2022-05-11T00:00:00"/>
    <s v="Reçu caisse/Merveille"/>
    <x v="3"/>
    <m/>
    <n v="20000"/>
    <m/>
    <n v="32566441"/>
    <x v="7"/>
    <m/>
    <x v="0"/>
    <x v="0"/>
    <m/>
    <m/>
    <m/>
    <m/>
  </r>
  <r>
    <d v="2022-05-11T00:00:00"/>
    <s v="Taxi:Achat billet retour/PNR-Brazzaville./Godfre"/>
    <x v="9"/>
    <s v="Legal"/>
    <m/>
    <n v="13000"/>
    <n v="32553441"/>
    <x v="10"/>
    <s v="Oui"/>
    <x v="1"/>
    <x v="2"/>
    <s v="CONGO"/>
    <s v="RALFF-CO3353"/>
    <s v="2.2"/>
    <m/>
  </r>
  <r>
    <d v="2022-05-11T00:00:00"/>
    <s v="GODFRE - CONGO Frais d'hotel du 09 au 11/05/2022"/>
    <x v="1"/>
    <s v="Legal"/>
    <m/>
    <n v="30000"/>
    <n v="32523441"/>
    <x v="10"/>
    <s v="Oui"/>
    <x v="2"/>
    <x v="2"/>
    <s v="CONGO"/>
    <s v="RALFF-CO3354"/>
    <s v="1.3.2"/>
    <m/>
  </r>
  <r>
    <d v="2022-05-11T00:00:00"/>
    <s v="Retour Caisse/Godfre"/>
    <x v="3"/>
    <m/>
    <m/>
    <n v="50000"/>
    <n v="32473441"/>
    <x v="10"/>
    <m/>
    <x v="0"/>
    <x v="0"/>
    <m/>
    <m/>
    <m/>
    <m/>
  </r>
  <r>
    <d v="2022-05-11T00:00:00"/>
    <s v="Reçu caisse/Paule"/>
    <x v="3"/>
    <m/>
    <n v="5000"/>
    <m/>
    <n v="32478441"/>
    <x v="11"/>
    <m/>
    <x v="0"/>
    <x v="0"/>
    <m/>
    <m/>
    <m/>
    <m/>
  </r>
  <r>
    <d v="2022-05-11T00:00:00"/>
    <s v="Reçu Caisse/Yan"/>
    <x v="3"/>
    <m/>
    <n v="82000"/>
    <m/>
    <n v="32560441"/>
    <x v="5"/>
    <m/>
    <x v="0"/>
    <x v="0"/>
    <m/>
    <m/>
    <m/>
    <m/>
  </r>
  <r>
    <d v="2022-05-11T00:00:00"/>
    <s v="Reçu Caisse/Yan"/>
    <x v="3"/>
    <m/>
    <n v="70000"/>
    <m/>
    <n v="32630441"/>
    <x v="5"/>
    <m/>
    <x v="0"/>
    <x v="0"/>
    <m/>
    <m/>
    <m/>
    <m/>
  </r>
  <r>
    <d v="2022-05-11T00:00:00"/>
    <s v="Achat billet brazzaville - Dolisie /Yan"/>
    <x v="9"/>
    <s v="Legal"/>
    <m/>
    <n v="10000"/>
    <n v="32620441"/>
    <x v="5"/>
    <s v="Oui"/>
    <x v="1"/>
    <x v="1"/>
    <s v="CONGO"/>
    <m/>
    <m/>
    <m/>
  </r>
  <r>
    <d v="2022-05-11T00:00:00"/>
    <s v="HURIELLE - CONGO Food Allowance du 11 au 13 Mai 2022"/>
    <x v="1"/>
    <s v="Legal"/>
    <m/>
    <n v="20000"/>
    <n v="32600441"/>
    <x v="1"/>
    <s v="Décharge"/>
    <x v="1"/>
    <x v="1"/>
    <s v="CONGO"/>
    <m/>
    <m/>
    <m/>
  </r>
  <r>
    <d v="2022-05-11T00:00:00"/>
    <s v="Frais des visites des appartements"/>
    <x v="9"/>
    <s v="Operation"/>
    <m/>
    <n v="5000"/>
    <n v="32595441"/>
    <x v="12"/>
    <s v="Oui"/>
    <x v="1"/>
    <x v="1"/>
    <s v="CONGO"/>
    <m/>
    <m/>
    <m/>
  </r>
  <r>
    <d v="2022-05-11T00:00:00"/>
    <s v="Reçu de la caisse/Evariste"/>
    <x v="3"/>
    <m/>
    <n v="15000"/>
    <m/>
    <n v="32610441"/>
    <x v="12"/>
    <m/>
    <x v="0"/>
    <x v="0"/>
    <m/>
    <m/>
    <m/>
    <m/>
  </r>
  <r>
    <d v="2022-05-11T00:00:00"/>
    <s v="Recu de caisse/P29"/>
    <x v="3"/>
    <m/>
    <n v="10000"/>
    <m/>
    <n v="32620441"/>
    <x v="8"/>
    <m/>
    <x v="0"/>
    <x v="0"/>
    <m/>
    <m/>
    <m/>
    <m/>
  </r>
  <r>
    <d v="2022-05-11T00:00:00"/>
    <s v="Paiement frais de visite démarcheuur (cfr op Brazza)"/>
    <x v="9"/>
    <s v="Investigation"/>
    <m/>
    <n v="5000"/>
    <n v="32615441"/>
    <x v="6"/>
    <s v="Oui"/>
    <x v="1"/>
    <x v="1"/>
    <s v="CONGO"/>
    <m/>
    <m/>
    <m/>
  </r>
  <r>
    <d v="2022-05-11T00:00:00"/>
    <s v="Reçu caisse/I23C"/>
    <x v="3"/>
    <m/>
    <n v="30000"/>
    <m/>
    <n v="32645441"/>
    <x v="6"/>
    <m/>
    <x v="0"/>
    <x v="0"/>
    <m/>
    <m/>
    <m/>
    <m/>
  </r>
  <r>
    <d v="2022-05-11T00:00:00"/>
    <s v="Paiement frais de visite démarcheuur (cfr op Brazza)"/>
    <x v="9"/>
    <s v="Investigation"/>
    <m/>
    <n v="5000"/>
    <n v="32640441"/>
    <x v="6"/>
    <s v="Oui"/>
    <x v="1"/>
    <x v="1"/>
    <s v="CONGO"/>
    <m/>
    <m/>
    <m/>
  </r>
  <r>
    <d v="2022-05-12T00:00:00"/>
    <s v="Crepin"/>
    <x v="3"/>
    <m/>
    <m/>
    <n v="10000"/>
    <n v="32630441"/>
    <x v="2"/>
    <m/>
    <x v="0"/>
    <x v="0"/>
    <m/>
    <m/>
    <m/>
    <m/>
  </r>
  <r>
    <d v="2022-05-12T00:00:00"/>
    <s v="Paule"/>
    <x v="3"/>
    <m/>
    <m/>
    <n v="15000"/>
    <n v="32615441"/>
    <x v="2"/>
    <m/>
    <x v="0"/>
    <x v="0"/>
    <m/>
    <m/>
    <m/>
    <m/>
  </r>
  <r>
    <d v="2022-05-12T00:00:00"/>
    <s v="I23C"/>
    <x v="3"/>
    <m/>
    <m/>
    <n v="15000"/>
    <n v="32600441"/>
    <x v="2"/>
    <m/>
    <x v="0"/>
    <x v="0"/>
    <m/>
    <m/>
    <m/>
    <m/>
  </r>
  <r>
    <d v="2022-05-12T00:00:00"/>
    <s v="Paule"/>
    <x v="3"/>
    <m/>
    <m/>
    <n v="15000"/>
    <n v="32585441"/>
    <x v="2"/>
    <m/>
    <x v="0"/>
    <x v="0"/>
    <m/>
    <m/>
    <m/>
    <m/>
  </r>
  <r>
    <d v="2022-05-12T00:00:00"/>
    <s v="I23C"/>
    <x v="3"/>
    <m/>
    <m/>
    <n v="138000"/>
    <n v="32447441"/>
    <x v="2"/>
    <m/>
    <x v="0"/>
    <x v="0"/>
    <m/>
    <m/>
    <m/>
    <m/>
  </r>
  <r>
    <d v="2022-05-12T00:00:00"/>
    <s v="P29"/>
    <x v="3"/>
    <m/>
    <m/>
    <n v="25000"/>
    <n v="32422441"/>
    <x v="2"/>
    <m/>
    <x v="0"/>
    <x v="0"/>
    <m/>
    <m/>
    <m/>
    <m/>
  </r>
  <r>
    <d v="2022-05-12T00:00:00"/>
    <s v="Reçu de caisse/Crépin"/>
    <x v="3"/>
    <m/>
    <n v="10000"/>
    <m/>
    <n v="32432441"/>
    <x v="9"/>
    <m/>
    <x v="0"/>
    <x v="0"/>
    <m/>
    <m/>
    <m/>
    <m/>
  </r>
  <r>
    <d v="2022-05-12T00:00:00"/>
    <s v="Frais de visite des appartements à la glacière et Bacongo"/>
    <x v="9"/>
    <s v="Management"/>
    <m/>
    <n v="5000"/>
    <n v="32427441"/>
    <x v="9"/>
    <s v="Oui"/>
    <x v="1"/>
    <x v="1"/>
    <s v="CONGO"/>
    <m/>
    <m/>
    <m/>
  </r>
  <r>
    <d v="2022-05-12T00:00:00"/>
    <s v="Reçu caisse/Paule"/>
    <x v="3"/>
    <m/>
    <n v="15000"/>
    <m/>
    <n v="32442441"/>
    <x v="11"/>
    <m/>
    <x v="0"/>
    <x v="0"/>
    <m/>
    <m/>
    <m/>
    <m/>
  </r>
  <r>
    <d v="2022-05-12T00:00:00"/>
    <s v="Frais visite appartement/Demarcheurs "/>
    <x v="9"/>
    <s v="Operation"/>
    <m/>
    <n v="5000"/>
    <n v="32437441"/>
    <x v="11"/>
    <s v="Oui"/>
    <x v="1"/>
    <x v="1"/>
    <s v="CONGO"/>
    <m/>
    <m/>
    <m/>
  </r>
  <r>
    <d v="2022-05-12T00:00:00"/>
    <s v="Frais visite appartement Bacongo/Demarcheurs"/>
    <x v="9"/>
    <s v="Operation"/>
    <m/>
    <n v="5000"/>
    <n v="32432441"/>
    <x v="11"/>
    <s v="Oui"/>
    <x v="1"/>
    <x v="1"/>
    <s v="CONGO"/>
    <m/>
    <m/>
    <m/>
  </r>
  <r>
    <d v="2022-05-12T00:00:00"/>
    <s v="Frais visite appartement Château d'eau /démarcheurs"/>
    <x v="9"/>
    <s v="Operation"/>
    <m/>
    <n v="5000"/>
    <n v="32427441"/>
    <x v="11"/>
    <s v="Oui"/>
    <x v="1"/>
    <x v="1"/>
    <s v="CONGO"/>
    <m/>
    <m/>
    <m/>
  </r>
  <r>
    <d v="2022-05-12T00:00:00"/>
    <s v="Reçu caisse/Paule"/>
    <x v="3"/>
    <m/>
    <n v="15000"/>
    <m/>
    <n v="32442441"/>
    <x v="11"/>
    <m/>
    <x v="0"/>
    <x v="0"/>
    <m/>
    <m/>
    <m/>
    <m/>
  </r>
  <r>
    <d v="2022-05-12T00:00:00"/>
    <s v="YAN GOMAT - CONGO Food Allowance du 12 au 14/05/22"/>
    <x v="1"/>
    <s v="Legal"/>
    <m/>
    <n v="20000"/>
    <n v="32422441"/>
    <x v="5"/>
    <s v="Décharge"/>
    <x v="1"/>
    <x v="1"/>
    <s v="CONGO"/>
    <m/>
    <m/>
    <m/>
  </r>
  <r>
    <d v="2022-05-12T00:00:00"/>
    <s v="Achat du billet Oyo-Brazzaville/Hureille"/>
    <x v="9"/>
    <s v="Legal"/>
    <m/>
    <n v="7000"/>
    <n v="32415441"/>
    <x v="1"/>
    <s v="Oui"/>
    <x v="1"/>
    <x v="1"/>
    <s v="CONGO"/>
    <m/>
    <m/>
    <m/>
  </r>
  <r>
    <d v="2022-05-12T00:00:00"/>
    <s v="Frais des visites des appartements"/>
    <x v="9"/>
    <s v="Operation"/>
    <m/>
    <n v="5000"/>
    <n v="32410441"/>
    <x v="12"/>
    <s v="Oui"/>
    <x v="1"/>
    <x v="1"/>
    <s v="CONGO"/>
    <m/>
    <m/>
    <m/>
  </r>
  <r>
    <d v="2022-05-12T00:00:00"/>
    <s v="Recu de caisse/P29"/>
    <x v="3"/>
    <m/>
    <n v="25000"/>
    <m/>
    <n v="32435441"/>
    <x v="8"/>
    <m/>
    <x v="0"/>
    <x v="0"/>
    <m/>
    <m/>
    <m/>
    <m/>
  </r>
  <r>
    <d v="2022-05-12T00:00:00"/>
    <s v="Paiement frais de visite démarcheuur (cfr op Brazza)"/>
    <x v="9"/>
    <s v="Investigation"/>
    <m/>
    <n v="5000"/>
    <n v="32430441"/>
    <x v="6"/>
    <s v="Oui"/>
    <x v="1"/>
    <x v="1"/>
    <s v="CONGO"/>
    <m/>
    <m/>
    <m/>
  </r>
  <r>
    <d v="2022-05-12T00:00:00"/>
    <s v="Reçu caisse/I23C"/>
    <x v="3"/>
    <m/>
    <n v="15000"/>
    <m/>
    <n v="32445441"/>
    <x v="6"/>
    <m/>
    <x v="0"/>
    <x v="0"/>
    <m/>
    <m/>
    <m/>
    <m/>
  </r>
  <r>
    <d v="2022-05-12T00:00:00"/>
    <s v="Reçu caisse/I23C"/>
    <x v="3"/>
    <m/>
    <n v="138000"/>
    <m/>
    <n v="32583441"/>
    <x v="6"/>
    <m/>
    <x v="0"/>
    <x v="0"/>
    <m/>
    <m/>
    <m/>
    <m/>
  </r>
  <r>
    <d v="2022-05-12T00:00:00"/>
    <s v="Paiement frais de visite démarcheuur (cfr op Brazza)"/>
    <x v="9"/>
    <s v="Investigation"/>
    <m/>
    <n v="5000"/>
    <n v="32578441"/>
    <x v="6"/>
    <s v="Oui"/>
    <x v="1"/>
    <x v="1"/>
    <s v="CONGO"/>
    <m/>
    <m/>
    <m/>
  </r>
  <r>
    <d v="2022-05-12T00:00:00"/>
    <s v="I23C - CONGO Paiement 2 nuitées appartement OCH cfr op Brazza)"/>
    <x v="1"/>
    <s v="Investigation"/>
    <m/>
    <n v="100000"/>
    <n v="32478441"/>
    <x v="6"/>
    <s v="Oui"/>
    <x v="1"/>
    <x v="1"/>
    <s v="CONGO"/>
    <m/>
    <m/>
    <m/>
  </r>
  <r>
    <d v="2022-05-12T00:00:00"/>
    <s v="Paiement % du demarcheur (cfr location appartement OCH, OP Brazza)"/>
    <x v="9"/>
    <s v="Investigation"/>
    <m/>
    <n v="30000"/>
    <n v="32448441"/>
    <x v="6"/>
    <s v="Oui"/>
    <x v="1"/>
    <x v="1"/>
    <s v="CONGO"/>
    <m/>
    <m/>
    <m/>
  </r>
  <r>
    <d v="2022-05-13T00:00:00"/>
    <s v="Achat credit  teléphonique MTN/PALF/OP 13-05-22/Agents /Opération"/>
    <x v="2"/>
    <s v="Operation"/>
    <m/>
    <n v="55000"/>
    <n v="32393441"/>
    <x v="2"/>
    <s v="Oui"/>
    <x v="1"/>
    <x v="1"/>
    <s v="CONGO"/>
    <m/>
    <m/>
    <m/>
  </r>
  <r>
    <d v="2022-05-13T00:00:00"/>
    <s v="P29"/>
    <x v="3"/>
    <m/>
    <m/>
    <n v="320000"/>
    <n v="32073441"/>
    <x v="2"/>
    <m/>
    <x v="0"/>
    <x v="0"/>
    <m/>
    <m/>
    <m/>
    <m/>
  </r>
  <r>
    <d v="2022-05-13T00:00:00"/>
    <s v="Evariste"/>
    <x v="3"/>
    <m/>
    <m/>
    <n v="25000"/>
    <n v="32048441"/>
    <x v="2"/>
    <m/>
    <x v="0"/>
    <x v="0"/>
    <m/>
    <m/>
    <m/>
    <m/>
  </r>
  <r>
    <d v="2022-05-13T00:00:00"/>
    <s v="Crepin"/>
    <x v="3"/>
    <m/>
    <m/>
    <n v="20000"/>
    <n v="32028441"/>
    <x v="2"/>
    <m/>
    <x v="0"/>
    <x v="0"/>
    <m/>
    <m/>
    <m/>
    <m/>
  </r>
  <r>
    <d v="2022-05-13T00:00:00"/>
    <s v="Godfré"/>
    <x v="3"/>
    <m/>
    <m/>
    <n v="15000"/>
    <n v="32013441"/>
    <x v="2"/>
    <m/>
    <x v="0"/>
    <x v="0"/>
    <m/>
    <m/>
    <m/>
    <m/>
  </r>
  <r>
    <d v="2022-05-13T00:00:00"/>
    <s v="P29/Retour Caisse"/>
    <x v="3"/>
    <m/>
    <n v="300000"/>
    <m/>
    <n v="32313441"/>
    <x v="2"/>
    <m/>
    <x v="0"/>
    <x v="0"/>
    <m/>
    <m/>
    <m/>
    <m/>
  </r>
  <r>
    <d v="2022-05-13T00:00:00"/>
    <s v="BCI-3654480/34"/>
    <x v="3"/>
    <m/>
    <n v="1000000"/>
    <m/>
    <n v="33313441"/>
    <x v="2"/>
    <m/>
    <x v="0"/>
    <x v="0"/>
    <m/>
    <m/>
    <m/>
    <m/>
  </r>
  <r>
    <d v="2022-05-13T00:00:00"/>
    <s v="Retrait especes/appro caisse/bord n°3654480"/>
    <x v="3"/>
    <m/>
    <m/>
    <n v="1000000"/>
    <n v="32313441"/>
    <x v="3"/>
    <n v="3654480"/>
    <x v="0"/>
    <x v="0"/>
    <m/>
    <m/>
    <m/>
    <m/>
  </r>
  <r>
    <d v="2022-05-13T00:00:00"/>
    <s v="Remise d'argent à Godfré/ Tiffany"/>
    <x v="3"/>
    <m/>
    <m/>
    <n v="200000"/>
    <n v="32113441"/>
    <x v="13"/>
    <m/>
    <x v="0"/>
    <x v="0"/>
    <m/>
    <m/>
    <m/>
    <m/>
  </r>
  <r>
    <d v="2022-05-13T00:00:00"/>
    <s v="Reçu de caisse/Crépin"/>
    <x v="3"/>
    <m/>
    <n v="20000"/>
    <m/>
    <n v="32133441"/>
    <x v="9"/>
    <m/>
    <x v="0"/>
    <x v="0"/>
    <m/>
    <m/>
    <m/>
    <m/>
  </r>
  <r>
    <d v="2022-05-13T00:00:00"/>
    <s v="Rafraichissement avavt OP pour l'adjudant Moussa, Reine, Sovy, le capitaine, IBARA, Paule et moi de 8h à 16h"/>
    <x v="1"/>
    <s v="Management"/>
    <m/>
    <n v="16300"/>
    <n v="32117141"/>
    <x v="9"/>
    <s v="Décharge"/>
    <x v="1"/>
    <x v="1"/>
    <s v="CONGO"/>
    <m/>
    <m/>
    <m/>
  </r>
  <r>
    <d v="2022-05-13T00:00:00"/>
    <s v="Retour Caisse/Godfre"/>
    <x v="3"/>
    <m/>
    <n v="15000"/>
    <m/>
    <n v="32132141"/>
    <x v="10"/>
    <m/>
    <x v="0"/>
    <x v="0"/>
    <m/>
    <m/>
    <m/>
    <m/>
  </r>
  <r>
    <d v="2022-05-13T00:00:00"/>
    <s v="Achat boisson et plats des gendarmes pendant l'opération du 13-05-2022"/>
    <x v="1"/>
    <s v="Operation"/>
    <m/>
    <n v="7000"/>
    <n v="32125141"/>
    <x v="10"/>
    <s v="Décharge"/>
    <x v="1"/>
    <x v="1"/>
    <s v="CONGO"/>
    <m/>
    <m/>
    <m/>
  </r>
  <r>
    <d v="2022-05-13T00:00:00"/>
    <s v="Reçu de tiffany / Godfre"/>
    <x v="3"/>
    <m/>
    <n v="200000"/>
    <m/>
    <n v="32325141"/>
    <x v="10"/>
    <m/>
    <x v="0"/>
    <x v="0"/>
    <m/>
    <m/>
    <m/>
    <m/>
  </r>
  <r>
    <d v="2022-05-13T00:00:00"/>
    <s v="Payement bonus opération de 20 agents dont les gendarmes et EF"/>
    <x v="12"/>
    <s v="Operation"/>
    <m/>
    <n v="200000"/>
    <n v="32125141"/>
    <x v="10"/>
    <s v="Décharge"/>
    <x v="1"/>
    <x v="1"/>
    <s v="CONGO"/>
    <m/>
    <m/>
    <m/>
  </r>
  <r>
    <d v="2022-05-13T00:00:00"/>
    <s v="Frais de l'expedition et de la Grosse "/>
    <x v="13"/>
    <s v="Legal"/>
    <m/>
    <n v="70000"/>
    <n v="32055141"/>
    <x v="5"/>
    <s v="Oui"/>
    <x v="1"/>
    <x v="1"/>
    <s v="CONGO"/>
    <m/>
    <m/>
    <m/>
  </r>
  <r>
    <d v="2022-05-13T00:00:00"/>
    <s v="HURIELLE - CONGO Frais d'Hotel du 11 Mai au 13 Mai 2022 à OYO"/>
    <x v="1"/>
    <s v="Legal"/>
    <m/>
    <n v="30000"/>
    <n v="32025141"/>
    <x v="1"/>
    <s v="Oui"/>
    <x v="1"/>
    <x v="1"/>
    <s v="CONGO"/>
    <m/>
    <m/>
    <m/>
  </r>
  <r>
    <d v="2022-05-13T00:00:00"/>
    <s v="Reçu de la caisse/Evariste"/>
    <x v="3"/>
    <m/>
    <n v="25000"/>
    <m/>
    <n v="32050141"/>
    <x v="12"/>
    <m/>
    <x v="0"/>
    <x v="0"/>
    <m/>
    <m/>
    <m/>
    <m/>
  </r>
  <r>
    <d v="2022-05-13T00:00:00"/>
    <s v="Achat du carburant pour la BJ des Gendarmes OP Brazzaville"/>
    <x v="9"/>
    <s v="Operation"/>
    <m/>
    <n v="20000"/>
    <n v="32030141"/>
    <x v="12"/>
    <s v="Oui"/>
    <x v="1"/>
    <x v="1"/>
    <s v="CONGO"/>
    <m/>
    <m/>
    <m/>
  </r>
  <r>
    <d v="2022-05-13T00:00:00"/>
    <s v="Recu de caisse/P29"/>
    <x v="3"/>
    <m/>
    <n v="320000"/>
    <m/>
    <n v="32350141"/>
    <x v="8"/>
    <m/>
    <x v="0"/>
    <x v="0"/>
    <m/>
    <m/>
    <m/>
    <m/>
  </r>
  <r>
    <d v="2022-05-13T00:00:00"/>
    <s v="Retour à la caisse/P29"/>
    <x v="3"/>
    <m/>
    <m/>
    <n v="300000"/>
    <n v="32050141"/>
    <x v="8"/>
    <m/>
    <x v="0"/>
    <x v="0"/>
    <m/>
    <m/>
    <m/>
    <m/>
  </r>
  <r>
    <d v="2022-05-14T00:00:00"/>
    <s v="Tiffany"/>
    <x v="3"/>
    <m/>
    <m/>
    <n v="200000"/>
    <n v="31850141"/>
    <x v="2"/>
    <m/>
    <x v="0"/>
    <x v="0"/>
    <m/>
    <m/>
    <m/>
    <m/>
  </r>
  <r>
    <d v="2022-05-14T00:00:00"/>
    <s v="Remise d'argent à Paule/ Tiffany"/>
    <x v="3"/>
    <m/>
    <m/>
    <n v="20000"/>
    <n v="31830141"/>
    <x v="13"/>
    <m/>
    <x v="0"/>
    <x v="0"/>
    <m/>
    <m/>
    <m/>
    <m/>
  </r>
  <r>
    <d v="2022-05-14T00:00:00"/>
    <s v="Paiement salaire mois de Mai 2022/MALONGA Godfre"/>
    <x v="14"/>
    <s v="Legal"/>
    <m/>
    <n v="96800"/>
    <n v="31733341"/>
    <x v="2"/>
    <s v="Décharge"/>
    <x v="2"/>
    <x v="2"/>
    <s v="CONGO"/>
    <s v="RALFF-CO3356"/>
    <s v="1.1.1.7"/>
    <m/>
  </r>
  <r>
    <d v="2022-05-14T00:00:00"/>
    <s v="Bonus Op du 13/05/2022-Godfre MALONGA"/>
    <x v="12"/>
    <s v="Operation"/>
    <m/>
    <n v="15000"/>
    <n v="31718341"/>
    <x v="2"/>
    <s v="Décharge"/>
    <x v="1"/>
    <x v="1"/>
    <s v="CONGO"/>
    <m/>
    <m/>
    <m/>
  </r>
  <r>
    <d v="2022-05-14T00:00:00"/>
    <s v="Bonus des mois d'Avril et Mai 2022 - Godfre MALONGA"/>
    <x v="12"/>
    <s v="Legal"/>
    <m/>
    <n v="30000"/>
    <n v="31688341"/>
    <x v="2"/>
    <s v="Décharge"/>
    <x v="1"/>
    <x v="1"/>
    <s v="CONGO"/>
    <m/>
    <m/>
    <m/>
  </r>
  <r>
    <d v="2022-05-14T00:00:00"/>
    <s v="Retour caisse /Godfre"/>
    <x v="3"/>
    <m/>
    <n v="34835"/>
    <m/>
    <n v="31723176"/>
    <x v="2"/>
    <m/>
    <x v="0"/>
    <x v="0"/>
    <m/>
    <m/>
    <m/>
    <m/>
  </r>
  <r>
    <d v="2022-05-14T00:00:00"/>
    <s v="Achat Cable telephone Iphone/Trafs"/>
    <x v="15"/>
    <s v="Office"/>
    <m/>
    <n v="1500"/>
    <n v="31721676"/>
    <x v="2"/>
    <s v="Oui"/>
    <x v="1"/>
    <x v="2"/>
    <s v="CONGO"/>
    <s v="RALFF-CO3357"/>
    <s v="3.2"/>
    <m/>
  </r>
  <r>
    <d v="2022-05-14T00:00:00"/>
    <s v="I23C"/>
    <x v="3"/>
    <m/>
    <m/>
    <n v="80000"/>
    <n v="31641676"/>
    <x v="2"/>
    <m/>
    <x v="0"/>
    <x v="0"/>
    <m/>
    <m/>
    <m/>
    <m/>
  </r>
  <r>
    <d v="2022-05-14T00:00:00"/>
    <s v="I23C"/>
    <x v="3"/>
    <m/>
    <m/>
    <n v="10000"/>
    <n v="31631676"/>
    <x v="2"/>
    <m/>
    <x v="0"/>
    <x v="0"/>
    <m/>
    <m/>
    <m/>
    <m/>
  </r>
  <r>
    <d v="2022-05-14T00:00:00"/>
    <s v="Reçu Caisse/ Tiffany"/>
    <x v="3"/>
    <m/>
    <n v="200000"/>
    <m/>
    <n v="31831676"/>
    <x v="13"/>
    <m/>
    <x v="0"/>
    <x v="0"/>
    <m/>
    <m/>
    <m/>
    <m/>
  </r>
  <r>
    <d v="2022-05-14T00:00:00"/>
    <s v="Cumul Frais de Transport local mois de Mai 2022/Godfre"/>
    <x v="9"/>
    <s v="Legal"/>
    <m/>
    <n v="25500"/>
    <n v="31806176"/>
    <x v="10"/>
    <s v="Décharge"/>
    <x v="1"/>
    <x v="2"/>
    <s v="CONGO"/>
    <s v="RALFF-CO3358"/>
    <s v="2.2"/>
    <m/>
  </r>
  <r>
    <d v="2022-05-14T00:00:00"/>
    <s v="Retour Caisse /Godfre"/>
    <x v="3"/>
    <m/>
    <m/>
    <n v="34835"/>
    <n v="31771341"/>
    <x v="10"/>
    <m/>
    <x v="0"/>
    <x v="0"/>
    <m/>
    <m/>
    <m/>
    <m/>
  </r>
  <r>
    <d v="2022-05-14T00:00:00"/>
    <s v="Reçu de Tiffany /Paule"/>
    <x v="3"/>
    <m/>
    <n v="20000"/>
    <m/>
    <n v="31791341"/>
    <x v="11"/>
    <m/>
    <x v="0"/>
    <x v="0"/>
    <m/>
    <m/>
    <m/>
    <m/>
  </r>
  <r>
    <d v="2022-05-14T00:00:00"/>
    <s v="YAN GOMAT - CONGO Frais d'hôtel Dolisie du 12 au 14/05/22 "/>
    <x v="1"/>
    <s v="Legal"/>
    <m/>
    <n v="30000"/>
    <n v="31761341"/>
    <x v="5"/>
    <s v="Oui"/>
    <x v="1"/>
    <x v="1"/>
    <s v="CONGO"/>
    <m/>
    <m/>
    <m/>
  </r>
  <r>
    <d v="2022-05-14T00:00:00"/>
    <s v="Achat billet Dolisie - Brazzaville / Yan"/>
    <x v="9"/>
    <s v="Legal"/>
    <m/>
    <n v="10000"/>
    <n v="31751341"/>
    <x v="5"/>
    <s v="Oui"/>
    <x v="1"/>
    <x v="1"/>
    <s v="CONGO"/>
    <m/>
    <m/>
    <m/>
  </r>
  <r>
    <d v="2022-05-14T00:00:00"/>
    <s v="Reçu caisse/I23C"/>
    <x v="3"/>
    <m/>
    <n v="10000"/>
    <m/>
    <n v="31761341"/>
    <x v="6"/>
    <m/>
    <x v="0"/>
    <x v="0"/>
    <m/>
    <m/>
    <m/>
    <m/>
  </r>
  <r>
    <d v="2022-05-14T00:00:00"/>
    <s v="Achat Billet Brazzaville - Oyo / I23C"/>
    <x v="9"/>
    <s v="Investigation"/>
    <m/>
    <n v="7000"/>
    <n v="31754341"/>
    <x v="6"/>
    <s v="Oui"/>
    <x v="1"/>
    <x v="2"/>
    <s v="CONGO"/>
    <s v="RALFF-CO3431"/>
    <s v="2.2"/>
    <m/>
  </r>
  <r>
    <d v="2022-05-14T00:00:00"/>
    <s v="Réçu caisse/I23C"/>
    <x v="3"/>
    <m/>
    <n v="80000"/>
    <m/>
    <n v="31841341"/>
    <x v="6"/>
    <m/>
    <x v="0"/>
    <x v="0"/>
    <m/>
    <m/>
    <m/>
    <m/>
  </r>
  <r>
    <d v="2022-05-15T00:00:00"/>
    <s v="Cumul frais de Jails Visits mois de Mai 2022/Paule"/>
    <x v="8"/>
    <s v="Legal"/>
    <m/>
    <n v="11000"/>
    <n v="31830341"/>
    <x v="11"/>
    <s v="Décharge"/>
    <x v="1"/>
    <x v="1"/>
    <s v="CONGO"/>
    <m/>
    <m/>
    <m/>
  </r>
  <r>
    <d v="2022-05-16T00:00:00"/>
    <s v="Grace"/>
    <x v="3"/>
    <m/>
    <m/>
    <n v="10000"/>
    <n v="31820341"/>
    <x v="2"/>
    <m/>
    <x v="0"/>
    <x v="0"/>
    <m/>
    <m/>
    <m/>
    <m/>
  </r>
  <r>
    <d v="2022-05-16T00:00:00"/>
    <s v="Evariste"/>
    <x v="3"/>
    <m/>
    <m/>
    <n v="20000"/>
    <n v="31800341"/>
    <x v="2"/>
    <m/>
    <x v="0"/>
    <x v="0"/>
    <m/>
    <m/>
    <m/>
    <m/>
  </r>
  <r>
    <d v="2022-05-16T00:00:00"/>
    <s v="Bonus média portant sur l'annonce des audiences du 16 et 18 Mai 2022"/>
    <x v="12"/>
    <s v="Media"/>
    <m/>
    <n v="18000"/>
    <n v="31782341"/>
    <x v="2"/>
    <s v="Décharge"/>
    <x v="1"/>
    <x v="1"/>
    <s v="CONGO"/>
    <m/>
    <m/>
    <m/>
  </r>
  <r>
    <d v="2022-05-16T00:00:00"/>
    <s v="Bonus média sur la condamnation ferme d'un Trafiquant d'ivoire Par le TGI de brazzaville, le 02 mai 2022"/>
    <x v="12"/>
    <s v="Media"/>
    <m/>
    <n v="39000"/>
    <n v="31743341"/>
    <x v="2"/>
    <s v="Décharge"/>
    <x v="1"/>
    <x v="1"/>
    <s v="CONGO"/>
    <m/>
    <m/>
    <m/>
  </r>
  <r>
    <d v="2022-05-16T00:00:00"/>
    <s v="Bonus média portant sur la condamnation de 03 Trafiquants d'ivoir le 12 mai 2022 par le TGI d'oyo"/>
    <x v="12"/>
    <s v="Media"/>
    <m/>
    <n v="150000"/>
    <n v="31593341"/>
    <x v="2"/>
    <s v="Décharge"/>
    <x v="1"/>
    <x v="1"/>
    <s v="CONGO"/>
    <m/>
    <m/>
    <m/>
  </r>
  <r>
    <d v="2022-05-16T00:00:00"/>
    <s v="Bonus média interpellation de 02 trafiquants d'ivoire à brazzaville le 13/05/2022"/>
    <x v="12"/>
    <s v="Media"/>
    <m/>
    <n v="150000"/>
    <n v="31443341"/>
    <x v="2"/>
    <s v="Décharge"/>
    <x v="1"/>
    <x v="1"/>
    <s v="CONGO"/>
    <m/>
    <m/>
    <m/>
  </r>
  <r>
    <d v="2022-05-16T00:00:00"/>
    <s v="Achat credit MTN /pour investigation/Crépin"/>
    <x v="2"/>
    <s v="Operation"/>
    <m/>
    <n v="3000"/>
    <n v="31440341"/>
    <x v="2"/>
    <s v="Oui"/>
    <x v="1"/>
    <x v="1"/>
    <s v="CONGO"/>
    <m/>
    <m/>
    <m/>
  </r>
  <r>
    <d v="2022-05-16T00:00:00"/>
    <s v="P29"/>
    <x v="3"/>
    <m/>
    <m/>
    <n v="83000"/>
    <n v="31357341"/>
    <x v="2"/>
    <m/>
    <x v="0"/>
    <x v="0"/>
    <m/>
    <m/>
    <m/>
    <m/>
  </r>
  <r>
    <d v="2022-05-16T00:00:00"/>
    <s v="Crepin"/>
    <x v="3"/>
    <m/>
    <m/>
    <n v="15000"/>
    <n v="31342341"/>
    <x v="2"/>
    <m/>
    <x v="0"/>
    <x v="0"/>
    <m/>
    <m/>
    <m/>
    <m/>
  </r>
  <r>
    <d v="2022-05-16T00:00:00"/>
    <s v="Yan"/>
    <x v="3"/>
    <m/>
    <m/>
    <n v="10000"/>
    <n v="31332341"/>
    <x v="2"/>
    <m/>
    <x v="0"/>
    <x v="0"/>
    <m/>
    <m/>
    <m/>
    <m/>
  </r>
  <r>
    <d v="2022-05-16T00:00:00"/>
    <s v="Hurielle"/>
    <x v="3"/>
    <m/>
    <m/>
    <n v="185000"/>
    <n v="31147341"/>
    <x v="2"/>
    <m/>
    <x v="0"/>
    <x v="0"/>
    <m/>
    <m/>
    <m/>
    <m/>
  </r>
  <r>
    <d v="2022-05-16T00:00:00"/>
    <s v="Reçu Caisse/Grace"/>
    <x v="3"/>
    <m/>
    <n v="10000"/>
    <m/>
    <n v="31157341"/>
    <x v="14"/>
    <m/>
    <x v="0"/>
    <x v="0"/>
    <m/>
    <m/>
    <m/>
    <m/>
  </r>
  <r>
    <d v="2022-05-16T00:00:00"/>
    <s v="Reçu de caisse/Crépin"/>
    <x v="3"/>
    <m/>
    <n v="15000"/>
    <m/>
    <n v="31172341"/>
    <x v="9"/>
    <m/>
    <x v="0"/>
    <x v="0"/>
    <m/>
    <m/>
    <m/>
    <m/>
  </r>
  <r>
    <d v="2022-05-16T00:00:00"/>
    <s v="Reçu Caisse/Yan"/>
    <x v="3"/>
    <m/>
    <n v="10000"/>
    <m/>
    <n v="31182341"/>
    <x v="5"/>
    <m/>
    <x v="0"/>
    <x v="0"/>
    <m/>
    <m/>
    <m/>
    <m/>
  </r>
  <r>
    <d v="2022-05-16T00:00:00"/>
    <s v="Recu caisse/Hurielle"/>
    <x v="3"/>
    <m/>
    <n v="185000"/>
    <m/>
    <n v="31367341"/>
    <x v="1"/>
    <m/>
    <x v="0"/>
    <x v="0"/>
    <m/>
    <m/>
    <m/>
    <m/>
  </r>
  <r>
    <d v="2022-05-16T00:00:00"/>
    <s v="Reçu de la caisse/Evariste"/>
    <x v="3"/>
    <m/>
    <n v="20000"/>
    <m/>
    <n v="31387341"/>
    <x v="12"/>
    <m/>
    <x v="0"/>
    <x v="0"/>
    <m/>
    <m/>
    <m/>
    <m/>
  </r>
  <r>
    <d v="2022-05-16T00:00:00"/>
    <s v="Recu de caisse/P29"/>
    <x v="3"/>
    <m/>
    <n v="83000"/>
    <m/>
    <n v="31470341"/>
    <x v="8"/>
    <m/>
    <x v="0"/>
    <x v="0"/>
    <m/>
    <m/>
    <m/>
    <m/>
  </r>
  <r>
    <d v="2022-05-16T00:00:00"/>
    <s v="I23C - CONGO Food allowance mission Oyo du 16 au 22 mai 2022"/>
    <x v="1"/>
    <s v="Investigation"/>
    <m/>
    <n v="60000"/>
    <n v="31410341"/>
    <x v="6"/>
    <s v="Décharge"/>
    <x v="1"/>
    <x v="2"/>
    <s v="CONGO"/>
    <s v="RALFF-CO3359"/>
    <s v="1.3.2"/>
    <m/>
  </r>
  <r>
    <d v="2022-05-17T00:00:00"/>
    <s v="Achat credit  teléphonique MTN/PALF/Deuxième partie Mai 2022/Management"/>
    <x v="2"/>
    <s v="Management "/>
    <m/>
    <n v="20000"/>
    <n v="31390341"/>
    <x v="2"/>
    <s v="Oui"/>
    <x v="1"/>
    <x v="2"/>
    <s v="CONGO"/>
    <s v="RALFF-CO3360"/>
    <s v="4.6"/>
    <m/>
  </r>
  <r>
    <d v="2022-05-17T00:00:00"/>
    <s v="Achat credit  teléphonique MTN/PALF/Deuxième  partie Mai 2022/Legal"/>
    <x v="2"/>
    <s v="Legal"/>
    <m/>
    <n v="5000"/>
    <n v="31385341"/>
    <x v="2"/>
    <s v="Oui"/>
    <x v="1"/>
    <x v="2"/>
    <s v="CONGO"/>
    <s v="RALFF-CO3361"/>
    <s v="4.6"/>
    <m/>
  </r>
  <r>
    <d v="2022-05-17T00:00:00"/>
    <s v="Achat credit  teléphonique MTN/PALF/Deuxième partie Mai 2022/Legal Volontaire"/>
    <x v="2"/>
    <s v="Legal"/>
    <m/>
    <n v="15000"/>
    <n v="31370341"/>
    <x v="2"/>
    <s v="Oui"/>
    <x v="1"/>
    <x v="1"/>
    <s v="CONGO"/>
    <m/>
    <m/>
    <m/>
  </r>
  <r>
    <d v="2022-05-17T00:00:00"/>
    <s v="Achat credit  teléphonique MTN/PALF/Deuxième partie Mai 2022/Investigation"/>
    <x v="2"/>
    <s v="Investigation"/>
    <m/>
    <n v="10000"/>
    <n v="31360341"/>
    <x v="2"/>
    <s v="Oui"/>
    <x v="1"/>
    <x v="2"/>
    <s v="CONGO"/>
    <s v="RALFF-CO3362"/>
    <s v="4.6"/>
    <m/>
  </r>
  <r>
    <d v="2022-05-17T00:00:00"/>
    <s v="Achat credit  teléphonique MTN/PALF/Deuxième partie Mai 2022/Media"/>
    <x v="2"/>
    <s v="Media"/>
    <m/>
    <n v="5000"/>
    <n v="31355341"/>
    <x v="2"/>
    <s v="Oui"/>
    <x v="1"/>
    <x v="2"/>
    <s v="CONGO"/>
    <s v="RALFF-CO3363"/>
    <s v="4.6"/>
    <m/>
  </r>
  <r>
    <d v="2022-05-17T00:00:00"/>
    <s v="Achat credit  teléphonique Airtel/PALF/Deuxième partie Mai 2022/Management"/>
    <x v="2"/>
    <s v="Management "/>
    <m/>
    <n v="10000"/>
    <n v="31345341"/>
    <x v="2"/>
    <s v="Oui"/>
    <x v="1"/>
    <x v="2"/>
    <s v="CONGO"/>
    <s v="RALFF-CO3364"/>
    <s v="4.6"/>
    <m/>
  </r>
  <r>
    <d v="2022-05-17T00:00:00"/>
    <s v="Achat credit  teléphonique Airtel/PALF/Deuxième partie Mai 2022/Investigation"/>
    <x v="2"/>
    <s v="Investigation"/>
    <m/>
    <n v="10000"/>
    <n v="31335341"/>
    <x v="2"/>
    <s v="Oui"/>
    <x v="1"/>
    <x v="2"/>
    <s v="CONGO"/>
    <s v="RALFF-CO3365"/>
    <s v="4.6"/>
    <m/>
  </r>
  <r>
    <d v="2022-05-17T00:00:00"/>
    <s v="Impression photos Trafiquant"/>
    <x v="15"/>
    <s v="Operation"/>
    <m/>
    <n v="3750"/>
    <n v="31331591"/>
    <x v="2"/>
    <s v="Oui"/>
    <x v="1"/>
    <x v="2"/>
    <s v="CONGO"/>
    <s v="RALFF-CO3366"/>
    <s v="4.3"/>
    <m/>
  </r>
  <r>
    <d v="2022-05-17T00:00:00"/>
    <s v="BCI-3654482/34"/>
    <x v="3"/>
    <m/>
    <n v="2000000"/>
    <m/>
    <n v="33331591"/>
    <x v="2"/>
    <m/>
    <x v="0"/>
    <x v="0"/>
    <m/>
    <m/>
    <m/>
    <m/>
  </r>
  <r>
    <d v="2022-05-17T00:00:00"/>
    <s v="Retrait especes/appro caisse/bord n°3654482"/>
    <x v="3"/>
    <m/>
    <m/>
    <n v="2000000"/>
    <n v="31331591"/>
    <x v="3"/>
    <n v="3654482"/>
    <x v="0"/>
    <x v="0"/>
    <m/>
    <m/>
    <m/>
    <m/>
  </r>
  <r>
    <d v="2022-05-17T00:00:00"/>
    <s v="Achat billet Brazzaville-Oyo/Hureille"/>
    <x v="9"/>
    <s v="Legal"/>
    <m/>
    <n v="7000"/>
    <n v="31324591"/>
    <x v="1"/>
    <s v="Oui"/>
    <x v="1"/>
    <x v="1"/>
    <s v="CONGO"/>
    <m/>
    <m/>
    <m/>
  </r>
  <r>
    <d v="2022-05-17T00:00:00"/>
    <s v="HURIELLE - CONGO Food Allowance du 17-24 Mai 2022 à Oyo"/>
    <x v="1"/>
    <s v="Legal"/>
    <m/>
    <n v="70000"/>
    <n v="31254591"/>
    <x v="1"/>
    <s v="Décharge"/>
    <x v="1"/>
    <x v="1"/>
    <s v="CONGO"/>
    <m/>
    <m/>
    <m/>
  </r>
  <r>
    <d v="2022-05-17T00:00:00"/>
    <s v="P29 - CONGO Food allowance mission du 17 au 21-05-2022"/>
    <x v="1"/>
    <s v="Investigation"/>
    <m/>
    <n v="40000"/>
    <n v="31214591"/>
    <x v="8"/>
    <s v="Décharge"/>
    <x v="2"/>
    <x v="2"/>
    <s v="CONGO"/>
    <s v="RALFF-CO3367"/>
    <s v="1.3.2"/>
    <m/>
  </r>
  <r>
    <d v="2022-05-17T00:00:00"/>
    <s v="Billet total-kinkala/P29"/>
    <x v="9"/>
    <s v="Investigation"/>
    <m/>
    <n v="4000"/>
    <n v="31210591"/>
    <x v="8"/>
    <s v="Oui"/>
    <x v="1"/>
    <x v="2"/>
    <s v="CONGO"/>
    <s v="RALFF-CO3368"/>
    <s v="2.2"/>
    <m/>
  </r>
  <r>
    <d v="2022-05-18T00:00:00"/>
    <s v="Paule"/>
    <x v="3"/>
    <m/>
    <m/>
    <n v="15000"/>
    <n v="31195591"/>
    <x v="2"/>
    <m/>
    <x v="0"/>
    <x v="0"/>
    <m/>
    <m/>
    <m/>
    <m/>
  </r>
  <r>
    <d v="2022-05-18T00:00:00"/>
    <s v="I23C"/>
    <x v="3"/>
    <m/>
    <m/>
    <n v="57000"/>
    <n v="31138591"/>
    <x v="2"/>
    <m/>
    <x v="0"/>
    <x v="0"/>
    <m/>
    <m/>
    <m/>
    <m/>
  </r>
  <r>
    <d v="2022-05-18T00:00:00"/>
    <s v="Frais de transfert charden Farell à I23C"/>
    <x v="4"/>
    <s v="Office"/>
    <m/>
    <n v="1710"/>
    <n v="31136881"/>
    <x v="2"/>
    <s v="Oui"/>
    <x v="2"/>
    <x v="2"/>
    <s v="CONGO"/>
    <s v="RALFF-CO3369"/>
    <s v="5.6"/>
    <m/>
  </r>
  <r>
    <d v="2022-05-18T00:00:00"/>
    <s v="Achat fournitures de bureau/Classeurs,papier bristol,papier transparent,baguette et encre pour cachet"/>
    <x v="15"/>
    <s v="Office"/>
    <m/>
    <n v="57000"/>
    <n v="31079881"/>
    <x v="2"/>
    <s v="Oui"/>
    <x v="1"/>
    <x v="2"/>
    <s v="CONGO"/>
    <s v="RALFF-CO3370"/>
    <s v="4.3"/>
    <m/>
  </r>
  <r>
    <d v="2022-05-18T00:00:00"/>
    <s v="Yan"/>
    <x v="3"/>
    <m/>
    <m/>
    <n v="10000"/>
    <n v="31069881"/>
    <x v="2"/>
    <m/>
    <x v="0"/>
    <x v="0"/>
    <m/>
    <m/>
    <m/>
    <m/>
  </r>
  <r>
    <d v="2022-05-18T00:00:00"/>
    <s v="Reçu caisse/Paule"/>
    <x v="3"/>
    <m/>
    <n v="15000"/>
    <m/>
    <n v="31084881"/>
    <x v="11"/>
    <m/>
    <x v="0"/>
    <x v="0"/>
    <m/>
    <m/>
    <m/>
    <m/>
  </r>
  <r>
    <d v="2022-05-18T00:00:00"/>
    <s v="Reçu Caisse/Yan"/>
    <x v="3"/>
    <m/>
    <n v="10000"/>
    <m/>
    <n v="31094881"/>
    <x v="5"/>
    <m/>
    <x v="0"/>
    <x v="0"/>
    <m/>
    <m/>
    <m/>
    <m/>
  </r>
  <r>
    <d v="2022-05-18T00:00:00"/>
    <s v="Frais de consultation du détenu KAMBA André"/>
    <x v="8"/>
    <s v="Legal"/>
    <m/>
    <n v="20000"/>
    <n v="31074881"/>
    <x v="1"/>
    <s v="Oui"/>
    <x v="1"/>
    <x v="1"/>
    <s v="CONGO"/>
    <m/>
    <m/>
    <m/>
  </r>
  <r>
    <d v="2022-05-18T00:00:00"/>
    <s v="Taxi:Gendarmerie-Clinique ABO(Aller -Retour)"/>
    <x v="9"/>
    <s v="Legal"/>
    <m/>
    <n v="6000"/>
    <n v="31068881"/>
    <x v="1"/>
    <s v="Oui"/>
    <x v="1"/>
    <x v="1"/>
    <s v="CONGO"/>
    <m/>
    <m/>
    <m/>
  </r>
  <r>
    <d v="2022-05-18T00:00:00"/>
    <s v="Frais  des examens de laboratoire et l'échographie du détenu KAMBA André"/>
    <x v="8"/>
    <s v="Legal"/>
    <m/>
    <n v="49000"/>
    <n v="31019881"/>
    <x v="1"/>
    <s v="Oui"/>
    <x v="1"/>
    <x v="1"/>
    <s v="CONGO"/>
    <m/>
    <m/>
    <m/>
  </r>
  <r>
    <d v="2022-05-18T00:00:00"/>
    <s v="Achat produits de la tention de KAMBA André"/>
    <x v="8"/>
    <s v="Legal"/>
    <m/>
    <n v="16575"/>
    <n v="31003306"/>
    <x v="1"/>
    <s v="Oui"/>
    <x v="1"/>
    <x v="1"/>
    <s v="CONGO"/>
    <m/>
    <m/>
    <m/>
  </r>
  <r>
    <d v="2022-05-18T00:00:00"/>
    <s v="Reçu caisse/I23C"/>
    <x v="3"/>
    <m/>
    <n v="57000"/>
    <m/>
    <n v="31060306"/>
    <x v="6"/>
    <m/>
    <x v="0"/>
    <x v="0"/>
    <m/>
    <m/>
    <m/>
    <m/>
  </r>
  <r>
    <d v="2022-05-19T00:00:00"/>
    <s v="Hurielle"/>
    <x v="3"/>
    <m/>
    <m/>
    <n v="154000"/>
    <n v="30906306"/>
    <x v="2"/>
    <m/>
    <x v="0"/>
    <x v="0"/>
    <m/>
    <m/>
    <m/>
    <m/>
  </r>
  <r>
    <d v="2022-05-19T00:00:00"/>
    <s v="Frais de transfert charden Farell à Hurielle"/>
    <x v="4"/>
    <s v="Office"/>
    <m/>
    <n v="4620"/>
    <n v="30901686"/>
    <x v="2"/>
    <s v="Oui"/>
    <x v="1"/>
    <x v="1"/>
    <s v="CONGO"/>
    <m/>
    <m/>
    <m/>
  </r>
  <r>
    <d v="2022-05-19T00:00:00"/>
    <s v="Evariste"/>
    <x v="3"/>
    <m/>
    <m/>
    <n v="133000"/>
    <n v="30768686"/>
    <x v="2"/>
    <m/>
    <x v="0"/>
    <x v="0"/>
    <m/>
    <m/>
    <m/>
    <m/>
  </r>
  <r>
    <d v="2022-05-19T00:00:00"/>
    <s v="Crepin"/>
    <x v="3"/>
    <m/>
    <m/>
    <n v="311000"/>
    <n v="30457686"/>
    <x v="2"/>
    <m/>
    <x v="0"/>
    <x v="0"/>
    <m/>
    <m/>
    <m/>
    <m/>
  </r>
  <r>
    <d v="2022-05-19T00:00:00"/>
    <s v="Tiffany"/>
    <x v="3"/>
    <m/>
    <m/>
    <n v="79000"/>
    <n v="30378686"/>
    <x v="2"/>
    <m/>
    <x v="0"/>
    <x v="0"/>
    <m/>
    <m/>
    <m/>
    <m/>
  </r>
  <r>
    <d v="2022-05-19T00:00:00"/>
    <s v="Merveille"/>
    <x v="3"/>
    <m/>
    <m/>
    <n v="120000"/>
    <n v="30258686"/>
    <x v="2"/>
    <m/>
    <x v="0"/>
    <x v="0"/>
    <m/>
    <m/>
    <m/>
    <m/>
  </r>
  <r>
    <d v="2022-05-19T00:00:00"/>
    <s v="I23C"/>
    <x v="3"/>
    <m/>
    <m/>
    <n v="370000"/>
    <n v="29888686"/>
    <x v="2"/>
    <m/>
    <x v="0"/>
    <x v="0"/>
    <m/>
    <m/>
    <m/>
    <m/>
  </r>
  <r>
    <d v="2022-05-19T00:00:00"/>
    <s v="P29"/>
    <x v="3"/>
    <m/>
    <m/>
    <n v="60000"/>
    <n v="29828686"/>
    <x v="2"/>
    <m/>
    <x v="0"/>
    <x v="0"/>
    <m/>
    <m/>
    <m/>
    <m/>
  </r>
  <r>
    <d v="2022-05-19T00:00:00"/>
    <s v="Frais de transfert mobile money à P29"/>
    <x v="4"/>
    <s v="Office"/>
    <m/>
    <n v="2100"/>
    <n v="29826586"/>
    <x v="2"/>
    <s v="Oui"/>
    <x v="2"/>
    <x v="2"/>
    <s v="CONGO"/>
    <s v="RALFF-CO3371"/>
    <s v="5.6"/>
    <m/>
  </r>
  <r>
    <d v="2022-05-19T00:00:00"/>
    <s v="Bonus media/interpellation 02 trafs le 13 Mai 2022 à brazzaville"/>
    <x v="12"/>
    <s v="Media"/>
    <m/>
    <n v="29000"/>
    <n v="29797586"/>
    <x v="2"/>
    <s v="Décharge"/>
    <x v="1"/>
    <x v="1"/>
    <s v="CONGO"/>
    <m/>
    <m/>
    <m/>
  </r>
  <r>
    <d v="2022-05-19T00:00:00"/>
    <s v="Bonus media/Condamnation du 12 mai au TGI d'OYO"/>
    <x v="12"/>
    <s v="Media"/>
    <m/>
    <n v="29000"/>
    <n v="29768586"/>
    <x v="2"/>
    <s v="Décharge"/>
    <x v="1"/>
    <x v="1"/>
    <s v="CONGO"/>
    <m/>
    <m/>
    <m/>
  </r>
  <r>
    <d v="2022-05-19T00:00:00"/>
    <s v="Solde Honoraire contrat N°43 Cas KAMBA et consort OYO/Me Hélène NANITELAMIO"/>
    <x v="10"/>
    <s v="Legal"/>
    <m/>
    <n v="300000"/>
    <n v="29468586"/>
    <x v="4"/>
    <n v="3643659"/>
    <x v="2"/>
    <x v="2"/>
    <s v="CONGO"/>
    <s v="RALFF-CO3372"/>
    <s v="5.2.2"/>
    <m/>
  </r>
  <r>
    <d v="2022-05-19T00:00:00"/>
    <s v="Acompte contrat ,n°44 cas Sam Divin et Lamine KOULIBALI / Me Hélène NANITELAMIO"/>
    <x v="10"/>
    <s v="Legal"/>
    <m/>
    <n v="200000"/>
    <n v="29268586"/>
    <x v="4"/>
    <n v="3643660"/>
    <x v="2"/>
    <x v="2"/>
    <s v="CONGO"/>
    <s v="RALFF-CO3373"/>
    <s v="5.2.2"/>
    <m/>
  </r>
  <r>
    <d v="2022-05-19T00:00:00"/>
    <s v="Reçu Caisse/ Tiffany"/>
    <x v="3"/>
    <m/>
    <n v="79000"/>
    <m/>
    <n v="29347586"/>
    <x v="13"/>
    <m/>
    <x v="0"/>
    <x v="0"/>
    <m/>
    <m/>
    <m/>
    <m/>
  </r>
  <r>
    <d v="2022-05-19T00:00:00"/>
    <s v="Reçu de caisse/Crépin"/>
    <x v="3"/>
    <m/>
    <n v="311000"/>
    <m/>
    <n v="29658586"/>
    <x v="9"/>
    <m/>
    <x v="0"/>
    <x v="0"/>
    <m/>
    <m/>
    <m/>
    <m/>
  </r>
  <r>
    <d v="2022-05-19T00:00:00"/>
    <s v="Billet Brazzaville-Oyo/Crépin"/>
    <x v="9"/>
    <s v="Management"/>
    <m/>
    <n v="7000"/>
    <n v="29651586"/>
    <x v="9"/>
    <s v="Oui"/>
    <x v="1"/>
    <x v="2"/>
    <s v="CONGO"/>
    <s v="RALFF-CO3374"/>
    <s v="2.2"/>
    <m/>
  </r>
  <r>
    <d v="2022-05-19T00:00:00"/>
    <s v="Reçu caisse/Merveille"/>
    <x v="3"/>
    <m/>
    <n v="120000"/>
    <m/>
    <n v="29771586"/>
    <x v="7"/>
    <m/>
    <x v="0"/>
    <x v="0"/>
    <m/>
    <m/>
    <m/>
    <m/>
  </r>
  <r>
    <d v="2022-05-19T00:00:00"/>
    <s v="Achat Billet Brazzaville -OYO/Merveille"/>
    <x v="9"/>
    <s v="Management"/>
    <m/>
    <n v="7000"/>
    <n v="29764586"/>
    <x v="7"/>
    <s v="Oui"/>
    <x v="1"/>
    <x v="2"/>
    <s v="CONGO"/>
    <s v="RALFF-CO3375"/>
    <s v="2.2"/>
    <m/>
  </r>
  <r>
    <d v="2022-05-19T00:00:00"/>
    <s v="Recu caisse/Hurielle"/>
    <x v="3"/>
    <m/>
    <n v="154000"/>
    <m/>
    <n v="29918586"/>
    <x v="1"/>
    <m/>
    <x v="0"/>
    <x v="0"/>
    <m/>
    <m/>
    <m/>
    <m/>
  </r>
  <r>
    <d v="2022-05-19T00:00:00"/>
    <s v="Achat produits du traitement de KAMBA André"/>
    <x v="8"/>
    <s v="Legal"/>
    <m/>
    <n v="15275"/>
    <n v="29903311"/>
    <x v="1"/>
    <s v="Oui"/>
    <x v="1"/>
    <x v="1"/>
    <s v="CONGO"/>
    <m/>
    <m/>
    <m/>
  </r>
  <r>
    <d v="2022-05-19T00:00:00"/>
    <s v="Reçu de la caisse/Evariste"/>
    <x v="3"/>
    <m/>
    <n v="133000"/>
    <m/>
    <n v="30036311"/>
    <x v="12"/>
    <m/>
    <x v="0"/>
    <x v="0"/>
    <m/>
    <m/>
    <m/>
    <m/>
  </r>
  <r>
    <d v="2022-05-19T00:00:00"/>
    <s v="Achat billet Brazzaville-Oyo à l'agence Océan du Nord/Evariste"/>
    <x v="9"/>
    <s v="Media"/>
    <m/>
    <n v="7000"/>
    <n v="30029311"/>
    <x v="12"/>
    <s v="Oui"/>
    <x v="1"/>
    <x v="2"/>
    <s v="CONGO"/>
    <s v="RALFF-CO3376"/>
    <s v="2.2"/>
    <m/>
  </r>
  <r>
    <d v="2022-05-19T00:00:00"/>
    <s v="Billet kinkala - boko"/>
    <x v="9"/>
    <s v="Investigation"/>
    <m/>
    <n v="6000"/>
    <n v="30023311"/>
    <x v="8"/>
    <s v="Oui"/>
    <x v="1"/>
    <x v="2"/>
    <s v="CONGO"/>
    <s v="RALFF-CO3377"/>
    <s v="2.2"/>
    <m/>
  </r>
  <r>
    <d v="2022-05-19T00:00:00"/>
    <s v="P29 - CONGO Paiement 2 nuitées du 17 au 19-05-2022 à kinkala"/>
    <x v="1"/>
    <s v="Investigation"/>
    <m/>
    <n v="30000"/>
    <n v="29993311"/>
    <x v="8"/>
    <s v="Oui"/>
    <x v="1"/>
    <x v="2"/>
    <s v="CONGO"/>
    <s v="RALFF-CO3378"/>
    <s v="1.3.2"/>
    <m/>
  </r>
  <r>
    <d v="2022-05-19T00:00:00"/>
    <s v="Recu de caisse/P29"/>
    <x v="3"/>
    <m/>
    <n v="60000"/>
    <m/>
    <n v="30053311"/>
    <x v="8"/>
    <m/>
    <x v="0"/>
    <x v="0"/>
    <m/>
    <m/>
    <m/>
    <m/>
  </r>
  <r>
    <d v="2022-05-19T00:00:00"/>
    <s v="Reçu caisse (buget supp du 20 au 22 mai 2022+flash OP)/I23C"/>
    <x v="3"/>
    <m/>
    <n v="370000"/>
    <m/>
    <n v="30423311"/>
    <x v="6"/>
    <m/>
    <x v="0"/>
    <x v="0"/>
    <m/>
    <m/>
    <m/>
    <m/>
  </r>
  <r>
    <d v="2022-05-19T00:00:00"/>
    <s v="Achat Billet Brazzaville-Oyo/ Tiffany"/>
    <x v="9"/>
    <s v="Management"/>
    <m/>
    <n v="7000"/>
    <n v="30416311"/>
    <x v="13"/>
    <s v="Oui"/>
    <x v="2"/>
    <x v="2"/>
    <s v="CONGO"/>
    <s v="RALFF-CO3379"/>
    <s v="2.2"/>
    <m/>
  </r>
  <r>
    <d v="2022-05-20T00:00:00"/>
    <s v="Bonus Op du 13/05/2022-Paule MALONGA"/>
    <x v="12"/>
    <s v="Legal"/>
    <m/>
    <n v="10000"/>
    <n v="30406311"/>
    <x v="2"/>
    <s v="Décharge"/>
    <x v="1"/>
    <x v="1"/>
    <s v="CONGO"/>
    <m/>
    <m/>
    <m/>
  </r>
  <r>
    <d v="2022-05-20T00:00:00"/>
    <s v="Yan"/>
    <x v="3"/>
    <m/>
    <m/>
    <n v="10000"/>
    <n v="30396311"/>
    <x v="2"/>
    <m/>
    <x v="0"/>
    <x v="0"/>
    <m/>
    <m/>
    <m/>
    <m/>
  </r>
  <r>
    <d v="2022-05-20T00:00:00"/>
    <s v="Frais de mission Me Scrutin MOUYETI à Dolisie du 22 au 24 Mai 2022"/>
    <x v="10"/>
    <s v="Legal"/>
    <m/>
    <n v="76000"/>
    <n v="30320311"/>
    <x v="2"/>
    <s v="Oui"/>
    <x v="2"/>
    <x v="2"/>
    <s v="CONGO"/>
    <s v="RALFF-CO3380"/>
    <s v="5.2.2"/>
    <m/>
  </r>
  <r>
    <d v="2022-05-20T00:00:00"/>
    <s v="Avance frais Maintenance pour 2 Ordinateur Lenovo et Asus"/>
    <x v="16"/>
    <s v="Office"/>
    <m/>
    <n v="10000"/>
    <n v="30310311"/>
    <x v="2"/>
    <s v="Oui"/>
    <x v="1"/>
    <x v="2"/>
    <s v="CONGO"/>
    <s v="RALFF-CO3381"/>
    <s v="4.4"/>
    <m/>
  </r>
  <r>
    <d v="2022-05-20T00:00:00"/>
    <s v="Yan"/>
    <x v="3"/>
    <m/>
    <m/>
    <n v="112000"/>
    <n v="30198311"/>
    <x v="2"/>
    <m/>
    <x v="0"/>
    <x v="0"/>
    <m/>
    <m/>
    <m/>
    <m/>
  </r>
  <r>
    <d v="2022-05-20T00:00:00"/>
    <s v="TIFFANY - CONGO Food allowance du 20 au 22 mai 2022"/>
    <x v="1"/>
    <s v="Management"/>
    <m/>
    <n v="20000"/>
    <n v="30178311"/>
    <x v="13"/>
    <s v="Décharge"/>
    <x v="2"/>
    <x v="2"/>
    <s v="CONGO"/>
    <s v="RALFF-CO3382"/>
    <s v="1.3.2"/>
    <m/>
  </r>
  <r>
    <d v="2022-05-20T00:00:00"/>
    <s v="CREPIN - CONGO Food-Allowance du 20 au 28/05/2022"/>
    <x v="1"/>
    <s v="Management"/>
    <m/>
    <n v="80000"/>
    <n v="30098311"/>
    <x v="9"/>
    <s v="Décharge"/>
    <x v="1"/>
    <x v="2"/>
    <s v="CONGO"/>
    <s v="RALFF-CO3383"/>
    <s v="1.3.2"/>
    <m/>
  </r>
  <r>
    <d v="2022-05-20T00:00:00"/>
    <s v="MERVEILLE - CONGO Foodallowance mission du  20 au 22/05/2022"/>
    <x v="1"/>
    <s v="Management"/>
    <m/>
    <n v="20000"/>
    <n v="30078311"/>
    <x v="7"/>
    <s v="Décharge"/>
    <x v="1"/>
    <x v="2"/>
    <s v="CONGO"/>
    <s v="RALFF-CO3384"/>
    <s v="1.3.2"/>
    <m/>
  </r>
  <r>
    <d v="2022-05-20T00:00:00"/>
    <s v="Transfert  à Hurielle/Tiffany"/>
    <x v="3"/>
    <m/>
    <m/>
    <n v="6000"/>
    <n v="30072311"/>
    <x v="13"/>
    <m/>
    <x v="0"/>
    <x v="0"/>
    <m/>
    <m/>
    <m/>
    <m/>
  </r>
  <r>
    <d v="2022-05-20T00:00:00"/>
    <s v="Achat raffraichissement (jus,eau,biscuit,jus)"/>
    <x v="1"/>
    <s v="Operation"/>
    <m/>
    <n v="2000"/>
    <n v="30070311"/>
    <x v="7"/>
    <s v="Oui"/>
    <x v="1"/>
    <x v="1"/>
    <s v="CONGO"/>
    <m/>
    <m/>
    <m/>
  </r>
  <r>
    <d v="2022-05-20T00:00:00"/>
    <s v="Cumul frais de Ration Journalière mois de Mai 2022/Paule"/>
    <x v="1"/>
    <s v="Legal"/>
    <m/>
    <n v="13000"/>
    <n v="30057311"/>
    <x v="11"/>
    <s v="Décharge"/>
    <x v="1"/>
    <x v="1"/>
    <s v="CONGO"/>
    <m/>
    <m/>
    <m/>
  </r>
  <r>
    <d v="2022-05-20T00:00:00"/>
    <s v="Cumul frais de transport local du mois de Mai 2022/ Paule"/>
    <x v="9"/>
    <s v="Legal"/>
    <m/>
    <n v="50000"/>
    <n v="30007311"/>
    <x v="11"/>
    <s v="Décharge"/>
    <x v="1"/>
    <x v="1"/>
    <s v="CONGO"/>
    <m/>
    <m/>
    <m/>
  </r>
  <r>
    <d v="2022-05-20T00:00:00"/>
    <s v="Transfert à Huriellle/Merveille"/>
    <x v="3"/>
    <m/>
    <m/>
    <n v="10000"/>
    <n v="29997311"/>
    <x v="7"/>
    <m/>
    <x v="0"/>
    <x v="0"/>
    <m/>
    <m/>
    <m/>
    <m/>
  </r>
  <r>
    <d v="2022-05-20T00:00:00"/>
    <s v="Retour caisse/Paule"/>
    <x v="3"/>
    <m/>
    <m/>
    <n v="9500"/>
    <n v="29987811"/>
    <x v="11"/>
    <m/>
    <x v="0"/>
    <x v="0"/>
    <m/>
    <m/>
    <m/>
    <m/>
  </r>
  <r>
    <d v="2022-05-20T00:00:00"/>
    <s v="Reçu Caisse/Yan"/>
    <x v="3"/>
    <m/>
    <n v="10000"/>
    <m/>
    <n v="29997811"/>
    <x v="5"/>
    <m/>
    <x v="0"/>
    <x v="0"/>
    <m/>
    <m/>
    <m/>
    <m/>
  </r>
  <r>
    <d v="2022-05-20T00:00:00"/>
    <s v="Achat billet brazzaville - Dolisie /Yan"/>
    <x v="9"/>
    <s v="Legal"/>
    <m/>
    <n v="10000"/>
    <n v="29987811"/>
    <x v="5"/>
    <s v="Oui"/>
    <x v="1"/>
    <x v="1"/>
    <s v="CONGO"/>
    <m/>
    <m/>
    <m/>
  </r>
  <r>
    <d v="2022-05-20T00:00:00"/>
    <s v="HURIELLE - CONGO Frais d'hotel du 17 au 20 mai 2022 à Oyo"/>
    <x v="1"/>
    <s v="Legal"/>
    <m/>
    <n v="45000"/>
    <n v="29942811"/>
    <x v="1"/>
    <s v="Oui"/>
    <x v="1"/>
    <x v="1"/>
    <s v="CONGO"/>
    <m/>
    <m/>
    <m/>
  </r>
  <r>
    <d v="2022-05-20T00:00:00"/>
    <s v="Reçu Caisse/Yan"/>
    <x v="3"/>
    <m/>
    <n v="112000"/>
    <m/>
    <n v="30054811"/>
    <x v="5"/>
    <m/>
    <x v="0"/>
    <x v="0"/>
    <m/>
    <m/>
    <m/>
    <m/>
  </r>
  <r>
    <d v="2022-05-20T00:00:00"/>
    <s v="Reçu Merveille à Hureille"/>
    <x v="3"/>
    <m/>
    <n v="10000"/>
    <m/>
    <n v="30064811"/>
    <x v="1"/>
    <m/>
    <x v="0"/>
    <x v="0"/>
    <m/>
    <m/>
    <m/>
    <m/>
  </r>
  <r>
    <d v="2022-05-20T00:00:00"/>
    <s v="Achat rafraichissement pour l'opération du 21/05/2022 à Oyo"/>
    <x v="1"/>
    <s v="Legal"/>
    <m/>
    <n v="12000"/>
    <n v="30052811"/>
    <x v="1"/>
    <s v="Oui"/>
    <x v="1"/>
    <x v="1"/>
    <s v="CONGO"/>
    <m/>
    <m/>
    <m/>
  </r>
  <r>
    <d v="2022-05-20T00:00:00"/>
    <s v="Cumul frais de Trust Building Mai 2022/P29"/>
    <x v="17"/>
    <s v="Investigation"/>
    <m/>
    <n v="83500"/>
    <n v="29969311"/>
    <x v="8"/>
    <s v="Décharge"/>
    <x v="1"/>
    <x v="1"/>
    <s v="CONGO"/>
    <m/>
    <m/>
    <m/>
  </r>
  <r>
    <d v="2022-05-20T00:00:00"/>
    <s v="I23C - CONGO Paiement hôtel 4 nuitées du 16 au 20 Mai 2022 cfr mission Oyo"/>
    <x v="1"/>
    <s v="Investigation"/>
    <m/>
    <n v="60000"/>
    <n v="29909311"/>
    <x v="6"/>
    <s v="Oui"/>
    <x v="1"/>
    <x v="2"/>
    <s v="CONGO"/>
    <s v="RALFF-CO3385"/>
    <s v="1.3.2"/>
    <m/>
  </r>
  <r>
    <d v="2022-05-20T00:00:00"/>
    <s v="Reçu Tiffany à Hureille"/>
    <x v="3"/>
    <m/>
    <n v="6000"/>
    <m/>
    <n v="29915311"/>
    <x v="1"/>
    <m/>
    <x v="0"/>
    <x v="0"/>
    <m/>
    <m/>
    <m/>
    <m/>
  </r>
  <r>
    <d v="2022-05-20T00:00:00"/>
    <s v="Impression Fiche Interp (cfr OP Oyo)"/>
    <x v="15"/>
    <s v="Office"/>
    <m/>
    <n v="500"/>
    <n v="29914811"/>
    <x v="6"/>
    <s v="Décharge"/>
    <x v="1"/>
    <x v="1"/>
    <s v="CONGO"/>
    <m/>
    <m/>
    <m/>
  </r>
  <r>
    <d v="2022-05-20T00:00:00"/>
    <s v="I23C - CONGO Paiement hôtel 2 nuitées du 20 au 22 Mai 2022 Hôtel Samba cfr mission OP Oyo"/>
    <x v="1"/>
    <s v="Investigation"/>
    <m/>
    <n v="30000"/>
    <n v="29884811"/>
    <x v="6"/>
    <s v="Oui"/>
    <x v="1"/>
    <x v="2"/>
    <s v="CONGO"/>
    <s v="RALFF-CO3386"/>
    <s v="1.3.2"/>
    <m/>
  </r>
  <r>
    <d v="2022-05-20T00:00:00"/>
    <s v="Retour caisse /Paule"/>
    <x v="3"/>
    <m/>
    <n v="9500"/>
    <m/>
    <n v="29894311"/>
    <x v="2"/>
    <m/>
    <x v="0"/>
    <x v="0"/>
    <m/>
    <m/>
    <m/>
    <m/>
  </r>
  <r>
    <d v="2022-05-20T00:00:00"/>
    <s v="EVARISTE - CONGO Food Allowance du 20 au 24 mai 2022 mission Oyo"/>
    <x v="1"/>
    <s v="Media"/>
    <m/>
    <n v="40000"/>
    <n v="29854311"/>
    <x v="12"/>
    <s v="Décharge"/>
    <x v="1"/>
    <x v="2"/>
    <s v="CONGO"/>
    <s v="RALFF-CO3387"/>
    <s v="1.3.2"/>
    <m/>
  </r>
  <r>
    <d v="2022-05-21T00:00:00"/>
    <s v="TIFFANY - CONGO  Frais d'Hôtel 1 nuitée du 20 au 21 mai 2022 à Oyo"/>
    <x v="1"/>
    <s v="Operation"/>
    <m/>
    <n v="10000"/>
    <n v="29844311"/>
    <x v="13"/>
    <s v="Oui"/>
    <x v="2"/>
    <x v="2"/>
    <s v="CONGO"/>
    <s v="RALFF-CO3388"/>
    <s v="1.3.2"/>
    <m/>
  </r>
  <r>
    <d v="2022-05-21T00:00:00"/>
    <s v="Achat Billet Oyo- Brazzaville/ Tiffany"/>
    <x v="9"/>
    <s v="Management"/>
    <m/>
    <n v="7000"/>
    <n v="29837311"/>
    <x v="13"/>
    <s v="Oui"/>
    <x v="2"/>
    <x v="2"/>
    <s v="CONGO"/>
    <s v="RALFF-CO3389"/>
    <s v="2.2"/>
    <m/>
  </r>
  <r>
    <d v="2022-05-21T00:00:00"/>
    <s v="Raffraichissement pour 4 gendarmes et 1 angent PALF en attendant le top de l'opération"/>
    <x v="1"/>
    <s v="Management"/>
    <m/>
    <n v="6500"/>
    <n v="29830811"/>
    <x v="9"/>
    <s v="Décharge"/>
    <x v="1"/>
    <x v="1"/>
    <s v="CONGO"/>
    <m/>
    <m/>
    <m/>
  </r>
  <r>
    <d v="2022-05-21T00:00:00"/>
    <s v="Frais location taxi aux fins de la suite de l'opération/Deux tours"/>
    <x v="9"/>
    <s v="Operation"/>
    <m/>
    <n v="8000"/>
    <n v="29822811"/>
    <x v="9"/>
    <s v="Oui"/>
    <x v="1"/>
    <x v="1"/>
    <s v="CONGO"/>
    <m/>
    <m/>
    <m/>
  </r>
  <r>
    <d v="2022-05-21T00:00:00"/>
    <s v="Bonus opération pour 17 gendarmes et 1 EF (le CBEF)"/>
    <x v="12"/>
    <s v="Management"/>
    <m/>
    <n v="180000"/>
    <n v="29642811"/>
    <x v="9"/>
    <s v="Oui"/>
    <x v="1"/>
    <x v="1"/>
    <s v="CONGO"/>
    <m/>
    <m/>
    <m/>
  </r>
  <r>
    <d v="2022-05-21T00:00:00"/>
    <s v="Ration pour 4 gendarmes d'Owando le 21/05/2022"/>
    <x v="1"/>
    <s v="Management"/>
    <m/>
    <n v="18400"/>
    <n v="29624411"/>
    <x v="9"/>
    <s v="Oui"/>
    <x v="1"/>
    <x v="1"/>
    <s v="CONGO"/>
    <m/>
    <m/>
    <m/>
  </r>
  <r>
    <d v="2022-05-21T00:00:00"/>
    <s v="MERVEILLE - CONGO Frais d'Hotel du 20 au 21 Mai  2022 - OYO"/>
    <x v="1"/>
    <s v="Management"/>
    <m/>
    <n v="15000"/>
    <n v="29609411"/>
    <x v="7"/>
    <s v="Oui"/>
    <x v="1"/>
    <x v="2"/>
    <s v="CONGO"/>
    <s v="RALFF-CO3390"/>
    <s v="1.3.2"/>
    <m/>
  </r>
  <r>
    <d v="2022-05-21T00:00:00"/>
    <s v="Location taxi pour 3h en attente extraction"/>
    <x v="9"/>
    <s v="Operation"/>
    <m/>
    <n v="8000"/>
    <n v="29601411"/>
    <x v="7"/>
    <s v="Oui"/>
    <x v="1"/>
    <x v="1"/>
    <s v="CONGO"/>
    <m/>
    <m/>
    <m/>
  </r>
  <r>
    <d v="2022-05-21T00:00:00"/>
    <s v="Frais de Taxi ( OYO-NGO) Extration I23c après OP"/>
    <x v="9"/>
    <s v="Operation"/>
    <m/>
    <n v="35000"/>
    <n v="29566411"/>
    <x v="7"/>
    <s v="Oui"/>
    <x v="1"/>
    <x v="1"/>
    <s v="CONGO"/>
    <m/>
    <m/>
    <m/>
  </r>
  <r>
    <d v="2022-05-21T00:00:00"/>
    <s v="HURIELLE - CONGO Frais d'hotel 1 nuitée du 20 au 21/05/2021 à Oyo"/>
    <x v="1"/>
    <s v="Legal"/>
    <m/>
    <n v="15000"/>
    <n v="29551411"/>
    <x v="1"/>
    <s v="Oui"/>
    <x v="1"/>
    <x v="1"/>
    <s v="CONGO"/>
    <m/>
    <m/>
    <m/>
  </r>
  <r>
    <d v="2022-05-21T00:00:00"/>
    <s v="Achat d'un pantalon et d'un calecon du prévenu Freddy"/>
    <x v="8"/>
    <s v="Legal"/>
    <m/>
    <n v="2000"/>
    <n v="29549411"/>
    <x v="1"/>
    <s v="Oui"/>
    <x v="1"/>
    <x v="1"/>
    <s v="CONGO"/>
    <m/>
    <m/>
    <m/>
  </r>
  <r>
    <d v="2022-05-21T00:00:00"/>
    <s v="Achat des jus, Eau minérale et des paquets de biscuits pour les gendarmes lors de l'opération à Oyo"/>
    <x v="1"/>
    <s v="Media"/>
    <m/>
    <n v="9200"/>
    <n v="29540211"/>
    <x v="12"/>
    <s v="Oui"/>
    <x v="1"/>
    <x v="1"/>
    <s v="CONGO"/>
    <m/>
    <m/>
    <m/>
  </r>
  <r>
    <d v="2022-05-21T00:00:00"/>
    <s v="P29 - CONGO Paiement 2 nuitées du 19 au 21-05-2022 à Boko"/>
    <x v="1"/>
    <s v="Investigation"/>
    <m/>
    <n v="30000"/>
    <n v="29510211"/>
    <x v="8"/>
    <s v="Oui"/>
    <x v="1"/>
    <x v="2"/>
    <s v="CONGO"/>
    <s v="RALFF-CO3391"/>
    <s v="1.3.2"/>
    <m/>
  </r>
  <r>
    <d v="2022-05-21T00:00:00"/>
    <s v="Achat du carburant pour la BJ des Gendarmes OP à Oyo"/>
    <x v="9"/>
    <s v="Operation"/>
    <m/>
    <n v="36000"/>
    <n v="29474211"/>
    <x v="12"/>
    <s v="Oui"/>
    <x v="1"/>
    <x v="1"/>
    <s v="CONGO"/>
    <m/>
    <m/>
    <m/>
  </r>
  <r>
    <d v="2022-05-22T00:00:00"/>
    <s v="TIFFANY - CONGO Frais d'hôtel du 21 mai au 22 mai à Oyo"/>
    <x v="1"/>
    <s v="Management"/>
    <m/>
    <n v="15000"/>
    <n v="29459211"/>
    <x v="13"/>
    <s v="Oui"/>
    <x v="2"/>
    <x v="2"/>
    <s v="CONGO"/>
    <s v="RALFF-CO3392"/>
    <s v="1.3.2"/>
    <m/>
  </r>
  <r>
    <d v="2022-05-22T00:00:00"/>
    <s v="Ration pour 4 gendarmes d'Owando le 22/05/2022"/>
    <x v="1"/>
    <s v="Management"/>
    <m/>
    <n v="24200"/>
    <n v="29435011"/>
    <x v="9"/>
    <s v="Oui"/>
    <x v="1"/>
    <x v="1"/>
    <s v="CONGO"/>
    <m/>
    <m/>
    <m/>
  </r>
  <r>
    <d v="2022-05-22T00:00:00"/>
    <s v="MERVEILLE - CONGO Frais d'Hotel du 21 au 22 Mai  2022 - NGO"/>
    <x v="1"/>
    <s v="Management"/>
    <m/>
    <n v="15000"/>
    <n v="29420011"/>
    <x v="7"/>
    <s v="Oui"/>
    <x v="1"/>
    <x v="2"/>
    <s v="CONGO"/>
    <s v="RALFF-CO3393"/>
    <s v="1.3.2"/>
    <m/>
  </r>
  <r>
    <d v="2022-05-22T00:00:00"/>
    <s v="Achat billet  NGO - Brazzaville/Merveille"/>
    <x v="9"/>
    <s v="Management"/>
    <m/>
    <n v="6000"/>
    <n v="29414011"/>
    <x v="7"/>
    <s v="Oui"/>
    <x v="1"/>
    <x v="2"/>
    <s v="CONGO"/>
    <s v="RALFF-CO3394"/>
    <s v="2.2"/>
    <m/>
  </r>
  <r>
    <d v="2022-05-22T00:00:00"/>
    <s v="YAN GOMAT - CONGO Food Allowance du 22 au 24/05/22"/>
    <x v="1"/>
    <s v="Legal"/>
    <m/>
    <n v="20000"/>
    <n v="29394011"/>
    <x v="5"/>
    <s v="Décharge"/>
    <x v="1"/>
    <x v="1"/>
    <s v="CONGO"/>
    <m/>
    <m/>
    <m/>
  </r>
  <r>
    <d v="2022-05-22T00:00:00"/>
    <s v="I23C - CONGO Paiement d'une nuitée du 21 au 22 mai 2022 à Ngo"/>
    <x v="1"/>
    <s v="Investigation"/>
    <m/>
    <n v="15000"/>
    <n v="29379011"/>
    <x v="6"/>
    <s v="Oui"/>
    <x v="1"/>
    <x v="2"/>
    <s v="CONGO"/>
    <s v="RALFF-CO3395"/>
    <s v="1.3.2"/>
    <m/>
  </r>
  <r>
    <d v="2022-05-22T00:00:00"/>
    <s v="Taxi Ngo-Brazzaville (départ pour Brazza)/I23C"/>
    <x v="9"/>
    <s v="Investigation"/>
    <m/>
    <n v="6000"/>
    <n v="29373011"/>
    <x v="6"/>
    <s v="Oui"/>
    <x v="1"/>
    <x v="2"/>
    <s v="CONGO"/>
    <s v="RALFF-CO3396"/>
    <s v="2.2"/>
    <m/>
  </r>
  <r>
    <d v="2022-05-23T00:00:00"/>
    <s v="Crepin"/>
    <x v="3"/>
    <m/>
    <m/>
    <n v="518000"/>
    <n v="28855011"/>
    <x v="2"/>
    <m/>
    <x v="0"/>
    <x v="0"/>
    <m/>
    <m/>
    <m/>
    <m/>
  </r>
  <r>
    <d v="2022-05-23T00:00:00"/>
    <s v="BCI-3654483/34"/>
    <x v="3"/>
    <m/>
    <n v="2000000"/>
    <m/>
    <n v="30855011"/>
    <x v="2"/>
    <m/>
    <x v="0"/>
    <x v="0"/>
    <m/>
    <m/>
    <m/>
    <m/>
  </r>
  <r>
    <d v="2022-05-23T00:00:00"/>
    <s v="Hurielle"/>
    <x v="3"/>
    <m/>
    <m/>
    <n v="74000"/>
    <n v="30781011"/>
    <x v="2"/>
    <m/>
    <x v="0"/>
    <x v="0"/>
    <m/>
    <m/>
    <m/>
    <m/>
  </r>
  <r>
    <d v="2022-05-23T00:00:00"/>
    <s v="Evariste"/>
    <x v="3"/>
    <m/>
    <m/>
    <n v="28000"/>
    <n v="30753011"/>
    <x v="2"/>
    <m/>
    <x v="0"/>
    <x v="0"/>
    <m/>
    <m/>
    <m/>
    <m/>
  </r>
  <r>
    <d v="2022-05-23T00:00:00"/>
    <s v="Grace"/>
    <x v="3"/>
    <m/>
    <m/>
    <n v="15000"/>
    <n v="30738011"/>
    <x v="2"/>
    <m/>
    <x v="0"/>
    <x v="0"/>
    <m/>
    <m/>
    <m/>
    <m/>
  </r>
  <r>
    <d v="2022-05-23T00:00:00"/>
    <s v="Achat 04 cartes sim enquete"/>
    <x v="2"/>
    <s v="Investigation"/>
    <m/>
    <n v="42000"/>
    <n v="30696011"/>
    <x v="2"/>
    <s v="Décharge"/>
    <x v="1"/>
    <x v="1"/>
    <s v="CONGO"/>
    <m/>
    <m/>
    <m/>
  </r>
  <r>
    <d v="2022-05-23T00:00:00"/>
    <s v="Solde frais Maintenance pour 2 Ordinateur Lenovo et Asus"/>
    <x v="16"/>
    <s v="Office"/>
    <m/>
    <n v="25000"/>
    <n v="30671011"/>
    <x v="2"/>
    <s v="Oui"/>
    <x v="1"/>
    <x v="2"/>
    <s v="CONGO"/>
    <s v="RALFF-CO3397"/>
    <s v="4.4"/>
    <m/>
  </r>
  <r>
    <d v="2022-05-23T00:00:00"/>
    <s v="Frais de transfert charden farell à Evariste,crepin "/>
    <x v="4"/>
    <s v="Office"/>
    <m/>
    <n v="18600"/>
    <n v="30652411"/>
    <x v="2"/>
    <s v="Oui"/>
    <x v="2"/>
    <x v="2"/>
    <s v="CONGO"/>
    <s v="RALFF-CO3398"/>
    <s v="5.6"/>
    <m/>
  </r>
  <r>
    <d v="2022-05-23T00:00:00"/>
    <s v="Retour caisse /i23c"/>
    <x v="3"/>
    <m/>
    <n v="220000"/>
    <m/>
    <n v="30872411"/>
    <x v="2"/>
    <m/>
    <x v="0"/>
    <x v="0"/>
    <m/>
    <m/>
    <m/>
    <m/>
  </r>
  <r>
    <d v="2022-05-23T00:00:00"/>
    <s v="Tiffany"/>
    <x v="3"/>
    <m/>
    <m/>
    <n v="50000"/>
    <n v="30822411"/>
    <x v="2"/>
    <m/>
    <x v="0"/>
    <x v="0"/>
    <m/>
    <m/>
    <m/>
    <m/>
  </r>
  <r>
    <d v="2022-05-23T00:00:00"/>
    <s v="Merveille"/>
    <x v="3"/>
    <m/>
    <m/>
    <n v="15000"/>
    <n v="30807411"/>
    <x v="2"/>
    <m/>
    <x v="0"/>
    <x v="0"/>
    <m/>
    <m/>
    <m/>
    <m/>
  </r>
  <r>
    <d v="2022-05-23T00:00:00"/>
    <s v="Evariste"/>
    <x v="3"/>
    <m/>
    <m/>
    <n v="11000"/>
    <n v="30796411"/>
    <x v="2"/>
    <m/>
    <x v="0"/>
    <x v="0"/>
    <m/>
    <m/>
    <m/>
    <m/>
  </r>
  <r>
    <d v="2022-05-23T00:00:00"/>
    <s v="Retrait especes/appro caisse/bord n°3654483"/>
    <x v="3"/>
    <m/>
    <m/>
    <n v="2000000"/>
    <n v="28796411"/>
    <x v="3"/>
    <n v="3654483"/>
    <x v="0"/>
    <x v="0"/>
    <m/>
    <m/>
    <m/>
    <m/>
  </r>
  <r>
    <d v="2022-05-23T00:00:00"/>
    <s v="Cumul frais de Transport local mois de Mai 2022/Grace MOLENDE"/>
    <x v="9"/>
    <s v="Management"/>
    <m/>
    <n v="20500"/>
    <n v="28775911"/>
    <x v="14"/>
    <s v="Décharge"/>
    <x v="1"/>
    <x v="2"/>
    <s v="CONGO"/>
    <s v="RALFF-CO3399"/>
    <s v="2.2"/>
    <m/>
  </r>
  <r>
    <d v="2022-05-23T00:00:00"/>
    <s v="Reçu Caisse/Grace"/>
    <x v="3"/>
    <m/>
    <n v="15000"/>
    <m/>
    <n v="28790911"/>
    <x v="14"/>
    <m/>
    <x v="0"/>
    <x v="0"/>
    <m/>
    <m/>
    <m/>
    <m/>
  </r>
  <r>
    <d v="2022-05-23T00:00:00"/>
    <s v="Transfert Caisse/ Tiffany"/>
    <x v="3"/>
    <m/>
    <n v="50000"/>
    <m/>
    <n v="28840911"/>
    <x v="13"/>
    <m/>
    <x v="0"/>
    <x v="0"/>
    <m/>
    <m/>
    <m/>
    <m/>
  </r>
  <r>
    <d v="2022-05-23T00:00:00"/>
    <s v="Reçu de caisse/Crépin"/>
    <x v="3"/>
    <m/>
    <n v="518000"/>
    <m/>
    <n v="29358911"/>
    <x v="9"/>
    <m/>
    <x v="0"/>
    <x v="0"/>
    <m/>
    <m/>
    <m/>
    <m/>
  </r>
  <r>
    <d v="2022-05-23T00:00:00"/>
    <s v="Reçu caisse/Merveille"/>
    <x v="3"/>
    <m/>
    <n v="15000"/>
    <m/>
    <n v="29373911"/>
    <x v="7"/>
    <m/>
    <x v="0"/>
    <x v="0"/>
    <m/>
    <m/>
    <m/>
    <m/>
  </r>
  <r>
    <d v="2022-05-23T00:00:00"/>
    <s v="Ration pour 4 gendarmes d'Owando le 23/05/2022"/>
    <x v="1"/>
    <s v="Management"/>
    <m/>
    <n v="27400"/>
    <n v="29346511"/>
    <x v="9"/>
    <s v="Oui"/>
    <x v="1"/>
    <x v="1"/>
    <s v="CONGO"/>
    <m/>
    <m/>
    <m/>
  </r>
  <r>
    <d v="2022-05-23T00:00:00"/>
    <s v="Frais Acte d'appel et expédition  aff  NGATSE Serge et NDINGA"/>
    <x v="13"/>
    <s v="Legal"/>
    <m/>
    <n v="30000"/>
    <n v="29316511"/>
    <x v="5"/>
    <s v="Oui"/>
    <x v="1"/>
    <x v="1"/>
    <s v="CONGO"/>
    <m/>
    <m/>
    <m/>
  </r>
  <r>
    <d v="2022-05-23T00:00:00"/>
    <s v="Achat billet Dolisie - Brazzaville /Yan"/>
    <x v="9"/>
    <s v="Legal"/>
    <m/>
    <n v="10000"/>
    <n v="29306511"/>
    <x v="5"/>
    <s v="Oui"/>
    <x v="1"/>
    <x v="1"/>
    <s v="CONGO"/>
    <m/>
    <m/>
    <m/>
  </r>
  <r>
    <d v="2022-05-23T00:00:00"/>
    <s v="Cumul frais de jail visites du mois de Mai 2022/Hurielle"/>
    <x v="8"/>
    <s v="Legal"/>
    <m/>
    <n v="87000"/>
    <n v="29219511"/>
    <x v="1"/>
    <s v="Décharge"/>
    <x v="1"/>
    <x v="1"/>
    <s v="CONGO"/>
    <m/>
    <m/>
    <m/>
  </r>
  <r>
    <d v="2022-05-23T00:00:00"/>
    <s v="Recu caisse/Hurielle"/>
    <x v="3"/>
    <m/>
    <n v="74000"/>
    <m/>
    <n v="29293511"/>
    <x v="1"/>
    <m/>
    <x v="0"/>
    <x v="0"/>
    <m/>
    <m/>
    <m/>
    <m/>
  </r>
  <r>
    <d v="2022-05-23T00:00:00"/>
    <s v="Achat billet Oyo-Brazzaville à l'agence Océan du Nord d'Oyo/Evariste"/>
    <x v="9"/>
    <s v="Media"/>
    <m/>
    <n v="7000"/>
    <n v="29286511"/>
    <x v="12"/>
    <s v="Oui"/>
    <x v="1"/>
    <x v="2"/>
    <s v="CONGO"/>
    <s v="RALFF-CO3400"/>
    <s v="2.2"/>
    <m/>
  </r>
  <r>
    <d v="2022-05-23T00:00:00"/>
    <s v="Reçu de la caisse/Evariste"/>
    <x v="3"/>
    <m/>
    <n v="28000"/>
    <m/>
    <n v="29314511"/>
    <x v="12"/>
    <m/>
    <x v="0"/>
    <x v="0"/>
    <m/>
    <m/>
    <m/>
    <m/>
  </r>
  <r>
    <d v="2022-05-23T00:00:00"/>
    <s v="Reçu de la caisse/Evariste"/>
    <x v="3"/>
    <m/>
    <n v="11000"/>
    <m/>
    <n v="29325511"/>
    <x v="12"/>
    <m/>
    <x v="0"/>
    <x v="0"/>
    <m/>
    <m/>
    <m/>
    <m/>
  </r>
  <r>
    <d v="2022-05-23T00:00:00"/>
    <s v="Retour caisse/I23C"/>
    <x v="3"/>
    <m/>
    <m/>
    <n v="220000"/>
    <n v="29105511"/>
    <x v="6"/>
    <m/>
    <x v="0"/>
    <x v="0"/>
    <m/>
    <m/>
    <m/>
    <m/>
  </r>
  <r>
    <d v="2022-05-24T00:00:00"/>
    <s v="I23C"/>
    <x v="3"/>
    <m/>
    <m/>
    <n v="189000"/>
    <n v="28916511"/>
    <x v="2"/>
    <m/>
    <x v="0"/>
    <x v="0"/>
    <m/>
    <m/>
    <m/>
    <m/>
  </r>
  <r>
    <d v="2022-05-24T00:00:00"/>
    <s v="P29"/>
    <x v="3"/>
    <m/>
    <m/>
    <n v="173000"/>
    <n v="28743511"/>
    <x v="2"/>
    <m/>
    <x v="0"/>
    <x v="0"/>
    <m/>
    <m/>
    <m/>
    <m/>
  </r>
  <r>
    <d v="2022-05-24T00:00:00"/>
    <s v="Ration pour 4 gendarmes d'Owando le 24/05/2022"/>
    <x v="1"/>
    <s v="Management"/>
    <m/>
    <n v="27100"/>
    <n v="28716411"/>
    <x v="9"/>
    <s v="Oui"/>
    <x v="1"/>
    <x v="1"/>
    <s v="CONGO"/>
    <m/>
    <m/>
    <m/>
  </r>
  <r>
    <d v="2022-05-24T00:00:00"/>
    <s v="YAN GOMAT - CONGO Frais d'hôtel 22 au 24/05/22 "/>
    <x v="1"/>
    <s v="Legal"/>
    <m/>
    <n v="30000"/>
    <n v="28686411"/>
    <x v="5"/>
    <s v="Oui"/>
    <x v="1"/>
    <x v="1"/>
    <s v="CONGO"/>
    <m/>
    <m/>
    <m/>
  </r>
  <r>
    <d v="2022-05-24T00:00:00"/>
    <s v="HURIELLE - CONGO Frais d'hotel du 21 au 24 mai 2022 à oyo"/>
    <x v="1"/>
    <s v="Legal"/>
    <m/>
    <n v="45000"/>
    <n v="28641411"/>
    <x v="1"/>
    <s v="Oui"/>
    <x v="1"/>
    <x v="1"/>
    <s v="CONGO"/>
    <m/>
    <m/>
    <m/>
  </r>
  <r>
    <d v="2022-05-24T00:00:00"/>
    <s v="Achat billet de retour Oyo-Brazzaville"/>
    <x v="9"/>
    <s v="Legal"/>
    <m/>
    <n v="7000"/>
    <n v="28634411"/>
    <x v="1"/>
    <s v="Oui"/>
    <x v="1"/>
    <x v="1"/>
    <s v="CONGO"/>
    <m/>
    <m/>
    <m/>
  </r>
  <r>
    <d v="2022-05-24T00:00:00"/>
    <s v="EVARISTE - CONGO Frais d'hôtel du 20 au 24 mai 2022 (4 nuités)"/>
    <x v="1"/>
    <s v="Media"/>
    <m/>
    <n v="60000"/>
    <n v="28574411"/>
    <x v="12"/>
    <s v="Oui"/>
    <x v="1"/>
    <x v="2"/>
    <s v="CONGO"/>
    <s v="RALFF-CO3401"/>
    <s v="1.3.2"/>
    <m/>
  </r>
  <r>
    <d v="2022-05-24T00:00:00"/>
    <s v="Recu de caisse/P29"/>
    <x v="3"/>
    <m/>
    <n v="173000"/>
    <m/>
    <n v="28747411"/>
    <x v="8"/>
    <m/>
    <x v="0"/>
    <x v="0"/>
    <m/>
    <m/>
    <m/>
    <m/>
  </r>
  <r>
    <d v="2022-05-24T00:00:00"/>
    <s v="Reçu caisse/I23C"/>
    <x v="3"/>
    <m/>
    <n v="189000"/>
    <m/>
    <n v="28936411"/>
    <x v="6"/>
    <m/>
    <x v="0"/>
    <x v="0"/>
    <m/>
    <m/>
    <m/>
    <m/>
  </r>
  <r>
    <d v="2022-05-24T00:00:00"/>
    <s v="Achat billet BZ-Dolisie/I23C"/>
    <x v="9"/>
    <s v="Investigation"/>
    <m/>
    <n v="10000"/>
    <n v="28926411"/>
    <x v="6"/>
    <s v="Oui"/>
    <x v="1"/>
    <x v="2"/>
    <s v="CONGO"/>
    <s v="RALFF-CO3402"/>
    <s v="2.2"/>
    <m/>
  </r>
  <r>
    <d v="2022-05-25T00:00:00"/>
    <s v="Evariste"/>
    <x v="3"/>
    <m/>
    <m/>
    <n v="15000"/>
    <n v="28911411"/>
    <x v="2"/>
    <m/>
    <x v="0"/>
    <x v="0"/>
    <m/>
    <m/>
    <m/>
    <m/>
  </r>
  <r>
    <d v="2022-05-25T00:00:00"/>
    <s v="Bonus media portant sur l'interpellation de deux présumés trafiquants des trophées de panthère le 21/05/2022"/>
    <x v="12"/>
    <s v="Media"/>
    <m/>
    <n v="150000"/>
    <n v="28761411"/>
    <x v="2"/>
    <s v="Décharge"/>
    <x v="1"/>
    <x v="1"/>
    <s v="CONGO"/>
    <m/>
    <m/>
    <m/>
  </r>
  <r>
    <d v="2022-05-25T00:00:00"/>
    <s v="Achat 02 claviers et 02 souris pour le Bureau"/>
    <x v="15"/>
    <s v="Office"/>
    <m/>
    <n v="25000"/>
    <n v="28736411"/>
    <x v="2"/>
    <s v="Oui"/>
    <x v="1"/>
    <x v="2"/>
    <s v="CONGO"/>
    <s v="RALFF-CO3403"/>
    <s v="3.2"/>
    <m/>
  </r>
  <r>
    <d v="2022-05-25T00:00:00"/>
    <s v="Reglément Facture Congo Telecom Redevance Mai 2022"/>
    <x v="18"/>
    <s v="Office"/>
    <m/>
    <n v="89175"/>
    <n v="28647236"/>
    <x v="2"/>
    <s v="Oui"/>
    <x v="2"/>
    <x v="2"/>
    <s v="CONGO"/>
    <s v="RALFF-CO3404"/>
    <s v="4.5"/>
    <m/>
  </r>
  <r>
    <d v="2022-05-25T00:00:00"/>
    <s v="Frais de transfert charden Farell à Crepin"/>
    <x v="4"/>
    <s v="Office"/>
    <m/>
    <n v="9510"/>
    <n v="28637726"/>
    <x v="2"/>
    <s v="Oui"/>
    <x v="2"/>
    <x v="2"/>
    <s v="CONGO"/>
    <s v="RALFF-CO3405"/>
    <s v="5.6"/>
    <m/>
  </r>
  <r>
    <d v="2022-05-25T00:00:00"/>
    <s v="Crepin"/>
    <x v="3"/>
    <m/>
    <m/>
    <n v="280000"/>
    <n v="28357726"/>
    <x v="2"/>
    <m/>
    <x v="0"/>
    <x v="0"/>
    <m/>
    <m/>
    <m/>
    <m/>
  </r>
  <r>
    <d v="2022-05-25T00:00:00"/>
    <s v="Frais de mission maitre Marie Hélène à Oyo du 26 au 28 Mai 2022"/>
    <x v="10"/>
    <s v="Legal"/>
    <m/>
    <n v="70000"/>
    <n v="28287726"/>
    <x v="2"/>
    <s v="Oui"/>
    <x v="2"/>
    <x v="2"/>
    <s v="CONGO"/>
    <s v="RALFF-CO3406"/>
    <s v="5.2.2"/>
    <m/>
  </r>
  <r>
    <d v="2022-05-25T00:00:00"/>
    <s v="Paiement salaire mois de Mai 2022/MOLENDE Grace"/>
    <x v="14"/>
    <s v="Management"/>
    <m/>
    <n v="350000"/>
    <n v="27937726"/>
    <x v="4"/>
    <n v="3643661"/>
    <x v="2"/>
    <x v="2"/>
    <s v="CONGO"/>
    <s v="RALFF-CO3407"/>
    <s v="1.1.2.1"/>
    <m/>
  </r>
  <r>
    <d v="2022-05-25T00:00:00"/>
    <s v="Paiement salaire mois de Mai 2022/Merveille MAHANGA"/>
    <x v="14"/>
    <s v="Management"/>
    <m/>
    <n v="300000"/>
    <n v="27637726"/>
    <x v="4"/>
    <n v="3643662"/>
    <x v="2"/>
    <x v="2"/>
    <s v="CONGO"/>
    <s v="RALFF-CO3408"/>
    <s v="1.1.2.1"/>
    <m/>
  </r>
  <r>
    <d v="2022-05-25T00:00:00"/>
    <s v="Paiement salaire mois de Mai 2022/IBOUILI IBOUILI Crepin"/>
    <x v="14"/>
    <s v="Legal"/>
    <m/>
    <n v="357982"/>
    <n v="27279744"/>
    <x v="4"/>
    <n v="3643663"/>
    <x v="2"/>
    <x v="2"/>
    <s v="CONGO"/>
    <s v="RALFF-CO3409"/>
    <s v="1.1.1.7"/>
    <m/>
  </r>
  <r>
    <d v="2022-05-25T00:00:00"/>
    <s v="Paiement salaire mois Mai  2022/Evariste LELOUSSI"/>
    <x v="14"/>
    <s v="Media"/>
    <m/>
    <n v="234309"/>
    <n v="27045435"/>
    <x v="4"/>
    <n v="3643664"/>
    <x v="2"/>
    <x v="2"/>
    <s v="CONGO"/>
    <s v="RALFF-CO3410"/>
    <s v="1.1.1.4"/>
    <m/>
  </r>
  <r>
    <d v="2022-05-25T00:00:00"/>
    <s v="Paiement salaire mois de Mai 2022/Tiffany GOBERT"/>
    <x v="14"/>
    <s v="Management"/>
    <m/>
    <n v="1311914"/>
    <n v="25733521"/>
    <x v="4"/>
    <n v="3643665"/>
    <x v="2"/>
    <x v="2"/>
    <s v="CONGO"/>
    <s v="RALFF-CO3411"/>
    <s v="1.1.1.1"/>
    <m/>
  </r>
  <r>
    <d v="2022-05-25T00:00:00"/>
    <s v="Frais de l'impression des photos trafs"/>
    <x v="15"/>
    <s v="Office"/>
    <m/>
    <n v="2500"/>
    <n v="25731021"/>
    <x v="9"/>
    <s v="Oui"/>
    <x v="1"/>
    <x v="1"/>
    <s v="CONGO"/>
    <m/>
    <m/>
    <m/>
  </r>
  <r>
    <d v="2022-05-25T00:00:00"/>
    <s v="Reçu de caisse/Crépin"/>
    <x v="3"/>
    <m/>
    <n v="280000"/>
    <m/>
    <n v="26011021"/>
    <x v="9"/>
    <m/>
    <x v="0"/>
    <x v="0"/>
    <m/>
    <m/>
    <m/>
    <m/>
  </r>
  <r>
    <d v="2022-05-25T00:00:00"/>
    <s v="Ration pour 4 gendarmes d'Owando le 25/05/2022"/>
    <x v="1"/>
    <s v="Management"/>
    <m/>
    <n v="27500"/>
    <n v="25983521"/>
    <x v="9"/>
    <s v="Oui"/>
    <x v="1"/>
    <x v="1"/>
    <s v="CONGO"/>
    <m/>
    <m/>
    <m/>
  </r>
  <r>
    <d v="2022-05-25T00:00:00"/>
    <s v="Reçu de la caisse/Evariste"/>
    <x v="3"/>
    <m/>
    <n v="15000"/>
    <m/>
    <n v="25998521"/>
    <x v="12"/>
    <m/>
    <x v="0"/>
    <x v="0"/>
    <m/>
    <m/>
    <m/>
    <m/>
  </r>
  <r>
    <d v="2022-05-25T00:00:00"/>
    <s v="Achat billet brazzaville-owando"/>
    <x v="9"/>
    <s v="Investigation"/>
    <m/>
    <n v="10000"/>
    <n v="25988521"/>
    <x v="8"/>
    <s v="Oui"/>
    <x v="1"/>
    <x v="2"/>
    <s v="CONGO"/>
    <s v="RALFF-CO3412"/>
    <s v="2.2"/>
    <m/>
  </r>
  <r>
    <d v="2022-05-25T00:00:00"/>
    <s v="P29 - CONGO Food allowance mission du 25 au 30-05-2022"/>
    <x v="1"/>
    <s v="Investigation"/>
    <m/>
    <n v="50000"/>
    <n v="25938521"/>
    <x v="8"/>
    <s v="Décharge"/>
    <x v="1"/>
    <x v="2"/>
    <s v="CONGO"/>
    <s v="RALFF-CO3413"/>
    <s v="1.3.2"/>
    <m/>
  </r>
  <r>
    <d v="2022-05-25T00:00:00"/>
    <s v="I23C - CONGO Food allowance mission Dolisie-Pointe-Noire du 25 au 30 mai 2022"/>
    <x v="1"/>
    <s v="Investigation"/>
    <m/>
    <n v="50000"/>
    <n v="25888521"/>
    <x v="6"/>
    <s v="Décharge"/>
    <x v="1"/>
    <x v="2"/>
    <s v="CONGO"/>
    <s v="RALFF-CO3414"/>
    <s v="1.3.2"/>
    <m/>
  </r>
  <r>
    <d v="2022-05-26T00:00:00"/>
    <s v="Cumul frais de transport local du mois de Mai/2022"/>
    <x v="9"/>
    <s v="Management"/>
    <m/>
    <n v="34500"/>
    <n v="25854021"/>
    <x v="13"/>
    <s v="Décharge"/>
    <x v="2"/>
    <x v="2"/>
    <s v="CONGO"/>
    <s v="RALFF-CO3415"/>
    <s v="2.2"/>
    <m/>
  </r>
  <r>
    <d v="2022-05-26T00:00:00"/>
    <s v="Ration pour 4 gendarmes d'Owando le 26/05/2022"/>
    <x v="1"/>
    <s v="Management"/>
    <m/>
    <n v="28000"/>
    <n v="25826021"/>
    <x v="9"/>
    <s v="Oui"/>
    <x v="1"/>
    <x v="1"/>
    <s v="CONGO"/>
    <m/>
    <m/>
    <m/>
  </r>
  <r>
    <d v="2022-05-27T00:00:00"/>
    <s v="Cumul frais de jail visits du mois de Mai 2022/Crépin"/>
    <x v="8"/>
    <s v="Legal"/>
    <m/>
    <n v="61000"/>
    <n v="25765021"/>
    <x v="9"/>
    <s v="Décharge"/>
    <x v="1"/>
    <x v="1"/>
    <s v="CONGO"/>
    <m/>
    <m/>
    <m/>
  </r>
  <r>
    <d v="2022-05-27T00:00:00"/>
    <s v="Frais d'impression pour la procédure EF et l'analyse juridique"/>
    <x v="15"/>
    <s v="Office"/>
    <m/>
    <n v="8850"/>
    <n v="25756171"/>
    <x v="9"/>
    <s v="Oui"/>
    <x v="1"/>
    <x v="1"/>
    <s v="CONGO"/>
    <m/>
    <m/>
    <m/>
  </r>
  <r>
    <d v="2022-05-27T00:00:00"/>
    <s v="Frais d'impression pour la procédure de la gendarmerie et accessoirs"/>
    <x v="15"/>
    <s v="Office"/>
    <m/>
    <n v="37850"/>
    <n v="25718321"/>
    <x v="9"/>
    <s v="Oui"/>
    <x v="1"/>
    <x v="1"/>
    <s v="CONGO"/>
    <m/>
    <m/>
    <m/>
  </r>
  <r>
    <d v="2022-05-27T00:00:00"/>
    <s v="Ration pour 4 gendarmes d'Owando le 27/05/2022"/>
    <x v="1"/>
    <s v="Management"/>
    <m/>
    <n v="28000"/>
    <n v="25690321"/>
    <x v="9"/>
    <s v="Oui"/>
    <x v="1"/>
    <x v="1"/>
    <s v="CONGO"/>
    <m/>
    <m/>
    <m/>
  </r>
  <r>
    <d v="2022-05-27T00:00:00"/>
    <s v="I23C - CONGO Paiement 2 nuitées du 25 au 27 Mai 2022 à Dolisie"/>
    <x v="1"/>
    <s v="Investigation"/>
    <m/>
    <n v="30000"/>
    <n v="25660321"/>
    <x v="6"/>
    <s v="Oui"/>
    <x v="1"/>
    <x v="2"/>
    <s v="CONGO"/>
    <s v="RALFF-CO3416"/>
    <s v="1.3.2"/>
    <m/>
  </r>
  <r>
    <d v="2022-05-27T00:00:00"/>
    <s v="Achat billet Dolisie-Pointe-Noire (suite investigation à PN)/I23C"/>
    <x v="9"/>
    <s v="Investigation"/>
    <m/>
    <n v="5000"/>
    <n v="25655321"/>
    <x v="6"/>
    <s v="Oui"/>
    <x v="1"/>
    <x v="2"/>
    <s v="CONGO"/>
    <s v="RALFF-CO3417"/>
    <s v="2.2"/>
    <m/>
  </r>
  <r>
    <d v="2022-05-28T00:00:00"/>
    <s v="Frais Hotel 07 Nuitées du 21 au 28/05/2022 à Oyo pour 04 Gendarmes d'Owando NYANGA Marien/OBAMI Ger/AKOUALA Vital/OKANDZE  Brel"/>
    <x v="1"/>
    <s v="Management"/>
    <m/>
    <n v="420000"/>
    <n v="25235321"/>
    <x v="9"/>
    <s v="Oui"/>
    <x v="1"/>
    <x v="1"/>
    <s v="CONGO"/>
    <m/>
    <m/>
    <m/>
  </r>
  <r>
    <d v="2022-05-28T00:00:00"/>
    <s v="Location du taxi pour 4 gendarmes Oyo-Owando"/>
    <x v="9"/>
    <s v="Operation"/>
    <m/>
    <n v="20000"/>
    <n v="25215321"/>
    <x v="9"/>
    <s v="Oui"/>
    <x v="1"/>
    <x v="1"/>
    <s v="CONGO"/>
    <m/>
    <m/>
    <m/>
  </r>
  <r>
    <d v="2022-05-28T00:00:00"/>
    <s v="CREPIN - CONGO Hotel 08 Nuitées du 20 au 28/05/2022 à Oyo pour moi."/>
    <x v="1"/>
    <s v="Management"/>
    <m/>
    <n v="120000"/>
    <n v="25095321"/>
    <x v="9"/>
    <s v="Oui"/>
    <x v="1"/>
    <x v="2"/>
    <s v="CONGO"/>
    <s v="RALFF-CO3418"/>
    <s v="1.3.2"/>
    <n v="-110"/>
  </r>
  <r>
    <d v="2022-05-28T00:00:00"/>
    <s v="Billet: Oyo-Brazzaville/Crépin"/>
    <x v="9"/>
    <s v="Management"/>
    <m/>
    <n v="7000"/>
    <n v="25088321"/>
    <x v="9"/>
    <s v="Oui"/>
    <x v="1"/>
    <x v="2"/>
    <s v="CONGO"/>
    <s v="RALFF-CO3419"/>
    <s v="2.2"/>
    <m/>
  </r>
  <r>
    <d v="2022-05-28T00:00:00"/>
    <s v="Cumul frais de transport local du mois de Mai 2022/Crépin"/>
    <x v="9"/>
    <s v="Management"/>
    <m/>
    <n v="53500"/>
    <n v="25034821"/>
    <x v="9"/>
    <s v="Décharge"/>
    <x v="1"/>
    <x v="2"/>
    <s v="CONGO"/>
    <s v="RALFF-CO3420"/>
    <s v="2.2"/>
    <m/>
  </r>
  <r>
    <d v="2022-05-29T00:00:00"/>
    <s v="Cumul frais de trust Bulding du mois de Mai 2022/I23C"/>
    <x v="17"/>
    <s v="Investigation"/>
    <m/>
    <n v="101000"/>
    <n v="24933821"/>
    <x v="6"/>
    <s v="Décharge"/>
    <x v="1"/>
    <x v="1"/>
    <s v="CONGO"/>
    <m/>
    <m/>
    <m/>
  </r>
  <r>
    <d v="2022-05-29T00:00:00"/>
    <s v="Achat billet Pointe-Noire- Brazzaville/I23C"/>
    <x v="9"/>
    <s v="Investigation"/>
    <m/>
    <n v="15000"/>
    <n v="24918821"/>
    <x v="6"/>
    <s v="Oui"/>
    <x v="1"/>
    <x v="2"/>
    <s v="CONGO"/>
    <s v="RALFF-CO3421"/>
    <s v="2.2"/>
    <m/>
  </r>
  <r>
    <d v="2022-05-30T00:00:00"/>
    <s v="Entretretien général Jardin, Bureau PALF Mois de Mai 2022"/>
    <x v="5"/>
    <s v="Office"/>
    <m/>
    <n v="20000"/>
    <n v="24898821"/>
    <x v="2"/>
    <s v="Oui"/>
    <x v="1"/>
    <x v="1"/>
    <s v="CONGO"/>
    <m/>
    <m/>
    <m/>
  </r>
  <r>
    <d v="2022-05-30T00:00:00"/>
    <s v="Crepin"/>
    <x v="3"/>
    <m/>
    <m/>
    <n v="25000"/>
    <n v="24873821"/>
    <x v="2"/>
    <m/>
    <x v="0"/>
    <x v="0"/>
    <m/>
    <m/>
    <m/>
    <m/>
  </r>
  <r>
    <d v="2022-05-30T00:00:00"/>
    <s v="Yan"/>
    <x v="3"/>
    <m/>
    <m/>
    <n v="15000"/>
    <n v="24858821"/>
    <x v="2"/>
    <m/>
    <x v="0"/>
    <x v="0"/>
    <m/>
    <m/>
    <m/>
    <m/>
  </r>
  <r>
    <d v="2022-05-30T00:00:00"/>
    <s v="Bonus média Portant sur l'interpellation de 02 présumés trafiquants de peaux de panthère le 21/05/2022 à Oyo"/>
    <x v="12"/>
    <s v="Media"/>
    <m/>
    <n v="35000"/>
    <n v="24823821"/>
    <x v="2"/>
    <s v="Décharge"/>
    <x v="1"/>
    <x v="1"/>
    <s v="CONGO"/>
    <m/>
    <m/>
    <m/>
  </r>
  <r>
    <d v="2022-05-30T00:00:00"/>
    <s v="Bonus média portant sur l'interpellation de 02 présumés trafiquants d'ivoire le 13/05/2022 à Brazzaville"/>
    <x v="12"/>
    <s v="Media"/>
    <m/>
    <n v="16000"/>
    <n v="24807821"/>
    <x v="2"/>
    <s v="Décharge"/>
    <x v="1"/>
    <x v="1"/>
    <s v="CONGO"/>
    <m/>
    <m/>
    <m/>
  </r>
  <r>
    <d v="2022-05-30T00:00:00"/>
    <s v="Bonus media portant sur la condamnation de 03 Trafiquan- d'ivoire au TGI d'Oyo le 12 Mai 2022"/>
    <x v="12"/>
    <s v="Media"/>
    <m/>
    <n v="16000"/>
    <n v="24791821"/>
    <x v="2"/>
    <s v="Décharge"/>
    <x v="1"/>
    <x v="1"/>
    <s v="CONGO"/>
    <m/>
    <m/>
    <m/>
  </r>
  <r>
    <d v="2022-05-30T00:00:00"/>
    <s v="Reglement prestation Entretient bureau Mois de Mai   2022/Odile"/>
    <x v="5"/>
    <s v="Office"/>
    <m/>
    <n v="75625"/>
    <n v="24716196"/>
    <x v="2"/>
    <s v="Oui"/>
    <x v="1"/>
    <x v="1"/>
    <s v="CONGO"/>
    <m/>
    <m/>
    <m/>
  </r>
  <r>
    <d v="2022-05-30T00:00:00"/>
    <s v="Yan"/>
    <x v="3"/>
    <m/>
    <m/>
    <n v="10000"/>
    <n v="24706196"/>
    <x v="2"/>
    <m/>
    <x v="0"/>
    <x v="0"/>
    <m/>
    <m/>
    <m/>
    <m/>
  </r>
  <r>
    <d v="2022-05-30T00:00:00"/>
    <s v="Reçu de caisse/Crépin"/>
    <x v="3"/>
    <m/>
    <n v="25000"/>
    <m/>
    <n v="24731196"/>
    <x v="9"/>
    <m/>
    <x v="0"/>
    <x v="0"/>
    <m/>
    <m/>
    <m/>
    <m/>
  </r>
  <r>
    <d v="2022-05-30T00:00:00"/>
    <s v="Reçu Caisse/Yan"/>
    <x v="3"/>
    <m/>
    <n v="10000"/>
    <m/>
    <n v="24741196"/>
    <x v="5"/>
    <m/>
    <x v="0"/>
    <x v="0"/>
    <m/>
    <m/>
    <m/>
    <m/>
  </r>
  <r>
    <d v="2022-05-30T00:00:00"/>
    <s v="Cumul frais de Jail Visits du mois de Mai 2022/Yan"/>
    <x v="8"/>
    <s v="Legal"/>
    <m/>
    <n v="22000"/>
    <n v="24719196"/>
    <x v="5"/>
    <s v="Décharge"/>
    <x v="1"/>
    <x v="1"/>
    <s v="CONGO"/>
    <m/>
    <m/>
    <m/>
  </r>
  <r>
    <d v="2022-05-30T00:00:00"/>
    <s v="Reçu Caisse/Yan"/>
    <x v="3"/>
    <m/>
    <n v="15000"/>
    <m/>
    <n v="24734196"/>
    <x v="5"/>
    <m/>
    <x v="0"/>
    <x v="0"/>
    <m/>
    <m/>
    <m/>
    <m/>
  </r>
  <r>
    <d v="2022-05-30T00:00:00"/>
    <s v="Cumul Ration journalière du mois de Mai 2022/Hurielle"/>
    <x v="1"/>
    <s v="Legal"/>
    <m/>
    <n v="7000"/>
    <n v="24727196"/>
    <x v="1"/>
    <s v="Décharge"/>
    <x v="1"/>
    <x v="1"/>
    <s v="CONGO"/>
    <m/>
    <m/>
    <m/>
  </r>
  <r>
    <d v="2022-05-30T00:00:00"/>
    <s v="Cumul frais de transport local du mois de Mai 2022/Hurielle"/>
    <x v="9"/>
    <s v="Legal"/>
    <m/>
    <n v="69500"/>
    <n v="24657696"/>
    <x v="1"/>
    <s v="Décharge"/>
    <x v="1"/>
    <x v="1"/>
    <s v="CONGO"/>
    <m/>
    <m/>
    <m/>
  </r>
  <r>
    <d v="2022-05-30T00:00:00"/>
    <s v="Cumul frais de transport local du mois de Mai 2022/Evariste"/>
    <x v="9"/>
    <s v="Media"/>
    <m/>
    <n v="72000"/>
    <n v="24585696"/>
    <x v="12"/>
    <s v="Décharge"/>
    <x v="1"/>
    <x v="2"/>
    <s v="CONGO"/>
    <s v="RALFF-CO3422"/>
    <s v="2.2"/>
    <m/>
  </r>
  <r>
    <d v="2022-05-30T00:00:00"/>
    <s v="Cumul frais de transport local Mai 2022/P29"/>
    <x v="9"/>
    <s v="Investigation"/>
    <m/>
    <n v="74500"/>
    <n v="24511196"/>
    <x v="8"/>
    <s v="Décharge"/>
    <x v="1"/>
    <x v="2"/>
    <s v="CONGO"/>
    <s v="RALFF-CO3423"/>
    <s v="2.2"/>
    <m/>
  </r>
  <r>
    <d v="2022-05-30T00:00:00"/>
    <s v="Achat billet owando- brazzaville"/>
    <x v="9"/>
    <s v="Investigation"/>
    <m/>
    <n v="10000"/>
    <n v="24501196"/>
    <x v="8"/>
    <s v="Oui"/>
    <x v="1"/>
    <x v="2"/>
    <s v="CONGO"/>
    <s v="RALFF-CO3424"/>
    <s v="2.2"/>
    <m/>
  </r>
  <r>
    <d v="2022-05-30T00:00:00"/>
    <s v="P29 - CONGO Paiement 5 nuitées du 25  au 30-05-2022 à owando"/>
    <x v="1"/>
    <s v="Investigation"/>
    <m/>
    <n v="75000"/>
    <n v="24426196"/>
    <x v="8"/>
    <s v="Oui"/>
    <x v="1"/>
    <x v="2"/>
    <s v="CONGO"/>
    <s v="RALFF-CO3425"/>
    <s v="1.3.2"/>
    <m/>
  </r>
  <r>
    <d v="2022-05-30T00:00:00"/>
    <s v="I23C - CONGO Paiement 3 nuitées du 27 au 30 Mai 2022 à Pointe-Noire"/>
    <x v="1"/>
    <s v="Investigation"/>
    <m/>
    <n v="45000"/>
    <n v="24381196"/>
    <x v="6"/>
    <s v="Oui"/>
    <x v="1"/>
    <x v="2"/>
    <s v="CONGO"/>
    <s v="RALFF-CO3426"/>
    <s v="1.3.2"/>
    <m/>
  </r>
  <r>
    <d v="2022-05-30T00:00:00"/>
    <s v="Cumul frais de transport local Mai 2022/I23C"/>
    <x v="9"/>
    <s v="Investigation"/>
    <m/>
    <n v="109000"/>
    <n v="24272196"/>
    <x v="6"/>
    <s v="Décharge"/>
    <x v="1"/>
    <x v="2"/>
    <s v="CONGO"/>
    <s v="RALFF-CO3427"/>
    <s v="2.2"/>
    <m/>
  </r>
  <r>
    <d v="2022-05-31T00:00:00"/>
    <s v="Achat produits d'entretien Bureau/javel,balai,sucre,lait papier toilette,chifon"/>
    <x v="15"/>
    <s v="Office"/>
    <m/>
    <n v="35250"/>
    <n v="24236946"/>
    <x v="2"/>
    <s v="Oui"/>
    <x v="1"/>
    <x v="2"/>
    <s v="CONGO"/>
    <s v="RALFF-CO3428"/>
    <s v="4.3"/>
    <m/>
  </r>
  <r>
    <d v="2022-05-31T00:00:00"/>
    <s v="Achat credit telephonique MTN/Legal"/>
    <x v="2"/>
    <s v="Legal"/>
    <m/>
    <n v="5000"/>
    <n v="24231946"/>
    <x v="2"/>
    <s v="Oui"/>
    <x v="1"/>
    <x v="1"/>
    <s v="CONGO"/>
    <m/>
    <m/>
    <m/>
  </r>
  <r>
    <d v="2022-05-31T00:00:00"/>
    <s v="BCI-3654485/34"/>
    <x v="3"/>
    <m/>
    <n v="1000000"/>
    <m/>
    <n v="25231946"/>
    <x v="2"/>
    <m/>
    <x v="0"/>
    <x v="0"/>
    <m/>
    <m/>
    <m/>
    <m/>
  </r>
  <r>
    <d v="2022-05-31T00:00:00"/>
    <s v="Reglement Facture Gardiennage Mois de Mai 2022/3654484"/>
    <x v="5"/>
    <s v="Office"/>
    <m/>
    <n v="260000"/>
    <n v="24971946"/>
    <x v="3"/>
    <n v="3654484"/>
    <x v="1"/>
    <x v="1"/>
    <s v="CONGO"/>
    <m/>
    <m/>
    <m/>
  </r>
  <r>
    <d v="2022-05-31T00:00:00"/>
    <s v="Retrait especes/appro caisse/bord n°3654485"/>
    <x v="3"/>
    <m/>
    <m/>
    <n v="1000000"/>
    <n v="23971946"/>
    <x v="3"/>
    <n v="3654485"/>
    <x v="0"/>
    <x v="0"/>
    <m/>
    <m/>
    <m/>
    <m/>
  </r>
  <r>
    <d v="2022-05-31T00:00:00"/>
    <s v="Reglement loyer mois de Mai 2022/Bureau PALF"/>
    <x v="11"/>
    <s v="Office"/>
    <m/>
    <n v="500000"/>
    <n v="23471946"/>
    <x v="4"/>
    <n v="3643666"/>
    <x v="2"/>
    <x v="2"/>
    <s v="CONGO"/>
    <s v="RALFF-CO3429"/>
    <s v="4.2"/>
    <m/>
  </r>
  <r>
    <d v="2022-05-31T00:00:00"/>
    <s v="Cumul frais de transport local mois de Mai 2022/Merveille"/>
    <x v="9"/>
    <s v="Management"/>
    <m/>
    <n v="43500"/>
    <n v="23428446"/>
    <x v="7"/>
    <s v="Décharge"/>
    <x v="1"/>
    <x v="2"/>
    <s v="CONGO"/>
    <s v="RALFF-CO3430"/>
    <s v="2.2"/>
    <m/>
  </r>
  <r>
    <d v="2022-05-31T00:00:00"/>
    <s v="Cumul frais de ration Journalière Mai 2022/Yan"/>
    <x v="1"/>
    <s v="Legal"/>
    <m/>
    <n v="15000"/>
    <n v="23413446"/>
    <x v="5"/>
    <s v="Décharge"/>
    <x v="1"/>
    <x v="1"/>
    <s v="CONGO"/>
    <m/>
    <m/>
    <m/>
  </r>
  <r>
    <d v="2022-05-31T00:00:00"/>
    <s v="Cumul frais de transport local de Mai 2022/Yan"/>
    <x v="9"/>
    <s v="Legal"/>
    <m/>
    <n v="61500"/>
    <n v="23351946"/>
    <x v="5"/>
    <s v="Décharge"/>
    <x v="1"/>
    <x v="1"/>
    <s v="CONG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M20" firstHeaderRow="1" firstDataRow="3" firstDataCol="1"/>
  <pivotFields count="15">
    <pivotField numFmtId="171" showAll="0"/>
    <pivotField showAll="0"/>
    <pivotField axis="axisCol" showAll="0">
      <items count="20">
        <item x="7"/>
        <item x="12"/>
        <item x="13"/>
        <item x="6"/>
        <item x="18"/>
        <item x="8"/>
        <item x="10"/>
        <item x="15"/>
        <item x="14"/>
        <item x="11"/>
        <item x="5"/>
        <item x="2"/>
        <item x="4"/>
        <item x="9"/>
        <item x="1"/>
        <item x="17"/>
        <item x="3"/>
        <item x="16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6">
        <item x="3"/>
        <item x="4"/>
        <item x="2"/>
        <item x="9"/>
        <item x="12"/>
        <item x="10"/>
        <item x="14"/>
        <item x="1"/>
        <item x="6"/>
        <item x="7"/>
        <item x="8"/>
        <item x="11"/>
        <item x="13"/>
        <item x="5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2"/>
    <field x="-2"/>
  </colFields>
  <colItems count="3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5">
    <pivotField numFmtId="171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71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745"/>
  <sheetViews>
    <sheetView zoomScale="73" zoomScaleNormal="73" workbookViewId="0">
      <pane xSplit="1" topLeftCell="E1" activePane="topRight" state="frozen"/>
      <selection pane="topRight" activeCell="K22" sqref="K22"/>
    </sheetView>
  </sheetViews>
  <sheetFormatPr baseColWidth="10" defaultColWidth="11.42578125" defaultRowHeight="15"/>
  <cols>
    <col min="1" max="1" width="43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222" customWidth="1"/>
    <col min="18" max="16384" width="11.42578125" style="5"/>
  </cols>
  <sheetData>
    <row r="2" spans="1:17" ht="15.75">
      <c r="A2" s="6" t="s">
        <v>37</v>
      </c>
      <c r="B2" s="6" t="s">
        <v>1</v>
      </c>
      <c r="C2" s="6">
        <v>44682</v>
      </c>
      <c r="D2" s="7" t="s">
        <v>38</v>
      </c>
      <c r="E2" s="7" t="s">
        <v>39</v>
      </c>
      <c r="F2" s="7" t="s">
        <v>40</v>
      </c>
      <c r="G2" s="7" t="s">
        <v>41</v>
      </c>
      <c r="H2" s="6">
        <v>44712</v>
      </c>
      <c r="I2" s="7" t="s">
        <v>42</v>
      </c>
      <c r="K2" s="47"/>
      <c r="L2" s="47" t="s">
        <v>43</v>
      </c>
      <c r="M2" s="47" t="s">
        <v>44</v>
      </c>
      <c r="N2" s="47" t="s">
        <v>45</v>
      </c>
      <c r="O2" s="47" t="s">
        <v>46</v>
      </c>
      <c r="Q2" s="5"/>
    </row>
    <row r="3" spans="1:17" ht="16.5">
      <c r="A3" s="60" t="str">
        <f>K3</f>
        <v>BCI</v>
      </c>
      <c r="B3" s="61" t="s">
        <v>47</v>
      </c>
      <c r="C3" s="63">
        <v>4154435</v>
      </c>
      <c r="D3" s="63">
        <f>+L3</f>
        <v>0</v>
      </c>
      <c r="E3" s="63">
        <f>+N3</f>
        <v>543345</v>
      </c>
      <c r="F3" s="63">
        <f>+M3</f>
        <v>7000000</v>
      </c>
      <c r="G3" s="63">
        <f t="shared" ref="G3:G14" si="0">+O3</f>
        <v>11963948</v>
      </c>
      <c r="H3" s="63">
        <v>8575038</v>
      </c>
      <c r="I3" s="63">
        <f>+C3+D3-E3-F3+G3</f>
        <v>8575038</v>
      </c>
      <c r="J3" s="9">
        <f>I3-H3</f>
        <v>0</v>
      </c>
      <c r="K3" s="47" t="s">
        <v>24</v>
      </c>
      <c r="L3" s="49">
        <v>0</v>
      </c>
      <c r="M3" s="49">
        <v>7000000</v>
      </c>
      <c r="N3" s="49">
        <v>543345</v>
      </c>
      <c r="O3" s="49">
        <v>11963948</v>
      </c>
      <c r="Q3" s="5"/>
    </row>
    <row r="4" spans="1:17" ht="16.5">
      <c r="A4" s="60" t="str">
        <f t="shared" ref="A4:A17" si="1">K4</f>
        <v>BCI-Sous Compte</v>
      </c>
      <c r="B4" s="61" t="s">
        <v>47</v>
      </c>
      <c r="C4" s="63">
        <v>16450956</v>
      </c>
      <c r="D4" s="63">
        <f t="shared" ref="D4:D17" si="2">+L4</f>
        <v>0</v>
      </c>
      <c r="E4" s="63">
        <f t="shared" ref="E4:E17" si="3">+N4</f>
        <v>4219423</v>
      </c>
      <c r="F4" s="63">
        <f t="shared" ref="F4:F17" si="4">+M4</f>
        <v>0</v>
      </c>
      <c r="G4" s="63">
        <f t="shared" si="0"/>
        <v>0</v>
      </c>
      <c r="H4" s="63">
        <v>12231533</v>
      </c>
      <c r="I4" s="63">
        <f>+C4+D4-E4-F4+G4</f>
        <v>12231533</v>
      </c>
      <c r="J4" s="9">
        <f t="shared" ref="J4:J11" si="5">I4-H4</f>
        <v>0</v>
      </c>
      <c r="K4" s="47" t="s">
        <v>158</v>
      </c>
      <c r="L4" s="49">
        <v>0</v>
      </c>
      <c r="M4" s="49">
        <v>0</v>
      </c>
      <c r="N4" s="49">
        <v>4219423</v>
      </c>
      <c r="O4" s="49">
        <v>0</v>
      </c>
      <c r="Q4" s="5"/>
    </row>
    <row r="5" spans="1:17" ht="16.5">
      <c r="A5" s="60" t="str">
        <f t="shared" si="1"/>
        <v>Caisse</v>
      </c>
      <c r="B5" s="61" t="s">
        <v>25</v>
      </c>
      <c r="C5" s="63">
        <v>963113</v>
      </c>
      <c r="D5" s="63">
        <f t="shared" si="2"/>
        <v>7684335</v>
      </c>
      <c r="E5" s="63">
        <f t="shared" si="3"/>
        <v>2033042</v>
      </c>
      <c r="F5" s="63">
        <f t="shared" si="4"/>
        <v>4914000</v>
      </c>
      <c r="G5" s="63">
        <f t="shared" si="0"/>
        <v>0</v>
      </c>
      <c r="H5" s="63">
        <v>1700406</v>
      </c>
      <c r="I5" s="63">
        <f>+C5+D5-E5-F5+G5</f>
        <v>1700406</v>
      </c>
      <c r="J5" s="108">
        <f t="shared" si="5"/>
        <v>0</v>
      </c>
      <c r="K5" s="47" t="s">
        <v>25</v>
      </c>
      <c r="L5" s="49">
        <v>7684335</v>
      </c>
      <c r="M5" s="49">
        <v>4914000</v>
      </c>
      <c r="N5" s="49">
        <v>2033042</v>
      </c>
      <c r="O5" s="49">
        <v>0</v>
      </c>
      <c r="Q5" s="5"/>
    </row>
    <row r="6" spans="1:17" ht="16.5">
      <c r="A6" s="60" t="str">
        <f t="shared" si="1"/>
        <v>Crépin</v>
      </c>
      <c r="B6" s="61" t="s">
        <v>164</v>
      </c>
      <c r="C6" s="63">
        <v>21850</v>
      </c>
      <c r="D6" s="63">
        <f t="shared" si="2"/>
        <v>1282000</v>
      </c>
      <c r="E6" s="63">
        <f t="shared" si="3"/>
        <v>1288100</v>
      </c>
      <c r="F6" s="63">
        <f t="shared" si="4"/>
        <v>0</v>
      </c>
      <c r="G6" s="63">
        <f t="shared" si="0"/>
        <v>0</v>
      </c>
      <c r="H6" s="63">
        <v>15750</v>
      </c>
      <c r="I6" s="63">
        <f>+C6+D6-E6-F6+G6</f>
        <v>15750</v>
      </c>
      <c r="J6" s="9">
        <f t="shared" si="5"/>
        <v>0</v>
      </c>
      <c r="K6" s="47" t="s">
        <v>48</v>
      </c>
      <c r="L6" s="49">
        <v>1282000</v>
      </c>
      <c r="M6" s="49">
        <v>0</v>
      </c>
      <c r="N6" s="49">
        <v>1288100</v>
      </c>
      <c r="O6" s="49">
        <v>0</v>
      </c>
      <c r="Q6" s="5"/>
    </row>
    <row r="7" spans="1:17" ht="16.5">
      <c r="A7" s="60" t="str">
        <f t="shared" si="1"/>
        <v>Evariste</v>
      </c>
      <c r="B7" s="61" t="s">
        <v>165</v>
      </c>
      <c r="C7" s="63">
        <v>7995</v>
      </c>
      <c r="D7" s="63">
        <f t="shared" si="2"/>
        <v>262000</v>
      </c>
      <c r="E7" s="63">
        <f t="shared" si="3"/>
        <v>261200</v>
      </c>
      <c r="F7" s="63">
        <f t="shared" si="4"/>
        <v>0</v>
      </c>
      <c r="G7" s="63">
        <f t="shared" si="0"/>
        <v>0</v>
      </c>
      <c r="H7" s="63">
        <v>8795</v>
      </c>
      <c r="I7" s="63">
        <f t="shared" ref="I7" si="6">+C7+D7-E7-F7+G7</f>
        <v>8795</v>
      </c>
      <c r="J7" s="9">
        <f t="shared" si="5"/>
        <v>0</v>
      </c>
      <c r="K7" s="47" t="s">
        <v>31</v>
      </c>
      <c r="L7" s="49">
        <v>262000</v>
      </c>
      <c r="M7" s="49">
        <v>0</v>
      </c>
      <c r="N7" s="49">
        <v>261200</v>
      </c>
      <c r="O7" s="49">
        <v>0</v>
      </c>
      <c r="Q7" s="5"/>
    </row>
    <row r="8" spans="1:17" ht="16.5">
      <c r="A8" s="60" t="str">
        <f t="shared" si="1"/>
        <v>Godfré</v>
      </c>
      <c r="B8" s="61" t="s">
        <v>164</v>
      </c>
      <c r="C8" s="63">
        <v>156335</v>
      </c>
      <c r="D8" s="63">
        <f t="shared" si="2"/>
        <v>307000</v>
      </c>
      <c r="E8" s="63">
        <f t="shared" si="3"/>
        <v>308500</v>
      </c>
      <c r="F8" s="63">
        <f t="shared" si="4"/>
        <v>154835</v>
      </c>
      <c r="G8" s="63">
        <f t="shared" si="0"/>
        <v>0</v>
      </c>
      <c r="H8" s="63">
        <v>0</v>
      </c>
      <c r="I8" s="63">
        <f>+C8+D8-E8-F8+G8</f>
        <v>0</v>
      </c>
      <c r="J8" s="9">
        <f t="shared" si="5"/>
        <v>0</v>
      </c>
      <c r="K8" s="47" t="s">
        <v>153</v>
      </c>
      <c r="L8" s="49">
        <v>307000</v>
      </c>
      <c r="M8" s="49">
        <v>154835</v>
      </c>
      <c r="N8" s="49">
        <v>308500</v>
      </c>
      <c r="O8" s="49">
        <v>0</v>
      </c>
      <c r="Q8" s="5"/>
    </row>
    <row r="9" spans="1:17" ht="16.5">
      <c r="A9" s="60" t="str">
        <f t="shared" si="1"/>
        <v>I55S</v>
      </c>
      <c r="B9" s="124" t="s">
        <v>4</v>
      </c>
      <c r="C9" s="126">
        <v>233614</v>
      </c>
      <c r="D9" s="126">
        <f t="shared" si="2"/>
        <v>0</v>
      </c>
      <c r="E9" s="126">
        <f t="shared" si="3"/>
        <v>0</v>
      </c>
      <c r="F9" s="126">
        <f t="shared" si="4"/>
        <v>0</v>
      </c>
      <c r="G9" s="126">
        <f t="shared" si="0"/>
        <v>0</v>
      </c>
      <c r="H9" s="126">
        <v>233614</v>
      </c>
      <c r="I9" s="126">
        <f>+C9+D9-E9-F9+G9</f>
        <v>233614</v>
      </c>
      <c r="J9" s="9">
        <f t="shared" si="5"/>
        <v>0</v>
      </c>
      <c r="K9" s="47" t="s">
        <v>85</v>
      </c>
      <c r="L9" s="49">
        <v>0</v>
      </c>
      <c r="M9" s="49">
        <v>0</v>
      </c>
      <c r="N9" s="49">
        <v>0</v>
      </c>
      <c r="O9" s="49">
        <v>0</v>
      </c>
      <c r="Q9" s="5"/>
    </row>
    <row r="10" spans="1:17" ht="16.5">
      <c r="A10" s="60" t="str">
        <f t="shared" si="1"/>
        <v>I73X</v>
      </c>
      <c r="B10" s="124" t="s">
        <v>4</v>
      </c>
      <c r="C10" s="126">
        <v>249769</v>
      </c>
      <c r="D10" s="126">
        <f t="shared" si="2"/>
        <v>0</v>
      </c>
      <c r="E10" s="126">
        <f t="shared" si="3"/>
        <v>0</v>
      </c>
      <c r="F10" s="126">
        <f t="shared" si="4"/>
        <v>0</v>
      </c>
      <c r="G10" s="126">
        <f t="shared" si="0"/>
        <v>0</v>
      </c>
      <c r="H10" s="126">
        <v>249769</v>
      </c>
      <c r="I10" s="126">
        <f t="shared" ref="I10:I13" si="7">+C10+D10-E10-F10+G10</f>
        <v>249769</v>
      </c>
      <c r="J10" s="9">
        <f t="shared" si="5"/>
        <v>0</v>
      </c>
      <c r="K10" s="47" t="s">
        <v>84</v>
      </c>
      <c r="L10" s="49">
        <v>0</v>
      </c>
      <c r="M10" s="49">
        <v>0</v>
      </c>
      <c r="N10" s="49">
        <v>0</v>
      </c>
      <c r="O10" s="49">
        <v>0</v>
      </c>
      <c r="Q10" s="5"/>
    </row>
    <row r="11" spans="1:17" ht="16.5">
      <c r="A11" s="60" t="str">
        <f t="shared" si="1"/>
        <v>Grace</v>
      </c>
      <c r="B11" s="104" t="s">
        <v>2</v>
      </c>
      <c r="C11" s="63">
        <v>10200</v>
      </c>
      <c r="D11" s="63">
        <f t="shared" si="2"/>
        <v>25000</v>
      </c>
      <c r="E11" s="63">
        <f t="shared" si="3"/>
        <v>20500</v>
      </c>
      <c r="F11" s="63">
        <f t="shared" si="4"/>
        <v>0</v>
      </c>
      <c r="G11" s="63">
        <f t="shared" si="0"/>
        <v>0</v>
      </c>
      <c r="H11" s="63">
        <v>14700</v>
      </c>
      <c r="I11" s="63">
        <f t="shared" si="7"/>
        <v>14700</v>
      </c>
      <c r="J11" s="9">
        <f t="shared" si="5"/>
        <v>0</v>
      </c>
      <c r="K11" s="47" t="s">
        <v>152</v>
      </c>
      <c r="L11" s="49">
        <v>25000</v>
      </c>
      <c r="M11" s="49">
        <v>0</v>
      </c>
      <c r="N11" s="49">
        <v>20500</v>
      </c>
      <c r="O11" s="49">
        <v>0</v>
      </c>
      <c r="Q11" s="5"/>
    </row>
    <row r="12" spans="1:17" ht="16.5">
      <c r="A12" s="60" t="str">
        <f t="shared" si="1"/>
        <v>Hurielle</v>
      </c>
      <c r="B12" s="263" t="s">
        <v>164</v>
      </c>
      <c r="C12" s="63">
        <v>43500</v>
      </c>
      <c r="D12" s="63">
        <f t="shared" si="2"/>
        <v>701000</v>
      </c>
      <c r="E12" s="63">
        <f t="shared" si="3"/>
        <v>697550</v>
      </c>
      <c r="F12" s="63">
        <f t="shared" si="4"/>
        <v>0</v>
      </c>
      <c r="G12" s="63">
        <f t="shared" si="0"/>
        <v>0</v>
      </c>
      <c r="H12" s="63">
        <v>46950</v>
      </c>
      <c r="I12" s="63">
        <f t="shared" si="7"/>
        <v>46950</v>
      </c>
      <c r="J12" s="9">
        <f>I12-H12</f>
        <v>0</v>
      </c>
      <c r="K12" s="47" t="s">
        <v>213</v>
      </c>
      <c r="L12" s="49">
        <v>701000</v>
      </c>
      <c r="M12" s="49">
        <v>0</v>
      </c>
      <c r="N12" s="49">
        <v>697550</v>
      </c>
      <c r="O12" s="49">
        <v>0</v>
      </c>
      <c r="Q12" s="5"/>
    </row>
    <row r="13" spans="1:17" ht="16.5">
      <c r="A13" s="60" t="str">
        <f t="shared" si="1"/>
        <v>I23C</v>
      </c>
      <c r="B13" s="264" t="s">
        <v>4</v>
      </c>
      <c r="C13" s="63">
        <v>177550</v>
      </c>
      <c r="D13" s="63">
        <f t="shared" si="2"/>
        <v>969000</v>
      </c>
      <c r="E13" s="63">
        <f t="shared" si="3"/>
        <v>814500</v>
      </c>
      <c r="F13" s="63">
        <f t="shared" si="4"/>
        <v>220000</v>
      </c>
      <c r="G13" s="63">
        <f t="shared" si="0"/>
        <v>0</v>
      </c>
      <c r="H13" s="63">
        <v>112050</v>
      </c>
      <c r="I13" s="63">
        <f t="shared" si="7"/>
        <v>112050</v>
      </c>
      <c r="J13" s="9">
        <f t="shared" ref="J13:J14" si="8">I13-H13</f>
        <v>0</v>
      </c>
      <c r="K13" s="47" t="s">
        <v>30</v>
      </c>
      <c r="L13" s="49">
        <v>969000</v>
      </c>
      <c r="M13" s="49">
        <v>220000</v>
      </c>
      <c r="N13" s="49">
        <v>814500</v>
      </c>
      <c r="O13" s="49">
        <v>0</v>
      </c>
      <c r="Q13" s="5"/>
    </row>
    <row r="14" spans="1:17" ht="16.5">
      <c r="A14" s="60" t="str">
        <f t="shared" si="1"/>
        <v>Merveille</v>
      </c>
      <c r="B14" s="263" t="s">
        <v>2</v>
      </c>
      <c r="C14" s="63">
        <v>4400</v>
      </c>
      <c r="D14" s="63">
        <f t="shared" si="2"/>
        <v>170000</v>
      </c>
      <c r="E14" s="63">
        <f t="shared" si="3"/>
        <v>161500</v>
      </c>
      <c r="F14" s="63">
        <f t="shared" si="4"/>
        <v>10000</v>
      </c>
      <c r="G14" s="63">
        <f t="shared" si="0"/>
        <v>0</v>
      </c>
      <c r="H14" s="63">
        <v>2900</v>
      </c>
      <c r="I14" s="63">
        <f>+C14+D14-E14-F14+G14</f>
        <v>2900</v>
      </c>
      <c r="J14" s="9">
        <f t="shared" si="8"/>
        <v>0</v>
      </c>
      <c r="K14" s="47" t="s">
        <v>94</v>
      </c>
      <c r="L14" s="49">
        <v>170000</v>
      </c>
      <c r="M14" s="49">
        <v>10000</v>
      </c>
      <c r="N14" s="49">
        <v>161500</v>
      </c>
      <c r="O14" s="49">
        <v>0</v>
      </c>
      <c r="Q14" s="5"/>
    </row>
    <row r="15" spans="1:17" ht="16.5">
      <c r="A15" s="60" t="str">
        <f t="shared" si="1"/>
        <v>P29</v>
      </c>
      <c r="B15" s="263" t="s">
        <v>4</v>
      </c>
      <c r="C15" s="63">
        <v>294700</v>
      </c>
      <c r="D15" s="63">
        <f t="shared" si="2"/>
        <v>671000</v>
      </c>
      <c r="E15" s="63">
        <f t="shared" si="3"/>
        <v>525000</v>
      </c>
      <c r="F15" s="63">
        <f t="shared" si="4"/>
        <v>300000</v>
      </c>
      <c r="G15" s="63">
        <f>+O15</f>
        <v>0</v>
      </c>
      <c r="H15" s="63">
        <v>140700</v>
      </c>
      <c r="I15" s="63">
        <f>+C15+D15-E15-F15+G15</f>
        <v>140700</v>
      </c>
      <c r="J15" s="9">
        <f>I15-H15</f>
        <v>0</v>
      </c>
      <c r="K15" s="47" t="s">
        <v>29</v>
      </c>
      <c r="L15" s="49">
        <v>671000</v>
      </c>
      <c r="M15" s="49">
        <v>300000</v>
      </c>
      <c r="N15" s="49">
        <v>525000</v>
      </c>
      <c r="O15" s="49">
        <v>0</v>
      </c>
      <c r="Q15" s="5"/>
    </row>
    <row r="16" spans="1:17" ht="16.5">
      <c r="A16" s="60" t="str">
        <f t="shared" si="1"/>
        <v>Paule</v>
      </c>
      <c r="B16" s="61" t="s">
        <v>164</v>
      </c>
      <c r="C16" s="63">
        <v>13500</v>
      </c>
      <c r="D16" s="63">
        <f t="shared" si="2"/>
        <v>85000</v>
      </c>
      <c r="E16" s="63">
        <f t="shared" si="3"/>
        <v>89000</v>
      </c>
      <c r="F16" s="63">
        <f t="shared" si="4"/>
        <v>9500</v>
      </c>
      <c r="G16" s="63">
        <f>+O16</f>
        <v>0</v>
      </c>
      <c r="H16" s="63">
        <v>0</v>
      </c>
      <c r="I16" s="63">
        <f>+C16+D16-E16-F16+G16</f>
        <v>0</v>
      </c>
      <c r="J16" s="9">
        <f>I16-H16</f>
        <v>0</v>
      </c>
      <c r="K16" s="47" t="s">
        <v>212</v>
      </c>
      <c r="L16" s="49">
        <v>85000</v>
      </c>
      <c r="M16" s="49">
        <v>9500</v>
      </c>
      <c r="N16" s="49">
        <v>89000</v>
      </c>
      <c r="O16" s="49">
        <v>0</v>
      </c>
      <c r="Q16" s="5"/>
    </row>
    <row r="17" spans="1:17" ht="16.5">
      <c r="A17" s="60" t="str">
        <f t="shared" si="1"/>
        <v>Tiffany</v>
      </c>
      <c r="B17" s="61" t="s">
        <v>2</v>
      </c>
      <c r="C17" s="63">
        <v>-7259</v>
      </c>
      <c r="D17" s="63">
        <f t="shared" si="2"/>
        <v>329000</v>
      </c>
      <c r="E17" s="63">
        <f t="shared" si="3"/>
        <v>93500</v>
      </c>
      <c r="F17" s="63">
        <f t="shared" si="4"/>
        <v>226000</v>
      </c>
      <c r="G17" s="63">
        <f t="shared" ref="G17" si="9">+O17</f>
        <v>0</v>
      </c>
      <c r="H17" s="63">
        <v>2241</v>
      </c>
      <c r="I17" s="63">
        <f t="shared" ref="I17" si="10">+C17+D17-E17-F17+G17</f>
        <v>2241</v>
      </c>
      <c r="J17" s="9">
        <f t="shared" ref="J17" si="11">I17-H17</f>
        <v>0</v>
      </c>
      <c r="K17" s="47" t="s">
        <v>114</v>
      </c>
      <c r="L17" s="49">
        <v>329000</v>
      </c>
      <c r="M17" s="49">
        <v>226000</v>
      </c>
      <c r="N17" s="49">
        <v>93500</v>
      </c>
      <c r="O17" s="49">
        <v>0</v>
      </c>
      <c r="Q17" s="5"/>
    </row>
    <row r="18" spans="1:17" ht="16.5">
      <c r="A18" s="60" t="str">
        <f t="shared" ref="A18" si="12">K18</f>
        <v>Yan</v>
      </c>
      <c r="B18" s="61" t="s">
        <v>164</v>
      </c>
      <c r="C18" s="63">
        <v>0</v>
      </c>
      <c r="D18" s="63">
        <f t="shared" ref="D18" si="13">+L18</f>
        <v>349000</v>
      </c>
      <c r="E18" s="63">
        <f t="shared" ref="E18" si="14">+N18</f>
        <v>338500</v>
      </c>
      <c r="F18" s="63">
        <f t="shared" ref="F18" si="15">+M18</f>
        <v>0</v>
      </c>
      <c r="G18" s="63">
        <f t="shared" ref="G18" si="16">+O18</f>
        <v>0</v>
      </c>
      <c r="H18" s="63">
        <v>10500</v>
      </c>
      <c r="I18" s="63">
        <f>+C18+D18-E18-F18+G18</f>
        <v>10500</v>
      </c>
      <c r="J18" s="9">
        <f>I18-H18</f>
        <v>0</v>
      </c>
      <c r="K18" s="47" t="s">
        <v>271</v>
      </c>
      <c r="L18" s="49">
        <v>349000</v>
      </c>
      <c r="M18" s="49">
        <v>0</v>
      </c>
      <c r="N18" s="49">
        <v>338500</v>
      </c>
      <c r="O18" s="49">
        <v>0</v>
      </c>
      <c r="Q18" s="5"/>
    </row>
    <row r="19" spans="1:17" ht="16.5">
      <c r="A19" s="10" t="s">
        <v>51</v>
      </c>
      <c r="B19" s="11"/>
      <c r="C19" s="12">
        <f t="shared" ref="C19:I19" si="17">SUM(C3:C18)</f>
        <v>22774658</v>
      </c>
      <c r="D19" s="59">
        <f t="shared" si="17"/>
        <v>12834335</v>
      </c>
      <c r="E19" s="59">
        <f t="shared" si="17"/>
        <v>11393660</v>
      </c>
      <c r="F19" s="59">
        <f t="shared" si="17"/>
        <v>12834335</v>
      </c>
      <c r="G19" s="59">
        <f t="shared" si="17"/>
        <v>11963948</v>
      </c>
      <c r="H19" s="59">
        <f t="shared" si="17"/>
        <v>23344946</v>
      </c>
      <c r="I19" s="59">
        <f t="shared" si="17"/>
        <v>23344946</v>
      </c>
      <c r="J19" s="9">
        <f>I19-H19</f>
        <v>0</v>
      </c>
      <c r="K19" s="3"/>
      <c r="L19" s="49">
        <f>+SUM(L3:L18)</f>
        <v>12834335</v>
      </c>
      <c r="M19" s="49">
        <f>+SUM(M3:M18)</f>
        <v>12834335</v>
      </c>
      <c r="N19" s="49">
        <f>+SUM(N3:N18)</f>
        <v>11393660</v>
      </c>
      <c r="O19" s="49">
        <f>+SUM(O3:O17)</f>
        <v>11963948</v>
      </c>
      <c r="Q19" s="5"/>
    </row>
    <row r="20" spans="1:17" ht="16.5">
      <c r="A20" s="10"/>
      <c r="B20" s="11"/>
      <c r="C20" s="12"/>
      <c r="D20" s="13"/>
      <c r="E20" s="12"/>
      <c r="F20" s="13"/>
      <c r="G20" s="12"/>
      <c r="H20" s="12"/>
      <c r="I20" s="143" t="b">
        <f>I19=D22</f>
        <v>1</v>
      </c>
      <c r="L20" s="5"/>
      <c r="M20" s="5"/>
      <c r="N20" s="5"/>
      <c r="O20" s="5"/>
      <c r="Q20" s="5"/>
    </row>
    <row r="21" spans="1:17" ht="16.5">
      <c r="A21" s="10" t="s">
        <v>260</v>
      </c>
      <c r="B21" s="11" t="s">
        <v>259</v>
      </c>
      <c r="C21" s="12" t="s">
        <v>258</v>
      </c>
      <c r="D21" s="12" t="s">
        <v>513</v>
      </c>
      <c r="E21" s="12" t="s">
        <v>52</v>
      </c>
      <c r="F21" s="12"/>
      <c r="G21" s="12">
        <f>+D19-F19</f>
        <v>0</v>
      </c>
      <c r="H21" s="12"/>
      <c r="I21" s="12"/>
      <c r="Q21" s="5"/>
    </row>
    <row r="22" spans="1:17" ht="16.5">
      <c r="A22" s="14">
        <f>C19</f>
        <v>22774658</v>
      </c>
      <c r="B22" s="15">
        <f>G19</f>
        <v>11963948</v>
      </c>
      <c r="C22" s="12">
        <f>E19</f>
        <v>11393660</v>
      </c>
      <c r="D22" s="12">
        <f>A22+B22-C22</f>
        <v>23344946</v>
      </c>
      <c r="E22" s="13">
        <f>I19-D22</f>
        <v>0</v>
      </c>
      <c r="F22" s="12"/>
      <c r="G22" s="12"/>
      <c r="H22" s="12"/>
      <c r="I22" s="12"/>
      <c r="Q22" s="5"/>
    </row>
    <row r="23" spans="1:17" ht="16.5">
      <c r="A23" s="14"/>
      <c r="B23" s="15"/>
      <c r="C23" s="12"/>
      <c r="D23" s="12"/>
      <c r="E23" s="13"/>
      <c r="F23" s="12"/>
      <c r="G23" s="12"/>
      <c r="H23" s="12"/>
      <c r="I23" s="12"/>
      <c r="Q23" s="5"/>
    </row>
    <row r="24" spans="1:17">
      <c r="A24" s="16" t="s">
        <v>53</v>
      </c>
      <c r="B24" s="16"/>
      <c r="C24" s="16"/>
      <c r="D24" s="17"/>
      <c r="E24" s="17"/>
      <c r="F24" s="17"/>
      <c r="G24" s="17"/>
      <c r="H24" s="17"/>
      <c r="I24" s="17"/>
      <c r="Q24" s="5"/>
    </row>
    <row r="25" spans="1:17">
      <c r="A25" s="18" t="s">
        <v>514</v>
      </c>
      <c r="B25" s="18"/>
      <c r="C25" s="18"/>
      <c r="D25" s="18"/>
      <c r="E25" s="18"/>
      <c r="F25" s="18"/>
      <c r="G25" s="18"/>
      <c r="H25" s="18"/>
      <c r="I25" s="18"/>
      <c r="J25" s="18"/>
      <c r="Q25" s="5"/>
    </row>
    <row r="26" spans="1:17">
      <c r="A26" s="19"/>
      <c r="B26" s="20"/>
      <c r="C26" s="21"/>
      <c r="D26" s="21"/>
      <c r="E26" s="21"/>
      <c r="F26" s="21"/>
      <c r="G26" s="21"/>
      <c r="H26" s="20"/>
      <c r="I26" s="20"/>
      <c r="Q26" s="5"/>
    </row>
    <row r="27" spans="1:17">
      <c r="A27" s="265" t="s">
        <v>54</v>
      </c>
      <c r="B27" s="267" t="s">
        <v>55</v>
      </c>
      <c r="C27" s="269" t="s">
        <v>261</v>
      </c>
      <c r="D27" s="271" t="s">
        <v>56</v>
      </c>
      <c r="E27" s="272"/>
      <c r="F27" s="272"/>
      <c r="G27" s="273"/>
      <c r="H27" s="274" t="s">
        <v>57</v>
      </c>
      <c r="I27" s="276" t="s">
        <v>58</v>
      </c>
      <c r="J27" s="20"/>
      <c r="Q27" s="5"/>
    </row>
    <row r="28" spans="1:17" ht="28.5" customHeight="1">
      <c r="A28" s="266"/>
      <c r="B28" s="268"/>
      <c r="C28" s="270"/>
      <c r="D28" s="22" t="s">
        <v>24</v>
      </c>
      <c r="E28" s="22" t="s">
        <v>25</v>
      </c>
      <c r="F28" s="270" t="s">
        <v>124</v>
      </c>
      <c r="G28" s="22" t="s">
        <v>59</v>
      </c>
      <c r="H28" s="275"/>
      <c r="I28" s="277"/>
      <c r="J28" s="279" t="s">
        <v>512</v>
      </c>
      <c r="K28" s="155"/>
      <c r="Q28" s="5"/>
    </row>
    <row r="29" spans="1:17">
      <c r="A29" s="24"/>
      <c r="B29" s="25" t="s">
        <v>60</v>
      </c>
      <c r="C29" s="26"/>
      <c r="D29" s="26"/>
      <c r="E29" s="26"/>
      <c r="F29" s="26"/>
      <c r="G29" s="26"/>
      <c r="H29" s="26"/>
      <c r="I29" s="27"/>
      <c r="J29" s="278"/>
      <c r="K29" s="155"/>
      <c r="Q29" s="5"/>
    </row>
    <row r="30" spans="1:17">
      <c r="A30" s="130" t="s">
        <v>135</v>
      </c>
      <c r="B30" s="135" t="s">
        <v>48</v>
      </c>
      <c r="C30" s="33">
        <f>+C6</f>
        <v>21850</v>
      </c>
      <c r="D30" s="32"/>
      <c r="E30" s="33">
        <f>+D6</f>
        <v>1282000</v>
      </c>
      <c r="F30" s="33"/>
      <c r="G30" s="33"/>
      <c r="H30" s="57">
        <f t="shared" ref="H30:H42" si="18">+F6</f>
        <v>0</v>
      </c>
      <c r="I30" s="33">
        <f t="shared" ref="I30:I42" si="19">+E6</f>
        <v>1288100</v>
      </c>
      <c r="J30" s="31">
        <f t="shared" ref="J30:J31" si="20">+SUM(C30:G30)-(H30+I30)</f>
        <v>15750</v>
      </c>
      <c r="K30" s="156" t="b">
        <f t="shared" ref="K30:K42" si="21">J30=I6</f>
        <v>1</v>
      </c>
      <c r="Q30" s="5"/>
    </row>
    <row r="31" spans="1:17">
      <c r="A31" s="130" t="str">
        <f>+A30</f>
        <v>MAI</v>
      </c>
      <c r="B31" s="135" t="s">
        <v>31</v>
      </c>
      <c r="C31" s="33">
        <f t="shared" ref="C31:C32" si="22">+C7</f>
        <v>7995</v>
      </c>
      <c r="D31" s="32"/>
      <c r="E31" s="33">
        <f t="shared" ref="E31:E32" si="23">+D7</f>
        <v>262000</v>
      </c>
      <c r="F31" s="33"/>
      <c r="G31" s="33"/>
      <c r="H31" s="57">
        <f t="shared" si="18"/>
        <v>0</v>
      </c>
      <c r="I31" s="33">
        <f t="shared" si="19"/>
        <v>261200</v>
      </c>
      <c r="J31" s="107">
        <f t="shared" si="20"/>
        <v>8795</v>
      </c>
      <c r="K31" s="156" t="b">
        <f t="shared" si="21"/>
        <v>1</v>
      </c>
      <c r="Q31" s="5"/>
    </row>
    <row r="32" spans="1:17">
      <c r="A32" s="130" t="str">
        <f t="shared" ref="A32:A37" si="24">+A31</f>
        <v>MAI</v>
      </c>
      <c r="B32" s="136" t="s">
        <v>153</v>
      </c>
      <c r="C32" s="33">
        <f t="shared" si="22"/>
        <v>156335</v>
      </c>
      <c r="D32" s="127"/>
      <c r="E32" s="33">
        <f t="shared" si="23"/>
        <v>307000</v>
      </c>
      <c r="F32" s="53"/>
      <c r="G32" s="53"/>
      <c r="H32" s="57">
        <f t="shared" si="18"/>
        <v>154835</v>
      </c>
      <c r="I32" s="33">
        <f t="shared" si="19"/>
        <v>308500</v>
      </c>
      <c r="J32" s="132">
        <f>+SUM(C32:G32)-(H32+I32)</f>
        <v>0</v>
      </c>
      <c r="K32" s="156" t="b">
        <f t="shared" si="21"/>
        <v>1</v>
      </c>
      <c r="Q32" s="5"/>
    </row>
    <row r="33" spans="1:17">
      <c r="A33" s="130" t="str">
        <f t="shared" si="24"/>
        <v>MAI</v>
      </c>
      <c r="B33" s="137" t="s">
        <v>85</v>
      </c>
      <c r="C33" s="128">
        <f>+C9</f>
        <v>233614</v>
      </c>
      <c r="D33" s="131"/>
      <c r="E33" s="128">
        <f>+D9</f>
        <v>0</v>
      </c>
      <c r="F33" s="146"/>
      <c r="G33" s="146"/>
      <c r="H33" s="180">
        <f t="shared" si="18"/>
        <v>0</v>
      </c>
      <c r="I33" s="128">
        <f t="shared" si="19"/>
        <v>0</v>
      </c>
      <c r="J33" s="129">
        <f>+SUM(C33:G33)-(H33+I33)</f>
        <v>233614</v>
      </c>
      <c r="K33" s="156" t="b">
        <f t="shared" si="21"/>
        <v>1</v>
      </c>
      <c r="Q33" s="5"/>
    </row>
    <row r="34" spans="1:17">
      <c r="A34" s="130" t="str">
        <f t="shared" si="24"/>
        <v>MAI</v>
      </c>
      <c r="B34" s="137" t="s">
        <v>84</v>
      </c>
      <c r="C34" s="128">
        <f>+C10</f>
        <v>249769</v>
      </c>
      <c r="D34" s="131"/>
      <c r="E34" s="128">
        <f>+D10</f>
        <v>0</v>
      </c>
      <c r="F34" s="146"/>
      <c r="G34" s="146"/>
      <c r="H34" s="180">
        <f t="shared" si="18"/>
        <v>0</v>
      </c>
      <c r="I34" s="128">
        <f t="shared" si="19"/>
        <v>0</v>
      </c>
      <c r="J34" s="129">
        <f t="shared" ref="J34:J42" si="25">+SUM(C34:G34)-(H34+I34)</f>
        <v>249769</v>
      </c>
      <c r="K34" s="156" t="b">
        <f t="shared" si="21"/>
        <v>1</v>
      </c>
      <c r="Q34" s="5"/>
    </row>
    <row r="35" spans="1:17">
      <c r="A35" s="130" t="str">
        <f t="shared" si="24"/>
        <v>MAI</v>
      </c>
      <c r="B35" s="135" t="s">
        <v>152</v>
      </c>
      <c r="C35" s="33">
        <f>+C11</f>
        <v>10200</v>
      </c>
      <c r="D35" s="32"/>
      <c r="E35" s="33">
        <f>+D11</f>
        <v>25000</v>
      </c>
      <c r="F35" s="33"/>
      <c r="G35" s="110"/>
      <c r="H35" s="57">
        <f t="shared" si="18"/>
        <v>0</v>
      </c>
      <c r="I35" s="33">
        <f t="shared" si="19"/>
        <v>20500</v>
      </c>
      <c r="J35" s="31">
        <f t="shared" si="25"/>
        <v>14700</v>
      </c>
      <c r="K35" s="156" t="b">
        <f t="shared" si="21"/>
        <v>1</v>
      </c>
      <c r="Q35" s="5"/>
    </row>
    <row r="36" spans="1:17">
      <c r="A36" s="130" t="str">
        <f t="shared" si="24"/>
        <v>MAI</v>
      </c>
      <c r="B36" s="135" t="s">
        <v>213</v>
      </c>
      <c r="C36" s="33">
        <f t="shared" ref="C36:C39" si="26">+C12</f>
        <v>43500</v>
      </c>
      <c r="D36" s="32"/>
      <c r="E36" s="33">
        <f t="shared" ref="E36:E42" si="27">+D12</f>
        <v>701000</v>
      </c>
      <c r="F36" s="33"/>
      <c r="G36" s="110"/>
      <c r="H36" s="57">
        <f t="shared" si="18"/>
        <v>0</v>
      </c>
      <c r="I36" s="33">
        <f t="shared" si="19"/>
        <v>697550</v>
      </c>
      <c r="J36" s="31">
        <f t="shared" si="25"/>
        <v>46950</v>
      </c>
      <c r="K36" s="156" t="b">
        <f t="shared" si="21"/>
        <v>1</v>
      </c>
      <c r="Q36" s="5"/>
    </row>
    <row r="37" spans="1:17">
      <c r="A37" s="130" t="str">
        <f t="shared" si="24"/>
        <v>MAI</v>
      </c>
      <c r="B37" s="135" t="s">
        <v>30</v>
      </c>
      <c r="C37" s="33">
        <f t="shared" si="26"/>
        <v>177550</v>
      </c>
      <c r="D37" s="32"/>
      <c r="E37" s="33">
        <f t="shared" si="27"/>
        <v>969000</v>
      </c>
      <c r="F37" s="33"/>
      <c r="G37" s="110"/>
      <c r="H37" s="57">
        <f t="shared" si="18"/>
        <v>220000</v>
      </c>
      <c r="I37" s="33">
        <f t="shared" si="19"/>
        <v>814500</v>
      </c>
      <c r="J37" s="31">
        <f t="shared" si="25"/>
        <v>112050</v>
      </c>
      <c r="K37" s="156" t="b">
        <f t="shared" si="21"/>
        <v>1</v>
      </c>
      <c r="Q37" s="5"/>
    </row>
    <row r="38" spans="1:17">
      <c r="A38" s="130" t="str">
        <f>+A36</f>
        <v>MAI</v>
      </c>
      <c r="B38" s="135" t="s">
        <v>94</v>
      </c>
      <c r="C38" s="33">
        <f t="shared" si="26"/>
        <v>4400</v>
      </c>
      <c r="D38" s="32"/>
      <c r="E38" s="33">
        <f t="shared" si="27"/>
        <v>170000</v>
      </c>
      <c r="F38" s="33"/>
      <c r="G38" s="110"/>
      <c r="H38" s="57">
        <f t="shared" si="18"/>
        <v>10000</v>
      </c>
      <c r="I38" s="33">
        <f t="shared" si="19"/>
        <v>161500</v>
      </c>
      <c r="J38" s="31">
        <f t="shared" si="25"/>
        <v>2900</v>
      </c>
      <c r="K38" s="156" t="b">
        <f t="shared" si="21"/>
        <v>1</v>
      </c>
      <c r="Q38" s="5"/>
    </row>
    <row r="39" spans="1:17">
      <c r="A39" s="130" t="str">
        <f>+A37</f>
        <v>MAI</v>
      </c>
      <c r="B39" s="135" t="s">
        <v>29</v>
      </c>
      <c r="C39" s="33">
        <f t="shared" si="26"/>
        <v>294700</v>
      </c>
      <c r="D39" s="32"/>
      <c r="E39" s="33">
        <f t="shared" si="27"/>
        <v>671000</v>
      </c>
      <c r="F39" s="33"/>
      <c r="G39" s="110"/>
      <c r="H39" s="57">
        <f t="shared" si="18"/>
        <v>300000</v>
      </c>
      <c r="I39" s="33">
        <f t="shared" si="19"/>
        <v>525000</v>
      </c>
      <c r="J39" s="31">
        <f t="shared" si="25"/>
        <v>140700</v>
      </c>
      <c r="K39" s="156" t="b">
        <f t="shared" si="21"/>
        <v>1</v>
      </c>
      <c r="Q39" s="5"/>
    </row>
    <row r="40" spans="1:17">
      <c r="A40" s="130" t="str">
        <f>+A38</f>
        <v>MAI</v>
      </c>
      <c r="B40" s="135" t="s">
        <v>212</v>
      </c>
      <c r="C40" s="33">
        <f>+C16</f>
        <v>13500</v>
      </c>
      <c r="D40" s="32"/>
      <c r="E40" s="33">
        <f t="shared" si="27"/>
        <v>85000</v>
      </c>
      <c r="F40" s="33"/>
      <c r="G40" s="110"/>
      <c r="H40" s="57">
        <f t="shared" si="18"/>
        <v>9500</v>
      </c>
      <c r="I40" s="33">
        <f t="shared" si="19"/>
        <v>89000</v>
      </c>
      <c r="J40" s="31">
        <f t="shared" si="25"/>
        <v>0</v>
      </c>
      <c r="K40" s="156" t="b">
        <f t="shared" si="21"/>
        <v>1</v>
      </c>
      <c r="Q40" s="5"/>
    </row>
    <row r="41" spans="1:17">
      <c r="A41" s="130" t="str">
        <f>+A38</f>
        <v>MAI</v>
      </c>
      <c r="B41" s="136" t="s">
        <v>114</v>
      </c>
      <c r="C41" s="33">
        <f t="shared" ref="C41:C42" si="28">+C17</f>
        <v>-7259</v>
      </c>
      <c r="D41" s="127"/>
      <c r="E41" s="33">
        <f t="shared" si="27"/>
        <v>329000</v>
      </c>
      <c r="F41" s="53"/>
      <c r="G41" s="147"/>
      <c r="H41" s="57">
        <f t="shared" si="18"/>
        <v>226000</v>
      </c>
      <c r="I41" s="33">
        <f t="shared" si="19"/>
        <v>93500</v>
      </c>
      <c r="J41" s="31">
        <f t="shared" si="25"/>
        <v>2241</v>
      </c>
      <c r="K41" s="156" t="b">
        <f t="shared" si="21"/>
        <v>1</v>
      </c>
      <c r="Q41" s="5"/>
    </row>
    <row r="42" spans="1:17">
      <c r="A42" s="130" t="str">
        <f>+A39</f>
        <v>MAI</v>
      </c>
      <c r="B42" s="136" t="s">
        <v>271</v>
      </c>
      <c r="C42" s="33">
        <f t="shared" si="28"/>
        <v>0</v>
      </c>
      <c r="D42" s="127"/>
      <c r="E42" s="33">
        <f t="shared" si="27"/>
        <v>349000</v>
      </c>
      <c r="F42" s="53"/>
      <c r="G42" s="147"/>
      <c r="H42" s="57">
        <f t="shared" si="18"/>
        <v>0</v>
      </c>
      <c r="I42" s="33">
        <f t="shared" si="19"/>
        <v>338500</v>
      </c>
      <c r="J42" s="31">
        <f t="shared" si="25"/>
        <v>10500</v>
      </c>
      <c r="K42" s="156" t="b">
        <f t="shared" si="21"/>
        <v>1</v>
      </c>
      <c r="Q42" s="5"/>
    </row>
    <row r="43" spans="1:17">
      <c r="A43" s="35" t="s">
        <v>61</v>
      </c>
      <c r="B43" s="36"/>
      <c r="C43" s="36"/>
      <c r="D43" s="36"/>
      <c r="E43" s="36"/>
      <c r="F43" s="36"/>
      <c r="G43" s="36"/>
      <c r="H43" s="36"/>
      <c r="I43" s="36"/>
      <c r="J43" s="37"/>
      <c r="K43" s="155"/>
      <c r="Q43" s="5"/>
    </row>
    <row r="44" spans="1:17">
      <c r="A44" s="130" t="str">
        <f>+A42</f>
        <v>MAI</v>
      </c>
      <c r="B44" s="38" t="s">
        <v>62</v>
      </c>
      <c r="C44" s="39">
        <f>+C5</f>
        <v>963113</v>
      </c>
      <c r="D44" s="51"/>
      <c r="E44" s="51">
        <f>D5</f>
        <v>7684335</v>
      </c>
      <c r="F44" s="51"/>
      <c r="G44" s="133"/>
      <c r="H44" s="53">
        <f>+F5</f>
        <v>4914000</v>
      </c>
      <c r="I44" s="134">
        <f>+E5</f>
        <v>2033042</v>
      </c>
      <c r="J44" s="46">
        <f>+SUM(C44:G44)-(H44+I44)</f>
        <v>1700406</v>
      </c>
      <c r="K44" s="156" t="b">
        <f>J44=I5</f>
        <v>1</v>
      </c>
      <c r="Q44" s="5"/>
    </row>
    <row r="45" spans="1:17">
      <c r="A45" s="44" t="s">
        <v>63</v>
      </c>
      <c r="B45" s="25"/>
      <c r="C45" s="36"/>
      <c r="D45" s="25"/>
      <c r="E45" s="25"/>
      <c r="F45" s="25"/>
      <c r="G45" s="25"/>
      <c r="H45" s="25"/>
      <c r="I45" s="25"/>
      <c r="J45" s="37"/>
      <c r="K45" s="155"/>
      <c r="Q45" s="5"/>
    </row>
    <row r="46" spans="1:17">
      <c r="A46" s="130" t="str">
        <f>+A44</f>
        <v>MAI</v>
      </c>
      <c r="B46" s="38" t="s">
        <v>167</v>
      </c>
      <c r="C46" s="133">
        <f>+C3</f>
        <v>4154435</v>
      </c>
      <c r="D46" s="140">
        <f>+G3</f>
        <v>11963948</v>
      </c>
      <c r="E46" s="51"/>
      <c r="F46" s="51"/>
      <c r="G46" s="51"/>
      <c r="H46" s="53">
        <f>+F3</f>
        <v>7000000</v>
      </c>
      <c r="I46" s="55">
        <f>+E3</f>
        <v>543345</v>
      </c>
      <c r="J46" s="46">
        <f>+SUM(C46:G46)-(H46+I46)</f>
        <v>8575038</v>
      </c>
      <c r="K46" s="156" t="b">
        <f>+J46=I3</f>
        <v>1</v>
      </c>
      <c r="Q46" s="5"/>
    </row>
    <row r="47" spans="1:17">
      <c r="A47" s="130" t="str">
        <f t="shared" ref="A47" si="29">+A46</f>
        <v>MAI</v>
      </c>
      <c r="B47" s="38" t="s">
        <v>65</v>
      </c>
      <c r="C47" s="133">
        <f>+C4</f>
        <v>16450956</v>
      </c>
      <c r="D47" s="51">
        <f>+G4</f>
        <v>0</v>
      </c>
      <c r="E47" s="50"/>
      <c r="F47" s="50"/>
      <c r="G47" s="50"/>
      <c r="H47" s="33">
        <f>+F4</f>
        <v>0</v>
      </c>
      <c r="I47" s="52">
        <f>+E4</f>
        <v>4219423</v>
      </c>
      <c r="J47" s="46">
        <f>SUM(C47:G47)-(H47+I47)</f>
        <v>12231533</v>
      </c>
      <c r="K47" s="156" t="b">
        <f>+J47=I4</f>
        <v>1</v>
      </c>
      <c r="Q47" s="5"/>
    </row>
    <row r="48" spans="1:17" ht="15.75">
      <c r="C48" s="151">
        <f>SUM(C30:C47)</f>
        <v>22774658</v>
      </c>
      <c r="I48" s="149">
        <f>SUM(I30:I47)</f>
        <v>11393660</v>
      </c>
      <c r="J48" s="111">
        <f>+SUM(J30:J47)</f>
        <v>23344946</v>
      </c>
      <c r="K48" s="5" t="b">
        <f>J48=I19</f>
        <v>1</v>
      </c>
      <c r="Q48" s="5"/>
    </row>
    <row r="49" spans="1:17" ht="15.75">
      <c r="A49" s="217"/>
      <c r="B49" s="217"/>
      <c r="C49" s="218"/>
      <c r="D49" s="217"/>
      <c r="E49" s="217"/>
      <c r="F49" s="217"/>
      <c r="G49" s="217"/>
      <c r="H49" s="217"/>
      <c r="I49" s="219"/>
      <c r="J49" s="220"/>
      <c r="K49" s="217"/>
      <c r="L49" s="221"/>
      <c r="M49" s="221"/>
      <c r="N49" s="221"/>
      <c r="O49" s="221"/>
      <c r="P49" s="217"/>
      <c r="Q49" s="5"/>
    </row>
    <row r="51" spans="1:17" ht="15.75">
      <c r="A51" s="6" t="s">
        <v>37</v>
      </c>
      <c r="B51" s="6" t="s">
        <v>1</v>
      </c>
      <c r="C51" s="6">
        <v>44652</v>
      </c>
      <c r="D51" s="7" t="s">
        <v>38</v>
      </c>
      <c r="E51" s="7" t="s">
        <v>39</v>
      </c>
      <c r="F51" s="7" t="s">
        <v>40</v>
      </c>
      <c r="G51" s="7" t="s">
        <v>41</v>
      </c>
      <c r="H51" s="6">
        <v>44681</v>
      </c>
      <c r="I51" s="7" t="s">
        <v>42</v>
      </c>
      <c r="K51" s="47"/>
      <c r="L51" s="47" t="s">
        <v>43</v>
      </c>
      <c r="M51" s="47" t="s">
        <v>44</v>
      </c>
      <c r="N51" s="47" t="s">
        <v>45</v>
      </c>
      <c r="O51" s="47" t="s">
        <v>46</v>
      </c>
      <c r="Q51" s="5"/>
    </row>
    <row r="52" spans="1:17" ht="16.5">
      <c r="A52" s="60" t="str">
        <f>K52</f>
        <v>BCI</v>
      </c>
      <c r="B52" s="61" t="s">
        <v>47</v>
      </c>
      <c r="C52" s="63">
        <v>9177780</v>
      </c>
      <c r="D52" s="63">
        <f>+L52</f>
        <v>0</v>
      </c>
      <c r="E52" s="63">
        <f>+N52</f>
        <v>23345</v>
      </c>
      <c r="F52" s="63">
        <f>+M52</f>
        <v>5000000</v>
      </c>
      <c r="G52" s="63">
        <f t="shared" ref="G52:G63" si="30">+O52</f>
        <v>0</v>
      </c>
      <c r="H52" s="63">
        <v>4154435</v>
      </c>
      <c r="I52" s="63">
        <f>+C52+D52-E52-F52+G52</f>
        <v>4154435</v>
      </c>
      <c r="J52" s="9">
        <f>I52-H52</f>
        <v>0</v>
      </c>
      <c r="K52" s="47" t="s">
        <v>24</v>
      </c>
      <c r="L52" s="49">
        <v>0</v>
      </c>
      <c r="M52" s="49">
        <v>5000000</v>
      </c>
      <c r="N52" s="49">
        <v>23345</v>
      </c>
      <c r="O52" s="49">
        <v>0</v>
      </c>
      <c r="Q52" s="5"/>
    </row>
    <row r="53" spans="1:17" ht="16.5">
      <c r="A53" s="60" t="str">
        <f t="shared" ref="A53:A66" si="31">K53</f>
        <v>BCI-Sous Compte</v>
      </c>
      <c r="B53" s="61" t="s">
        <v>47</v>
      </c>
      <c r="C53" s="63">
        <v>21521261</v>
      </c>
      <c r="D53" s="63">
        <f t="shared" ref="D53:D66" si="32">+L53</f>
        <v>0</v>
      </c>
      <c r="E53" s="63">
        <f t="shared" ref="E53:E66" si="33">+N53</f>
        <v>5070305</v>
      </c>
      <c r="F53" s="63">
        <f t="shared" ref="F53:F66" si="34">+M53</f>
        <v>0</v>
      </c>
      <c r="G53" s="63">
        <f t="shared" si="30"/>
        <v>0</v>
      </c>
      <c r="H53" s="63">
        <v>16450956</v>
      </c>
      <c r="I53" s="63">
        <f>+C53+D53-E53-F53+G53</f>
        <v>16450956</v>
      </c>
      <c r="J53" s="9">
        <f t="shared" ref="J53:J60" si="35">I53-H53</f>
        <v>0</v>
      </c>
      <c r="K53" s="47" t="s">
        <v>158</v>
      </c>
      <c r="L53" s="49">
        <v>0</v>
      </c>
      <c r="M53" s="49">
        <v>0</v>
      </c>
      <c r="N53" s="49">
        <v>5070305</v>
      </c>
      <c r="O53" s="49">
        <v>0</v>
      </c>
      <c r="Q53" s="5"/>
    </row>
    <row r="54" spans="1:17" ht="16.5">
      <c r="A54" s="60" t="str">
        <f t="shared" si="31"/>
        <v>Caisse</v>
      </c>
      <c r="B54" s="61" t="s">
        <v>25</v>
      </c>
      <c r="C54" s="63">
        <v>1160022</v>
      </c>
      <c r="D54" s="63">
        <f t="shared" si="32"/>
        <v>5100000</v>
      </c>
      <c r="E54" s="63">
        <f t="shared" si="33"/>
        <v>1822909</v>
      </c>
      <c r="F54" s="63">
        <f t="shared" si="34"/>
        <v>3474000</v>
      </c>
      <c r="G54" s="63">
        <f t="shared" si="30"/>
        <v>0</v>
      </c>
      <c r="H54" s="63">
        <v>963113</v>
      </c>
      <c r="I54" s="63">
        <f>+C54+D54-E54-F54+G54</f>
        <v>963113</v>
      </c>
      <c r="J54" s="108">
        <f t="shared" si="35"/>
        <v>0</v>
      </c>
      <c r="K54" s="47" t="s">
        <v>25</v>
      </c>
      <c r="L54" s="49">
        <v>5100000</v>
      </c>
      <c r="M54" s="49">
        <v>3474000</v>
      </c>
      <c r="N54" s="49">
        <v>1822909</v>
      </c>
      <c r="O54" s="49">
        <v>0</v>
      </c>
      <c r="Q54" s="5"/>
    </row>
    <row r="55" spans="1:17" ht="16.5">
      <c r="A55" s="60" t="str">
        <f t="shared" si="31"/>
        <v>Crépin</v>
      </c>
      <c r="B55" s="61" t="s">
        <v>164</v>
      </c>
      <c r="C55" s="63">
        <v>22050</v>
      </c>
      <c r="D55" s="63">
        <f t="shared" si="32"/>
        <v>462000</v>
      </c>
      <c r="E55" s="63">
        <f t="shared" si="33"/>
        <v>462200</v>
      </c>
      <c r="F55" s="63">
        <f t="shared" si="34"/>
        <v>0</v>
      </c>
      <c r="G55" s="63">
        <f t="shared" si="30"/>
        <v>0</v>
      </c>
      <c r="H55" s="63">
        <v>21850</v>
      </c>
      <c r="I55" s="63">
        <f>+C55+D55-E55-F55+G55</f>
        <v>21850</v>
      </c>
      <c r="J55" s="9">
        <f t="shared" si="35"/>
        <v>0</v>
      </c>
      <c r="K55" s="47" t="s">
        <v>48</v>
      </c>
      <c r="L55" s="49">
        <v>462000</v>
      </c>
      <c r="M55" s="49">
        <v>0</v>
      </c>
      <c r="N55" s="49">
        <v>462200</v>
      </c>
      <c r="O55" s="49">
        <v>0</v>
      </c>
      <c r="Q55" s="5"/>
    </row>
    <row r="56" spans="1:17" ht="16.5">
      <c r="A56" s="60" t="str">
        <f t="shared" si="31"/>
        <v>Evariste</v>
      </c>
      <c r="B56" s="61" t="s">
        <v>165</v>
      </c>
      <c r="C56" s="63">
        <v>13995</v>
      </c>
      <c r="D56" s="63">
        <f t="shared" si="32"/>
        <v>30000</v>
      </c>
      <c r="E56" s="63">
        <f t="shared" si="33"/>
        <v>36000</v>
      </c>
      <c r="F56" s="63">
        <f t="shared" si="34"/>
        <v>0</v>
      </c>
      <c r="G56" s="63">
        <f t="shared" si="30"/>
        <v>0</v>
      </c>
      <c r="H56" s="63">
        <v>7995</v>
      </c>
      <c r="I56" s="63">
        <f t="shared" ref="I56" si="36">+C56+D56-E56-F56+G56</f>
        <v>7995</v>
      </c>
      <c r="J56" s="9">
        <f t="shared" si="35"/>
        <v>0</v>
      </c>
      <c r="K56" s="47" t="s">
        <v>31</v>
      </c>
      <c r="L56" s="49">
        <v>30000</v>
      </c>
      <c r="M56" s="49">
        <v>0</v>
      </c>
      <c r="N56" s="49">
        <v>36000</v>
      </c>
      <c r="O56" s="49">
        <v>0</v>
      </c>
      <c r="Q56" s="5"/>
    </row>
    <row r="57" spans="1:17" ht="16.5">
      <c r="A57" s="60" t="str">
        <f t="shared" si="31"/>
        <v>Godfré</v>
      </c>
      <c r="B57" s="61" t="s">
        <v>164</v>
      </c>
      <c r="C57" s="63">
        <v>36485</v>
      </c>
      <c r="D57" s="63">
        <f t="shared" si="32"/>
        <v>486000</v>
      </c>
      <c r="E57" s="63">
        <f t="shared" si="33"/>
        <v>366150</v>
      </c>
      <c r="F57" s="63">
        <f t="shared" si="34"/>
        <v>0</v>
      </c>
      <c r="G57" s="63">
        <f t="shared" si="30"/>
        <v>0</v>
      </c>
      <c r="H57" s="63">
        <v>156335</v>
      </c>
      <c r="I57" s="63">
        <f>+C57+D57-E57-F57+G57</f>
        <v>156335</v>
      </c>
      <c r="J57" s="9">
        <f t="shared" si="35"/>
        <v>0</v>
      </c>
      <c r="K57" s="47" t="s">
        <v>153</v>
      </c>
      <c r="L57" s="49">
        <v>486000</v>
      </c>
      <c r="M57" s="49">
        <v>0</v>
      </c>
      <c r="N57" s="49">
        <v>366150</v>
      </c>
      <c r="O57" s="49">
        <v>0</v>
      </c>
      <c r="Q57" s="5"/>
    </row>
    <row r="58" spans="1:17" ht="16.5">
      <c r="A58" s="60" t="str">
        <f t="shared" si="31"/>
        <v>I55S</v>
      </c>
      <c r="B58" s="124" t="s">
        <v>4</v>
      </c>
      <c r="C58" s="126">
        <v>233614</v>
      </c>
      <c r="D58" s="126">
        <f t="shared" si="32"/>
        <v>0</v>
      </c>
      <c r="E58" s="126">
        <f t="shared" si="33"/>
        <v>0</v>
      </c>
      <c r="F58" s="126">
        <f t="shared" si="34"/>
        <v>0</v>
      </c>
      <c r="G58" s="126">
        <f t="shared" si="30"/>
        <v>0</v>
      </c>
      <c r="H58" s="126">
        <v>233614</v>
      </c>
      <c r="I58" s="126">
        <f>+C58+D58-E58-F58+G58</f>
        <v>233614</v>
      </c>
      <c r="J58" s="9">
        <f t="shared" si="35"/>
        <v>0</v>
      </c>
      <c r="K58" s="47" t="s">
        <v>85</v>
      </c>
      <c r="L58" s="49">
        <v>0</v>
      </c>
      <c r="M58" s="49">
        <v>0</v>
      </c>
      <c r="N58" s="49">
        <v>0</v>
      </c>
      <c r="O58" s="49">
        <v>0</v>
      </c>
      <c r="Q58" s="5"/>
    </row>
    <row r="59" spans="1:17" ht="16.5">
      <c r="A59" s="60" t="str">
        <f t="shared" si="31"/>
        <v>I73X</v>
      </c>
      <c r="B59" s="124" t="s">
        <v>4</v>
      </c>
      <c r="C59" s="126">
        <v>249769</v>
      </c>
      <c r="D59" s="126">
        <f t="shared" si="32"/>
        <v>0</v>
      </c>
      <c r="E59" s="126">
        <f t="shared" si="33"/>
        <v>0</v>
      </c>
      <c r="F59" s="126">
        <f t="shared" si="34"/>
        <v>0</v>
      </c>
      <c r="G59" s="126">
        <f t="shared" si="30"/>
        <v>0</v>
      </c>
      <c r="H59" s="126">
        <v>249769</v>
      </c>
      <c r="I59" s="126">
        <f t="shared" ref="I59:I62" si="37">+C59+D59-E59-F59+G59</f>
        <v>249769</v>
      </c>
      <c r="J59" s="9">
        <f t="shared" si="35"/>
        <v>0</v>
      </c>
      <c r="K59" s="47" t="s">
        <v>84</v>
      </c>
      <c r="L59" s="49">
        <v>0</v>
      </c>
      <c r="M59" s="49">
        <v>0</v>
      </c>
      <c r="N59" s="49">
        <v>0</v>
      </c>
      <c r="O59" s="49">
        <v>0</v>
      </c>
      <c r="Q59" s="5"/>
    </row>
    <row r="60" spans="1:17" ht="16.5">
      <c r="A60" s="60" t="str">
        <f t="shared" si="31"/>
        <v>Grace</v>
      </c>
      <c r="B60" s="104" t="s">
        <v>2</v>
      </c>
      <c r="C60" s="63">
        <v>10700</v>
      </c>
      <c r="D60" s="63">
        <f t="shared" si="32"/>
        <v>10000</v>
      </c>
      <c r="E60" s="63">
        <f t="shared" si="33"/>
        <v>10500</v>
      </c>
      <c r="F60" s="63">
        <f t="shared" si="34"/>
        <v>0</v>
      </c>
      <c r="G60" s="63">
        <f t="shared" si="30"/>
        <v>0</v>
      </c>
      <c r="H60" s="63">
        <v>10200</v>
      </c>
      <c r="I60" s="63">
        <f t="shared" si="37"/>
        <v>10200</v>
      </c>
      <c r="J60" s="9">
        <f t="shared" si="35"/>
        <v>0</v>
      </c>
      <c r="K60" s="47" t="s">
        <v>152</v>
      </c>
      <c r="L60" s="49">
        <v>10000</v>
      </c>
      <c r="M60" s="49">
        <v>0</v>
      </c>
      <c r="N60" s="49">
        <v>10500</v>
      </c>
      <c r="O60" s="49">
        <v>0</v>
      </c>
      <c r="Q60" s="5"/>
    </row>
    <row r="61" spans="1:17" ht="16.5">
      <c r="A61" s="60" t="str">
        <f t="shared" si="31"/>
        <v>Hurielle</v>
      </c>
      <c r="B61" s="263" t="s">
        <v>164</v>
      </c>
      <c r="C61" s="63">
        <v>52000</v>
      </c>
      <c r="D61" s="63">
        <f t="shared" si="32"/>
        <v>113000</v>
      </c>
      <c r="E61" s="63">
        <f t="shared" si="33"/>
        <v>121500</v>
      </c>
      <c r="F61" s="63">
        <f t="shared" si="34"/>
        <v>0</v>
      </c>
      <c r="G61" s="63">
        <f t="shared" si="30"/>
        <v>0</v>
      </c>
      <c r="H61" s="63">
        <v>43500</v>
      </c>
      <c r="I61" s="63">
        <f t="shared" si="37"/>
        <v>43500</v>
      </c>
      <c r="J61" s="9">
        <f>I61-H61</f>
        <v>0</v>
      </c>
      <c r="K61" s="47" t="s">
        <v>213</v>
      </c>
      <c r="L61" s="49">
        <v>113000</v>
      </c>
      <c r="M61" s="49">
        <v>0</v>
      </c>
      <c r="N61" s="49">
        <v>121500</v>
      </c>
      <c r="O61" s="49">
        <v>0</v>
      </c>
      <c r="Q61" s="5"/>
    </row>
    <row r="62" spans="1:17" ht="16.5">
      <c r="A62" s="60" t="str">
        <f t="shared" si="31"/>
        <v>I23C</v>
      </c>
      <c r="B62" s="264" t="s">
        <v>4</v>
      </c>
      <c r="C62" s="63">
        <v>116050</v>
      </c>
      <c r="D62" s="63">
        <f t="shared" si="32"/>
        <v>599000</v>
      </c>
      <c r="E62" s="63">
        <f t="shared" si="33"/>
        <v>537500</v>
      </c>
      <c r="F62" s="63">
        <f t="shared" si="34"/>
        <v>0</v>
      </c>
      <c r="G62" s="63">
        <f t="shared" si="30"/>
        <v>0</v>
      </c>
      <c r="H62" s="63">
        <v>177550</v>
      </c>
      <c r="I62" s="63">
        <f t="shared" si="37"/>
        <v>177550</v>
      </c>
      <c r="J62" s="9">
        <f t="shared" ref="J62:J63" si="38">I62-H62</f>
        <v>0</v>
      </c>
      <c r="K62" s="47" t="s">
        <v>30</v>
      </c>
      <c r="L62" s="49">
        <v>599000</v>
      </c>
      <c r="M62" s="49">
        <v>0</v>
      </c>
      <c r="N62" s="49">
        <v>537500</v>
      </c>
      <c r="O62" s="49">
        <v>0</v>
      </c>
      <c r="Q62" s="5"/>
    </row>
    <row r="63" spans="1:17" ht="16.5">
      <c r="A63" s="60" t="str">
        <f t="shared" si="31"/>
        <v>Merveille</v>
      </c>
      <c r="B63" s="263" t="s">
        <v>2</v>
      </c>
      <c r="C63" s="63">
        <v>4400</v>
      </c>
      <c r="D63" s="63">
        <f t="shared" si="32"/>
        <v>20000</v>
      </c>
      <c r="E63" s="63">
        <f t="shared" si="33"/>
        <v>20000</v>
      </c>
      <c r="F63" s="63">
        <f t="shared" si="34"/>
        <v>0</v>
      </c>
      <c r="G63" s="63">
        <f t="shared" si="30"/>
        <v>0</v>
      </c>
      <c r="H63" s="63">
        <v>4400</v>
      </c>
      <c r="I63" s="63">
        <f>+C63+D63-E63-F63+G63</f>
        <v>4400</v>
      </c>
      <c r="J63" s="9">
        <f t="shared" si="38"/>
        <v>0</v>
      </c>
      <c r="K63" s="47" t="s">
        <v>94</v>
      </c>
      <c r="L63" s="49">
        <v>20000</v>
      </c>
      <c r="M63" s="49">
        <v>0</v>
      </c>
      <c r="N63" s="49">
        <v>20000</v>
      </c>
      <c r="O63" s="49">
        <v>0</v>
      </c>
      <c r="Q63" s="5"/>
    </row>
    <row r="64" spans="1:17" ht="16.5">
      <c r="A64" s="60" t="str">
        <f t="shared" si="31"/>
        <v>P29</v>
      </c>
      <c r="B64" s="263" t="s">
        <v>4</v>
      </c>
      <c r="C64" s="63">
        <v>16200</v>
      </c>
      <c r="D64" s="63">
        <f t="shared" si="32"/>
        <v>874000</v>
      </c>
      <c r="E64" s="63">
        <f t="shared" si="33"/>
        <v>495500</v>
      </c>
      <c r="F64" s="63">
        <f t="shared" si="34"/>
        <v>100000</v>
      </c>
      <c r="G64" s="63">
        <f>+O64</f>
        <v>0</v>
      </c>
      <c r="H64" s="63">
        <v>294700</v>
      </c>
      <c r="I64" s="63">
        <f>+C64+D64-E64-F64+G64</f>
        <v>294700</v>
      </c>
      <c r="J64" s="9">
        <f>I64-H64</f>
        <v>0</v>
      </c>
      <c r="K64" s="47" t="s">
        <v>29</v>
      </c>
      <c r="L64" s="49">
        <v>874000</v>
      </c>
      <c r="M64" s="49">
        <v>100000</v>
      </c>
      <c r="N64" s="49">
        <v>495500</v>
      </c>
      <c r="O64" s="49">
        <v>0</v>
      </c>
      <c r="Q64" s="5"/>
    </row>
    <row r="65" spans="1:17" ht="16.5">
      <c r="A65" s="60" t="str">
        <f t="shared" si="31"/>
        <v>Paule</v>
      </c>
      <c r="B65" s="61" t="s">
        <v>164</v>
      </c>
      <c r="C65" s="63">
        <v>6000</v>
      </c>
      <c r="D65" s="63">
        <f t="shared" si="32"/>
        <v>80000</v>
      </c>
      <c r="E65" s="63">
        <f t="shared" si="33"/>
        <v>72500</v>
      </c>
      <c r="F65" s="63">
        <f t="shared" si="34"/>
        <v>0</v>
      </c>
      <c r="G65" s="63">
        <f>+O65</f>
        <v>0</v>
      </c>
      <c r="H65" s="63">
        <v>13500</v>
      </c>
      <c r="I65" s="63">
        <f>+C65+D65-E65-F65+G65</f>
        <v>13500</v>
      </c>
      <c r="J65" s="9">
        <f>I65-H65</f>
        <v>0</v>
      </c>
      <c r="K65" s="47" t="s">
        <v>212</v>
      </c>
      <c r="L65" s="49">
        <v>80000</v>
      </c>
      <c r="M65" s="49">
        <v>0</v>
      </c>
      <c r="N65" s="49">
        <v>72500</v>
      </c>
      <c r="O65" s="49">
        <v>0</v>
      </c>
      <c r="Q65" s="5"/>
    </row>
    <row r="66" spans="1:17" ht="16.5">
      <c r="A66" s="60" t="str">
        <f t="shared" si="31"/>
        <v>Tiffany</v>
      </c>
      <c r="B66" s="61" t="s">
        <v>2</v>
      </c>
      <c r="C66" s="63">
        <v>-790759</v>
      </c>
      <c r="D66" s="63">
        <f t="shared" si="32"/>
        <v>800000</v>
      </c>
      <c r="E66" s="63">
        <f t="shared" si="33"/>
        <v>16500</v>
      </c>
      <c r="F66" s="63">
        <f t="shared" si="34"/>
        <v>0</v>
      </c>
      <c r="G66" s="63">
        <f t="shared" ref="G66" si="39">+O66</f>
        <v>0</v>
      </c>
      <c r="H66" s="63">
        <v>-7259</v>
      </c>
      <c r="I66" s="63">
        <f t="shared" ref="I66" si="40">+C66+D66-E66-F66+G66</f>
        <v>-7259</v>
      </c>
      <c r="J66" s="9">
        <f t="shared" ref="J66" si="41">I66-H66</f>
        <v>0</v>
      </c>
      <c r="K66" s="47" t="s">
        <v>114</v>
      </c>
      <c r="L66" s="49">
        <v>800000</v>
      </c>
      <c r="M66" s="49">
        <v>0</v>
      </c>
      <c r="N66" s="49">
        <v>16500</v>
      </c>
      <c r="O66" s="49">
        <v>0</v>
      </c>
      <c r="Q66" s="5"/>
    </row>
    <row r="67" spans="1:17" ht="16.5">
      <c r="A67" s="10" t="s">
        <v>51</v>
      </c>
      <c r="B67" s="11"/>
      <c r="C67" s="12">
        <f t="shared" ref="C67:I67" si="42">SUM(C52:C66)</f>
        <v>31829567</v>
      </c>
      <c r="D67" s="59">
        <f t="shared" si="42"/>
        <v>8574000</v>
      </c>
      <c r="E67" s="59">
        <f t="shared" si="42"/>
        <v>9054909</v>
      </c>
      <c r="F67" s="59">
        <f t="shared" si="42"/>
        <v>8574000</v>
      </c>
      <c r="G67" s="59">
        <f t="shared" si="42"/>
        <v>0</v>
      </c>
      <c r="H67" s="59">
        <f t="shared" si="42"/>
        <v>22774658</v>
      </c>
      <c r="I67" s="59">
        <f t="shared" si="42"/>
        <v>22774658</v>
      </c>
      <c r="J67" s="9">
        <f>I67-H67</f>
        <v>0</v>
      </c>
      <c r="K67" s="3"/>
      <c r="L67" s="49">
        <f>+SUM(L52:L66)</f>
        <v>8574000</v>
      </c>
      <c r="M67" s="49">
        <f>+SUM(M52:M66)</f>
        <v>8574000</v>
      </c>
      <c r="N67" s="49">
        <f>+SUM(N52:N66)</f>
        <v>9054909</v>
      </c>
      <c r="O67" s="49">
        <f>+SUM(O52:O66)</f>
        <v>0</v>
      </c>
      <c r="Q67" s="5"/>
    </row>
    <row r="68" spans="1:17" ht="16.5">
      <c r="A68" s="10"/>
      <c r="B68" s="11"/>
      <c r="C68" s="12"/>
      <c r="D68" s="13"/>
      <c r="E68" s="12"/>
      <c r="F68" s="13"/>
      <c r="G68" s="12"/>
      <c r="H68" s="12"/>
      <c r="I68" s="143" t="b">
        <f>I67=D70</f>
        <v>1</v>
      </c>
      <c r="L68" s="5"/>
      <c r="M68" s="5"/>
      <c r="N68" s="5"/>
      <c r="O68" s="5"/>
      <c r="Q68" s="5"/>
    </row>
    <row r="69" spans="1:17" ht="16.5">
      <c r="A69" s="10" t="s">
        <v>219</v>
      </c>
      <c r="B69" s="11" t="s">
        <v>220</v>
      </c>
      <c r="C69" s="12" t="s">
        <v>221</v>
      </c>
      <c r="D69" s="12" t="s">
        <v>222</v>
      </c>
      <c r="E69" s="12" t="s">
        <v>52</v>
      </c>
      <c r="F69" s="12"/>
      <c r="G69" s="12">
        <f>+D67-F67</f>
        <v>0</v>
      </c>
      <c r="H69" s="12"/>
      <c r="I69" s="12"/>
      <c r="Q69" s="5"/>
    </row>
    <row r="70" spans="1:17" ht="16.5">
      <c r="A70" s="14">
        <f>C67</f>
        <v>31829567</v>
      </c>
      <c r="B70" s="15">
        <f>G67</f>
        <v>0</v>
      </c>
      <c r="C70" s="12">
        <f>E67</f>
        <v>9054909</v>
      </c>
      <c r="D70" s="12">
        <f>A70+B70-C70</f>
        <v>22774658</v>
      </c>
      <c r="E70" s="13">
        <f>I67-D70</f>
        <v>0</v>
      </c>
      <c r="F70" s="12"/>
      <c r="G70" s="12"/>
      <c r="H70" s="12"/>
      <c r="I70" s="12"/>
      <c r="Q70" s="5"/>
    </row>
    <row r="71" spans="1:17" ht="16.5">
      <c r="A71" s="14"/>
      <c r="B71" s="15"/>
      <c r="C71" s="12"/>
      <c r="D71" s="12"/>
      <c r="E71" s="13"/>
      <c r="F71" s="12"/>
      <c r="G71" s="12"/>
      <c r="H71" s="12"/>
      <c r="I71" s="12"/>
      <c r="Q71" s="5"/>
    </row>
    <row r="72" spans="1:17">
      <c r="A72" s="16" t="s">
        <v>53</v>
      </c>
      <c r="B72" s="16"/>
      <c r="C72" s="16"/>
      <c r="D72" s="17"/>
      <c r="E72" s="17"/>
      <c r="F72" s="17"/>
      <c r="G72" s="17"/>
      <c r="H72" s="17"/>
      <c r="I72" s="17"/>
      <c r="Q72" s="5"/>
    </row>
    <row r="73" spans="1:17">
      <c r="A73" s="18" t="s">
        <v>223</v>
      </c>
      <c r="B73" s="18"/>
      <c r="C73" s="18"/>
      <c r="D73" s="18"/>
      <c r="E73" s="18"/>
      <c r="F73" s="18"/>
      <c r="G73" s="18"/>
      <c r="H73" s="18"/>
      <c r="I73" s="18"/>
      <c r="J73" s="18"/>
      <c r="Q73" s="5"/>
    </row>
    <row r="74" spans="1:17">
      <c r="A74" s="19"/>
      <c r="B74" s="20"/>
      <c r="C74" s="21"/>
      <c r="D74" s="21"/>
      <c r="E74" s="21"/>
      <c r="F74" s="21"/>
      <c r="G74" s="21"/>
      <c r="H74" s="20"/>
      <c r="I74" s="20"/>
      <c r="Q74" s="5"/>
    </row>
    <row r="75" spans="1:17">
      <c r="A75" s="248" t="s">
        <v>54</v>
      </c>
      <c r="B75" s="250" t="s">
        <v>55</v>
      </c>
      <c r="C75" s="252" t="s">
        <v>224</v>
      </c>
      <c r="D75" s="254" t="s">
        <v>56</v>
      </c>
      <c r="E75" s="255"/>
      <c r="F75" s="255"/>
      <c r="G75" s="256"/>
      <c r="H75" s="257" t="s">
        <v>57</v>
      </c>
      <c r="I75" s="259" t="s">
        <v>58</v>
      </c>
      <c r="J75" s="20"/>
      <c r="Q75" s="5"/>
    </row>
    <row r="76" spans="1:17" ht="28.5" customHeight="1">
      <c r="A76" s="249"/>
      <c r="B76" s="251"/>
      <c r="C76" s="253"/>
      <c r="D76" s="22" t="s">
        <v>24</v>
      </c>
      <c r="E76" s="22" t="s">
        <v>25</v>
      </c>
      <c r="F76" s="253" t="s">
        <v>124</v>
      </c>
      <c r="G76" s="22" t="s">
        <v>59</v>
      </c>
      <c r="H76" s="258"/>
      <c r="I76" s="260"/>
      <c r="J76" s="261" t="s">
        <v>225</v>
      </c>
      <c r="K76" s="155"/>
      <c r="Q76" s="5"/>
    </row>
    <row r="77" spans="1:17">
      <c r="A77" s="24"/>
      <c r="B77" s="25" t="s">
        <v>60</v>
      </c>
      <c r="C77" s="26"/>
      <c r="D77" s="26"/>
      <c r="E77" s="26"/>
      <c r="F77" s="26"/>
      <c r="G77" s="26"/>
      <c r="H77" s="26"/>
      <c r="I77" s="27"/>
      <c r="J77" s="262"/>
      <c r="K77" s="155"/>
      <c r="Q77" s="5"/>
    </row>
    <row r="78" spans="1:17">
      <c r="A78" s="130" t="s">
        <v>128</v>
      </c>
      <c r="B78" s="135" t="s">
        <v>48</v>
      </c>
      <c r="C78" s="33">
        <f>+C55</f>
        <v>22050</v>
      </c>
      <c r="D78" s="32"/>
      <c r="E78" s="33">
        <f>+D55</f>
        <v>462000</v>
      </c>
      <c r="F78" s="33"/>
      <c r="G78" s="33"/>
      <c r="H78" s="57">
        <f t="shared" ref="H78:H89" si="43">+F55</f>
        <v>0</v>
      </c>
      <c r="I78" s="33">
        <f t="shared" ref="I78:I89" si="44">+E55</f>
        <v>462200</v>
      </c>
      <c r="J78" s="31">
        <f t="shared" ref="J78:J79" si="45">+SUM(C78:G78)-(H78+I78)</f>
        <v>21850</v>
      </c>
      <c r="K78" s="156" t="b">
        <f t="shared" ref="K78:K89" si="46">J78=I55</f>
        <v>1</v>
      </c>
      <c r="Q78" s="5"/>
    </row>
    <row r="79" spans="1:17">
      <c r="A79" s="130" t="str">
        <f>+A78</f>
        <v>AVRIL</v>
      </c>
      <c r="B79" s="135" t="s">
        <v>31</v>
      </c>
      <c r="C79" s="33">
        <f t="shared" ref="C79:C80" si="47">+C56</f>
        <v>13995</v>
      </c>
      <c r="D79" s="32"/>
      <c r="E79" s="33">
        <f t="shared" ref="E79:E80" si="48">+D56</f>
        <v>30000</v>
      </c>
      <c r="F79" s="33"/>
      <c r="G79" s="33"/>
      <c r="H79" s="57">
        <f t="shared" si="43"/>
        <v>0</v>
      </c>
      <c r="I79" s="33">
        <f t="shared" si="44"/>
        <v>36000</v>
      </c>
      <c r="J79" s="107">
        <f t="shared" si="45"/>
        <v>7995</v>
      </c>
      <c r="K79" s="156" t="b">
        <f t="shared" si="46"/>
        <v>1</v>
      </c>
      <c r="Q79" s="5"/>
    </row>
    <row r="80" spans="1:17">
      <c r="A80" s="130" t="str">
        <f t="shared" ref="A80:A85" si="49">+A79</f>
        <v>AVRIL</v>
      </c>
      <c r="B80" s="136" t="s">
        <v>153</v>
      </c>
      <c r="C80" s="33">
        <f t="shared" si="47"/>
        <v>36485</v>
      </c>
      <c r="D80" s="127"/>
      <c r="E80" s="33">
        <f t="shared" si="48"/>
        <v>486000</v>
      </c>
      <c r="F80" s="53"/>
      <c r="G80" s="53"/>
      <c r="H80" s="57">
        <f t="shared" si="43"/>
        <v>0</v>
      </c>
      <c r="I80" s="33">
        <f t="shared" si="44"/>
        <v>366150</v>
      </c>
      <c r="J80" s="132">
        <f>+SUM(C80:G80)-(H80+I80)</f>
        <v>156335</v>
      </c>
      <c r="K80" s="156" t="b">
        <f t="shared" si="46"/>
        <v>1</v>
      </c>
      <c r="Q80" s="5"/>
    </row>
    <row r="81" spans="1:17">
      <c r="A81" s="130" t="str">
        <f t="shared" si="49"/>
        <v>AVRIL</v>
      </c>
      <c r="B81" s="137" t="s">
        <v>85</v>
      </c>
      <c r="C81" s="128">
        <f>+C58</f>
        <v>233614</v>
      </c>
      <c r="D81" s="131"/>
      <c r="E81" s="128">
        <f>+D58</f>
        <v>0</v>
      </c>
      <c r="F81" s="146"/>
      <c r="G81" s="146"/>
      <c r="H81" s="180">
        <f t="shared" si="43"/>
        <v>0</v>
      </c>
      <c r="I81" s="128">
        <f t="shared" si="44"/>
        <v>0</v>
      </c>
      <c r="J81" s="129">
        <f>+SUM(C81:G81)-(H81+I81)</f>
        <v>233614</v>
      </c>
      <c r="K81" s="156" t="b">
        <f t="shared" si="46"/>
        <v>1</v>
      </c>
      <c r="Q81" s="5"/>
    </row>
    <row r="82" spans="1:17">
      <c r="A82" s="130" t="str">
        <f t="shared" si="49"/>
        <v>AVRIL</v>
      </c>
      <c r="B82" s="137" t="s">
        <v>84</v>
      </c>
      <c r="C82" s="128">
        <f>+C59</f>
        <v>249769</v>
      </c>
      <c r="D82" s="131"/>
      <c r="E82" s="128">
        <f>+D59</f>
        <v>0</v>
      </c>
      <c r="F82" s="146"/>
      <c r="G82" s="146"/>
      <c r="H82" s="180">
        <f t="shared" si="43"/>
        <v>0</v>
      </c>
      <c r="I82" s="128">
        <f t="shared" si="44"/>
        <v>0</v>
      </c>
      <c r="J82" s="129">
        <f t="shared" ref="J82:J89" si="50">+SUM(C82:G82)-(H82+I82)</f>
        <v>249769</v>
      </c>
      <c r="K82" s="156" t="b">
        <f t="shared" si="46"/>
        <v>1</v>
      </c>
      <c r="Q82" s="5"/>
    </row>
    <row r="83" spans="1:17">
      <c r="A83" s="130" t="str">
        <f t="shared" si="49"/>
        <v>AVRIL</v>
      </c>
      <c r="B83" s="135" t="s">
        <v>152</v>
      </c>
      <c r="C83" s="33">
        <f>+C60</f>
        <v>10700</v>
      </c>
      <c r="D83" s="32"/>
      <c r="E83" s="33">
        <f>+D60</f>
        <v>10000</v>
      </c>
      <c r="F83" s="33"/>
      <c r="G83" s="110"/>
      <c r="H83" s="57">
        <f t="shared" si="43"/>
        <v>0</v>
      </c>
      <c r="I83" s="33">
        <f t="shared" si="44"/>
        <v>10500</v>
      </c>
      <c r="J83" s="31">
        <f t="shared" si="50"/>
        <v>10200</v>
      </c>
      <c r="K83" s="156" t="b">
        <f t="shared" si="46"/>
        <v>1</v>
      </c>
      <c r="Q83" s="5"/>
    </row>
    <row r="84" spans="1:17">
      <c r="A84" s="130" t="str">
        <f t="shared" si="49"/>
        <v>AVRIL</v>
      </c>
      <c r="B84" s="135" t="s">
        <v>213</v>
      </c>
      <c r="C84" s="33">
        <f t="shared" ref="C84:C87" si="51">+C61</f>
        <v>52000</v>
      </c>
      <c r="D84" s="32"/>
      <c r="E84" s="33">
        <f t="shared" ref="E84:E89" si="52">+D61</f>
        <v>113000</v>
      </c>
      <c r="F84" s="33"/>
      <c r="G84" s="110"/>
      <c r="H84" s="57">
        <f t="shared" si="43"/>
        <v>0</v>
      </c>
      <c r="I84" s="33">
        <f t="shared" si="44"/>
        <v>121500</v>
      </c>
      <c r="J84" s="31">
        <f t="shared" si="50"/>
        <v>43500</v>
      </c>
      <c r="K84" s="156" t="b">
        <f t="shared" si="46"/>
        <v>1</v>
      </c>
      <c r="Q84" s="5"/>
    </row>
    <row r="85" spans="1:17">
      <c r="A85" s="130" t="str">
        <f t="shared" si="49"/>
        <v>AVRIL</v>
      </c>
      <c r="B85" s="135" t="s">
        <v>30</v>
      </c>
      <c r="C85" s="33">
        <f t="shared" si="51"/>
        <v>116050</v>
      </c>
      <c r="D85" s="32"/>
      <c r="E85" s="33">
        <f t="shared" si="52"/>
        <v>599000</v>
      </c>
      <c r="F85" s="33"/>
      <c r="G85" s="110"/>
      <c r="H85" s="57">
        <f t="shared" si="43"/>
        <v>0</v>
      </c>
      <c r="I85" s="33">
        <f t="shared" si="44"/>
        <v>537500</v>
      </c>
      <c r="J85" s="31">
        <f t="shared" si="50"/>
        <v>177550</v>
      </c>
      <c r="K85" s="156" t="b">
        <f t="shared" si="46"/>
        <v>1</v>
      </c>
      <c r="Q85" s="5"/>
    </row>
    <row r="86" spans="1:17">
      <c r="A86" s="130" t="str">
        <f>+A84</f>
        <v>AVRIL</v>
      </c>
      <c r="B86" s="135" t="s">
        <v>94</v>
      </c>
      <c r="C86" s="33">
        <f t="shared" si="51"/>
        <v>4400</v>
      </c>
      <c r="D86" s="32"/>
      <c r="E86" s="33">
        <f t="shared" si="52"/>
        <v>20000</v>
      </c>
      <c r="F86" s="33"/>
      <c r="G86" s="110"/>
      <c r="H86" s="57">
        <f t="shared" si="43"/>
        <v>0</v>
      </c>
      <c r="I86" s="33">
        <f t="shared" si="44"/>
        <v>20000</v>
      </c>
      <c r="J86" s="31">
        <f t="shared" si="50"/>
        <v>4400</v>
      </c>
      <c r="K86" s="156" t="b">
        <f t="shared" si="46"/>
        <v>1</v>
      </c>
      <c r="Q86" s="5"/>
    </row>
    <row r="87" spans="1:17">
      <c r="A87" s="130" t="str">
        <f>+A85</f>
        <v>AVRIL</v>
      </c>
      <c r="B87" s="135" t="s">
        <v>29</v>
      </c>
      <c r="C87" s="33">
        <f t="shared" si="51"/>
        <v>16200</v>
      </c>
      <c r="D87" s="32"/>
      <c r="E87" s="33">
        <f t="shared" si="52"/>
        <v>874000</v>
      </c>
      <c r="F87" s="33"/>
      <c r="G87" s="110"/>
      <c r="H87" s="57">
        <f t="shared" si="43"/>
        <v>100000</v>
      </c>
      <c r="I87" s="33">
        <f t="shared" si="44"/>
        <v>495500</v>
      </c>
      <c r="J87" s="31">
        <f t="shared" si="50"/>
        <v>294700</v>
      </c>
      <c r="K87" s="156" t="b">
        <f t="shared" si="46"/>
        <v>1</v>
      </c>
      <c r="Q87" s="5"/>
    </row>
    <row r="88" spans="1:17">
      <c r="A88" s="130" t="str">
        <f>+A86</f>
        <v>AVRIL</v>
      </c>
      <c r="B88" s="135" t="s">
        <v>212</v>
      </c>
      <c r="C88" s="33">
        <f>+C65</f>
        <v>6000</v>
      </c>
      <c r="D88" s="32"/>
      <c r="E88" s="33">
        <f t="shared" si="52"/>
        <v>80000</v>
      </c>
      <c r="F88" s="33"/>
      <c r="G88" s="110"/>
      <c r="H88" s="57">
        <f t="shared" si="43"/>
        <v>0</v>
      </c>
      <c r="I88" s="33">
        <f t="shared" si="44"/>
        <v>72500</v>
      </c>
      <c r="J88" s="31">
        <f t="shared" si="50"/>
        <v>13500</v>
      </c>
      <c r="K88" s="156" t="b">
        <f t="shared" si="46"/>
        <v>1</v>
      </c>
      <c r="Q88" s="5"/>
    </row>
    <row r="89" spans="1:17">
      <c r="A89" s="130" t="str">
        <f>+A87</f>
        <v>AVRIL</v>
      </c>
      <c r="B89" s="136" t="s">
        <v>114</v>
      </c>
      <c r="C89" s="33">
        <f t="shared" ref="C89" si="53">+C66</f>
        <v>-790759</v>
      </c>
      <c r="D89" s="127"/>
      <c r="E89" s="33">
        <f t="shared" si="52"/>
        <v>800000</v>
      </c>
      <c r="F89" s="53"/>
      <c r="G89" s="147"/>
      <c r="H89" s="57">
        <f t="shared" si="43"/>
        <v>0</v>
      </c>
      <c r="I89" s="33">
        <f t="shared" si="44"/>
        <v>16500</v>
      </c>
      <c r="J89" s="31">
        <f t="shared" si="50"/>
        <v>-7259</v>
      </c>
      <c r="K89" s="156" t="b">
        <f t="shared" si="46"/>
        <v>1</v>
      </c>
      <c r="Q89" s="5"/>
    </row>
    <row r="90" spans="1:17">
      <c r="A90" s="35" t="s">
        <v>61</v>
      </c>
      <c r="B90" s="36"/>
      <c r="C90" s="36"/>
      <c r="D90" s="36"/>
      <c r="E90" s="36"/>
      <c r="F90" s="36"/>
      <c r="G90" s="36"/>
      <c r="H90" s="36"/>
      <c r="I90" s="36"/>
      <c r="J90" s="37"/>
      <c r="K90" s="155"/>
      <c r="Q90" s="5"/>
    </row>
    <row r="91" spans="1:17">
      <c r="A91" s="130" t="str">
        <f>+A89</f>
        <v>AVRIL</v>
      </c>
      <c r="B91" s="38" t="s">
        <v>62</v>
      </c>
      <c r="C91" s="39">
        <f>+C54</f>
        <v>1160022</v>
      </c>
      <c r="D91" s="51"/>
      <c r="E91" s="51">
        <f>D54</f>
        <v>5100000</v>
      </c>
      <c r="F91" s="51"/>
      <c r="G91" s="133"/>
      <c r="H91" s="53">
        <f>+F54</f>
        <v>3474000</v>
      </c>
      <c r="I91" s="134">
        <f>+E54</f>
        <v>1822909</v>
      </c>
      <c r="J91" s="46">
        <f>+SUM(C91:G91)-(H91+I91)</f>
        <v>963113</v>
      </c>
      <c r="K91" s="156" t="b">
        <f>J91=I54</f>
        <v>1</v>
      </c>
      <c r="Q91" s="5"/>
    </row>
    <row r="92" spans="1:17">
      <c r="A92" s="44" t="s">
        <v>63</v>
      </c>
      <c r="B92" s="25"/>
      <c r="C92" s="36"/>
      <c r="D92" s="25"/>
      <c r="E92" s="25"/>
      <c r="F92" s="25"/>
      <c r="G92" s="25"/>
      <c r="H92" s="25"/>
      <c r="I92" s="25"/>
      <c r="J92" s="37"/>
      <c r="K92" s="155"/>
      <c r="Q92" s="5"/>
    </row>
    <row r="93" spans="1:17">
      <c r="A93" s="130" t="str">
        <f>+A91</f>
        <v>AVRIL</v>
      </c>
      <c r="B93" s="38" t="s">
        <v>167</v>
      </c>
      <c r="C93" s="133">
        <f>+C52</f>
        <v>9177780</v>
      </c>
      <c r="D93" s="140">
        <f>+G52</f>
        <v>0</v>
      </c>
      <c r="E93" s="51"/>
      <c r="F93" s="51"/>
      <c r="G93" s="51"/>
      <c r="H93" s="53">
        <f>+F52</f>
        <v>5000000</v>
      </c>
      <c r="I93" s="55">
        <f>+E52</f>
        <v>23345</v>
      </c>
      <c r="J93" s="46">
        <f>+SUM(C93:G93)-(H93+I93)</f>
        <v>4154435</v>
      </c>
      <c r="K93" s="156" t="b">
        <f>+J93=I52</f>
        <v>1</v>
      </c>
      <c r="Q93" s="5"/>
    </row>
    <row r="94" spans="1:17">
      <c r="A94" s="130" t="str">
        <f t="shared" ref="A94" si="54">+A93</f>
        <v>AVRIL</v>
      </c>
      <c r="B94" s="38" t="s">
        <v>65</v>
      </c>
      <c r="C94" s="133">
        <f>+C53</f>
        <v>21521261</v>
      </c>
      <c r="D94" s="51">
        <f>+G53</f>
        <v>0</v>
      </c>
      <c r="E94" s="50"/>
      <c r="F94" s="50"/>
      <c r="G94" s="50"/>
      <c r="H94" s="33">
        <f>+F53</f>
        <v>0</v>
      </c>
      <c r="I94" s="52">
        <f>+E53</f>
        <v>5070305</v>
      </c>
      <c r="J94" s="46">
        <f>SUM(C94:G94)-(H94+I94)</f>
        <v>16450956</v>
      </c>
      <c r="K94" s="156" t="b">
        <f>+J94=I53</f>
        <v>1</v>
      </c>
      <c r="Q94" s="5"/>
    </row>
    <row r="95" spans="1:17" ht="15.75">
      <c r="C95" s="151">
        <f>SUM(C78:C94)</f>
        <v>31829567</v>
      </c>
      <c r="I95" s="149">
        <f>SUM(I78:I94)</f>
        <v>9054909</v>
      </c>
      <c r="J95" s="111">
        <f>+SUM(J78:J94)</f>
        <v>22774658</v>
      </c>
      <c r="K95" s="5" t="b">
        <f>J95=I67</f>
        <v>1</v>
      </c>
      <c r="Q95" s="5"/>
    </row>
    <row r="96" spans="1:17" ht="15.75">
      <c r="A96" s="217"/>
      <c r="B96" s="217"/>
      <c r="C96" s="218"/>
      <c r="D96" s="217"/>
      <c r="E96" s="217"/>
      <c r="F96" s="217"/>
      <c r="G96" s="217"/>
      <c r="H96" s="217"/>
      <c r="I96" s="219"/>
      <c r="J96" s="220"/>
      <c r="K96" s="217"/>
      <c r="L96" s="221"/>
      <c r="M96" s="221"/>
      <c r="N96" s="221"/>
      <c r="O96" s="221"/>
      <c r="P96" s="217"/>
      <c r="Q96" s="5"/>
    </row>
    <row r="99" spans="1:17" ht="15.75">
      <c r="A99" s="6" t="s">
        <v>37</v>
      </c>
      <c r="B99" s="6" t="s">
        <v>1</v>
      </c>
      <c r="C99" s="6">
        <v>44621</v>
      </c>
      <c r="D99" s="7" t="s">
        <v>38</v>
      </c>
      <c r="E99" s="7" t="s">
        <v>39</v>
      </c>
      <c r="F99" s="7" t="s">
        <v>40</v>
      </c>
      <c r="G99" s="7" t="s">
        <v>41</v>
      </c>
      <c r="H99" s="6">
        <v>44651</v>
      </c>
      <c r="I99" s="7" t="s">
        <v>42</v>
      </c>
      <c r="K99" s="47"/>
      <c r="L99" s="47" t="s">
        <v>43</v>
      </c>
      <c r="M99" s="47" t="s">
        <v>44</v>
      </c>
      <c r="N99" s="47" t="s">
        <v>45</v>
      </c>
      <c r="O99" s="47" t="s">
        <v>46</v>
      </c>
      <c r="Q99" s="5"/>
    </row>
    <row r="100" spans="1:17" ht="16.5">
      <c r="A100" s="60" t="str">
        <f>K100</f>
        <v>BCI</v>
      </c>
      <c r="B100" s="61" t="s">
        <v>47</v>
      </c>
      <c r="C100" s="63">
        <v>888683</v>
      </c>
      <c r="D100" s="63">
        <f>+L100</f>
        <v>0</v>
      </c>
      <c r="E100" s="63">
        <f>+N100</f>
        <v>543345</v>
      </c>
      <c r="F100" s="63">
        <f>+M100</f>
        <v>2600000</v>
      </c>
      <c r="G100" s="63">
        <f t="shared" ref="G100:G111" si="55">+O100</f>
        <v>11432442</v>
      </c>
      <c r="H100" s="63">
        <v>9177780</v>
      </c>
      <c r="I100" s="63">
        <f>+C100+D100-E100-F100+G100</f>
        <v>9177780</v>
      </c>
      <c r="J100" s="9">
        <f>I100-H100</f>
        <v>0</v>
      </c>
      <c r="K100" s="47" t="s">
        <v>24</v>
      </c>
      <c r="L100" s="49">
        <v>0</v>
      </c>
      <c r="M100" s="49">
        <v>2600000</v>
      </c>
      <c r="N100" s="49">
        <v>543345</v>
      </c>
      <c r="O100" s="49">
        <v>11432442</v>
      </c>
      <c r="Q100" s="5"/>
    </row>
    <row r="101" spans="1:17" ht="16.5">
      <c r="A101" s="60" t="str">
        <f t="shared" ref="A101:A114" si="56">K101</f>
        <v>BCI-Sous Compte</v>
      </c>
      <c r="B101" s="61" t="s">
        <v>47</v>
      </c>
      <c r="C101" s="63">
        <v>882502</v>
      </c>
      <c r="D101" s="63">
        <f t="shared" ref="D101:D114" si="57">+L101</f>
        <v>0</v>
      </c>
      <c r="E101" s="63">
        <f t="shared" ref="E101:E114" si="58">+N101</f>
        <v>6117606</v>
      </c>
      <c r="F101" s="63">
        <f t="shared" ref="F101:F114" si="59">+M101</f>
        <v>1600000</v>
      </c>
      <c r="G101" s="63">
        <f t="shared" si="55"/>
        <v>28356365</v>
      </c>
      <c r="H101" s="63">
        <v>21521261</v>
      </c>
      <c r="I101" s="63">
        <f>+C101+D101-E101-F101+G101</f>
        <v>21521261</v>
      </c>
      <c r="J101" s="9">
        <f t="shared" ref="J101:J108" si="60">I101-H101</f>
        <v>0</v>
      </c>
      <c r="K101" s="47" t="s">
        <v>158</v>
      </c>
      <c r="L101" s="49">
        <v>0</v>
      </c>
      <c r="M101" s="49">
        <v>1600000</v>
      </c>
      <c r="N101" s="49">
        <v>6117606</v>
      </c>
      <c r="O101" s="49">
        <v>28356365</v>
      </c>
      <c r="Q101" s="5"/>
    </row>
    <row r="102" spans="1:17" ht="16.5">
      <c r="A102" s="60" t="str">
        <f t="shared" si="56"/>
        <v>Caisse</v>
      </c>
      <c r="B102" s="61" t="s">
        <v>25</v>
      </c>
      <c r="C102" s="63">
        <v>797106</v>
      </c>
      <c r="D102" s="63">
        <f t="shared" si="57"/>
        <v>4270000</v>
      </c>
      <c r="E102" s="63">
        <f t="shared" si="58"/>
        <v>2099084</v>
      </c>
      <c r="F102" s="63">
        <f t="shared" si="59"/>
        <v>1808000</v>
      </c>
      <c r="G102" s="63">
        <f t="shared" si="55"/>
        <v>0</v>
      </c>
      <c r="H102" s="63">
        <v>1160022</v>
      </c>
      <c r="I102" s="63">
        <f>+C102+D102-E102-F102+G102</f>
        <v>1160022</v>
      </c>
      <c r="J102" s="108">
        <f t="shared" si="60"/>
        <v>0</v>
      </c>
      <c r="K102" s="47" t="s">
        <v>25</v>
      </c>
      <c r="L102" s="49">
        <v>4270000</v>
      </c>
      <c r="M102" s="49">
        <v>1808000</v>
      </c>
      <c r="N102" s="49">
        <v>2099084</v>
      </c>
      <c r="O102" s="49">
        <v>0</v>
      </c>
      <c r="Q102" s="5"/>
    </row>
    <row r="103" spans="1:17" ht="16.5">
      <c r="A103" s="60" t="str">
        <f t="shared" si="56"/>
        <v>Crépin</v>
      </c>
      <c r="B103" s="61" t="s">
        <v>164</v>
      </c>
      <c r="C103" s="63">
        <v>56050</v>
      </c>
      <c r="D103" s="63">
        <f t="shared" si="57"/>
        <v>0</v>
      </c>
      <c r="E103" s="63">
        <f t="shared" si="58"/>
        <v>4000</v>
      </c>
      <c r="F103" s="63">
        <f t="shared" si="59"/>
        <v>30000</v>
      </c>
      <c r="G103" s="63">
        <f t="shared" si="55"/>
        <v>0</v>
      </c>
      <c r="H103" s="63">
        <v>22050</v>
      </c>
      <c r="I103" s="63">
        <f>+C103+D103-E103-F103+G103</f>
        <v>22050</v>
      </c>
      <c r="J103" s="9">
        <f t="shared" si="60"/>
        <v>0</v>
      </c>
      <c r="K103" s="47" t="s">
        <v>48</v>
      </c>
      <c r="L103" s="49">
        <v>0</v>
      </c>
      <c r="M103" s="49">
        <v>30000</v>
      </c>
      <c r="N103" s="49">
        <v>4000</v>
      </c>
      <c r="O103" s="49">
        <v>0</v>
      </c>
      <c r="Q103" s="5"/>
    </row>
    <row r="104" spans="1:17" ht="16.5">
      <c r="A104" s="60" t="str">
        <f t="shared" si="56"/>
        <v>Evariste</v>
      </c>
      <c r="B104" s="61" t="s">
        <v>165</v>
      </c>
      <c r="C104" s="63">
        <v>21495</v>
      </c>
      <c r="D104" s="63">
        <f t="shared" si="57"/>
        <v>139000</v>
      </c>
      <c r="E104" s="63">
        <f t="shared" si="58"/>
        <v>146500</v>
      </c>
      <c r="F104" s="63">
        <f t="shared" si="59"/>
        <v>0</v>
      </c>
      <c r="G104" s="63">
        <f t="shared" si="55"/>
        <v>0</v>
      </c>
      <c r="H104" s="63">
        <v>13995</v>
      </c>
      <c r="I104" s="63">
        <f t="shared" ref="I104" si="61">+C104+D104-E104-F104+G104</f>
        <v>13995</v>
      </c>
      <c r="J104" s="9">
        <f t="shared" si="60"/>
        <v>0</v>
      </c>
      <c r="K104" s="47" t="s">
        <v>31</v>
      </c>
      <c r="L104" s="49">
        <v>139000</v>
      </c>
      <c r="M104" s="49">
        <v>0</v>
      </c>
      <c r="N104" s="49">
        <v>146500</v>
      </c>
      <c r="O104" s="49">
        <v>0</v>
      </c>
      <c r="Q104" s="5"/>
    </row>
    <row r="105" spans="1:17" ht="16.5">
      <c r="A105" s="60" t="str">
        <f t="shared" si="56"/>
        <v>Godfré</v>
      </c>
      <c r="B105" s="61" t="s">
        <v>164</v>
      </c>
      <c r="C105" s="63">
        <v>113185</v>
      </c>
      <c r="D105" s="63">
        <f t="shared" si="57"/>
        <v>188000</v>
      </c>
      <c r="E105" s="63">
        <f t="shared" si="58"/>
        <v>224700</v>
      </c>
      <c r="F105" s="63">
        <f t="shared" si="59"/>
        <v>40000</v>
      </c>
      <c r="G105" s="63">
        <f t="shared" si="55"/>
        <v>0</v>
      </c>
      <c r="H105" s="63">
        <v>36485</v>
      </c>
      <c r="I105" s="63">
        <f>+C105+D105-E105-F105+G105</f>
        <v>36485</v>
      </c>
      <c r="J105" s="9">
        <f t="shared" si="60"/>
        <v>0</v>
      </c>
      <c r="K105" s="47" t="s">
        <v>153</v>
      </c>
      <c r="L105" s="49">
        <v>188000</v>
      </c>
      <c r="M105" s="49">
        <v>40000</v>
      </c>
      <c r="N105" s="49">
        <v>224700</v>
      </c>
      <c r="O105" s="49">
        <v>0</v>
      </c>
      <c r="Q105" s="5"/>
    </row>
    <row r="106" spans="1:17" ht="16.5">
      <c r="A106" s="60" t="str">
        <f t="shared" si="56"/>
        <v>I55S</v>
      </c>
      <c r="B106" s="124" t="s">
        <v>4</v>
      </c>
      <c r="C106" s="126">
        <v>233614</v>
      </c>
      <c r="D106" s="126">
        <f t="shared" si="57"/>
        <v>0</v>
      </c>
      <c r="E106" s="126">
        <f t="shared" si="58"/>
        <v>0</v>
      </c>
      <c r="F106" s="126">
        <f t="shared" si="59"/>
        <v>0</v>
      </c>
      <c r="G106" s="126">
        <f t="shared" si="55"/>
        <v>0</v>
      </c>
      <c r="H106" s="126">
        <v>233614</v>
      </c>
      <c r="I106" s="126">
        <f>+C106+D106-E106-F106+G106</f>
        <v>233614</v>
      </c>
      <c r="J106" s="9">
        <f t="shared" si="60"/>
        <v>0</v>
      </c>
      <c r="K106" s="47" t="s">
        <v>85</v>
      </c>
      <c r="L106" s="49">
        <v>0</v>
      </c>
      <c r="M106" s="49">
        <v>0</v>
      </c>
      <c r="N106" s="49">
        <v>0</v>
      </c>
      <c r="O106" s="49">
        <v>0</v>
      </c>
      <c r="Q106" s="5"/>
    </row>
    <row r="107" spans="1:17" ht="16.5">
      <c r="A107" s="60" t="str">
        <f t="shared" si="56"/>
        <v>I73X</v>
      </c>
      <c r="B107" s="124" t="s">
        <v>4</v>
      </c>
      <c r="C107" s="126">
        <v>249769</v>
      </c>
      <c r="D107" s="126">
        <f t="shared" si="57"/>
        <v>0</v>
      </c>
      <c r="E107" s="126">
        <f t="shared" si="58"/>
        <v>0</v>
      </c>
      <c r="F107" s="126">
        <f t="shared" si="59"/>
        <v>0</v>
      </c>
      <c r="G107" s="126">
        <f t="shared" si="55"/>
        <v>0</v>
      </c>
      <c r="H107" s="126">
        <v>249769</v>
      </c>
      <c r="I107" s="126">
        <f t="shared" ref="I107:I110" si="62">+C107+D107-E107-F107+G107</f>
        <v>249769</v>
      </c>
      <c r="J107" s="9">
        <f t="shared" si="60"/>
        <v>0</v>
      </c>
      <c r="K107" s="47" t="s">
        <v>84</v>
      </c>
      <c r="L107" s="49">
        <v>0</v>
      </c>
      <c r="M107" s="49">
        <v>0</v>
      </c>
      <c r="N107" s="49">
        <v>0</v>
      </c>
      <c r="O107" s="49">
        <v>0</v>
      </c>
      <c r="Q107" s="5"/>
    </row>
    <row r="108" spans="1:17" ht="16.5">
      <c r="A108" s="60" t="str">
        <f t="shared" si="56"/>
        <v>Grace</v>
      </c>
      <c r="B108" s="104" t="s">
        <v>2</v>
      </c>
      <c r="C108" s="63">
        <v>20700</v>
      </c>
      <c r="D108" s="63">
        <f t="shared" si="57"/>
        <v>0</v>
      </c>
      <c r="E108" s="63">
        <f t="shared" si="58"/>
        <v>10000</v>
      </c>
      <c r="F108" s="63">
        <f t="shared" si="59"/>
        <v>0</v>
      </c>
      <c r="G108" s="63">
        <f t="shared" si="55"/>
        <v>0</v>
      </c>
      <c r="H108" s="63">
        <v>10700</v>
      </c>
      <c r="I108" s="63">
        <f t="shared" si="62"/>
        <v>10700</v>
      </c>
      <c r="J108" s="9">
        <f t="shared" si="60"/>
        <v>0</v>
      </c>
      <c r="K108" s="47" t="s">
        <v>152</v>
      </c>
      <c r="L108" s="49">
        <v>0</v>
      </c>
      <c r="M108" s="49">
        <v>0</v>
      </c>
      <c r="N108" s="49">
        <v>10000</v>
      </c>
      <c r="O108" s="49">
        <v>0</v>
      </c>
      <c r="Q108" s="5"/>
    </row>
    <row r="109" spans="1:17" ht="16.5">
      <c r="A109" s="60" t="str">
        <f t="shared" si="56"/>
        <v>Hurielle</v>
      </c>
      <c r="B109" s="61" t="s">
        <v>164</v>
      </c>
      <c r="C109" s="63">
        <v>0</v>
      </c>
      <c r="D109" s="63">
        <f t="shared" si="57"/>
        <v>135000</v>
      </c>
      <c r="E109" s="63">
        <f t="shared" si="58"/>
        <v>83000</v>
      </c>
      <c r="F109" s="63">
        <f t="shared" si="59"/>
        <v>0</v>
      </c>
      <c r="G109" s="63">
        <f t="shared" si="55"/>
        <v>0</v>
      </c>
      <c r="H109" s="63">
        <v>52000</v>
      </c>
      <c r="I109" s="63">
        <f t="shared" si="62"/>
        <v>52000</v>
      </c>
      <c r="J109" s="9">
        <f>I109-H109</f>
        <v>0</v>
      </c>
      <c r="K109" s="47" t="s">
        <v>213</v>
      </c>
      <c r="L109" s="49">
        <v>135000</v>
      </c>
      <c r="M109" s="49">
        <v>0</v>
      </c>
      <c r="N109" s="49">
        <v>83000</v>
      </c>
      <c r="O109" s="49">
        <v>0</v>
      </c>
      <c r="Q109" s="5"/>
    </row>
    <row r="110" spans="1:17" ht="16.5">
      <c r="A110" s="60" t="str">
        <f t="shared" si="56"/>
        <v>I23C</v>
      </c>
      <c r="B110" s="104" t="s">
        <v>4</v>
      </c>
      <c r="C110" s="63">
        <v>15550</v>
      </c>
      <c r="D110" s="63">
        <f t="shared" si="57"/>
        <v>747000</v>
      </c>
      <c r="E110" s="63">
        <f t="shared" si="58"/>
        <v>646500</v>
      </c>
      <c r="F110" s="63">
        <f t="shared" si="59"/>
        <v>0</v>
      </c>
      <c r="G110" s="63">
        <f t="shared" si="55"/>
        <v>0</v>
      </c>
      <c r="H110" s="63">
        <v>116050</v>
      </c>
      <c r="I110" s="63">
        <f t="shared" si="62"/>
        <v>116050</v>
      </c>
      <c r="J110" s="9">
        <f t="shared" ref="J110:J111" si="63">I110-H110</f>
        <v>0</v>
      </c>
      <c r="K110" s="47" t="s">
        <v>30</v>
      </c>
      <c r="L110" s="49">
        <v>747000</v>
      </c>
      <c r="M110" s="49">
        <v>0</v>
      </c>
      <c r="N110" s="49">
        <v>646500</v>
      </c>
      <c r="O110" s="49">
        <v>0</v>
      </c>
      <c r="Q110" s="5"/>
    </row>
    <row r="111" spans="1:17" ht="16.5">
      <c r="A111" s="60" t="str">
        <f t="shared" si="56"/>
        <v>Merveille</v>
      </c>
      <c r="B111" s="61" t="s">
        <v>2</v>
      </c>
      <c r="C111" s="63">
        <v>4800</v>
      </c>
      <c r="D111" s="63">
        <f t="shared" si="57"/>
        <v>20000</v>
      </c>
      <c r="E111" s="63">
        <f t="shared" si="58"/>
        <v>20400</v>
      </c>
      <c r="F111" s="63">
        <f t="shared" si="59"/>
        <v>0</v>
      </c>
      <c r="G111" s="63">
        <f t="shared" si="55"/>
        <v>0</v>
      </c>
      <c r="H111" s="63">
        <v>4400</v>
      </c>
      <c r="I111" s="63">
        <f>+C111+D111-E111-F111+G111</f>
        <v>4400</v>
      </c>
      <c r="J111" s="9">
        <f t="shared" si="63"/>
        <v>0</v>
      </c>
      <c r="K111" s="47" t="s">
        <v>94</v>
      </c>
      <c r="L111" s="49">
        <v>20000</v>
      </c>
      <c r="M111" s="49">
        <v>0</v>
      </c>
      <c r="N111" s="49">
        <v>20400</v>
      </c>
      <c r="O111" s="49"/>
      <c r="Q111" s="5"/>
    </row>
    <row r="112" spans="1:17" ht="16.5">
      <c r="A112" s="60" t="str">
        <f t="shared" si="56"/>
        <v>P29</v>
      </c>
      <c r="B112" s="61" t="s">
        <v>4</v>
      </c>
      <c r="C112" s="63">
        <v>136200</v>
      </c>
      <c r="D112" s="63">
        <f t="shared" si="57"/>
        <v>380000</v>
      </c>
      <c r="E112" s="63">
        <f t="shared" si="58"/>
        <v>500000</v>
      </c>
      <c r="F112" s="63">
        <f t="shared" si="59"/>
        <v>0</v>
      </c>
      <c r="G112" s="63">
        <f>+O112</f>
        <v>0</v>
      </c>
      <c r="H112" s="63">
        <v>16200</v>
      </c>
      <c r="I112" s="63">
        <f>+C112+D112-E112-F112+G112</f>
        <v>16200</v>
      </c>
      <c r="J112" s="9">
        <f>I112-H112</f>
        <v>0</v>
      </c>
      <c r="K112" s="47" t="s">
        <v>29</v>
      </c>
      <c r="L112" s="49">
        <v>380000</v>
      </c>
      <c r="M112" s="49">
        <v>0</v>
      </c>
      <c r="N112" s="49">
        <v>500000</v>
      </c>
      <c r="O112" s="49">
        <v>0</v>
      </c>
      <c r="Q112" s="5"/>
    </row>
    <row r="113" spans="1:17" ht="16.5">
      <c r="A113" s="60" t="str">
        <f t="shared" si="56"/>
        <v>Paule</v>
      </c>
      <c r="B113" s="61" t="s">
        <v>164</v>
      </c>
      <c r="C113" s="63">
        <v>0</v>
      </c>
      <c r="D113" s="63">
        <f t="shared" si="57"/>
        <v>129000</v>
      </c>
      <c r="E113" s="63">
        <f t="shared" si="58"/>
        <v>123000</v>
      </c>
      <c r="F113" s="63">
        <f t="shared" si="59"/>
        <v>0</v>
      </c>
      <c r="G113" s="63">
        <f>+O113</f>
        <v>0</v>
      </c>
      <c r="H113" s="63">
        <v>6000</v>
      </c>
      <c r="I113" s="63">
        <f>+C113+D113-E113-F113+G113</f>
        <v>6000</v>
      </c>
      <c r="J113" s="9">
        <f>I113-H113</f>
        <v>0</v>
      </c>
      <c r="K113" s="47" t="s">
        <v>212</v>
      </c>
      <c r="L113" s="49">
        <v>129000</v>
      </c>
      <c r="M113" s="49">
        <v>0</v>
      </c>
      <c r="N113" s="49">
        <v>123000</v>
      </c>
      <c r="O113" s="49">
        <v>0</v>
      </c>
      <c r="Q113" s="5"/>
    </row>
    <row r="114" spans="1:17" ht="16.5">
      <c r="A114" s="60" t="str">
        <f t="shared" si="56"/>
        <v>Tiffany</v>
      </c>
      <c r="B114" s="61" t="s">
        <v>2</v>
      </c>
      <c r="C114" s="63">
        <v>-36737</v>
      </c>
      <c r="D114" s="63">
        <f t="shared" si="57"/>
        <v>70000</v>
      </c>
      <c r="E114" s="63">
        <f t="shared" si="58"/>
        <v>824022</v>
      </c>
      <c r="F114" s="63">
        <f t="shared" si="59"/>
        <v>0</v>
      </c>
      <c r="G114" s="63">
        <f t="shared" ref="G114" si="64">+O114</f>
        <v>0</v>
      </c>
      <c r="H114" s="63">
        <v>-790759</v>
      </c>
      <c r="I114" s="63">
        <f t="shared" ref="I114" si="65">+C114+D114-E114-F114+G114</f>
        <v>-790759</v>
      </c>
      <c r="J114" s="9">
        <f t="shared" ref="J114" si="66">I114-H114</f>
        <v>0</v>
      </c>
      <c r="K114" s="47" t="s">
        <v>114</v>
      </c>
      <c r="L114" s="49">
        <v>70000</v>
      </c>
      <c r="M114" s="49">
        <v>0</v>
      </c>
      <c r="N114" s="49">
        <v>824022</v>
      </c>
      <c r="O114" s="49">
        <v>0</v>
      </c>
      <c r="Q114" s="5"/>
    </row>
    <row r="115" spans="1:17" ht="16.5">
      <c r="A115" s="10" t="s">
        <v>51</v>
      </c>
      <c r="B115" s="11"/>
      <c r="C115" s="12">
        <f t="shared" ref="C115:I115" si="67">SUM(C100:C114)</f>
        <v>3382917</v>
      </c>
      <c r="D115" s="59">
        <f t="shared" si="67"/>
        <v>6078000</v>
      </c>
      <c r="E115" s="59">
        <f t="shared" si="67"/>
        <v>11342157</v>
      </c>
      <c r="F115" s="59">
        <f t="shared" si="67"/>
        <v>6078000</v>
      </c>
      <c r="G115" s="59">
        <f t="shared" si="67"/>
        <v>39788807</v>
      </c>
      <c r="H115" s="59">
        <f t="shared" si="67"/>
        <v>31829567</v>
      </c>
      <c r="I115" s="59">
        <f t="shared" si="67"/>
        <v>31829567</v>
      </c>
      <c r="J115" s="9">
        <f>I115-H115</f>
        <v>0</v>
      </c>
      <c r="K115" s="3"/>
      <c r="L115" s="49">
        <f>+SUM(L100:L114)</f>
        <v>6078000</v>
      </c>
      <c r="M115" s="49">
        <f>+SUM(M100:M114)</f>
        <v>6078000</v>
      </c>
      <c r="N115" s="49">
        <f>+SUM(N100:N114)</f>
        <v>11342157</v>
      </c>
      <c r="O115" s="49">
        <f>+SUM(O100:O114)</f>
        <v>39788807</v>
      </c>
      <c r="Q115" s="5"/>
    </row>
    <row r="116" spans="1:17" ht="16.5">
      <c r="A116" s="10"/>
      <c r="B116" s="11"/>
      <c r="C116" s="12"/>
      <c r="D116" s="13"/>
      <c r="E116" s="12"/>
      <c r="F116" s="13"/>
      <c r="G116" s="12"/>
      <c r="H116" s="12"/>
      <c r="I116" s="143" t="b">
        <f>I115=D118</f>
        <v>1</v>
      </c>
      <c r="L116" s="5"/>
      <c r="M116" s="5"/>
      <c r="N116" s="5"/>
      <c r="O116" s="5"/>
      <c r="Q116" s="5"/>
    </row>
    <row r="117" spans="1:17" ht="16.5">
      <c r="A117" s="10" t="s">
        <v>205</v>
      </c>
      <c r="B117" s="11" t="s">
        <v>206</v>
      </c>
      <c r="C117" s="12" t="s">
        <v>210</v>
      </c>
      <c r="D117" s="12" t="s">
        <v>207</v>
      </c>
      <c r="E117" s="12" t="s">
        <v>52</v>
      </c>
      <c r="F117" s="12"/>
      <c r="G117" s="12">
        <f>+D115-F115</f>
        <v>0</v>
      </c>
      <c r="H117" s="12"/>
      <c r="I117" s="12"/>
      <c r="Q117" s="5"/>
    </row>
    <row r="118" spans="1:17" ht="16.5">
      <c r="A118" s="14">
        <f>C115</f>
        <v>3382917</v>
      </c>
      <c r="B118" s="15">
        <f>G115</f>
        <v>39788807</v>
      </c>
      <c r="C118" s="12">
        <f>E115</f>
        <v>11342157</v>
      </c>
      <c r="D118" s="12">
        <f>A118+B118-C118</f>
        <v>31829567</v>
      </c>
      <c r="E118" s="13">
        <f>I115-D118</f>
        <v>0</v>
      </c>
      <c r="F118" s="12"/>
      <c r="G118" s="12"/>
      <c r="H118" s="12"/>
      <c r="I118" s="12"/>
      <c r="Q118" s="5"/>
    </row>
    <row r="119" spans="1:17" ht="16.5">
      <c r="A119" s="14"/>
      <c r="B119" s="15"/>
      <c r="C119" s="12"/>
      <c r="D119" s="12"/>
      <c r="E119" s="13"/>
      <c r="F119" s="12"/>
      <c r="G119" s="12"/>
      <c r="H119" s="12"/>
      <c r="I119" s="12"/>
      <c r="Q119" s="5"/>
    </row>
    <row r="120" spans="1:17">
      <c r="A120" s="16" t="s">
        <v>53</v>
      </c>
      <c r="B120" s="16"/>
      <c r="C120" s="16"/>
      <c r="D120" s="17"/>
      <c r="E120" s="17"/>
      <c r="F120" s="17"/>
      <c r="G120" s="17"/>
      <c r="H120" s="17"/>
      <c r="I120" s="17"/>
      <c r="Q120" s="5"/>
    </row>
    <row r="121" spans="1:17">
      <c r="A121" s="18" t="s">
        <v>208</v>
      </c>
      <c r="B121" s="18"/>
      <c r="C121" s="18"/>
      <c r="D121" s="18"/>
      <c r="E121" s="18"/>
      <c r="F121" s="18"/>
      <c r="G121" s="18"/>
      <c r="H121" s="18"/>
      <c r="I121" s="18"/>
      <c r="J121" s="18"/>
      <c r="Q121" s="5"/>
    </row>
    <row r="122" spans="1:17">
      <c r="A122" s="19"/>
      <c r="B122" s="20"/>
      <c r="C122" s="21"/>
      <c r="D122" s="21"/>
      <c r="E122" s="21"/>
      <c r="F122" s="21"/>
      <c r="G122" s="21"/>
      <c r="H122" s="20"/>
      <c r="I122" s="20"/>
      <c r="Q122" s="5"/>
    </row>
    <row r="123" spans="1:17">
      <c r="A123" s="234" t="s">
        <v>54</v>
      </c>
      <c r="B123" s="236" t="s">
        <v>55</v>
      </c>
      <c r="C123" s="238" t="s">
        <v>209</v>
      </c>
      <c r="D123" s="240" t="s">
        <v>56</v>
      </c>
      <c r="E123" s="241"/>
      <c r="F123" s="241"/>
      <c r="G123" s="242"/>
      <c r="H123" s="243" t="s">
        <v>57</v>
      </c>
      <c r="I123" s="230" t="s">
        <v>58</v>
      </c>
      <c r="J123" s="20"/>
      <c r="Q123" s="5"/>
    </row>
    <row r="124" spans="1:17" ht="28.5" customHeight="1">
      <c r="A124" s="235"/>
      <c r="B124" s="237"/>
      <c r="C124" s="239"/>
      <c r="D124" s="22" t="s">
        <v>24</v>
      </c>
      <c r="E124" s="22" t="s">
        <v>25</v>
      </c>
      <c r="F124" s="239" t="s">
        <v>124</v>
      </c>
      <c r="G124" s="22" t="s">
        <v>59</v>
      </c>
      <c r="H124" s="244"/>
      <c r="I124" s="231"/>
      <c r="J124" s="232" t="s">
        <v>204</v>
      </c>
      <c r="K124" s="155"/>
      <c r="Q124" s="5"/>
    </row>
    <row r="125" spans="1:17">
      <c r="A125" s="24"/>
      <c r="B125" s="25" t="s">
        <v>60</v>
      </c>
      <c r="C125" s="26"/>
      <c r="D125" s="26"/>
      <c r="E125" s="26"/>
      <c r="F125" s="26"/>
      <c r="G125" s="26"/>
      <c r="H125" s="26"/>
      <c r="I125" s="27"/>
      <c r="J125" s="233"/>
      <c r="K125" s="155"/>
      <c r="Q125" s="5"/>
    </row>
    <row r="126" spans="1:17">
      <c r="A126" s="130" t="s">
        <v>121</v>
      </c>
      <c r="B126" s="135" t="s">
        <v>48</v>
      </c>
      <c r="C126" s="33">
        <f>+C103</f>
        <v>56050</v>
      </c>
      <c r="D126" s="32"/>
      <c r="E126" s="33">
        <f>+D103</f>
        <v>0</v>
      </c>
      <c r="F126" s="33"/>
      <c r="G126" s="33"/>
      <c r="H126" s="57">
        <f t="shared" ref="H126:H136" si="68">+F103</f>
        <v>30000</v>
      </c>
      <c r="I126" s="33">
        <f t="shared" ref="I126:I136" si="69">+E103</f>
        <v>4000</v>
      </c>
      <c r="J126" s="31">
        <f t="shared" ref="J126:J127" si="70">+SUM(C126:G126)-(H126+I126)</f>
        <v>22050</v>
      </c>
      <c r="K126" s="156" t="b">
        <f t="shared" ref="K126:K136" si="71">J126=I103</f>
        <v>1</v>
      </c>
      <c r="Q126" s="5"/>
    </row>
    <row r="127" spans="1:17">
      <c r="A127" s="130" t="str">
        <f>+A126</f>
        <v>MARS</v>
      </c>
      <c r="B127" s="135" t="s">
        <v>31</v>
      </c>
      <c r="C127" s="33">
        <f t="shared" ref="C127:C128" si="72">+C104</f>
        <v>21495</v>
      </c>
      <c r="D127" s="32"/>
      <c r="E127" s="33">
        <f t="shared" ref="E127:E128" si="73">+D104</f>
        <v>139000</v>
      </c>
      <c r="F127" s="33"/>
      <c r="G127" s="33"/>
      <c r="H127" s="57">
        <f t="shared" si="68"/>
        <v>0</v>
      </c>
      <c r="I127" s="33">
        <f t="shared" si="69"/>
        <v>146500</v>
      </c>
      <c r="J127" s="107">
        <f t="shared" si="70"/>
        <v>13995</v>
      </c>
      <c r="K127" s="156" t="b">
        <f t="shared" si="71"/>
        <v>1</v>
      </c>
      <c r="Q127" s="5"/>
    </row>
    <row r="128" spans="1:17">
      <c r="A128" s="130" t="str">
        <f t="shared" ref="A128:A133" si="74">+A127</f>
        <v>MARS</v>
      </c>
      <c r="B128" s="136" t="s">
        <v>153</v>
      </c>
      <c r="C128" s="33">
        <f t="shared" si="72"/>
        <v>113185</v>
      </c>
      <c r="D128" s="127"/>
      <c r="E128" s="33">
        <f t="shared" si="73"/>
        <v>188000</v>
      </c>
      <c r="F128" s="53"/>
      <c r="G128" s="53"/>
      <c r="H128" s="57">
        <f t="shared" si="68"/>
        <v>40000</v>
      </c>
      <c r="I128" s="33">
        <f t="shared" si="69"/>
        <v>224700</v>
      </c>
      <c r="J128" s="132">
        <f>+SUM(C128:G128)-(H128+I128)</f>
        <v>36485</v>
      </c>
      <c r="K128" s="156" t="b">
        <f t="shared" si="71"/>
        <v>1</v>
      </c>
      <c r="Q128" s="5"/>
    </row>
    <row r="129" spans="1:17">
      <c r="A129" s="130" t="str">
        <f t="shared" si="74"/>
        <v>MARS</v>
      </c>
      <c r="B129" s="137" t="s">
        <v>85</v>
      </c>
      <c r="C129" s="128">
        <f>+C106</f>
        <v>233614</v>
      </c>
      <c r="D129" s="131"/>
      <c r="E129" s="128">
        <f>+D106</f>
        <v>0</v>
      </c>
      <c r="F129" s="146"/>
      <c r="G129" s="146"/>
      <c r="H129" s="180">
        <f t="shared" si="68"/>
        <v>0</v>
      </c>
      <c r="I129" s="128">
        <f t="shared" si="69"/>
        <v>0</v>
      </c>
      <c r="J129" s="129">
        <f>+SUM(C129:G129)-(H129+I129)</f>
        <v>233614</v>
      </c>
      <c r="K129" s="156" t="b">
        <f t="shared" si="71"/>
        <v>1</v>
      </c>
      <c r="Q129" s="5"/>
    </row>
    <row r="130" spans="1:17">
      <c r="A130" s="130" t="str">
        <f t="shared" si="74"/>
        <v>MARS</v>
      </c>
      <c r="B130" s="137" t="s">
        <v>84</v>
      </c>
      <c r="C130" s="128">
        <f>+C107</f>
        <v>249769</v>
      </c>
      <c r="D130" s="131"/>
      <c r="E130" s="128">
        <f>+D107</f>
        <v>0</v>
      </c>
      <c r="F130" s="146"/>
      <c r="G130" s="146"/>
      <c r="H130" s="180">
        <f t="shared" si="68"/>
        <v>0</v>
      </c>
      <c r="I130" s="128">
        <f t="shared" si="69"/>
        <v>0</v>
      </c>
      <c r="J130" s="129">
        <f t="shared" ref="J130:J137" si="75">+SUM(C130:G130)-(H130+I130)</f>
        <v>249769</v>
      </c>
      <c r="K130" s="156" t="b">
        <f t="shared" si="71"/>
        <v>1</v>
      </c>
      <c r="Q130" s="5"/>
    </row>
    <row r="131" spans="1:17">
      <c r="A131" s="130" t="str">
        <f t="shared" si="74"/>
        <v>MARS</v>
      </c>
      <c r="B131" s="135" t="s">
        <v>152</v>
      </c>
      <c r="C131" s="33">
        <f>+C108</f>
        <v>20700</v>
      </c>
      <c r="D131" s="32"/>
      <c r="E131" s="33">
        <f>+D108</f>
        <v>0</v>
      </c>
      <c r="F131" s="33"/>
      <c r="G131" s="110"/>
      <c r="H131" s="57">
        <f t="shared" si="68"/>
        <v>0</v>
      </c>
      <c r="I131" s="33">
        <f t="shared" si="69"/>
        <v>10000</v>
      </c>
      <c r="J131" s="31">
        <f t="shared" si="75"/>
        <v>10700</v>
      </c>
      <c r="K131" s="156" t="b">
        <f t="shared" si="71"/>
        <v>1</v>
      </c>
      <c r="Q131" s="5"/>
    </row>
    <row r="132" spans="1:17">
      <c r="A132" s="130" t="str">
        <f t="shared" si="74"/>
        <v>MARS</v>
      </c>
      <c r="B132" s="135" t="s">
        <v>213</v>
      </c>
      <c r="C132" s="33">
        <f t="shared" ref="C132:C135" si="76">+C109</f>
        <v>0</v>
      </c>
      <c r="D132" s="32"/>
      <c r="E132" s="33">
        <f t="shared" ref="E132:E137" si="77">+D109</f>
        <v>135000</v>
      </c>
      <c r="F132" s="33"/>
      <c r="G132" s="110"/>
      <c r="H132" s="57">
        <f t="shared" si="68"/>
        <v>0</v>
      </c>
      <c r="I132" s="33">
        <f t="shared" si="69"/>
        <v>83000</v>
      </c>
      <c r="J132" s="31">
        <f t="shared" si="75"/>
        <v>52000</v>
      </c>
      <c r="K132" s="156" t="b">
        <f t="shared" si="71"/>
        <v>1</v>
      </c>
      <c r="Q132" s="5"/>
    </row>
    <row r="133" spans="1:17">
      <c r="A133" s="130" t="str">
        <f t="shared" si="74"/>
        <v>MARS</v>
      </c>
      <c r="B133" s="135" t="s">
        <v>30</v>
      </c>
      <c r="C133" s="33">
        <f t="shared" si="76"/>
        <v>15550</v>
      </c>
      <c r="D133" s="32"/>
      <c r="E133" s="33">
        <f t="shared" si="77"/>
        <v>747000</v>
      </c>
      <c r="F133" s="33"/>
      <c r="G133" s="110"/>
      <c r="H133" s="57">
        <f t="shared" si="68"/>
        <v>0</v>
      </c>
      <c r="I133" s="33">
        <f t="shared" si="69"/>
        <v>646500</v>
      </c>
      <c r="J133" s="31">
        <f t="shared" si="75"/>
        <v>116050</v>
      </c>
      <c r="K133" s="156" t="b">
        <f t="shared" si="71"/>
        <v>1</v>
      </c>
      <c r="Q133" s="5"/>
    </row>
    <row r="134" spans="1:17">
      <c r="A134" s="130" t="str">
        <f>+A132</f>
        <v>MARS</v>
      </c>
      <c r="B134" s="135" t="s">
        <v>94</v>
      </c>
      <c r="C134" s="33">
        <f t="shared" si="76"/>
        <v>4800</v>
      </c>
      <c r="D134" s="32"/>
      <c r="E134" s="33">
        <f t="shared" si="77"/>
        <v>20000</v>
      </c>
      <c r="F134" s="33"/>
      <c r="G134" s="110"/>
      <c r="H134" s="57">
        <f t="shared" si="68"/>
        <v>0</v>
      </c>
      <c r="I134" s="33">
        <f t="shared" si="69"/>
        <v>20400</v>
      </c>
      <c r="J134" s="31">
        <f t="shared" si="75"/>
        <v>4400</v>
      </c>
      <c r="K134" s="156" t="b">
        <f t="shared" si="71"/>
        <v>1</v>
      </c>
      <c r="Q134" s="5"/>
    </row>
    <row r="135" spans="1:17">
      <c r="A135" s="130" t="str">
        <f>+A133</f>
        <v>MARS</v>
      </c>
      <c r="B135" s="135" t="s">
        <v>29</v>
      </c>
      <c r="C135" s="33">
        <f t="shared" si="76"/>
        <v>136200</v>
      </c>
      <c r="D135" s="32"/>
      <c r="E135" s="33">
        <f t="shared" si="77"/>
        <v>380000</v>
      </c>
      <c r="F135" s="33"/>
      <c r="G135" s="110"/>
      <c r="H135" s="57">
        <f t="shared" si="68"/>
        <v>0</v>
      </c>
      <c r="I135" s="33">
        <f t="shared" si="69"/>
        <v>500000</v>
      </c>
      <c r="J135" s="31">
        <f t="shared" si="75"/>
        <v>16200</v>
      </c>
      <c r="K135" s="156" t="b">
        <f t="shared" si="71"/>
        <v>1</v>
      </c>
      <c r="Q135" s="5"/>
    </row>
    <row r="136" spans="1:17">
      <c r="A136" s="130" t="str">
        <f>+A134</f>
        <v>MARS</v>
      </c>
      <c r="B136" s="135" t="s">
        <v>212</v>
      </c>
      <c r="C136" s="33">
        <f>+C113</f>
        <v>0</v>
      </c>
      <c r="D136" s="32"/>
      <c r="E136" s="33">
        <f t="shared" si="77"/>
        <v>129000</v>
      </c>
      <c r="F136" s="33"/>
      <c r="G136" s="110"/>
      <c r="H136" s="57">
        <f t="shared" si="68"/>
        <v>0</v>
      </c>
      <c r="I136" s="33">
        <f t="shared" si="69"/>
        <v>123000</v>
      </c>
      <c r="J136" s="31">
        <f t="shared" ref="J136" si="78">+SUM(C136:G136)-(H136+I136)</f>
        <v>6000</v>
      </c>
      <c r="K136" s="156" t="b">
        <f t="shared" si="71"/>
        <v>1</v>
      </c>
      <c r="Q136" s="5"/>
    </row>
    <row r="137" spans="1:17">
      <c r="A137" s="130" t="str">
        <f>+A135</f>
        <v>MARS</v>
      </c>
      <c r="B137" s="136" t="s">
        <v>114</v>
      </c>
      <c r="C137" s="33">
        <f t="shared" ref="C137" si="79">+C114</f>
        <v>-36737</v>
      </c>
      <c r="D137" s="127"/>
      <c r="E137" s="33">
        <f t="shared" si="77"/>
        <v>70000</v>
      </c>
      <c r="F137" s="53"/>
      <c r="G137" s="147"/>
      <c r="H137" s="57">
        <f t="shared" ref="H137" si="80">+F114</f>
        <v>0</v>
      </c>
      <c r="I137" s="33">
        <f t="shared" ref="I137" si="81">+E114</f>
        <v>824022</v>
      </c>
      <c r="J137" s="31">
        <f t="shared" si="75"/>
        <v>-790759</v>
      </c>
      <c r="K137" s="156" t="b">
        <f t="shared" ref="K137" si="82">J137=I114</f>
        <v>1</v>
      </c>
      <c r="Q137" s="5"/>
    </row>
    <row r="138" spans="1:17">
      <c r="A138" s="35" t="s">
        <v>61</v>
      </c>
      <c r="B138" s="36"/>
      <c r="C138" s="36"/>
      <c r="D138" s="36"/>
      <c r="E138" s="36"/>
      <c r="F138" s="36"/>
      <c r="G138" s="36"/>
      <c r="H138" s="36"/>
      <c r="I138" s="36"/>
      <c r="J138" s="37"/>
      <c r="K138" s="155"/>
      <c r="Q138" s="5"/>
    </row>
    <row r="139" spans="1:17">
      <c r="A139" s="130" t="str">
        <f>+A137</f>
        <v>MARS</v>
      </c>
      <c r="B139" s="38" t="s">
        <v>62</v>
      </c>
      <c r="C139" s="39">
        <f>+C102</f>
        <v>797106</v>
      </c>
      <c r="D139" s="51"/>
      <c r="E139" s="51">
        <f>D102</f>
        <v>4270000</v>
      </c>
      <c r="F139" s="51"/>
      <c r="G139" s="133"/>
      <c r="H139" s="53">
        <f>+F102</f>
        <v>1808000</v>
      </c>
      <c r="I139" s="134">
        <f>+E102</f>
        <v>2099084</v>
      </c>
      <c r="J139" s="46">
        <f>+SUM(C139:G139)-(H139+I139)</f>
        <v>1160022</v>
      </c>
      <c r="K139" s="156" t="b">
        <f>J139=I102</f>
        <v>1</v>
      </c>
      <c r="Q139" s="5"/>
    </row>
    <row r="140" spans="1:17">
      <c r="A140" s="44" t="s">
        <v>63</v>
      </c>
      <c r="B140" s="25"/>
      <c r="C140" s="36"/>
      <c r="D140" s="25"/>
      <c r="E140" s="25"/>
      <c r="F140" s="25"/>
      <c r="G140" s="25"/>
      <c r="H140" s="25"/>
      <c r="I140" s="25"/>
      <c r="J140" s="37"/>
      <c r="K140" s="155"/>
      <c r="Q140" s="5"/>
    </row>
    <row r="141" spans="1:17">
      <c r="A141" s="130" t="str">
        <f>+A139</f>
        <v>MARS</v>
      </c>
      <c r="B141" s="38" t="s">
        <v>167</v>
      </c>
      <c r="C141" s="133">
        <f>+C100</f>
        <v>888683</v>
      </c>
      <c r="D141" s="140">
        <f>+G100</f>
        <v>11432442</v>
      </c>
      <c r="E141" s="51"/>
      <c r="F141" s="51"/>
      <c r="G141" s="51"/>
      <c r="H141" s="53">
        <f>+F100</f>
        <v>2600000</v>
      </c>
      <c r="I141" s="55">
        <f>+E100</f>
        <v>543345</v>
      </c>
      <c r="J141" s="46">
        <f>+SUM(C141:G141)-(H141+I141)</f>
        <v>9177780</v>
      </c>
      <c r="K141" s="156" t="b">
        <f>+J141=I100</f>
        <v>1</v>
      </c>
      <c r="Q141" s="5"/>
    </row>
    <row r="142" spans="1:17">
      <c r="A142" s="130" t="str">
        <f t="shared" ref="A142" si="83">+A141</f>
        <v>MARS</v>
      </c>
      <c r="B142" s="38" t="s">
        <v>65</v>
      </c>
      <c r="C142" s="133">
        <f>+C101</f>
        <v>882502</v>
      </c>
      <c r="D142" s="51">
        <f>+G101</f>
        <v>28356365</v>
      </c>
      <c r="E142" s="50"/>
      <c r="F142" s="50"/>
      <c r="G142" s="50"/>
      <c r="H142" s="33">
        <f>+F101</f>
        <v>1600000</v>
      </c>
      <c r="I142" s="52">
        <f>+E101</f>
        <v>6117606</v>
      </c>
      <c r="J142" s="46">
        <f>SUM(C142:G142)-(H142+I142)</f>
        <v>21521261</v>
      </c>
      <c r="K142" s="156" t="b">
        <f>+J142=I101</f>
        <v>1</v>
      </c>
      <c r="Q142" s="5"/>
    </row>
    <row r="143" spans="1:17" ht="15.75">
      <c r="C143" s="151">
        <f>SUM(C126:C142)</f>
        <v>3382917</v>
      </c>
      <c r="I143" s="149">
        <f>SUM(I126:I142)</f>
        <v>11342157</v>
      </c>
      <c r="J143" s="111">
        <f>+SUM(J126:J142)</f>
        <v>31829567</v>
      </c>
      <c r="K143" s="5" t="b">
        <f>J143=I115</f>
        <v>1</v>
      </c>
      <c r="Q143" s="5"/>
    </row>
    <row r="144" spans="1:17" ht="15.75">
      <c r="A144" s="217"/>
      <c r="B144" s="217"/>
      <c r="C144" s="218"/>
      <c r="D144" s="217"/>
      <c r="E144" s="217"/>
      <c r="F144" s="217"/>
      <c r="G144" s="217"/>
      <c r="H144" s="217"/>
      <c r="I144" s="219"/>
      <c r="J144" s="220"/>
      <c r="K144" s="217"/>
      <c r="L144" s="221"/>
      <c r="M144" s="221"/>
      <c r="N144" s="221"/>
      <c r="O144" s="221"/>
      <c r="P144" s="217"/>
      <c r="Q144" s="5"/>
    </row>
    <row r="148" spans="1:17" ht="15.75">
      <c r="A148" s="6" t="s">
        <v>37</v>
      </c>
      <c r="B148" s="6" t="s">
        <v>1</v>
      </c>
      <c r="C148" s="6">
        <v>44593</v>
      </c>
      <c r="D148" s="7" t="s">
        <v>38</v>
      </c>
      <c r="E148" s="7" t="s">
        <v>39</v>
      </c>
      <c r="F148" s="7" t="s">
        <v>40</v>
      </c>
      <c r="G148" s="7" t="s">
        <v>41</v>
      </c>
      <c r="H148" s="6">
        <v>44620</v>
      </c>
      <c r="I148" s="7" t="s">
        <v>42</v>
      </c>
      <c r="K148" s="47"/>
      <c r="L148" s="47" t="s">
        <v>43</v>
      </c>
      <c r="M148" s="47" t="s">
        <v>44</v>
      </c>
      <c r="N148" s="47" t="s">
        <v>45</v>
      </c>
      <c r="O148" s="47" t="s">
        <v>46</v>
      </c>
      <c r="Q148" s="5"/>
    </row>
    <row r="149" spans="1:17" ht="16.5">
      <c r="A149" s="60" t="str">
        <f>+K149</f>
        <v>B52</v>
      </c>
      <c r="B149" s="61" t="s">
        <v>4</v>
      </c>
      <c r="C149" s="63">
        <v>500</v>
      </c>
      <c r="D149" s="63">
        <f t="shared" ref="D149:D162" si="84">+L149</f>
        <v>50000</v>
      </c>
      <c r="E149" s="63">
        <f>+N149</f>
        <v>50500</v>
      </c>
      <c r="F149" s="63">
        <f>+M149</f>
        <v>0</v>
      </c>
      <c r="G149" s="63">
        <f t="shared" ref="G149:G160" si="85">+O149</f>
        <v>0</v>
      </c>
      <c r="H149" s="63">
        <v>0</v>
      </c>
      <c r="I149" s="63">
        <f>+C149+D149-E149-F149+G149</f>
        <v>0</v>
      </c>
      <c r="J149" s="9">
        <f>I149-H149</f>
        <v>0</v>
      </c>
      <c r="K149" s="47" t="s">
        <v>173</v>
      </c>
      <c r="L149" s="49">
        <v>50000</v>
      </c>
      <c r="M149" s="49">
        <v>0</v>
      </c>
      <c r="N149" s="49">
        <v>50500</v>
      </c>
      <c r="O149" s="49">
        <v>0</v>
      </c>
      <c r="Q149" s="5"/>
    </row>
    <row r="150" spans="1:17" ht="16.5">
      <c r="A150" s="60" t="str">
        <f>+K150</f>
        <v>BCI</v>
      </c>
      <c r="B150" s="61" t="s">
        <v>47</v>
      </c>
      <c r="C150" s="63">
        <v>2172028</v>
      </c>
      <c r="D150" s="63">
        <f t="shared" si="84"/>
        <v>0</v>
      </c>
      <c r="E150" s="63">
        <f>+N150</f>
        <v>283345</v>
      </c>
      <c r="F150" s="63">
        <f>+M150</f>
        <v>1000000</v>
      </c>
      <c r="G150" s="63">
        <f t="shared" si="85"/>
        <v>0</v>
      </c>
      <c r="H150" s="63">
        <v>888683</v>
      </c>
      <c r="I150" s="63">
        <f>+C150+D150-E150-F150+G150</f>
        <v>888683</v>
      </c>
      <c r="J150" s="9">
        <f t="shared" ref="J150:J157" si="86">I150-H150</f>
        <v>0</v>
      </c>
      <c r="K150" s="47" t="s">
        <v>24</v>
      </c>
      <c r="L150" s="49">
        <v>0</v>
      </c>
      <c r="M150" s="49">
        <v>1000000</v>
      </c>
      <c r="N150" s="49">
        <v>283345</v>
      </c>
      <c r="O150" s="49">
        <v>0</v>
      </c>
      <c r="Q150" s="5"/>
    </row>
    <row r="151" spans="1:17" ht="16.5">
      <c r="A151" s="60" t="str">
        <f t="shared" ref="A151:A153" si="87">+K151</f>
        <v>BCI-Sous Compte</v>
      </c>
      <c r="B151" s="61" t="s">
        <v>47</v>
      </c>
      <c r="C151" s="63">
        <v>14143094</v>
      </c>
      <c r="D151" s="63">
        <f t="shared" si="84"/>
        <v>0</v>
      </c>
      <c r="E151" s="63">
        <f>+N151</f>
        <v>4260592</v>
      </c>
      <c r="F151" s="63">
        <f>+M151</f>
        <v>9000000</v>
      </c>
      <c r="G151" s="63">
        <f t="shared" si="85"/>
        <v>0</v>
      </c>
      <c r="H151" s="63">
        <v>882502</v>
      </c>
      <c r="I151" s="63">
        <f>+C151+D151-E151-F151+G151</f>
        <v>882502</v>
      </c>
      <c r="J151" s="108">
        <f t="shared" si="86"/>
        <v>0</v>
      </c>
      <c r="K151" s="47" t="s">
        <v>158</v>
      </c>
      <c r="L151" s="49">
        <v>0</v>
      </c>
      <c r="M151" s="49">
        <v>9000000</v>
      </c>
      <c r="N151" s="49">
        <v>4260592</v>
      </c>
      <c r="O151" s="49">
        <v>0</v>
      </c>
      <c r="Q151" s="5"/>
    </row>
    <row r="152" spans="1:17" ht="16.5">
      <c r="A152" s="60" t="str">
        <f t="shared" si="87"/>
        <v>Caisse</v>
      </c>
      <c r="B152" s="61" t="s">
        <v>25</v>
      </c>
      <c r="C152" s="63">
        <v>580885</v>
      </c>
      <c r="D152" s="63">
        <f t="shared" si="84"/>
        <v>10511000</v>
      </c>
      <c r="E152" s="63">
        <f t="shared" ref="E152" si="88">+N152</f>
        <v>2520779</v>
      </c>
      <c r="F152" s="63">
        <f t="shared" ref="F152:F160" si="89">+M152</f>
        <v>7774000</v>
      </c>
      <c r="G152" s="63">
        <f t="shared" si="85"/>
        <v>0</v>
      </c>
      <c r="H152" s="63">
        <v>797106</v>
      </c>
      <c r="I152" s="63">
        <f>+C152+D152-E152-F152+G152</f>
        <v>797106</v>
      </c>
      <c r="J152" s="9">
        <f t="shared" si="86"/>
        <v>0</v>
      </c>
      <c r="K152" s="47" t="s">
        <v>25</v>
      </c>
      <c r="L152" s="49">
        <v>10511000</v>
      </c>
      <c r="M152" s="49">
        <v>7774000</v>
      </c>
      <c r="N152" s="49">
        <v>2520779</v>
      </c>
      <c r="O152" s="49">
        <v>0</v>
      </c>
      <c r="Q152" s="5"/>
    </row>
    <row r="153" spans="1:17" ht="16.5">
      <c r="A153" s="60" t="str">
        <f t="shared" si="87"/>
        <v>Crépin</v>
      </c>
      <c r="B153" s="61" t="s">
        <v>164</v>
      </c>
      <c r="C153" s="63">
        <v>9000</v>
      </c>
      <c r="D153" s="63">
        <f t="shared" si="84"/>
        <v>2509000</v>
      </c>
      <c r="E153" s="63">
        <f>+N153</f>
        <v>2021950</v>
      </c>
      <c r="F153" s="63">
        <f t="shared" si="89"/>
        <v>440000</v>
      </c>
      <c r="G153" s="63">
        <f t="shared" si="85"/>
        <v>0</v>
      </c>
      <c r="H153" s="63">
        <v>56050</v>
      </c>
      <c r="I153" s="63">
        <f t="shared" ref="I153" si="90">+C153+D153-E153-F153+G153</f>
        <v>56050</v>
      </c>
      <c r="J153" s="9">
        <f t="shared" si="86"/>
        <v>0</v>
      </c>
      <c r="K153" s="47" t="s">
        <v>48</v>
      </c>
      <c r="L153" s="49">
        <v>2509000</v>
      </c>
      <c r="M153" s="49">
        <v>440000</v>
      </c>
      <c r="N153" s="49">
        <v>2021950</v>
      </c>
      <c r="O153" s="49">
        <v>0</v>
      </c>
      <c r="Q153" s="5"/>
    </row>
    <row r="154" spans="1:17" ht="16.5">
      <c r="A154" s="60" t="str">
        <f>K154</f>
        <v>Evariste</v>
      </c>
      <c r="B154" s="61" t="s">
        <v>165</v>
      </c>
      <c r="C154" s="63">
        <v>8645</v>
      </c>
      <c r="D154" s="63">
        <f t="shared" si="84"/>
        <v>614000</v>
      </c>
      <c r="E154" s="63">
        <f t="shared" ref="E154" si="91">+N154</f>
        <v>601150</v>
      </c>
      <c r="F154" s="63">
        <f t="shared" si="89"/>
        <v>0</v>
      </c>
      <c r="G154" s="63">
        <f t="shared" si="85"/>
        <v>0</v>
      </c>
      <c r="H154" s="63">
        <v>21495</v>
      </c>
      <c r="I154" s="63">
        <f>+C154+D154-E154-F154+G154</f>
        <v>21495</v>
      </c>
      <c r="J154" s="9">
        <f t="shared" si="86"/>
        <v>0</v>
      </c>
      <c r="K154" s="47" t="s">
        <v>31</v>
      </c>
      <c r="L154" s="49">
        <v>614000</v>
      </c>
      <c r="M154" s="49">
        <v>0</v>
      </c>
      <c r="N154" s="49">
        <v>601150</v>
      </c>
      <c r="O154" s="49">
        <v>0</v>
      </c>
      <c r="Q154" s="5"/>
    </row>
    <row r="155" spans="1:17" ht="16.5">
      <c r="A155" s="123" t="str">
        <f t="shared" ref="A155:A162" si="92">+K155</f>
        <v>I55S</v>
      </c>
      <c r="B155" s="124" t="s">
        <v>4</v>
      </c>
      <c r="C155" s="126">
        <v>233614</v>
      </c>
      <c r="D155" s="126">
        <f t="shared" si="84"/>
        <v>0</v>
      </c>
      <c r="E155" s="126">
        <f>+N155</f>
        <v>0</v>
      </c>
      <c r="F155" s="126">
        <f t="shared" si="89"/>
        <v>0</v>
      </c>
      <c r="G155" s="126">
        <f t="shared" si="85"/>
        <v>0</v>
      </c>
      <c r="H155" s="126">
        <v>233614</v>
      </c>
      <c r="I155" s="126">
        <f>+C155+D155-E155-F155+G155</f>
        <v>233614</v>
      </c>
      <c r="J155" s="9">
        <f t="shared" si="86"/>
        <v>0</v>
      </c>
      <c r="K155" s="47" t="s">
        <v>85</v>
      </c>
      <c r="L155" s="49">
        <v>0</v>
      </c>
      <c r="M155" s="49">
        <v>0</v>
      </c>
      <c r="N155" s="49">
        <v>0</v>
      </c>
      <c r="O155" s="49">
        <v>0</v>
      </c>
      <c r="Q155" s="5"/>
    </row>
    <row r="156" spans="1:17" ht="16.5">
      <c r="A156" s="123" t="str">
        <f t="shared" si="92"/>
        <v>I73X</v>
      </c>
      <c r="B156" s="124" t="s">
        <v>4</v>
      </c>
      <c r="C156" s="126">
        <v>249769</v>
      </c>
      <c r="D156" s="126">
        <f t="shared" si="84"/>
        <v>0</v>
      </c>
      <c r="E156" s="126">
        <f>+N156</f>
        <v>0</v>
      </c>
      <c r="F156" s="126">
        <f t="shared" si="89"/>
        <v>0</v>
      </c>
      <c r="G156" s="126">
        <f t="shared" si="85"/>
        <v>0</v>
      </c>
      <c r="H156" s="126">
        <v>249769</v>
      </c>
      <c r="I156" s="126">
        <f t="shared" ref="I156:I159" si="93">+C156+D156-E156-F156+G156</f>
        <v>249769</v>
      </c>
      <c r="J156" s="9">
        <f t="shared" si="86"/>
        <v>0</v>
      </c>
      <c r="K156" s="47" t="s">
        <v>84</v>
      </c>
      <c r="L156" s="49">
        <v>0</v>
      </c>
      <c r="M156" s="49">
        <v>0</v>
      </c>
      <c r="N156" s="49">
        <v>0</v>
      </c>
      <c r="O156" s="49">
        <v>0</v>
      </c>
      <c r="Q156" s="5"/>
    </row>
    <row r="157" spans="1:17" ht="16.5">
      <c r="A157" s="60" t="str">
        <f t="shared" si="92"/>
        <v>Godfré</v>
      </c>
      <c r="B157" s="104" t="s">
        <v>164</v>
      </c>
      <c r="C157" s="63">
        <v>79935</v>
      </c>
      <c r="D157" s="63">
        <f t="shared" si="84"/>
        <v>1202000</v>
      </c>
      <c r="E157" s="179">
        <f t="shared" ref="E157" si="94">+N157</f>
        <v>1118750</v>
      </c>
      <c r="F157" s="63">
        <f t="shared" si="89"/>
        <v>50000</v>
      </c>
      <c r="G157" s="63">
        <f t="shared" si="85"/>
        <v>0</v>
      </c>
      <c r="H157" s="63">
        <v>113185</v>
      </c>
      <c r="I157" s="63">
        <f t="shared" si="93"/>
        <v>113185</v>
      </c>
      <c r="J157" s="9">
        <f t="shared" si="86"/>
        <v>0</v>
      </c>
      <c r="K157" s="47" t="s">
        <v>153</v>
      </c>
      <c r="L157" s="49">
        <v>1202000</v>
      </c>
      <c r="M157" s="49">
        <v>50000</v>
      </c>
      <c r="N157" s="49">
        <v>1118750</v>
      </c>
      <c r="O157" s="49">
        <v>0</v>
      </c>
      <c r="Q157" s="5"/>
    </row>
    <row r="158" spans="1:17" ht="16.5">
      <c r="A158" s="60" t="str">
        <f t="shared" si="92"/>
        <v>Grace</v>
      </c>
      <c r="B158" s="61" t="s">
        <v>2</v>
      </c>
      <c r="C158" s="63">
        <v>19800</v>
      </c>
      <c r="D158" s="63">
        <f t="shared" si="84"/>
        <v>3247000</v>
      </c>
      <c r="E158" s="179">
        <f>+N158</f>
        <v>1165100</v>
      </c>
      <c r="F158" s="63">
        <f t="shared" si="89"/>
        <v>2081000</v>
      </c>
      <c r="G158" s="63">
        <f t="shared" si="85"/>
        <v>0</v>
      </c>
      <c r="H158" s="63">
        <v>20700</v>
      </c>
      <c r="I158" s="63">
        <f t="shared" si="93"/>
        <v>20700</v>
      </c>
      <c r="J158" s="9">
        <f>I158-H158</f>
        <v>0</v>
      </c>
      <c r="K158" s="47" t="s">
        <v>152</v>
      </c>
      <c r="L158" s="49">
        <v>3247000</v>
      </c>
      <c r="M158" s="49">
        <v>2081000</v>
      </c>
      <c r="N158" s="49">
        <v>1165100</v>
      </c>
      <c r="O158" s="49">
        <v>0</v>
      </c>
      <c r="Q158" s="5"/>
    </row>
    <row r="159" spans="1:17" ht="16.5">
      <c r="A159" s="60" t="str">
        <f t="shared" si="92"/>
        <v>I23C</v>
      </c>
      <c r="B159" s="104" t="s">
        <v>4</v>
      </c>
      <c r="C159" s="63">
        <v>30550</v>
      </c>
      <c r="D159" s="63">
        <f t="shared" si="84"/>
        <v>1493000</v>
      </c>
      <c r="E159" s="179">
        <f t="shared" ref="E159:E162" si="95">+N159</f>
        <v>1238000</v>
      </c>
      <c r="F159" s="63">
        <f t="shared" si="89"/>
        <v>270000</v>
      </c>
      <c r="G159" s="63">
        <f t="shared" si="85"/>
        <v>0</v>
      </c>
      <c r="H159" s="63">
        <v>15550</v>
      </c>
      <c r="I159" s="63">
        <f t="shared" si="93"/>
        <v>15550</v>
      </c>
      <c r="J159" s="9">
        <f t="shared" ref="J159:J160" si="96">I159-H159</f>
        <v>0</v>
      </c>
      <c r="K159" s="47" t="s">
        <v>30</v>
      </c>
      <c r="L159" s="49">
        <v>1493000</v>
      </c>
      <c r="M159" s="49">
        <v>270000</v>
      </c>
      <c r="N159" s="49">
        <v>1238000</v>
      </c>
      <c r="O159" s="49">
        <v>0</v>
      </c>
      <c r="Q159" s="5"/>
    </row>
    <row r="160" spans="1:17" ht="16.5">
      <c r="A160" s="60" t="str">
        <f t="shared" si="92"/>
        <v>Merveille</v>
      </c>
      <c r="B160" s="61" t="s">
        <v>2</v>
      </c>
      <c r="C160" s="63">
        <v>13000</v>
      </c>
      <c r="D160" s="63">
        <f t="shared" si="84"/>
        <v>50000</v>
      </c>
      <c r="E160" s="179">
        <f t="shared" si="95"/>
        <v>58200</v>
      </c>
      <c r="F160" s="63">
        <f t="shared" si="89"/>
        <v>0</v>
      </c>
      <c r="G160" s="63">
        <f t="shared" si="85"/>
        <v>0</v>
      </c>
      <c r="H160" s="63">
        <v>4800</v>
      </c>
      <c r="I160" s="63">
        <f>+C160+D160-E160-F160+G160</f>
        <v>4800</v>
      </c>
      <c r="J160" s="9">
        <f t="shared" si="96"/>
        <v>0</v>
      </c>
      <c r="K160" s="47" t="s">
        <v>94</v>
      </c>
      <c r="L160" s="49">
        <v>50000</v>
      </c>
      <c r="M160" s="49">
        <v>0</v>
      </c>
      <c r="N160" s="49">
        <v>58200</v>
      </c>
      <c r="O160" s="49"/>
      <c r="Q160" s="5"/>
    </row>
    <row r="161" spans="1:17" ht="16.5">
      <c r="A161" s="60" t="str">
        <f t="shared" si="92"/>
        <v>P29</v>
      </c>
      <c r="B161" s="61" t="s">
        <v>4</v>
      </c>
      <c r="C161" s="63">
        <v>55700</v>
      </c>
      <c r="D161" s="63">
        <f t="shared" si="84"/>
        <v>1029000</v>
      </c>
      <c r="E161" s="179">
        <f t="shared" si="95"/>
        <v>648500</v>
      </c>
      <c r="F161" s="63">
        <f>+M161</f>
        <v>300000</v>
      </c>
      <c r="G161" s="63">
        <f>+O161</f>
        <v>0</v>
      </c>
      <c r="H161" s="63">
        <v>136200</v>
      </c>
      <c r="I161" s="63">
        <f>+C161+D161-E161-F161+G161</f>
        <v>136200</v>
      </c>
      <c r="J161" s="9">
        <f>I161-H161</f>
        <v>0</v>
      </c>
      <c r="K161" s="47" t="s">
        <v>29</v>
      </c>
      <c r="L161" s="49">
        <v>1029000</v>
      </c>
      <c r="M161" s="49">
        <v>300000</v>
      </c>
      <c r="N161" s="49">
        <v>648500</v>
      </c>
      <c r="O161" s="49">
        <v>0</v>
      </c>
      <c r="Q161" s="5"/>
    </row>
    <row r="162" spans="1:17" ht="16.5">
      <c r="A162" s="60" t="str">
        <f t="shared" si="92"/>
        <v>Tiffany</v>
      </c>
      <c r="B162" s="61" t="s">
        <v>2</v>
      </c>
      <c r="C162" s="63">
        <v>-36237</v>
      </c>
      <c r="D162" s="63">
        <f t="shared" si="84"/>
        <v>210000</v>
      </c>
      <c r="E162" s="179">
        <f t="shared" si="95"/>
        <v>210500</v>
      </c>
      <c r="F162" s="63">
        <f t="shared" ref="F162" si="97">+M162</f>
        <v>0</v>
      </c>
      <c r="G162" s="63">
        <f t="shared" ref="G162" si="98">+O162</f>
        <v>0</v>
      </c>
      <c r="H162" s="63">
        <v>-36737</v>
      </c>
      <c r="I162" s="63">
        <f t="shared" ref="I162" si="99">+C162+D162-E162-F162+G162</f>
        <v>-36737</v>
      </c>
      <c r="J162" s="9">
        <f t="shared" ref="J162" si="100">I162-H162</f>
        <v>0</v>
      </c>
      <c r="K162" s="47" t="s">
        <v>114</v>
      </c>
      <c r="L162" s="49">
        <v>210000</v>
      </c>
      <c r="M162" s="49">
        <v>0</v>
      </c>
      <c r="N162" s="49">
        <v>210500</v>
      </c>
      <c r="O162" s="49">
        <v>0</v>
      </c>
      <c r="Q162" s="5"/>
    </row>
    <row r="163" spans="1:17" ht="16.5">
      <c r="A163" s="10" t="s">
        <v>51</v>
      </c>
      <c r="B163" s="11"/>
      <c r="C163" s="12">
        <f t="shared" ref="C163:I163" si="101">SUM(C149:C162)</f>
        <v>17560283</v>
      </c>
      <c r="D163" s="59">
        <f t="shared" si="101"/>
        <v>20915000</v>
      </c>
      <c r="E163" s="59">
        <f t="shared" si="101"/>
        <v>14177366</v>
      </c>
      <c r="F163" s="59">
        <f t="shared" si="101"/>
        <v>20915000</v>
      </c>
      <c r="G163" s="59">
        <f t="shared" si="101"/>
        <v>0</v>
      </c>
      <c r="H163" s="59">
        <f t="shared" si="101"/>
        <v>3382917</v>
      </c>
      <c r="I163" s="59">
        <f t="shared" si="101"/>
        <v>3382917</v>
      </c>
      <c r="J163" s="9">
        <f>I163-H163</f>
        <v>0</v>
      </c>
      <c r="K163" s="3"/>
      <c r="L163" s="49">
        <f>+SUM(L149:L162)</f>
        <v>20915000</v>
      </c>
      <c r="M163" s="49">
        <f>+SUM(M149:M162)</f>
        <v>20915000</v>
      </c>
      <c r="N163" s="49">
        <f>+SUM(N149:N162)</f>
        <v>14177366</v>
      </c>
      <c r="O163" s="49">
        <f>+SUM(O149:O162)</f>
        <v>0</v>
      </c>
      <c r="Q163" s="5"/>
    </row>
    <row r="164" spans="1:17" ht="16.5">
      <c r="A164" s="10"/>
      <c r="B164" s="11"/>
      <c r="C164" s="12"/>
      <c r="D164" s="13"/>
      <c r="E164" s="12"/>
      <c r="F164" s="13"/>
      <c r="G164" s="12"/>
      <c r="H164" s="12"/>
      <c r="I164" s="143" t="b">
        <f>I163=D166</f>
        <v>1</v>
      </c>
      <c r="L164" s="5"/>
      <c r="M164" s="5"/>
      <c r="N164" s="5"/>
      <c r="O164" s="5"/>
      <c r="Q164" s="5"/>
    </row>
    <row r="165" spans="1:17" ht="16.5">
      <c r="A165" s="10" t="s">
        <v>197</v>
      </c>
      <c r="B165" s="11" t="s">
        <v>198</v>
      </c>
      <c r="C165" s="12" t="s">
        <v>199</v>
      </c>
      <c r="D165" s="12" t="s">
        <v>211</v>
      </c>
      <c r="E165" s="12" t="s">
        <v>52</v>
      </c>
      <c r="F165" s="12"/>
      <c r="G165" s="12">
        <f>+D163-F163</f>
        <v>0</v>
      </c>
      <c r="H165" s="12"/>
      <c r="I165" s="12"/>
      <c r="Q165" s="5"/>
    </row>
    <row r="166" spans="1:17" ht="16.5">
      <c r="A166" s="14">
        <f>C163</f>
        <v>17560283</v>
      </c>
      <c r="B166" s="15">
        <f>G163</f>
        <v>0</v>
      </c>
      <c r="C166" s="12">
        <f>E163</f>
        <v>14177366</v>
      </c>
      <c r="D166" s="12">
        <f>A166+B166-C166</f>
        <v>3382917</v>
      </c>
      <c r="E166" s="13">
        <f>I163-D166</f>
        <v>0</v>
      </c>
      <c r="F166" s="12"/>
      <c r="G166" s="12"/>
      <c r="H166" s="12"/>
      <c r="I166" s="12"/>
      <c r="Q166" s="5"/>
    </row>
    <row r="167" spans="1:17" ht="16.5">
      <c r="A167" s="14"/>
      <c r="B167" s="15"/>
      <c r="C167" s="12"/>
      <c r="D167" s="12"/>
      <c r="E167" s="13"/>
      <c r="F167" s="12"/>
      <c r="G167" s="12"/>
      <c r="H167" s="12"/>
      <c r="I167" s="12"/>
      <c r="Q167" s="5"/>
    </row>
    <row r="168" spans="1:17">
      <c r="A168" s="16" t="s">
        <v>53</v>
      </c>
      <c r="B168" s="16"/>
      <c r="C168" s="16"/>
      <c r="D168" s="17"/>
      <c r="E168" s="17"/>
      <c r="F168" s="17"/>
      <c r="G168" s="17"/>
      <c r="H168" s="17"/>
      <c r="I168" s="17"/>
      <c r="Q168" s="5"/>
    </row>
    <row r="169" spans="1:17">
      <c r="A169" s="18" t="s">
        <v>201</v>
      </c>
      <c r="B169" s="18"/>
      <c r="C169" s="18"/>
      <c r="D169" s="18"/>
      <c r="E169" s="18"/>
      <c r="F169" s="18"/>
      <c r="G169" s="18"/>
      <c r="H169" s="18"/>
      <c r="I169" s="18"/>
      <c r="J169" s="18"/>
      <c r="Q169" s="5"/>
    </row>
    <row r="170" spans="1:17">
      <c r="A170" s="19"/>
      <c r="B170" s="20"/>
      <c r="C170" s="21"/>
      <c r="D170" s="21"/>
      <c r="E170" s="21"/>
      <c r="F170" s="21"/>
      <c r="G170" s="21"/>
      <c r="H170" s="20"/>
      <c r="I170" s="20"/>
      <c r="Q170" s="5"/>
    </row>
    <row r="171" spans="1:17">
      <c r="A171" s="234" t="s">
        <v>54</v>
      </c>
      <c r="B171" s="236" t="s">
        <v>55</v>
      </c>
      <c r="C171" s="238" t="s">
        <v>200</v>
      </c>
      <c r="D171" s="240" t="s">
        <v>56</v>
      </c>
      <c r="E171" s="241"/>
      <c r="F171" s="241"/>
      <c r="G171" s="242"/>
      <c r="H171" s="243" t="s">
        <v>57</v>
      </c>
      <c r="I171" s="230" t="s">
        <v>58</v>
      </c>
      <c r="J171" s="20"/>
      <c r="Q171" s="5"/>
    </row>
    <row r="172" spans="1:17" ht="28.5" customHeight="1">
      <c r="A172" s="235"/>
      <c r="B172" s="237"/>
      <c r="C172" s="239"/>
      <c r="D172" s="22" t="s">
        <v>24</v>
      </c>
      <c r="E172" s="22" t="s">
        <v>25</v>
      </c>
      <c r="F172" s="239" t="s">
        <v>124</v>
      </c>
      <c r="G172" s="22" t="s">
        <v>59</v>
      </c>
      <c r="H172" s="244"/>
      <c r="I172" s="231"/>
      <c r="J172" s="232" t="s">
        <v>202</v>
      </c>
      <c r="K172" s="155"/>
      <c r="Q172" s="5"/>
    </row>
    <row r="173" spans="1:17">
      <c r="A173" s="24"/>
      <c r="B173" s="25" t="s">
        <v>60</v>
      </c>
      <c r="C173" s="26"/>
      <c r="D173" s="26"/>
      <c r="E173" s="26"/>
      <c r="F173" s="26"/>
      <c r="G173" s="26"/>
      <c r="H173" s="26"/>
      <c r="I173" s="27"/>
      <c r="J173" s="233"/>
      <c r="K173" s="155"/>
      <c r="Q173" s="5"/>
    </row>
    <row r="174" spans="1:17">
      <c r="A174" s="130" t="s">
        <v>116</v>
      </c>
      <c r="B174" s="135" t="s">
        <v>173</v>
      </c>
      <c r="C174" s="33">
        <f>+C149</f>
        <v>500</v>
      </c>
      <c r="D174" s="32"/>
      <c r="E174" s="33">
        <f>+D149</f>
        <v>50000</v>
      </c>
      <c r="F174" s="33"/>
      <c r="G174" s="33"/>
      <c r="H174" s="57">
        <f>+F149</f>
        <v>0</v>
      </c>
      <c r="I174" s="33">
        <f>+E149</f>
        <v>50500</v>
      </c>
      <c r="J174" s="31">
        <f t="shared" ref="J174:J175" si="102">+SUM(C174:G174)-(H174+I174)</f>
        <v>0</v>
      </c>
      <c r="K174" s="156" t="b">
        <f>J174=I149</f>
        <v>1</v>
      </c>
      <c r="Q174" s="5"/>
    </row>
    <row r="175" spans="1:17">
      <c r="A175" s="130" t="str">
        <f>+A174</f>
        <v>FEVRIER</v>
      </c>
      <c r="B175" s="135" t="s">
        <v>48</v>
      </c>
      <c r="C175" s="33">
        <f>+C153</f>
        <v>9000</v>
      </c>
      <c r="D175" s="32"/>
      <c r="E175" s="33">
        <f>+D153</f>
        <v>2509000</v>
      </c>
      <c r="F175" s="33"/>
      <c r="G175" s="33"/>
      <c r="H175" s="57">
        <f>+F153</f>
        <v>440000</v>
      </c>
      <c r="I175" s="33">
        <f>+E153</f>
        <v>2021950</v>
      </c>
      <c r="J175" s="107">
        <f t="shared" si="102"/>
        <v>56050</v>
      </c>
      <c r="K175" s="156" t="b">
        <f t="shared" ref="K175:K184" si="103">J175=I153</f>
        <v>1</v>
      </c>
      <c r="Q175" s="5"/>
    </row>
    <row r="176" spans="1:17">
      <c r="A176" s="130" t="str">
        <f t="shared" ref="A176:A184" si="104">+A175</f>
        <v>FEVRIER</v>
      </c>
      <c r="B176" s="136" t="s">
        <v>31</v>
      </c>
      <c r="C176" s="33">
        <f>+C154</f>
        <v>8645</v>
      </c>
      <c r="D176" s="127"/>
      <c r="E176" s="33">
        <f>+D154</f>
        <v>614000</v>
      </c>
      <c r="F176" s="53"/>
      <c r="G176" s="53"/>
      <c r="H176" s="57">
        <f>+F154</f>
        <v>0</v>
      </c>
      <c r="I176" s="33">
        <f>+E154</f>
        <v>601150</v>
      </c>
      <c r="J176" s="132">
        <f>+SUM(C176:G176)-(H176+I176)</f>
        <v>21495</v>
      </c>
      <c r="K176" s="156" t="b">
        <f t="shared" si="103"/>
        <v>1</v>
      </c>
      <c r="Q176" s="5"/>
    </row>
    <row r="177" spans="1:17">
      <c r="A177" s="130" t="str">
        <f t="shared" si="104"/>
        <v>FEVRIER</v>
      </c>
      <c r="B177" s="137" t="s">
        <v>85</v>
      </c>
      <c r="C177" s="128">
        <f>+C155</f>
        <v>233614</v>
      </c>
      <c r="D177" s="131"/>
      <c r="E177" s="128">
        <f>+D155</f>
        <v>0</v>
      </c>
      <c r="F177" s="146"/>
      <c r="G177" s="146"/>
      <c r="H177" s="180">
        <f>+F155</f>
        <v>0</v>
      </c>
      <c r="I177" s="128">
        <f>+E155</f>
        <v>0</v>
      </c>
      <c r="J177" s="129">
        <f>+SUM(C177:G177)-(H177+I177)</f>
        <v>233614</v>
      </c>
      <c r="K177" s="156" t="b">
        <f t="shared" si="103"/>
        <v>1</v>
      </c>
      <c r="Q177" s="5"/>
    </row>
    <row r="178" spans="1:17">
      <c r="A178" s="130" t="str">
        <f t="shared" si="104"/>
        <v>FEVRIER</v>
      </c>
      <c r="B178" s="137" t="s">
        <v>84</v>
      </c>
      <c r="C178" s="128">
        <f>+C156</f>
        <v>249769</v>
      </c>
      <c r="D178" s="131"/>
      <c r="E178" s="128">
        <f>+D156</f>
        <v>0</v>
      </c>
      <c r="F178" s="146"/>
      <c r="G178" s="146"/>
      <c r="H178" s="180">
        <f>+F156</f>
        <v>0</v>
      </c>
      <c r="I178" s="128">
        <f>+E156</f>
        <v>0</v>
      </c>
      <c r="J178" s="129">
        <f t="shared" ref="J178:J184" si="105">+SUM(C178:G178)-(H178+I178)</f>
        <v>249769</v>
      </c>
      <c r="K178" s="156" t="b">
        <f t="shared" si="103"/>
        <v>1</v>
      </c>
      <c r="Q178" s="5"/>
    </row>
    <row r="179" spans="1:17">
      <c r="A179" s="130" t="str">
        <f t="shared" si="104"/>
        <v>FEVRIER</v>
      </c>
      <c r="B179" s="135" t="s">
        <v>153</v>
      </c>
      <c r="C179" s="33">
        <f>+C157</f>
        <v>79935</v>
      </c>
      <c r="D179" s="32"/>
      <c r="E179" s="33">
        <f>+D157</f>
        <v>1202000</v>
      </c>
      <c r="F179" s="33"/>
      <c r="G179" s="110"/>
      <c r="H179" s="57">
        <f>+F157</f>
        <v>50000</v>
      </c>
      <c r="I179" s="33">
        <f>+E157</f>
        <v>1118750</v>
      </c>
      <c r="J179" s="31">
        <f t="shared" si="105"/>
        <v>113185</v>
      </c>
      <c r="K179" s="156" t="b">
        <f t="shared" si="103"/>
        <v>1</v>
      </c>
      <c r="Q179" s="5"/>
    </row>
    <row r="180" spans="1:17">
      <c r="A180" s="130" t="str">
        <f t="shared" si="104"/>
        <v>FEVRIER</v>
      </c>
      <c r="B180" s="135" t="s">
        <v>152</v>
      </c>
      <c r="C180" s="33">
        <f t="shared" ref="C180:C184" si="106">+C158</f>
        <v>19800</v>
      </c>
      <c r="D180" s="32"/>
      <c r="E180" s="33">
        <f t="shared" ref="E180:E184" si="107">+D158</f>
        <v>3247000</v>
      </c>
      <c r="F180" s="33"/>
      <c r="G180" s="110"/>
      <c r="H180" s="57">
        <f t="shared" ref="H180:H184" si="108">+F158</f>
        <v>2081000</v>
      </c>
      <c r="I180" s="33">
        <f t="shared" ref="I180:I184" si="109">+E158</f>
        <v>1165100</v>
      </c>
      <c r="J180" s="31">
        <f t="shared" si="105"/>
        <v>20700</v>
      </c>
      <c r="K180" s="156" t="b">
        <f t="shared" si="103"/>
        <v>1</v>
      </c>
      <c r="Q180" s="5"/>
    </row>
    <row r="181" spans="1:17">
      <c r="A181" s="130" t="str">
        <f t="shared" si="104"/>
        <v>FEVRIER</v>
      </c>
      <c r="B181" s="135" t="s">
        <v>30</v>
      </c>
      <c r="C181" s="33">
        <f t="shared" si="106"/>
        <v>30550</v>
      </c>
      <c r="D181" s="32"/>
      <c r="E181" s="33">
        <f t="shared" si="107"/>
        <v>1493000</v>
      </c>
      <c r="F181" s="33"/>
      <c r="G181" s="110"/>
      <c r="H181" s="57">
        <f t="shared" si="108"/>
        <v>270000</v>
      </c>
      <c r="I181" s="33">
        <f t="shared" si="109"/>
        <v>1238000</v>
      </c>
      <c r="J181" s="31">
        <f t="shared" si="105"/>
        <v>15550</v>
      </c>
      <c r="K181" s="156" t="b">
        <f t="shared" si="103"/>
        <v>1</v>
      </c>
      <c r="Q181" s="5"/>
    </row>
    <row r="182" spans="1:17">
      <c r="A182" s="130" t="str">
        <f>+A180</f>
        <v>FEVRIER</v>
      </c>
      <c r="B182" s="135" t="s">
        <v>94</v>
      </c>
      <c r="C182" s="33">
        <f t="shared" si="106"/>
        <v>13000</v>
      </c>
      <c r="D182" s="32"/>
      <c r="E182" s="33">
        <f t="shared" si="107"/>
        <v>50000</v>
      </c>
      <c r="F182" s="33"/>
      <c r="G182" s="110"/>
      <c r="H182" s="57">
        <f t="shared" si="108"/>
        <v>0</v>
      </c>
      <c r="I182" s="33">
        <f t="shared" si="109"/>
        <v>58200</v>
      </c>
      <c r="J182" s="31">
        <f t="shared" si="105"/>
        <v>4800</v>
      </c>
      <c r="K182" s="156" t="b">
        <f t="shared" si="103"/>
        <v>1</v>
      </c>
      <c r="Q182" s="5"/>
    </row>
    <row r="183" spans="1:17">
      <c r="A183" s="130" t="str">
        <f>+A181</f>
        <v>FEVRIER</v>
      </c>
      <c r="B183" s="135" t="s">
        <v>29</v>
      </c>
      <c r="C183" s="33">
        <f t="shared" si="106"/>
        <v>55700</v>
      </c>
      <c r="D183" s="32"/>
      <c r="E183" s="33">
        <f t="shared" si="107"/>
        <v>1029000</v>
      </c>
      <c r="F183" s="33"/>
      <c r="G183" s="110"/>
      <c r="H183" s="57">
        <f t="shared" si="108"/>
        <v>300000</v>
      </c>
      <c r="I183" s="33">
        <f t="shared" si="109"/>
        <v>648500</v>
      </c>
      <c r="J183" s="31">
        <f t="shared" si="105"/>
        <v>136200</v>
      </c>
      <c r="K183" s="156" t="b">
        <f t="shared" si="103"/>
        <v>1</v>
      </c>
      <c r="Q183" s="5"/>
    </row>
    <row r="184" spans="1:17">
      <c r="A184" s="130" t="str">
        <f t="shared" si="104"/>
        <v>FEVRIER</v>
      </c>
      <c r="B184" s="136" t="s">
        <v>114</v>
      </c>
      <c r="C184" s="33">
        <f t="shared" si="106"/>
        <v>-36237</v>
      </c>
      <c r="D184" s="127"/>
      <c r="E184" s="33">
        <f t="shared" si="107"/>
        <v>210000</v>
      </c>
      <c r="F184" s="53"/>
      <c r="G184" s="147"/>
      <c r="H184" s="57">
        <f t="shared" si="108"/>
        <v>0</v>
      </c>
      <c r="I184" s="33">
        <f t="shared" si="109"/>
        <v>210500</v>
      </c>
      <c r="J184" s="31">
        <f t="shared" si="105"/>
        <v>-36737</v>
      </c>
      <c r="K184" s="156" t="b">
        <f t="shared" si="103"/>
        <v>1</v>
      </c>
      <c r="Q184" s="5"/>
    </row>
    <row r="185" spans="1:17">
      <c r="A185" s="35" t="s">
        <v>61</v>
      </c>
      <c r="B185" s="36"/>
      <c r="C185" s="36"/>
      <c r="D185" s="36"/>
      <c r="E185" s="36"/>
      <c r="F185" s="36"/>
      <c r="G185" s="36"/>
      <c r="H185" s="36"/>
      <c r="I185" s="36"/>
      <c r="J185" s="37"/>
      <c r="K185" s="155"/>
      <c r="Q185" s="5"/>
    </row>
    <row r="186" spans="1:17">
      <c r="A186" s="130" t="str">
        <f>+A184</f>
        <v>FEVRIER</v>
      </c>
      <c r="B186" s="38" t="s">
        <v>62</v>
      </c>
      <c r="C186" s="39">
        <f>+C152</f>
        <v>580885</v>
      </c>
      <c r="D186" s="51"/>
      <c r="E186" s="51">
        <f>D152</f>
        <v>10511000</v>
      </c>
      <c r="F186" s="51"/>
      <c r="G186" s="133"/>
      <c r="H186" s="53">
        <f>+F152</f>
        <v>7774000</v>
      </c>
      <c r="I186" s="134">
        <f>+E152</f>
        <v>2520779</v>
      </c>
      <c r="J186" s="46">
        <f>+SUM(C186:G186)-(H186+I186)</f>
        <v>797106</v>
      </c>
      <c r="K186" s="156" t="b">
        <f>J186=I152</f>
        <v>1</v>
      </c>
      <c r="Q186" s="5"/>
    </row>
    <row r="187" spans="1:17">
      <c r="A187" s="44" t="s">
        <v>63</v>
      </c>
      <c r="B187" s="25"/>
      <c r="C187" s="36"/>
      <c r="D187" s="25"/>
      <c r="E187" s="25"/>
      <c r="F187" s="25"/>
      <c r="G187" s="25"/>
      <c r="H187" s="25"/>
      <c r="I187" s="25"/>
      <c r="J187" s="37"/>
      <c r="K187" s="155"/>
      <c r="Q187" s="5"/>
    </row>
    <row r="188" spans="1:17">
      <c r="A188" s="130" t="str">
        <f>+A186</f>
        <v>FEVRIER</v>
      </c>
      <c r="B188" s="38" t="s">
        <v>167</v>
      </c>
      <c r="C188" s="133">
        <f>+C150</f>
        <v>2172028</v>
      </c>
      <c r="D188" s="140">
        <f>+G150</f>
        <v>0</v>
      </c>
      <c r="E188" s="51"/>
      <c r="F188" s="51"/>
      <c r="G188" s="51"/>
      <c r="H188" s="53">
        <f>+F150</f>
        <v>1000000</v>
      </c>
      <c r="I188" s="55">
        <f>+E150</f>
        <v>283345</v>
      </c>
      <c r="J188" s="46">
        <f>+SUM(C188:G188)-(H188+I188)</f>
        <v>888683</v>
      </c>
      <c r="K188" s="156" t="b">
        <f>+J188=I150</f>
        <v>1</v>
      </c>
      <c r="Q188" s="5"/>
    </row>
    <row r="189" spans="1:17">
      <c r="A189" s="130" t="str">
        <f t="shared" ref="A189" si="110">+A188</f>
        <v>FEVRIER</v>
      </c>
      <c r="B189" s="38" t="s">
        <v>65</v>
      </c>
      <c r="C189" s="133">
        <f>+C151</f>
        <v>14143094</v>
      </c>
      <c r="D189" s="51">
        <f>+G151</f>
        <v>0</v>
      </c>
      <c r="E189" s="50"/>
      <c r="F189" s="50"/>
      <c r="G189" s="50"/>
      <c r="H189" s="33">
        <f>+F151</f>
        <v>9000000</v>
      </c>
      <c r="I189" s="52">
        <f>+E151</f>
        <v>4260592</v>
      </c>
      <c r="J189" s="46">
        <f>SUM(C189:G189)-(H189+I189)</f>
        <v>882502</v>
      </c>
      <c r="K189" s="156" t="b">
        <f>+J189=I151</f>
        <v>1</v>
      </c>
      <c r="Q189" s="5"/>
    </row>
    <row r="190" spans="1:17" ht="15.75">
      <c r="C190" s="151">
        <f>SUM(C174:C189)</f>
        <v>17560283</v>
      </c>
      <c r="I190" s="149">
        <f>SUM(I174:I189)</f>
        <v>14177366</v>
      </c>
      <c r="J190" s="111">
        <f>+SUM(J174:J189)</f>
        <v>3382917</v>
      </c>
      <c r="K190" s="5" t="b">
        <f>J190=I163</f>
        <v>1</v>
      </c>
      <c r="Q190" s="5"/>
    </row>
    <row r="191" spans="1:17" ht="15.75">
      <c r="A191" s="217"/>
      <c r="B191" s="217"/>
      <c r="C191" s="218"/>
      <c r="D191" s="217"/>
      <c r="E191" s="217"/>
      <c r="F191" s="217"/>
      <c r="G191" s="217"/>
      <c r="H191" s="217"/>
      <c r="I191" s="219"/>
      <c r="J191" s="220"/>
      <c r="K191" s="217"/>
      <c r="L191" s="221"/>
      <c r="M191" s="221"/>
      <c r="N191" s="221"/>
      <c r="O191" s="221"/>
      <c r="P191" s="217"/>
      <c r="Q191" s="5"/>
    </row>
    <row r="192" spans="1:17" ht="15.75">
      <c r="A192" s="217"/>
      <c r="B192" s="217"/>
      <c r="C192" s="218"/>
      <c r="D192" s="217"/>
      <c r="E192" s="217"/>
      <c r="F192" s="217"/>
      <c r="G192" s="217"/>
      <c r="H192" s="217"/>
      <c r="I192" s="219"/>
      <c r="J192" s="220"/>
      <c r="K192" s="217"/>
      <c r="L192" s="221"/>
      <c r="M192" s="221"/>
      <c r="N192" s="221"/>
      <c r="O192" s="221"/>
      <c r="P192" s="217"/>
      <c r="Q192" s="5"/>
    </row>
    <row r="194" spans="1:17" ht="15.75">
      <c r="A194" s="6" t="s">
        <v>37</v>
      </c>
      <c r="B194" s="6" t="s">
        <v>1</v>
      </c>
      <c r="C194" s="6">
        <v>44562</v>
      </c>
      <c r="D194" s="7" t="s">
        <v>38</v>
      </c>
      <c r="E194" s="7" t="s">
        <v>39</v>
      </c>
      <c r="F194" s="7" t="s">
        <v>40</v>
      </c>
      <c r="G194" s="7" t="s">
        <v>41</v>
      </c>
      <c r="H194" s="6">
        <v>44592</v>
      </c>
      <c r="I194" s="7" t="s">
        <v>42</v>
      </c>
      <c r="K194" s="47"/>
      <c r="L194" s="47" t="s">
        <v>43</v>
      </c>
      <c r="M194" s="47" t="s">
        <v>44</v>
      </c>
      <c r="N194" s="47" t="s">
        <v>45</v>
      </c>
      <c r="O194" s="47" t="s">
        <v>46</v>
      </c>
      <c r="Q194" s="5"/>
    </row>
    <row r="195" spans="1:17" ht="16.5">
      <c r="A195" s="60" t="str">
        <f>+K195</f>
        <v>B52</v>
      </c>
      <c r="B195" s="61" t="s">
        <v>4</v>
      </c>
      <c r="C195" s="62">
        <v>9500</v>
      </c>
      <c r="D195" s="63">
        <f t="shared" ref="D195:D208" si="111">+L195</f>
        <v>567000</v>
      </c>
      <c r="E195" s="63">
        <f>+N195</f>
        <v>576000</v>
      </c>
      <c r="F195" s="63">
        <f>+M195</f>
        <v>0</v>
      </c>
      <c r="G195" s="63">
        <f t="shared" ref="G195:G206" si="112">+O195</f>
        <v>0</v>
      </c>
      <c r="H195" s="63">
        <v>500</v>
      </c>
      <c r="I195" s="63">
        <f>+C195+D195-E195-F195+G195</f>
        <v>500</v>
      </c>
      <c r="J195" s="9">
        <f>I195-H195</f>
        <v>0</v>
      </c>
      <c r="K195" s="47" t="s">
        <v>173</v>
      </c>
      <c r="L195" s="49">
        <v>567000</v>
      </c>
      <c r="M195" s="49">
        <v>0</v>
      </c>
      <c r="N195" s="49">
        <v>576000</v>
      </c>
      <c r="O195" s="49">
        <v>0</v>
      </c>
      <c r="Q195" s="5"/>
    </row>
    <row r="196" spans="1:17" ht="16.5">
      <c r="A196" s="60" t="str">
        <f>+K196</f>
        <v>BCI</v>
      </c>
      <c r="B196" s="61" t="s">
        <v>47</v>
      </c>
      <c r="C196" s="62">
        <v>3455373</v>
      </c>
      <c r="D196" s="63">
        <f t="shared" si="111"/>
        <v>0</v>
      </c>
      <c r="E196" s="63">
        <f>+N196</f>
        <v>283345</v>
      </c>
      <c r="F196" s="63">
        <f>+M196</f>
        <v>1000000</v>
      </c>
      <c r="G196" s="63">
        <f t="shared" si="112"/>
        <v>0</v>
      </c>
      <c r="H196" s="63">
        <v>2172028</v>
      </c>
      <c r="I196" s="63">
        <f>+C196+D196-E196-F196+G196</f>
        <v>2172028</v>
      </c>
      <c r="J196" s="9">
        <f t="shared" ref="J196:J203" si="113">I196-H196</f>
        <v>0</v>
      </c>
      <c r="K196" s="47" t="s">
        <v>24</v>
      </c>
      <c r="L196" s="49">
        <v>0</v>
      </c>
      <c r="M196" s="49">
        <v>1000000</v>
      </c>
      <c r="N196" s="49">
        <v>283345</v>
      </c>
      <c r="O196" s="49">
        <v>0</v>
      </c>
      <c r="Q196" s="5"/>
    </row>
    <row r="197" spans="1:17" ht="16.5">
      <c r="A197" s="60" t="str">
        <f t="shared" ref="A197:A199" si="114">+K197</f>
        <v>BCI-Sous Compte</v>
      </c>
      <c r="B197" s="61" t="s">
        <v>47</v>
      </c>
      <c r="C197" s="62">
        <v>4841615</v>
      </c>
      <c r="D197" s="63">
        <f t="shared" si="111"/>
        <v>0</v>
      </c>
      <c r="E197" s="63">
        <f>+N197</f>
        <v>6223724</v>
      </c>
      <c r="F197" s="63">
        <f>+M197</f>
        <v>2000000</v>
      </c>
      <c r="G197" s="63">
        <f t="shared" si="112"/>
        <v>17525203</v>
      </c>
      <c r="H197" s="63">
        <v>14143094</v>
      </c>
      <c r="I197" s="63">
        <f>+C197+D197-E197-F197+G197</f>
        <v>14143094</v>
      </c>
      <c r="J197" s="108">
        <f t="shared" si="113"/>
        <v>0</v>
      </c>
      <c r="K197" s="47" t="s">
        <v>158</v>
      </c>
      <c r="L197" s="49">
        <v>0</v>
      </c>
      <c r="M197" s="49">
        <v>2000000</v>
      </c>
      <c r="N197" s="49">
        <v>6223724</v>
      </c>
      <c r="O197" s="49">
        <v>17525203</v>
      </c>
      <c r="Q197" s="5"/>
    </row>
    <row r="198" spans="1:17" ht="16.5">
      <c r="A198" s="60" t="str">
        <f t="shared" si="114"/>
        <v>Caisse</v>
      </c>
      <c r="B198" s="61" t="s">
        <v>25</v>
      </c>
      <c r="C198" s="62">
        <v>1042520</v>
      </c>
      <c r="D198" s="63">
        <f t="shared" si="111"/>
        <v>3035000</v>
      </c>
      <c r="E198" s="63">
        <f t="shared" ref="E198" si="115">+N198</f>
        <v>966635</v>
      </c>
      <c r="F198" s="63">
        <f t="shared" ref="F198:F206" si="116">+M198</f>
        <v>2530000</v>
      </c>
      <c r="G198" s="63">
        <f t="shared" si="112"/>
        <v>0</v>
      </c>
      <c r="H198" s="63">
        <v>580885</v>
      </c>
      <c r="I198" s="63">
        <f>+C198+D198-E198-F198+G198</f>
        <v>580885</v>
      </c>
      <c r="J198" s="9">
        <f t="shared" si="113"/>
        <v>0</v>
      </c>
      <c r="K198" s="47" t="s">
        <v>25</v>
      </c>
      <c r="L198" s="49">
        <v>3035000</v>
      </c>
      <c r="M198" s="49">
        <v>2530000</v>
      </c>
      <c r="N198" s="49">
        <v>966635</v>
      </c>
      <c r="O198" s="49">
        <v>0</v>
      </c>
      <c r="Q198" s="5"/>
    </row>
    <row r="199" spans="1:17" ht="16.5">
      <c r="A199" s="60" t="str">
        <f t="shared" si="114"/>
        <v>Crépin</v>
      </c>
      <c r="B199" s="61" t="s">
        <v>164</v>
      </c>
      <c r="C199" s="62">
        <v>-37100</v>
      </c>
      <c r="D199" s="63">
        <f t="shared" si="111"/>
        <v>256000</v>
      </c>
      <c r="E199" s="63">
        <f>+N199</f>
        <v>189900</v>
      </c>
      <c r="F199" s="63">
        <f t="shared" si="116"/>
        <v>20000</v>
      </c>
      <c r="G199" s="63">
        <f t="shared" si="112"/>
        <v>0</v>
      </c>
      <c r="H199" s="63">
        <v>9000</v>
      </c>
      <c r="I199" s="63">
        <f t="shared" ref="I199" si="117">+C199+D199-E199-F199+G199</f>
        <v>9000</v>
      </c>
      <c r="J199" s="9">
        <f t="shared" si="113"/>
        <v>0</v>
      </c>
      <c r="K199" s="47" t="s">
        <v>48</v>
      </c>
      <c r="L199" s="49">
        <v>256000</v>
      </c>
      <c r="M199" s="49">
        <v>20000</v>
      </c>
      <c r="N199" s="49">
        <v>189900</v>
      </c>
      <c r="O199" s="49">
        <v>0</v>
      </c>
      <c r="Q199" s="5"/>
    </row>
    <row r="200" spans="1:17" ht="16.5">
      <c r="A200" s="60" t="str">
        <f>K200</f>
        <v>Evariste</v>
      </c>
      <c r="B200" s="61" t="s">
        <v>165</v>
      </c>
      <c r="C200" s="62">
        <v>8645</v>
      </c>
      <c r="D200" s="63">
        <f t="shared" si="111"/>
        <v>0</v>
      </c>
      <c r="E200" s="63">
        <f t="shared" ref="E200" si="118">+N200</f>
        <v>0</v>
      </c>
      <c r="F200" s="63">
        <f t="shared" si="116"/>
        <v>0</v>
      </c>
      <c r="G200" s="63">
        <f t="shared" si="112"/>
        <v>0</v>
      </c>
      <c r="H200" s="63">
        <v>8645</v>
      </c>
      <c r="I200" s="63">
        <f>+C200+D200-E200-F200+G200</f>
        <v>8645</v>
      </c>
      <c r="J200" s="9">
        <f t="shared" si="113"/>
        <v>0</v>
      </c>
      <c r="K200" s="47" t="s">
        <v>31</v>
      </c>
      <c r="L200" s="49">
        <v>0</v>
      </c>
      <c r="M200" s="49">
        <v>0</v>
      </c>
      <c r="N200" s="49">
        <v>0</v>
      </c>
      <c r="O200" s="49">
        <v>0</v>
      </c>
      <c r="Q200" s="5"/>
    </row>
    <row r="201" spans="1:17" ht="16.5">
      <c r="A201" s="123" t="str">
        <f t="shared" ref="A201:A208" si="119">+K201</f>
        <v>I55S</v>
      </c>
      <c r="B201" s="124" t="s">
        <v>4</v>
      </c>
      <c r="C201" s="125">
        <v>233614</v>
      </c>
      <c r="D201" s="126">
        <f t="shared" si="111"/>
        <v>0</v>
      </c>
      <c r="E201" s="126">
        <f>+N201</f>
        <v>0</v>
      </c>
      <c r="F201" s="126">
        <f t="shared" si="116"/>
        <v>0</v>
      </c>
      <c r="G201" s="126">
        <f t="shared" si="112"/>
        <v>0</v>
      </c>
      <c r="H201" s="126">
        <v>233614</v>
      </c>
      <c r="I201" s="126">
        <f>+C201+D201-E201-F201+G201</f>
        <v>233614</v>
      </c>
      <c r="J201" s="9">
        <f t="shared" si="113"/>
        <v>0</v>
      </c>
      <c r="K201" s="47" t="s">
        <v>85</v>
      </c>
      <c r="L201" s="49">
        <v>0</v>
      </c>
      <c r="M201" s="49">
        <v>0</v>
      </c>
      <c r="N201" s="49">
        <v>0</v>
      </c>
      <c r="O201" s="49">
        <v>0</v>
      </c>
      <c r="Q201" s="5"/>
    </row>
    <row r="202" spans="1:17" ht="16.5">
      <c r="A202" s="123" t="str">
        <f t="shared" si="119"/>
        <v>I73X</v>
      </c>
      <c r="B202" s="124" t="s">
        <v>4</v>
      </c>
      <c r="C202" s="125">
        <v>249769</v>
      </c>
      <c r="D202" s="126">
        <f t="shared" si="111"/>
        <v>0</v>
      </c>
      <c r="E202" s="126">
        <f>+N202</f>
        <v>0</v>
      </c>
      <c r="F202" s="126">
        <f t="shared" si="116"/>
        <v>0</v>
      </c>
      <c r="G202" s="126">
        <f t="shared" si="112"/>
        <v>0</v>
      </c>
      <c r="H202" s="126">
        <v>249769</v>
      </c>
      <c r="I202" s="126">
        <f t="shared" ref="I202:I205" si="120">+C202+D202-E202-F202+G202</f>
        <v>249769</v>
      </c>
      <c r="J202" s="9">
        <f t="shared" si="113"/>
        <v>0</v>
      </c>
      <c r="K202" s="47" t="s">
        <v>84</v>
      </c>
      <c r="L202" s="49">
        <v>0</v>
      </c>
      <c r="M202" s="49">
        <v>0</v>
      </c>
      <c r="N202" s="49">
        <v>0</v>
      </c>
      <c r="O202" s="49">
        <v>0</v>
      </c>
      <c r="Q202" s="5"/>
    </row>
    <row r="203" spans="1:17" ht="16.5">
      <c r="A203" s="60" t="str">
        <f t="shared" si="119"/>
        <v>Godfré</v>
      </c>
      <c r="B203" s="104" t="s">
        <v>164</v>
      </c>
      <c r="C203" s="62">
        <v>34935</v>
      </c>
      <c r="D203" s="63">
        <f t="shared" si="111"/>
        <v>365000</v>
      </c>
      <c r="E203" s="179">
        <f t="shared" ref="E203" si="121">+N203</f>
        <v>320000</v>
      </c>
      <c r="F203" s="63">
        <f t="shared" si="116"/>
        <v>0</v>
      </c>
      <c r="G203" s="63">
        <f t="shared" si="112"/>
        <v>0</v>
      </c>
      <c r="H203" s="63">
        <v>79935</v>
      </c>
      <c r="I203" s="63">
        <f t="shared" si="120"/>
        <v>79935</v>
      </c>
      <c r="J203" s="9">
        <f t="shared" si="113"/>
        <v>0</v>
      </c>
      <c r="K203" s="47" t="s">
        <v>153</v>
      </c>
      <c r="L203" s="49">
        <v>365000</v>
      </c>
      <c r="M203" s="49"/>
      <c r="N203" s="49">
        <v>320000</v>
      </c>
      <c r="O203" s="49">
        <v>0</v>
      </c>
      <c r="Q203" s="5"/>
    </row>
    <row r="204" spans="1:17" ht="16.5">
      <c r="A204" s="60" t="str">
        <f t="shared" si="119"/>
        <v>Grace</v>
      </c>
      <c r="B204" s="61" t="s">
        <v>2</v>
      </c>
      <c r="C204" s="62">
        <v>44200</v>
      </c>
      <c r="D204" s="63">
        <f t="shared" si="111"/>
        <v>0</v>
      </c>
      <c r="E204" s="179">
        <f>+N204</f>
        <v>9400</v>
      </c>
      <c r="F204" s="63">
        <f t="shared" si="116"/>
        <v>15000</v>
      </c>
      <c r="G204" s="63">
        <f t="shared" si="112"/>
        <v>0</v>
      </c>
      <c r="H204" s="63">
        <v>19800</v>
      </c>
      <c r="I204" s="63">
        <f t="shared" si="120"/>
        <v>19800</v>
      </c>
      <c r="J204" s="9">
        <f>I204-H204</f>
        <v>0</v>
      </c>
      <c r="K204" s="47" t="s">
        <v>152</v>
      </c>
      <c r="L204" s="49">
        <v>0</v>
      </c>
      <c r="M204" s="49">
        <v>15000</v>
      </c>
      <c r="N204" s="49">
        <v>9400</v>
      </c>
      <c r="O204" s="49">
        <v>0</v>
      </c>
      <c r="Q204" s="5"/>
    </row>
    <row r="205" spans="1:17" ht="16.5">
      <c r="A205" s="60" t="str">
        <f t="shared" si="119"/>
        <v>I23C</v>
      </c>
      <c r="B205" s="104" t="s">
        <v>4</v>
      </c>
      <c r="C205" s="62">
        <v>12050</v>
      </c>
      <c r="D205" s="63">
        <f t="shared" si="111"/>
        <v>492000</v>
      </c>
      <c r="E205" s="179">
        <f t="shared" ref="E205:E208" si="122">+N205</f>
        <v>473500</v>
      </c>
      <c r="F205" s="63">
        <f t="shared" si="116"/>
        <v>0</v>
      </c>
      <c r="G205" s="63">
        <f t="shared" si="112"/>
        <v>0</v>
      </c>
      <c r="H205" s="63">
        <v>30550</v>
      </c>
      <c r="I205" s="63">
        <f t="shared" si="120"/>
        <v>30550</v>
      </c>
      <c r="J205" s="9">
        <f t="shared" ref="J205:J206" si="123">I205-H205</f>
        <v>0</v>
      </c>
      <c r="K205" s="47" t="s">
        <v>30</v>
      </c>
      <c r="L205" s="49">
        <v>492000</v>
      </c>
      <c r="M205" s="49">
        <v>0</v>
      </c>
      <c r="N205" s="49">
        <v>473500</v>
      </c>
      <c r="O205" s="49">
        <v>0</v>
      </c>
      <c r="Q205" s="5"/>
    </row>
    <row r="206" spans="1:17" ht="16.5">
      <c r="A206" s="60" t="str">
        <f t="shared" si="119"/>
        <v>Merveille</v>
      </c>
      <c r="B206" s="61" t="s">
        <v>2</v>
      </c>
      <c r="C206" s="62">
        <v>5500</v>
      </c>
      <c r="D206" s="63">
        <f t="shared" si="111"/>
        <v>20000</v>
      </c>
      <c r="E206" s="179">
        <f t="shared" si="122"/>
        <v>12500</v>
      </c>
      <c r="F206" s="63">
        <f t="shared" si="116"/>
        <v>0</v>
      </c>
      <c r="G206" s="63">
        <f t="shared" si="112"/>
        <v>0</v>
      </c>
      <c r="H206" s="63">
        <v>13000</v>
      </c>
      <c r="I206" s="63">
        <f>+C206+D206-E206-F206+G206</f>
        <v>13000</v>
      </c>
      <c r="J206" s="9">
        <f t="shared" si="123"/>
        <v>0</v>
      </c>
      <c r="K206" s="47" t="s">
        <v>94</v>
      </c>
      <c r="L206" s="49">
        <v>20000</v>
      </c>
      <c r="M206" s="49">
        <v>0</v>
      </c>
      <c r="N206" s="49">
        <v>12500</v>
      </c>
      <c r="O206" s="49"/>
      <c r="Q206" s="5"/>
    </row>
    <row r="207" spans="1:17" ht="16.5">
      <c r="A207" s="60" t="str">
        <f t="shared" si="119"/>
        <v>P29</v>
      </c>
      <c r="B207" s="61" t="s">
        <v>4</v>
      </c>
      <c r="C207" s="62">
        <v>58200</v>
      </c>
      <c r="D207" s="63">
        <f t="shared" si="111"/>
        <v>530000</v>
      </c>
      <c r="E207" s="179">
        <f t="shared" si="122"/>
        <v>532500</v>
      </c>
      <c r="F207" s="63">
        <f>+M207</f>
        <v>0</v>
      </c>
      <c r="G207" s="63">
        <f>+O207</f>
        <v>0</v>
      </c>
      <c r="H207" s="63">
        <v>55700</v>
      </c>
      <c r="I207" s="63">
        <f>+C207+D207-E207-F207+G207</f>
        <v>55700</v>
      </c>
      <c r="J207" s="9">
        <f>I207-H207</f>
        <v>0</v>
      </c>
      <c r="K207" s="47" t="s">
        <v>29</v>
      </c>
      <c r="L207" s="49">
        <v>530000</v>
      </c>
      <c r="M207" s="49">
        <v>0</v>
      </c>
      <c r="N207" s="49">
        <v>532500</v>
      </c>
      <c r="O207" s="49">
        <v>0</v>
      </c>
      <c r="Q207" s="5"/>
    </row>
    <row r="208" spans="1:17" ht="16.5">
      <c r="A208" s="60" t="str">
        <f t="shared" si="119"/>
        <v>Tiffany</v>
      </c>
      <c r="B208" s="61" t="s">
        <v>2</v>
      </c>
      <c r="C208" s="62">
        <v>263673</v>
      </c>
      <c r="D208" s="63">
        <f t="shared" si="111"/>
        <v>300000</v>
      </c>
      <c r="E208" s="179">
        <f t="shared" si="122"/>
        <v>599910</v>
      </c>
      <c r="F208" s="63">
        <f t="shared" ref="F208" si="124">+M208</f>
        <v>0</v>
      </c>
      <c r="G208" s="63">
        <f t="shared" ref="G208" si="125">+O208</f>
        <v>0</v>
      </c>
      <c r="H208" s="63">
        <v>-36237</v>
      </c>
      <c r="I208" s="63">
        <f t="shared" ref="I208" si="126">+C208+D208-E208-F208+G208</f>
        <v>-36237</v>
      </c>
      <c r="J208" s="9">
        <f t="shared" ref="J208" si="127">I208-H208</f>
        <v>0</v>
      </c>
      <c r="K208" s="47" t="s">
        <v>114</v>
      </c>
      <c r="L208" s="49">
        <v>300000</v>
      </c>
      <c r="M208" s="49">
        <v>0</v>
      </c>
      <c r="N208" s="49">
        <v>599910</v>
      </c>
      <c r="O208" s="49">
        <v>0</v>
      </c>
      <c r="Q208" s="5"/>
    </row>
    <row r="209" spans="1:17" ht="16.5">
      <c r="A209" s="10" t="s">
        <v>51</v>
      </c>
      <c r="B209" s="11"/>
      <c r="C209" s="12">
        <f t="shared" ref="C209:I209" si="128">SUM(C195:C208)</f>
        <v>10222494</v>
      </c>
      <c r="D209" s="59">
        <f t="shared" si="128"/>
        <v>5565000</v>
      </c>
      <c r="E209" s="59">
        <f t="shared" si="128"/>
        <v>10187414</v>
      </c>
      <c r="F209" s="59">
        <f t="shared" si="128"/>
        <v>5565000</v>
      </c>
      <c r="G209" s="59">
        <f t="shared" si="128"/>
        <v>17525203</v>
      </c>
      <c r="H209" s="59">
        <f t="shared" si="128"/>
        <v>17560283</v>
      </c>
      <c r="I209" s="59">
        <f t="shared" si="128"/>
        <v>17560283</v>
      </c>
      <c r="J209" s="9">
        <f>I209-H209</f>
        <v>0</v>
      </c>
      <c r="K209" s="3"/>
      <c r="L209" s="49">
        <f>+SUM(L195:L208)</f>
        <v>5565000</v>
      </c>
      <c r="M209" s="49">
        <f>+SUM(M195:M208)</f>
        <v>5565000</v>
      </c>
      <c r="N209" s="49">
        <f>+SUM(N195:N208)</f>
        <v>10187414</v>
      </c>
      <c r="O209" s="49">
        <f>+SUM(O195:O208)</f>
        <v>17525203</v>
      </c>
      <c r="Q209" s="5"/>
    </row>
    <row r="210" spans="1:17" ht="16.5">
      <c r="A210" s="10"/>
      <c r="B210" s="11"/>
      <c r="C210" s="12"/>
      <c r="D210" s="13"/>
      <c r="E210" s="12"/>
      <c r="F210" s="13"/>
      <c r="G210" s="12"/>
      <c r="H210" s="12"/>
      <c r="I210" s="143" t="b">
        <f>I209=D212</f>
        <v>1</v>
      </c>
      <c r="L210" s="5"/>
      <c r="M210" s="5"/>
      <c r="N210" s="5"/>
      <c r="O210" s="5"/>
      <c r="Q210" s="5"/>
    </row>
    <row r="211" spans="1:17" ht="16.5">
      <c r="A211" s="10" t="s">
        <v>187</v>
      </c>
      <c r="B211" s="11" t="s">
        <v>189</v>
      </c>
      <c r="C211" s="12" t="s">
        <v>188</v>
      </c>
      <c r="D211" s="12" t="s">
        <v>190</v>
      </c>
      <c r="E211" s="12" t="s">
        <v>52</v>
      </c>
      <c r="F211" s="12"/>
      <c r="G211" s="12">
        <f>+D209-F209</f>
        <v>0</v>
      </c>
      <c r="H211" s="12"/>
      <c r="I211" s="12"/>
      <c r="L211" s="5"/>
      <c r="M211" s="5"/>
      <c r="N211" s="5"/>
      <c r="O211" s="5"/>
      <c r="Q211" s="5"/>
    </row>
    <row r="212" spans="1:17" ht="16.5">
      <c r="A212" s="14">
        <f>C209</f>
        <v>10222494</v>
      </c>
      <c r="B212" s="15">
        <f>G209</f>
        <v>17525203</v>
      </c>
      <c r="C212" s="12">
        <f>E209</f>
        <v>10187414</v>
      </c>
      <c r="D212" s="12">
        <f>A212+B212-C212</f>
        <v>17560283</v>
      </c>
      <c r="E212" s="13">
        <f>I209-D212</f>
        <v>0</v>
      </c>
      <c r="F212" s="12"/>
      <c r="G212" s="12"/>
      <c r="H212" s="12"/>
      <c r="I212" s="12"/>
      <c r="L212" s="5"/>
      <c r="M212" s="5"/>
      <c r="N212" s="5"/>
      <c r="O212" s="5"/>
      <c r="Q212" s="5"/>
    </row>
    <row r="213" spans="1:17" ht="16.5">
      <c r="A213" s="14"/>
      <c r="B213" s="15"/>
      <c r="C213" s="12"/>
      <c r="D213" s="12"/>
      <c r="E213" s="13"/>
      <c r="F213" s="12"/>
      <c r="G213" s="12"/>
      <c r="H213" s="12"/>
      <c r="I213" s="12"/>
      <c r="L213" s="5"/>
      <c r="M213" s="5"/>
      <c r="N213" s="5"/>
      <c r="O213" s="5"/>
      <c r="Q213" s="5"/>
    </row>
    <row r="214" spans="1:17">
      <c r="A214" s="16" t="s">
        <v>53</v>
      </c>
      <c r="B214" s="16"/>
      <c r="C214" s="16"/>
      <c r="D214" s="17"/>
      <c r="E214" s="17"/>
      <c r="F214" s="17"/>
      <c r="G214" s="17"/>
      <c r="H214" s="17"/>
      <c r="I214" s="17"/>
      <c r="L214" s="5"/>
      <c r="M214" s="5"/>
      <c r="N214" s="5"/>
      <c r="O214" s="5"/>
      <c r="Q214" s="5"/>
    </row>
    <row r="215" spans="1:17">
      <c r="A215" s="18" t="s">
        <v>191</v>
      </c>
      <c r="B215" s="18"/>
      <c r="C215" s="18"/>
      <c r="D215" s="18"/>
      <c r="E215" s="18"/>
      <c r="F215" s="18"/>
      <c r="G215" s="18"/>
      <c r="H215" s="18"/>
      <c r="I215" s="18"/>
      <c r="J215" s="18"/>
      <c r="L215" s="5"/>
      <c r="M215" s="5"/>
      <c r="N215" s="5"/>
      <c r="O215" s="5"/>
      <c r="Q215" s="5"/>
    </row>
    <row r="216" spans="1:17">
      <c r="A216" s="19"/>
      <c r="B216" s="20"/>
      <c r="C216" s="21"/>
      <c r="D216" s="21"/>
      <c r="E216" s="21"/>
      <c r="F216" s="21"/>
      <c r="G216" s="21"/>
      <c r="H216" s="20"/>
      <c r="I216" s="20"/>
      <c r="L216" s="5"/>
      <c r="M216" s="5"/>
      <c r="N216" s="5"/>
      <c r="O216" s="5"/>
      <c r="Q216" s="5"/>
    </row>
    <row r="217" spans="1:17">
      <c r="A217" s="391" t="s">
        <v>54</v>
      </c>
      <c r="B217" s="393" t="s">
        <v>55</v>
      </c>
      <c r="C217" s="395" t="s">
        <v>193</v>
      </c>
      <c r="D217" s="397" t="s">
        <v>56</v>
      </c>
      <c r="E217" s="398"/>
      <c r="F217" s="398"/>
      <c r="G217" s="399"/>
      <c r="H217" s="400" t="s">
        <v>57</v>
      </c>
      <c r="I217" s="402" t="s">
        <v>58</v>
      </c>
      <c r="J217" s="20"/>
      <c r="L217" s="5"/>
      <c r="M217" s="5"/>
      <c r="N217" s="5"/>
      <c r="O217" s="5"/>
      <c r="Q217" s="5"/>
    </row>
    <row r="218" spans="1:17" ht="28.5" customHeight="1">
      <c r="A218" s="392"/>
      <c r="B218" s="394"/>
      <c r="C218" s="396"/>
      <c r="D218" s="22" t="s">
        <v>24</v>
      </c>
      <c r="E218" s="22" t="s">
        <v>25</v>
      </c>
      <c r="F218" s="212" t="s">
        <v>124</v>
      </c>
      <c r="G218" s="22" t="s">
        <v>59</v>
      </c>
      <c r="H218" s="401"/>
      <c r="I218" s="403"/>
      <c r="J218" s="404" t="s">
        <v>192</v>
      </c>
      <c r="K218" s="155"/>
      <c r="L218" s="5"/>
      <c r="M218" s="5"/>
      <c r="N218" s="5"/>
      <c r="O218" s="5"/>
      <c r="Q218" s="5"/>
    </row>
    <row r="219" spans="1:17">
      <c r="A219" s="24"/>
      <c r="B219" s="25" t="s">
        <v>60</v>
      </c>
      <c r="C219" s="26"/>
      <c r="D219" s="26"/>
      <c r="E219" s="26"/>
      <c r="F219" s="26"/>
      <c r="G219" s="26"/>
      <c r="H219" s="26"/>
      <c r="I219" s="27"/>
      <c r="J219" s="405"/>
      <c r="K219" s="155"/>
      <c r="L219" s="5"/>
      <c r="M219" s="5"/>
      <c r="N219" s="5"/>
      <c r="O219" s="5"/>
      <c r="Q219" s="5"/>
    </row>
    <row r="220" spans="1:17">
      <c r="A220" s="130" t="s">
        <v>109</v>
      </c>
      <c r="B220" s="135" t="s">
        <v>173</v>
      </c>
      <c r="C220" s="33">
        <f>+C195</f>
        <v>9500</v>
      </c>
      <c r="D220" s="32"/>
      <c r="E220" s="33">
        <f>+D195</f>
        <v>567000</v>
      </c>
      <c r="F220" s="33"/>
      <c r="G220" s="33"/>
      <c r="H220" s="57">
        <f>+F195</f>
        <v>0</v>
      </c>
      <c r="I220" s="33">
        <f>+E195</f>
        <v>576000</v>
      </c>
      <c r="J220" s="31">
        <f t="shared" ref="J220:J221" si="129">+SUM(C220:G220)-(H220+I220)</f>
        <v>500</v>
      </c>
      <c r="K220" s="156" t="b">
        <f>J220=I195</f>
        <v>1</v>
      </c>
      <c r="L220" s="5"/>
      <c r="M220" s="5"/>
      <c r="N220" s="5"/>
      <c r="O220" s="5"/>
      <c r="Q220" s="5"/>
    </row>
    <row r="221" spans="1:17">
      <c r="A221" s="130" t="str">
        <f>+A220</f>
        <v>JANVIER</v>
      </c>
      <c r="B221" s="135" t="s">
        <v>48</v>
      </c>
      <c r="C221" s="33">
        <f>+C199</f>
        <v>-37100</v>
      </c>
      <c r="D221" s="32"/>
      <c r="E221" s="33">
        <f>+D199</f>
        <v>256000</v>
      </c>
      <c r="F221" s="33"/>
      <c r="G221" s="33"/>
      <c r="H221" s="57">
        <f>+F199</f>
        <v>20000</v>
      </c>
      <c r="I221" s="33">
        <f>+E199</f>
        <v>189900</v>
      </c>
      <c r="J221" s="107">
        <f t="shared" si="129"/>
        <v>9000</v>
      </c>
      <c r="K221" s="156" t="b">
        <f t="shared" ref="K221:K230" si="130">J221=I199</f>
        <v>1</v>
      </c>
      <c r="L221" s="5"/>
      <c r="M221" s="5"/>
      <c r="N221" s="5"/>
      <c r="O221" s="5"/>
      <c r="Q221" s="5"/>
    </row>
    <row r="222" spans="1:17">
      <c r="A222" s="130" t="str">
        <f t="shared" ref="A222:A230" si="131">+A221</f>
        <v>JANVIER</v>
      </c>
      <c r="B222" s="136" t="s">
        <v>31</v>
      </c>
      <c r="C222" s="33">
        <f>+C200</f>
        <v>8645</v>
      </c>
      <c r="D222" s="127"/>
      <c r="E222" s="33">
        <f>+D200</f>
        <v>0</v>
      </c>
      <c r="F222" s="53"/>
      <c r="G222" s="53"/>
      <c r="H222" s="57">
        <f>+F200</f>
        <v>0</v>
      </c>
      <c r="I222" s="33">
        <f>+E200</f>
        <v>0</v>
      </c>
      <c r="J222" s="132">
        <f>+SUM(C222:G222)-(H222+I222)</f>
        <v>8645</v>
      </c>
      <c r="K222" s="156" t="b">
        <f t="shared" si="130"/>
        <v>1</v>
      </c>
      <c r="L222" s="5"/>
      <c r="M222" s="5"/>
      <c r="N222" s="5"/>
      <c r="O222" s="5"/>
      <c r="Q222" s="5"/>
    </row>
    <row r="223" spans="1:17">
      <c r="A223" s="130" t="str">
        <f t="shared" si="131"/>
        <v>JANVIER</v>
      </c>
      <c r="B223" s="137" t="s">
        <v>85</v>
      </c>
      <c r="C223" s="128">
        <f>+C201</f>
        <v>233614</v>
      </c>
      <c r="D223" s="131"/>
      <c r="E223" s="128">
        <f>+D201</f>
        <v>0</v>
      </c>
      <c r="F223" s="146"/>
      <c r="G223" s="146"/>
      <c r="H223" s="180">
        <f>+F201</f>
        <v>0</v>
      </c>
      <c r="I223" s="128">
        <f>+E201</f>
        <v>0</v>
      </c>
      <c r="J223" s="129">
        <f>+SUM(C223:G223)-(H223+I223)</f>
        <v>233614</v>
      </c>
      <c r="K223" s="156" t="b">
        <f t="shared" si="130"/>
        <v>1</v>
      </c>
      <c r="L223" s="5"/>
      <c r="M223" s="5"/>
      <c r="N223" s="5"/>
      <c r="O223" s="5"/>
      <c r="Q223" s="5"/>
    </row>
    <row r="224" spans="1:17">
      <c r="A224" s="130" t="str">
        <f t="shared" si="131"/>
        <v>JANVIER</v>
      </c>
      <c r="B224" s="137" t="s">
        <v>84</v>
      </c>
      <c r="C224" s="128">
        <f>+C202</f>
        <v>249769</v>
      </c>
      <c r="D224" s="131"/>
      <c r="E224" s="128">
        <f>+D202</f>
        <v>0</v>
      </c>
      <c r="F224" s="146"/>
      <c r="G224" s="146"/>
      <c r="H224" s="180">
        <f>+F202</f>
        <v>0</v>
      </c>
      <c r="I224" s="128">
        <f>+E202</f>
        <v>0</v>
      </c>
      <c r="J224" s="129">
        <f t="shared" ref="J224:J230" si="132">+SUM(C224:G224)-(H224+I224)</f>
        <v>249769</v>
      </c>
      <c r="K224" s="156" t="b">
        <f t="shared" si="130"/>
        <v>1</v>
      </c>
      <c r="L224" s="5"/>
      <c r="M224" s="5"/>
      <c r="N224" s="5"/>
      <c r="O224" s="5"/>
      <c r="Q224" s="5"/>
    </row>
    <row r="225" spans="1:17">
      <c r="A225" s="130" t="str">
        <f t="shared" si="131"/>
        <v>JANVIER</v>
      </c>
      <c r="B225" s="135" t="s">
        <v>153</v>
      </c>
      <c r="C225" s="33">
        <f>+C203</f>
        <v>34935</v>
      </c>
      <c r="D225" s="32"/>
      <c r="E225" s="33">
        <f>+D203</f>
        <v>365000</v>
      </c>
      <c r="F225" s="33"/>
      <c r="G225" s="110"/>
      <c r="H225" s="57">
        <f>+F203</f>
        <v>0</v>
      </c>
      <c r="I225" s="33">
        <f>+E203</f>
        <v>320000</v>
      </c>
      <c r="J225" s="31">
        <f t="shared" si="132"/>
        <v>79935</v>
      </c>
      <c r="K225" s="156" t="b">
        <f t="shared" si="130"/>
        <v>1</v>
      </c>
      <c r="L225" s="5"/>
      <c r="M225" s="5"/>
      <c r="N225" s="5"/>
      <c r="O225" s="5"/>
      <c r="Q225" s="5"/>
    </row>
    <row r="226" spans="1:17">
      <c r="A226" s="130" t="str">
        <f t="shared" si="131"/>
        <v>JANVIER</v>
      </c>
      <c r="B226" s="135" t="s">
        <v>152</v>
      </c>
      <c r="C226" s="33">
        <f t="shared" ref="C226:C230" si="133">+C204</f>
        <v>44200</v>
      </c>
      <c r="D226" s="32"/>
      <c r="E226" s="33">
        <f t="shared" ref="E226:E230" si="134">+D204</f>
        <v>0</v>
      </c>
      <c r="F226" s="33"/>
      <c r="G226" s="110"/>
      <c r="H226" s="57">
        <f t="shared" ref="H226:H230" si="135">+F204</f>
        <v>15000</v>
      </c>
      <c r="I226" s="33">
        <f t="shared" ref="I226:I230" si="136">+E204</f>
        <v>9400</v>
      </c>
      <c r="J226" s="31">
        <f t="shared" si="132"/>
        <v>19800</v>
      </c>
      <c r="K226" s="156" t="b">
        <f t="shared" si="130"/>
        <v>1</v>
      </c>
      <c r="L226" s="5"/>
      <c r="M226" s="5"/>
      <c r="N226" s="5"/>
      <c r="O226" s="5"/>
      <c r="Q226" s="5"/>
    </row>
    <row r="227" spans="1:17">
      <c r="A227" s="130" t="str">
        <f t="shared" si="131"/>
        <v>JANVIER</v>
      </c>
      <c r="B227" s="135" t="s">
        <v>30</v>
      </c>
      <c r="C227" s="33">
        <f t="shared" si="133"/>
        <v>12050</v>
      </c>
      <c r="D227" s="32"/>
      <c r="E227" s="33">
        <f t="shared" si="134"/>
        <v>492000</v>
      </c>
      <c r="F227" s="33"/>
      <c r="G227" s="110"/>
      <c r="H227" s="57">
        <f t="shared" si="135"/>
        <v>0</v>
      </c>
      <c r="I227" s="33">
        <f t="shared" si="136"/>
        <v>473500</v>
      </c>
      <c r="J227" s="31">
        <f t="shared" si="132"/>
        <v>30550</v>
      </c>
      <c r="K227" s="156" t="b">
        <f t="shared" si="130"/>
        <v>1</v>
      </c>
      <c r="Q227" s="5"/>
    </row>
    <row r="228" spans="1:17">
      <c r="A228" s="130" t="str">
        <f>+A226</f>
        <v>JANVIER</v>
      </c>
      <c r="B228" s="135" t="s">
        <v>94</v>
      </c>
      <c r="C228" s="33">
        <f t="shared" si="133"/>
        <v>5500</v>
      </c>
      <c r="D228" s="32"/>
      <c r="E228" s="33">
        <f t="shared" si="134"/>
        <v>20000</v>
      </c>
      <c r="F228" s="33"/>
      <c r="G228" s="110"/>
      <c r="H228" s="57">
        <f t="shared" si="135"/>
        <v>0</v>
      </c>
      <c r="I228" s="33">
        <f t="shared" si="136"/>
        <v>12500</v>
      </c>
      <c r="J228" s="31">
        <f t="shared" si="132"/>
        <v>13000</v>
      </c>
      <c r="K228" s="156" t="b">
        <f t="shared" si="130"/>
        <v>1</v>
      </c>
      <c r="Q228" s="5"/>
    </row>
    <row r="229" spans="1:17">
      <c r="A229" s="130" t="str">
        <f>+A227</f>
        <v>JANVIER</v>
      </c>
      <c r="B229" s="135" t="s">
        <v>29</v>
      </c>
      <c r="C229" s="33">
        <f t="shared" si="133"/>
        <v>58200</v>
      </c>
      <c r="D229" s="32"/>
      <c r="E229" s="33">
        <f t="shared" si="134"/>
        <v>530000</v>
      </c>
      <c r="F229" s="33"/>
      <c r="G229" s="110"/>
      <c r="H229" s="57">
        <f t="shared" si="135"/>
        <v>0</v>
      </c>
      <c r="I229" s="33">
        <f t="shared" si="136"/>
        <v>532500</v>
      </c>
      <c r="J229" s="31">
        <f t="shared" si="132"/>
        <v>55700</v>
      </c>
      <c r="K229" s="156" t="b">
        <f t="shared" si="130"/>
        <v>1</v>
      </c>
      <c r="Q229" s="5"/>
    </row>
    <row r="230" spans="1:17">
      <c r="A230" s="130" t="str">
        <f t="shared" si="131"/>
        <v>JANVIER</v>
      </c>
      <c r="B230" s="136" t="s">
        <v>114</v>
      </c>
      <c r="C230" s="33">
        <f t="shared" si="133"/>
        <v>263673</v>
      </c>
      <c r="D230" s="127"/>
      <c r="E230" s="33">
        <f t="shared" si="134"/>
        <v>300000</v>
      </c>
      <c r="F230" s="53"/>
      <c r="G230" s="147"/>
      <c r="H230" s="57">
        <f t="shared" si="135"/>
        <v>0</v>
      </c>
      <c r="I230" s="33">
        <f t="shared" si="136"/>
        <v>599910</v>
      </c>
      <c r="J230" s="31">
        <f t="shared" si="132"/>
        <v>-36237</v>
      </c>
      <c r="K230" s="156" t="b">
        <f t="shared" si="130"/>
        <v>1</v>
      </c>
      <c r="Q230" s="5"/>
    </row>
    <row r="231" spans="1:17">
      <c r="A231" s="35" t="s">
        <v>61</v>
      </c>
      <c r="B231" s="36"/>
      <c r="C231" s="36"/>
      <c r="D231" s="36"/>
      <c r="E231" s="36"/>
      <c r="F231" s="36"/>
      <c r="G231" s="36"/>
      <c r="H231" s="36"/>
      <c r="I231" s="36"/>
      <c r="J231" s="37"/>
      <c r="K231" s="155"/>
      <c r="Q231" s="5"/>
    </row>
    <row r="232" spans="1:17">
      <c r="A232" s="130" t="str">
        <f>+A230</f>
        <v>JANVIER</v>
      </c>
      <c r="B232" s="38" t="s">
        <v>62</v>
      </c>
      <c r="C232" s="39">
        <f>+C198</f>
        <v>1042520</v>
      </c>
      <c r="D232" s="51"/>
      <c r="E232" s="51">
        <f>D198</f>
        <v>3035000</v>
      </c>
      <c r="F232" s="51"/>
      <c r="G232" s="133"/>
      <c r="H232" s="53">
        <f>+F198</f>
        <v>2530000</v>
      </c>
      <c r="I232" s="134">
        <f>+E198</f>
        <v>966635</v>
      </c>
      <c r="J232" s="46">
        <f>+SUM(C232:G232)-(H232+I232)</f>
        <v>580885</v>
      </c>
      <c r="K232" s="156" t="b">
        <f>J232=I198</f>
        <v>1</v>
      </c>
      <c r="Q232" s="5"/>
    </row>
    <row r="233" spans="1:17">
      <c r="A233" s="44" t="s">
        <v>63</v>
      </c>
      <c r="B233" s="25"/>
      <c r="C233" s="36"/>
      <c r="D233" s="25"/>
      <c r="E233" s="25"/>
      <c r="F233" s="25"/>
      <c r="G233" s="25"/>
      <c r="H233" s="25"/>
      <c r="I233" s="25"/>
      <c r="J233" s="37"/>
      <c r="K233" s="155"/>
      <c r="Q233" s="5"/>
    </row>
    <row r="234" spans="1:17">
      <c r="A234" s="130" t="str">
        <f>+A232</f>
        <v>JANVIER</v>
      </c>
      <c r="B234" s="38" t="s">
        <v>167</v>
      </c>
      <c r="C234" s="133">
        <f>+C196</f>
        <v>3455373</v>
      </c>
      <c r="D234" s="140">
        <f>+G196</f>
        <v>0</v>
      </c>
      <c r="E234" s="51"/>
      <c r="F234" s="51"/>
      <c r="G234" s="51"/>
      <c r="H234" s="53">
        <f>+F196</f>
        <v>1000000</v>
      </c>
      <c r="I234" s="55">
        <f>+E196</f>
        <v>283345</v>
      </c>
      <c r="J234" s="46">
        <f>+SUM(C234:G234)-(H234+I234)</f>
        <v>2172028</v>
      </c>
      <c r="K234" s="156" t="b">
        <f>+J234=I196</f>
        <v>1</v>
      </c>
      <c r="Q234" s="5"/>
    </row>
    <row r="235" spans="1:17">
      <c r="A235" s="130" t="str">
        <f t="shared" ref="A235" si="137">+A234</f>
        <v>JANVIER</v>
      </c>
      <c r="B235" s="38" t="s">
        <v>65</v>
      </c>
      <c r="C235" s="133">
        <f>+C197</f>
        <v>4841615</v>
      </c>
      <c r="D235" s="51">
        <f>+G197</f>
        <v>17525203</v>
      </c>
      <c r="E235" s="50"/>
      <c r="F235" s="50"/>
      <c r="G235" s="50"/>
      <c r="H235" s="33">
        <f>+F197</f>
        <v>2000000</v>
      </c>
      <c r="I235" s="52">
        <f>+E197</f>
        <v>6223724</v>
      </c>
      <c r="J235" s="46">
        <f>SUM(C235:G235)-(H235+I235)</f>
        <v>14143094</v>
      </c>
      <c r="K235" s="156" t="b">
        <f>+J235=I197</f>
        <v>1</v>
      </c>
      <c r="Q235" s="5"/>
    </row>
    <row r="236" spans="1:17" ht="15.75">
      <c r="C236" s="151">
        <f>SUM(C220:C235)</f>
        <v>10222494</v>
      </c>
      <c r="I236" s="149">
        <f>SUM(I220:I235)</f>
        <v>10187414</v>
      </c>
      <c r="J236" s="111">
        <f>+SUM(J220:J235)</f>
        <v>17560283</v>
      </c>
      <c r="K236" s="5" t="b">
        <f>J236=I209</f>
        <v>1</v>
      </c>
      <c r="Q236" s="5"/>
    </row>
    <row r="237" spans="1:17" ht="15.75">
      <c r="C237" s="151"/>
      <c r="I237" s="149"/>
      <c r="J237" s="111"/>
      <c r="Q237" s="5"/>
    </row>
    <row r="238" spans="1:17" ht="15.75">
      <c r="A238" s="217"/>
      <c r="B238" s="217"/>
      <c r="C238" s="218"/>
      <c r="D238" s="217"/>
      <c r="E238" s="217"/>
      <c r="F238" s="217"/>
      <c r="G238" s="217"/>
      <c r="H238" s="217"/>
      <c r="I238" s="219"/>
      <c r="J238" s="220"/>
      <c r="K238" s="217"/>
      <c r="L238" s="221"/>
      <c r="M238" s="221"/>
      <c r="N238" s="221"/>
      <c r="O238" s="221"/>
      <c r="P238" s="217"/>
      <c r="Q238" s="5"/>
    </row>
    <row r="240" spans="1:17" ht="15.75">
      <c r="A240" s="6" t="s">
        <v>37</v>
      </c>
      <c r="B240" s="6" t="s">
        <v>1</v>
      </c>
      <c r="C240" s="6">
        <v>44531</v>
      </c>
      <c r="D240" s="7" t="s">
        <v>38</v>
      </c>
      <c r="E240" s="7" t="s">
        <v>39</v>
      </c>
      <c r="F240" s="7" t="s">
        <v>40</v>
      </c>
      <c r="G240" s="7" t="s">
        <v>41</v>
      </c>
      <c r="H240" s="6">
        <v>44561</v>
      </c>
      <c r="I240" s="7" t="s">
        <v>42</v>
      </c>
      <c r="K240" s="47"/>
      <c r="L240" s="47" t="s">
        <v>43</v>
      </c>
      <c r="M240" s="47" t="s">
        <v>44</v>
      </c>
      <c r="N240" s="47" t="s">
        <v>45</v>
      </c>
      <c r="O240" s="47" t="s">
        <v>46</v>
      </c>
      <c r="Q240" s="5"/>
    </row>
    <row r="241" spans="1:17" s="185" customFormat="1" ht="16.5">
      <c r="A241" s="60" t="str">
        <f>+K241</f>
        <v>Axel</v>
      </c>
      <c r="B241" s="187" t="s">
        <v>164</v>
      </c>
      <c r="C241" s="62">
        <v>29107</v>
      </c>
      <c r="D241" s="63">
        <f t="shared" ref="D241:D255" si="138">+L241</f>
        <v>1125000</v>
      </c>
      <c r="E241" s="63">
        <f>+N241</f>
        <v>1008750</v>
      </c>
      <c r="F241" s="63">
        <f>+M241</f>
        <v>145357</v>
      </c>
      <c r="G241" s="63">
        <f t="shared" ref="G241:G253" si="139">+O241</f>
        <v>0</v>
      </c>
      <c r="H241" s="63">
        <v>0</v>
      </c>
      <c r="I241" s="63">
        <f>+C241+D241-E241-F241+G241</f>
        <v>0</v>
      </c>
      <c r="J241" s="9">
        <f>I241-H241</f>
        <v>0</v>
      </c>
      <c r="K241" s="186" t="s">
        <v>163</v>
      </c>
      <c r="L241" s="186">
        <v>1125000</v>
      </c>
      <c r="M241" s="186">
        <v>145357</v>
      </c>
      <c r="N241" s="186">
        <v>1008750</v>
      </c>
      <c r="O241" s="186">
        <v>0</v>
      </c>
    </row>
    <row r="242" spans="1:17" ht="16.5">
      <c r="A242" s="60" t="str">
        <f>+K242</f>
        <v>B52</v>
      </c>
      <c r="B242" s="61" t="s">
        <v>4</v>
      </c>
      <c r="C242" s="62">
        <v>4000</v>
      </c>
      <c r="D242" s="63">
        <f t="shared" si="138"/>
        <v>426000</v>
      </c>
      <c r="E242" s="63">
        <f>+N242</f>
        <v>420500</v>
      </c>
      <c r="F242" s="63">
        <f>+M242</f>
        <v>0</v>
      </c>
      <c r="G242" s="63">
        <f t="shared" si="139"/>
        <v>0</v>
      </c>
      <c r="H242" s="63">
        <v>9500</v>
      </c>
      <c r="I242" s="63">
        <f>+C242+D242-E242-F242+G242</f>
        <v>9500</v>
      </c>
      <c r="J242" s="9">
        <f>I242-H242</f>
        <v>0</v>
      </c>
      <c r="K242" s="47" t="s">
        <v>173</v>
      </c>
      <c r="L242" s="49">
        <v>426000</v>
      </c>
      <c r="M242" s="49">
        <v>0</v>
      </c>
      <c r="N242" s="49">
        <v>420500</v>
      </c>
      <c r="O242" s="49">
        <v>0</v>
      </c>
      <c r="Q242" s="5"/>
    </row>
    <row r="243" spans="1:17" ht="16.5">
      <c r="A243" s="60" t="str">
        <f>+K243</f>
        <v>BCI</v>
      </c>
      <c r="B243" s="61" t="s">
        <v>47</v>
      </c>
      <c r="C243" s="62">
        <v>5738718</v>
      </c>
      <c r="D243" s="63">
        <f t="shared" si="138"/>
        <v>0</v>
      </c>
      <c r="E243" s="63">
        <f>+N243</f>
        <v>283345</v>
      </c>
      <c r="F243" s="63">
        <f>+M243</f>
        <v>2000000</v>
      </c>
      <c r="G243" s="63">
        <f t="shared" si="139"/>
        <v>0</v>
      </c>
      <c r="H243" s="63">
        <v>3455373</v>
      </c>
      <c r="I243" s="63">
        <f>+C243+D243-E243-F243+G243</f>
        <v>3455373</v>
      </c>
      <c r="J243" s="9">
        <f t="shared" ref="J243:J250" si="140">I243-H243</f>
        <v>0</v>
      </c>
      <c r="K243" s="47" t="s">
        <v>24</v>
      </c>
      <c r="L243" s="49">
        <v>0</v>
      </c>
      <c r="M243" s="49">
        <v>2000000</v>
      </c>
      <c r="N243" s="49">
        <v>283345</v>
      </c>
      <c r="O243" s="49">
        <v>0</v>
      </c>
      <c r="Q243" s="5"/>
    </row>
    <row r="244" spans="1:17" ht="16.5">
      <c r="A244" s="60" t="str">
        <f t="shared" ref="A244:A246" si="141">+K244</f>
        <v>BCI-Sous Compte</v>
      </c>
      <c r="B244" s="61" t="s">
        <v>47</v>
      </c>
      <c r="C244" s="62">
        <v>16087207</v>
      </c>
      <c r="D244" s="63">
        <f t="shared" si="138"/>
        <v>0</v>
      </c>
      <c r="E244" s="63">
        <f>+N244</f>
        <v>3245592</v>
      </c>
      <c r="F244" s="63">
        <f>+M244</f>
        <v>8000000</v>
      </c>
      <c r="G244" s="63">
        <f t="shared" si="139"/>
        <v>0</v>
      </c>
      <c r="H244" s="63">
        <v>4841615</v>
      </c>
      <c r="I244" s="63">
        <f>+C244+D244-E244-F244+G244</f>
        <v>4841615</v>
      </c>
      <c r="J244" s="108">
        <f t="shared" si="140"/>
        <v>0</v>
      </c>
      <c r="K244" s="47" t="s">
        <v>158</v>
      </c>
      <c r="L244" s="49">
        <v>0</v>
      </c>
      <c r="M244" s="49">
        <v>8000000</v>
      </c>
      <c r="N244" s="49">
        <v>3245592</v>
      </c>
      <c r="O244" s="49">
        <v>0</v>
      </c>
      <c r="Q244" s="5"/>
    </row>
    <row r="245" spans="1:17" ht="16.5">
      <c r="A245" s="60" t="str">
        <f t="shared" si="141"/>
        <v>Caisse</v>
      </c>
      <c r="B245" s="61" t="s">
        <v>25</v>
      </c>
      <c r="C245" s="62">
        <v>926369</v>
      </c>
      <c r="D245" s="63">
        <f t="shared" si="138"/>
        <v>10580357</v>
      </c>
      <c r="E245" s="63">
        <f t="shared" ref="E245" si="142">+N245</f>
        <v>3713706</v>
      </c>
      <c r="F245" s="63">
        <f t="shared" ref="F245:F253" si="143">+M245</f>
        <v>6750500</v>
      </c>
      <c r="G245" s="63">
        <f t="shared" si="139"/>
        <v>0</v>
      </c>
      <c r="H245" s="63">
        <v>1042520</v>
      </c>
      <c r="I245" s="63">
        <f>+C245+D245-E245-F245+G245</f>
        <v>1042520</v>
      </c>
      <c r="J245" s="9">
        <f t="shared" si="140"/>
        <v>0</v>
      </c>
      <c r="K245" s="47" t="s">
        <v>25</v>
      </c>
      <c r="L245" s="49">
        <v>10580357</v>
      </c>
      <c r="M245" s="49">
        <v>6750500</v>
      </c>
      <c r="N245" s="49">
        <v>3713706</v>
      </c>
      <c r="O245" s="49">
        <v>0</v>
      </c>
      <c r="Q245" s="5"/>
    </row>
    <row r="246" spans="1:17" ht="16.5">
      <c r="A246" s="60" t="str">
        <f t="shared" si="141"/>
        <v>Crépin</v>
      </c>
      <c r="B246" s="61" t="s">
        <v>164</v>
      </c>
      <c r="C246" s="62">
        <v>-3675</v>
      </c>
      <c r="D246" s="63">
        <f t="shared" si="138"/>
        <v>1778500</v>
      </c>
      <c r="E246" s="63">
        <f>+N246</f>
        <v>1666925</v>
      </c>
      <c r="F246" s="63">
        <f t="shared" si="143"/>
        <v>145000</v>
      </c>
      <c r="G246" s="63">
        <f t="shared" si="139"/>
        <v>0</v>
      </c>
      <c r="H246" s="63">
        <v>-37100</v>
      </c>
      <c r="I246" s="63">
        <f t="shared" ref="I246" si="144">+C246+D246-E246-F246+G246</f>
        <v>-37100</v>
      </c>
      <c r="J246" s="9">
        <f t="shared" si="140"/>
        <v>0</v>
      </c>
      <c r="K246" s="47" t="s">
        <v>48</v>
      </c>
      <c r="L246" s="49">
        <v>1778500</v>
      </c>
      <c r="M246" s="49">
        <v>145000</v>
      </c>
      <c r="N246" s="49">
        <v>1666925</v>
      </c>
      <c r="O246" s="49">
        <v>0</v>
      </c>
      <c r="Q246" s="5"/>
    </row>
    <row r="247" spans="1:17" ht="16.5">
      <c r="A247" s="60" t="str">
        <f>K247</f>
        <v>Evariste</v>
      </c>
      <c r="B247" s="61" t="s">
        <v>165</v>
      </c>
      <c r="C247" s="62">
        <v>7595</v>
      </c>
      <c r="D247" s="63">
        <f t="shared" si="138"/>
        <v>286000</v>
      </c>
      <c r="E247" s="63">
        <f t="shared" ref="E247" si="145">+N247</f>
        <v>284950</v>
      </c>
      <c r="F247" s="63">
        <f t="shared" si="143"/>
        <v>0</v>
      </c>
      <c r="G247" s="63">
        <f t="shared" si="139"/>
        <v>0</v>
      </c>
      <c r="H247" s="63">
        <v>8645</v>
      </c>
      <c r="I247" s="63">
        <f>+C247+D247-E247-F247+G247</f>
        <v>8645</v>
      </c>
      <c r="J247" s="9">
        <f t="shared" si="140"/>
        <v>0</v>
      </c>
      <c r="K247" s="47" t="s">
        <v>31</v>
      </c>
      <c r="L247" s="49">
        <v>286000</v>
      </c>
      <c r="M247" s="49">
        <v>0</v>
      </c>
      <c r="N247" s="49">
        <v>284950</v>
      </c>
      <c r="O247" s="49">
        <v>0</v>
      </c>
      <c r="Q247" s="5"/>
    </row>
    <row r="248" spans="1:17" ht="16.5">
      <c r="A248" s="123" t="str">
        <f t="shared" ref="A248:A255" si="146">+K248</f>
        <v>I55S</v>
      </c>
      <c r="B248" s="124" t="s">
        <v>4</v>
      </c>
      <c r="C248" s="125">
        <v>233614</v>
      </c>
      <c r="D248" s="126">
        <f t="shared" si="138"/>
        <v>0</v>
      </c>
      <c r="E248" s="126">
        <f>+N248</f>
        <v>0</v>
      </c>
      <c r="F248" s="126">
        <f t="shared" si="143"/>
        <v>0</v>
      </c>
      <c r="G248" s="126">
        <f t="shared" si="139"/>
        <v>0</v>
      </c>
      <c r="H248" s="126">
        <v>233614</v>
      </c>
      <c r="I248" s="126">
        <f>+C248+D248-E248-F248+G248</f>
        <v>233614</v>
      </c>
      <c r="J248" s="9">
        <f t="shared" si="140"/>
        <v>0</v>
      </c>
      <c r="K248" s="47" t="s">
        <v>85</v>
      </c>
      <c r="L248" s="49">
        <v>0</v>
      </c>
      <c r="M248" s="49">
        <v>0</v>
      </c>
      <c r="N248" s="49">
        <v>0</v>
      </c>
      <c r="O248" s="49">
        <v>0</v>
      </c>
      <c r="Q248" s="5"/>
    </row>
    <row r="249" spans="1:17" ht="16.5">
      <c r="A249" s="123" t="str">
        <f t="shared" si="146"/>
        <v>I73X</v>
      </c>
      <c r="B249" s="124" t="s">
        <v>4</v>
      </c>
      <c r="C249" s="125">
        <v>249769</v>
      </c>
      <c r="D249" s="126">
        <f t="shared" si="138"/>
        <v>0</v>
      </c>
      <c r="E249" s="126">
        <f>+N249</f>
        <v>0</v>
      </c>
      <c r="F249" s="126">
        <f t="shared" si="143"/>
        <v>0</v>
      </c>
      <c r="G249" s="126">
        <f t="shared" si="139"/>
        <v>0</v>
      </c>
      <c r="H249" s="126">
        <v>249769</v>
      </c>
      <c r="I249" s="126">
        <f t="shared" ref="I249:I252" si="147">+C249+D249-E249-F249+G249</f>
        <v>249769</v>
      </c>
      <c r="J249" s="9">
        <f t="shared" si="140"/>
        <v>0</v>
      </c>
      <c r="K249" s="47" t="s">
        <v>84</v>
      </c>
      <c r="L249" s="49">
        <v>0</v>
      </c>
      <c r="M249" s="49">
        <v>0</v>
      </c>
      <c r="N249" s="49">
        <v>0</v>
      </c>
      <c r="O249" s="49">
        <v>0</v>
      </c>
      <c r="Q249" s="5"/>
    </row>
    <row r="250" spans="1:17" ht="16.5">
      <c r="A250" s="60" t="str">
        <f t="shared" si="146"/>
        <v>Godfré</v>
      </c>
      <c r="B250" s="104" t="s">
        <v>164</v>
      </c>
      <c r="C250" s="62">
        <v>-6000</v>
      </c>
      <c r="D250" s="63">
        <f t="shared" si="138"/>
        <v>797000</v>
      </c>
      <c r="E250" s="179">
        <f t="shared" ref="E250:E255" si="148">+N250</f>
        <v>578885</v>
      </c>
      <c r="F250" s="63">
        <f t="shared" si="143"/>
        <v>177180</v>
      </c>
      <c r="G250" s="63">
        <f t="shared" si="139"/>
        <v>0</v>
      </c>
      <c r="H250" s="63">
        <v>34935</v>
      </c>
      <c r="I250" s="63">
        <f t="shared" si="147"/>
        <v>34935</v>
      </c>
      <c r="J250" s="9">
        <f t="shared" si="140"/>
        <v>0</v>
      </c>
      <c r="K250" s="47" t="s">
        <v>153</v>
      </c>
      <c r="L250" s="49">
        <v>797000</v>
      </c>
      <c r="M250" s="49">
        <v>177180</v>
      </c>
      <c r="N250" s="49">
        <v>578885</v>
      </c>
      <c r="O250" s="49">
        <v>0</v>
      </c>
      <c r="Q250" s="5"/>
    </row>
    <row r="251" spans="1:17" ht="16.5">
      <c r="A251" s="60" t="str">
        <f t="shared" si="146"/>
        <v>Grace</v>
      </c>
      <c r="B251" s="61" t="s">
        <v>2</v>
      </c>
      <c r="C251" s="62">
        <v>48400</v>
      </c>
      <c r="D251" s="63">
        <f t="shared" si="138"/>
        <v>847000</v>
      </c>
      <c r="E251" s="179">
        <f>+N251</f>
        <v>193200</v>
      </c>
      <c r="F251" s="63">
        <f t="shared" si="143"/>
        <v>658000</v>
      </c>
      <c r="G251" s="63">
        <f t="shared" si="139"/>
        <v>0</v>
      </c>
      <c r="H251" s="63">
        <v>44200</v>
      </c>
      <c r="I251" s="63">
        <f t="shared" si="147"/>
        <v>44200</v>
      </c>
      <c r="J251" s="9">
        <f>I251-H251</f>
        <v>0</v>
      </c>
      <c r="K251" s="47" t="s">
        <v>152</v>
      </c>
      <c r="L251" s="49">
        <v>847000</v>
      </c>
      <c r="M251" s="49">
        <v>658000</v>
      </c>
      <c r="N251" s="49">
        <v>193200</v>
      </c>
      <c r="O251" s="49">
        <v>0</v>
      </c>
      <c r="Q251" s="5"/>
    </row>
    <row r="252" spans="1:17" ht="16.5">
      <c r="A252" s="60" t="str">
        <f t="shared" si="146"/>
        <v>I23C</v>
      </c>
      <c r="B252" s="104" t="s">
        <v>4</v>
      </c>
      <c r="C252" s="62">
        <v>6800</v>
      </c>
      <c r="D252" s="63">
        <f t="shared" si="138"/>
        <v>861000</v>
      </c>
      <c r="E252" s="179">
        <f t="shared" si="148"/>
        <v>855750</v>
      </c>
      <c r="F252" s="63">
        <f t="shared" si="143"/>
        <v>0</v>
      </c>
      <c r="G252" s="63">
        <f t="shared" si="139"/>
        <v>0</v>
      </c>
      <c r="H252" s="63">
        <v>12050</v>
      </c>
      <c r="I252" s="63">
        <f t="shared" si="147"/>
        <v>12050</v>
      </c>
      <c r="J252" s="9">
        <f t="shared" ref="J252:J253" si="149">I252-H252</f>
        <v>0</v>
      </c>
      <c r="K252" s="47" t="s">
        <v>30</v>
      </c>
      <c r="L252" s="49">
        <v>861000</v>
      </c>
      <c r="M252" s="49">
        <v>0</v>
      </c>
      <c r="N252" s="49">
        <v>855750</v>
      </c>
      <c r="O252" s="49">
        <v>0</v>
      </c>
      <c r="Q252" s="5"/>
    </row>
    <row r="253" spans="1:17" ht="16.5">
      <c r="A253" s="60" t="str">
        <f t="shared" si="146"/>
        <v>Merveille</v>
      </c>
      <c r="B253" s="61" t="s">
        <v>2</v>
      </c>
      <c r="C253" s="62">
        <v>5500</v>
      </c>
      <c r="D253" s="63">
        <f t="shared" si="138"/>
        <v>0</v>
      </c>
      <c r="E253" s="179">
        <f t="shared" si="148"/>
        <v>0</v>
      </c>
      <c r="F253" s="63">
        <f t="shared" si="143"/>
        <v>0</v>
      </c>
      <c r="G253" s="63">
        <f t="shared" si="139"/>
        <v>0</v>
      </c>
      <c r="H253" s="63">
        <v>5500</v>
      </c>
      <c r="I253" s="63">
        <f>+C253+D253-E253-F253+G253</f>
        <v>5500</v>
      </c>
      <c r="J253" s="9">
        <f t="shared" si="149"/>
        <v>0</v>
      </c>
      <c r="K253" s="47" t="s">
        <v>94</v>
      </c>
      <c r="L253" s="49">
        <v>0</v>
      </c>
      <c r="M253" s="49">
        <v>0</v>
      </c>
      <c r="N253" s="49">
        <v>0</v>
      </c>
      <c r="O253" s="49"/>
      <c r="Q253" s="5"/>
    </row>
    <row r="254" spans="1:17" ht="16.5">
      <c r="A254" s="60" t="str">
        <f t="shared" si="146"/>
        <v>P29</v>
      </c>
      <c r="B254" s="61" t="s">
        <v>4</v>
      </c>
      <c r="C254" s="62">
        <v>30700</v>
      </c>
      <c r="D254" s="63">
        <f t="shared" si="138"/>
        <v>1215000</v>
      </c>
      <c r="E254" s="179">
        <f t="shared" si="148"/>
        <v>697500</v>
      </c>
      <c r="F254" s="63">
        <f>+M254</f>
        <v>490000</v>
      </c>
      <c r="G254" s="63">
        <f>+O254</f>
        <v>0</v>
      </c>
      <c r="H254" s="63">
        <v>58200</v>
      </c>
      <c r="I254" s="63">
        <f>+C254+D254-E254-F254+G254</f>
        <v>58200</v>
      </c>
      <c r="J254" s="9">
        <f>I254-H254</f>
        <v>0</v>
      </c>
      <c r="K254" s="47" t="s">
        <v>29</v>
      </c>
      <c r="L254" s="49">
        <v>1215000</v>
      </c>
      <c r="M254" s="49">
        <v>490000</v>
      </c>
      <c r="N254" s="49">
        <v>697500</v>
      </c>
      <c r="O254" s="49">
        <v>0</v>
      </c>
      <c r="Q254" s="5"/>
    </row>
    <row r="255" spans="1:17" ht="16.5">
      <c r="A255" s="60" t="str">
        <f t="shared" si="146"/>
        <v>Tiffany</v>
      </c>
      <c r="B255" s="61" t="s">
        <v>2</v>
      </c>
      <c r="C255" s="62">
        <v>9193</v>
      </c>
      <c r="D255" s="63">
        <f t="shared" si="138"/>
        <v>1100180</v>
      </c>
      <c r="E255" s="179">
        <f t="shared" si="148"/>
        <v>195700</v>
      </c>
      <c r="F255" s="63">
        <f t="shared" ref="F255" si="150">+M255</f>
        <v>650000</v>
      </c>
      <c r="G255" s="63">
        <f t="shared" ref="G255" si="151">+O255</f>
        <v>0</v>
      </c>
      <c r="H255" s="63">
        <v>263673</v>
      </c>
      <c r="I255" s="63">
        <f t="shared" ref="I255" si="152">+C255+D255-E255-F255+G255</f>
        <v>263673</v>
      </c>
      <c r="J255" s="9">
        <f t="shared" ref="J255" si="153">I255-H255</f>
        <v>0</v>
      </c>
      <c r="K255" s="47" t="s">
        <v>114</v>
      </c>
      <c r="L255" s="49">
        <v>1100180</v>
      </c>
      <c r="M255" s="49">
        <v>650000</v>
      </c>
      <c r="N255" s="49">
        <v>195700</v>
      </c>
      <c r="O255" s="49">
        <v>0</v>
      </c>
      <c r="Q255" s="5"/>
    </row>
    <row r="256" spans="1:17" ht="16.5">
      <c r="A256" s="10" t="s">
        <v>51</v>
      </c>
      <c r="B256" s="11"/>
      <c r="C256" s="12">
        <f>SUM(C241:C255)</f>
        <v>23367297</v>
      </c>
      <c r="D256" s="59">
        <f t="shared" ref="D256:G256" si="154">SUM(D241:D255)</f>
        <v>19016037</v>
      </c>
      <c r="E256" s="59">
        <f t="shared" si="154"/>
        <v>13144803</v>
      </c>
      <c r="F256" s="59">
        <f t="shared" si="154"/>
        <v>19016037</v>
      </c>
      <c r="G256" s="59">
        <f t="shared" si="154"/>
        <v>0</v>
      </c>
      <c r="H256" s="59">
        <f>SUM(H241:H255)</f>
        <v>10222494</v>
      </c>
      <c r="I256" s="59">
        <f>SUM(I241:I255)</f>
        <v>10222494</v>
      </c>
      <c r="J256" s="9">
        <f>I256-H256</f>
        <v>0</v>
      </c>
      <c r="K256" s="3"/>
      <c r="L256" s="49">
        <f>+SUM(L241:L255)</f>
        <v>19016037</v>
      </c>
      <c r="M256" s="49">
        <f t="shared" ref="M256:O256" si="155">+SUM(M241:M255)</f>
        <v>19016037</v>
      </c>
      <c r="N256" s="49">
        <f>+SUM(N241:N255)</f>
        <v>13144803</v>
      </c>
      <c r="O256" s="49">
        <f t="shared" si="155"/>
        <v>0</v>
      </c>
      <c r="Q256" s="5"/>
    </row>
    <row r="257" spans="1:17" ht="16.5">
      <c r="A257" s="10"/>
      <c r="B257" s="11"/>
      <c r="C257" s="12"/>
      <c r="D257" s="13"/>
      <c r="E257" s="12"/>
      <c r="F257" s="13"/>
      <c r="G257" s="12"/>
      <c r="H257" s="12"/>
      <c r="I257" s="143" t="b">
        <f>I256=D259</f>
        <v>1</v>
      </c>
      <c r="L257" s="5"/>
      <c r="M257" s="5"/>
      <c r="N257" s="5"/>
      <c r="O257" s="5"/>
      <c r="Q257" s="5"/>
    </row>
    <row r="258" spans="1:17" ht="16.5">
      <c r="A258" s="10" t="s">
        <v>175</v>
      </c>
      <c r="B258" s="11" t="s">
        <v>176</v>
      </c>
      <c r="C258" s="12" t="s">
        <v>177</v>
      </c>
      <c r="D258" s="12" t="s">
        <v>185</v>
      </c>
      <c r="E258" s="12" t="s">
        <v>52</v>
      </c>
      <c r="F258" s="12"/>
      <c r="G258" s="12">
        <f>+D256-F256</f>
        <v>0</v>
      </c>
      <c r="H258" s="12"/>
      <c r="I258" s="12"/>
      <c r="Q258" s="5"/>
    </row>
    <row r="259" spans="1:17" ht="16.5">
      <c r="A259" s="14">
        <f>C256</f>
        <v>23367297</v>
      </c>
      <c r="B259" s="15">
        <f>G256</f>
        <v>0</v>
      </c>
      <c r="C259" s="12">
        <f>E256</f>
        <v>13144803</v>
      </c>
      <c r="D259" s="12">
        <f>A259+B259-C259</f>
        <v>10222494</v>
      </c>
      <c r="E259" s="13">
        <f>I256-D259</f>
        <v>0</v>
      </c>
      <c r="F259" s="12"/>
      <c r="G259" s="12"/>
      <c r="H259" s="12"/>
      <c r="I259" s="12"/>
      <c r="L259" s="5"/>
      <c r="M259" s="5"/>
      <c r="N259" s="5"/>
      <c r="O259" s="5"/>
      <c r="Q259" s="5"/>
    </row>
    <row r="260" spans="1:17" ht="16.5">
      <c r="A260" s="14"/>
      <c r="B260" s="15"/>
      <c r="C260" s="12"/>
      <c r="D260" s="12"/>
      <c r="E260" s="13"/>
      <c r="F260" s="12"/>
      <c r="G260" s="12"/>
      <c r="H260" s="12"/>
      <c r="I260" s="12"/>
      <c r="L260" s="5"/>
      <c r="M260" s="5"/>
      <c r="N260" s="5"/>
      <c r="O260" s="5"/>
      <c r="Q260" s="5"/>
    </row>
    <row r="261" spans="1:17">
      <c r="A261" s="16" t="s">
        <v>53</v>
      </c>
      <c r="B261" s="16"/>
      <c r="C261" s="16"/>
      <c r="D261" s="17"/>
      <c r="E261" s="17"/>
      <c r="F261" s="17"/>
      <c r="G261" s="17"/>
      <c r="H261" s="17"/>
      <c r="I261" s="17"/>
      <c r="L261" s="5"/>
      <c r="M261" s="5"/>
      <c r="N261" s="5"/>
      <c r="O261" s="5"/>
      <c r="Q261" s="5"/>
    </row>
    <row r="262" spans="1:17">
      <c r="A262" s="18" t="s">
        <v>184</v>
      </c>
      <c r="B262" s="18"/>
      <c r="C262" s="18"/>
      <c r="D262" s="18"/>
      <c r="E262" s="18"/>
      <c r="F262" s="18"/>
      <c r="G262" s="18"/>
      <c r="H262" s="18"/>
      <c r="I262" s="18"/>
      <c r="J262" s="18"/>
      <c r="L262" s="5"/>
      <c r="M262" s="5"/>
      <c r="N262" s="5"/>
      <c r="O262" s="5"/>
      <c r="Q262" s="5"/>
    </row>
    <row r="263" spans="1:17">
      <c r="A263" s="19"/>
      <c r="B263" s="20"/>
      <c r="C263" s="21"/>
      <c r="D263" s="21"/>
      <c r="E263" s="21"/>
      <c r="F263" s="21"/>
      <c r="G263" s="21"/>
      <c r="H263" s="20"/>
      <c r="I263" s="20"/>
      <c r="L263" s="5"/>
      <c r="M263" s="5"/>
      <c r="N263" s="5"/>
      <c r="O263" s="5"/>
      <c r="Q263" s="5"/>
    </row>
    <row r="264" spans="1:17">
      <c r="A264" s="391" t="s">
        <v>54</v>
      </c>
      <c r="B264" s="393" t="s">
        <v>55</v>
      </c>
      <c r="C264" s="395" t="s">
        <v>178</v>
      </c>
      <c r="D264" s="397" t="s">
        <v>56</v>
      </c>
      <c r="E264" s="398"/>
      <c r="F264" s="398"/>
      <c r="G264" s="399"/>
      <c r="H264" s="400" t="s">
        <v>57</v>
      </c>
      <c r="I264" s="402" t="s">
        <v>58</v>
      </c>
      <c r="J264" s="20"/>
      <c r="L264" s="5"/>
      <c r="M264" s="5"/>
      <c r="N264" s="5"/>
      <c r="O264" s="5"/>
      <c r="Q264" s="5"/>
    </row>
    <row r="265" spans="1:17" ht="28.5" customHeight="1">
      <c r="A265" s="392"/>
      <c r="B265" s="394"/>
      <c r="C265" s="396"/>
      <c r="D265" s="22" t="s">
        <v>24</v>
      </c>
      <c r="E265" s="22" t="s">
        <v>25</v>
      </c>
      <c r="F265" s="204" t="s">
        <v>124</v>
      </c>
      <c r="G265" s="22" t="s">
        <v>59</v>
      </c>
      <c r="H265" s="401"/>
      <c r="I265" s="403"/>
      <c r="J265" s="404" t="s">
        <v>179</v>
      </c>
      <c r="K265" s="155"/>
      <c r="L265" s="5"/>
      <c r="M265" s="5"/>
      <c r="N265" s="5"/>
      <c r="O265" s="5"/>
      <c r="Q265" s="5"/>
    </row>
    <row r="266" spans="1:17">
      <c r="A266" s="24"/>
      <c r="B266" s="25" t="s">
        <v>60</v>
      </c>
      <c r="C266" s="26"/>
      <c r="D266" s="26"/>
      <c r="E266" s="26"/>
      <c r="F266" s="26"/>
      <c r="G266" s="26"/>
      <c r="H266" s="26"/>
      <c r="I266" s="27"/>
      <c r="J266" s="405"/>
      <c r="K266" s="155"/>
      <c r="L266" s="5"/>
      <c r="M266" s="5"/>
      <c r="N266" s="5"/>
      <c r="O266" s="5"/>
      <c r="Q266" s="5"/>
    </row>
    <row r="267" spans="1:17">
      <c r="A267" s="130" t="s">
        <v>104</v>
      </c>
      <c r="B267" s="135" t="s">
        <v>163</v>
      </c>
      <c r="C267" s="33">
        <f>+C241</f>
        <v>29107</v>
      </c>
      <c r="D267" s="32"/>
      <c r="E267" s="33">
        <f>D241</f>
        <v>1125000</v>
      </c>
      <c r="F267" s="33"/>
      <c r="G267" s="33"/>
      <c r="H267" s="57">
        <f>+F241</f>
        <v>145357</v>
      </c>
      <c r="I267" s="33">
        <f>+E241</f>
        <v>1008750</v>
      </c>
      <c r="J267" s="31">
        <f>+SUM(C267:G267)-(H267+I267)</f>
        <v>0</v>
      </c>
      <c r="K267" s="156" t="b">
        <f>J267=I241</f>
        <v>1</v>
      </c>
      <c r="L267" s="5"/>
      <c r="M267" s="5"/>
      <c r="N267" s="5"/>
      <c r="O267" s="5"/>
      <c r="Q267" s="5"/>
    </row>
    <row r="268" spans="1:17">
      <c r="A268" s="130" t="str">
        <f>A267</f>
        <v>DECEMBRE</v>
      </c>
      <c r="B268" s="135" t="s">
        <v>173</v>
      </c>
      <c r="C268" s="33">
        <f>+C242</f>
        <v>4000</v>
      </c>
      <c r="D268" s="32"/>
      <c r="E268" s="33">
        <f>+D242</f>
        <v>426000</v>
      </c>
      <c r="F268" s="33"/>
      <c r="G268" s="33"/>
      <c r="H268" s="57">
        <f>+F242</f>
        <v>0</v>
      </c>
      <c r="I268" s="33">
        <f>+E242</f>
        <v>420500</v>
      </c>
      <c r="J268" s="31">
        <f t="shared" ref="J268:J269" si="156">+SUM(C268:G268)-(H268+I268)</f>
        <v>9500</v>
      </c>
      <c r="K268" s="156" t="b">
        <f>J268=I242</f>
        <v>1</v>
      </c>
      <c r="L268" s="5"/>
      <c r="M268" s="5"/>
      <c r="N268" s="5"/>
      <c r="O268" s="5"/>
      <c r="Q268" s="5"/>
    </row>
    <row r="269" spans="1:17">
      <c r="A269" s="130" t="str">
        <f>+A268</f>
        <v>DECEMBRE</v>
      </c>
      <c r="B269" s="135" t="s">
        <v>48</v>
      </c>
      <c r="C269" s="33">
        <f>+C246</f>
        <v>-3675</v>
      </c>
      <c r="D269" s="32"/>
      <c r="E269" s="33">
        <f>+D246</f>
        <v>1778500</v>
      </c>
      <c r="F269" s="33"/>
      <c r="G269" s="33"/>
      <c r="H269" s="57">
        <f>+F246</f>
        <v>145000</v>
      </c>
      <c r="I269" s="33">
        <f>+E246</f>
        <v>1666925</v>
      </c>
      <c r="J269" s="107">
        <f t="shared" si="156"/>
        <v>-37100</v>
      </c>
      <c r="K269" s="156" t="b">
        <f>J269=I246</f>
        <v>1</v>
      </c>
      <c r="L269" s="5"/>
      <c r="M269" s="5"/>
      <c r="N269" s="5"/>
      <c r="O269" s="5"/>
      <c r="Q269" s="5"/>
    </row>
    <row r="270" spans="1:17">
      <c r="A270" s="130" t="str">
        <f t="shared" ref="A270:A278" si="157">+A269</f>
        <v>DECEMBRE</v>
      </c>
      <c r="B270" s="136" t="s">
        <v>31</v>
      </c>
      <c r="C270" s="33">
        <f>+C247</f>
        <v>7595</v>
      </c>
      <c r="D270" s="127"/>
      <c r="E270" s="33">
        <f>+D247</f>
        <v>286000</v>
      </c>
      <c r="F270" s="53"/>
      <c r="G270" s="53"/>
      <c r="H270" s="57">
        <f>+F247</f>
        <v>0</v>
      </c>
      <c r="I270" s="33">
        <f>+E247</f>
        <v>284950</v>
      </c>
      <c r="J270" s="132">
        <f>+SUM(C270:G270)-(H270+I270)</f>
        <v>8645</v>
      </c>
      <c r="K270" s="156" t="b">
        <f t="shared" ref="K270:K278" si="158">J270=I247</f>
        <v>1</v>
      </c>
      <c r="L270" s="5"/>
      <c r="M270" s="5"/>
      <c r="N270" s="5"/>
      <c r="O270" s="5"/>
      <c r="Q270" s="5"/>
    </row>
    <row r="271" spans="1:17">
      <c r="A271" s="130" t="str">
        <f t="shared" si="157"/>
        <v>DECEMBRE</v>
      </c>
      <c r="B271" s="137" t="s">
        <v>85</v>
      </c>
      <c r="C271" s="128">
        <f>+C248</f>
        <v>233614</v>
      </c>
      <c r="D271" s="131"/>
      <c r="E271" s="128">
        <f>+D248</f>
        <v>0</v>
      </c>
      <c r="F271" s="146"/>
      <c r="G271" s="146"/>
      <c r="H271" s="180">
        <f>+F248</f>
        <v>0</v>
      </c>
      <c r="I271" s="128">
        <f>+E248</f>
        <v>0</v>
      </c>
      <c r="J271" s="129">
        <f>+SUM(C271:G271)-(H271+I271)</f>
        <v>233614</v>
      </c>
      <c r="K271" s="156" t="b">
        <f t="shared" si="158"/>
        <v>1</v>
      </c>
      <c r="L271" s="5"/>
      <c r="M271" s="5"/>
      <c r="N271" s="5"/>
      <c r="O271" s="5"/>
      <c r="Q271" s="5"/>
    </row>
    <row r="272" spans="1:17">
      <c r="A272" s="130" t="str">
        <f t="shared" si="157"/>
        <v>DECEMBRE</v>
      </c>
      <c r="B272" s="137" t="s">
        <v>84</v>
      </c>
      <c r="C272" s="128">
        <f>+C249</f>
        <v>249769</v>
      </c>
      <c r="D272" s="131"/>
      <c r="E272" s="128">
        <f>+D249</f>
        <v>0</v>
      </c>
      <c r="F272" s="146"/>
      <c r="G272" s="146"/>
      <c r="H272" s="180">
        <f>+F249</f>
        <v>0</v>
      </c>
      <c r="I272" s="128">
        <f>+E249</f>
        <v>0</v>
      </c>
      <c r="J272" s="129">
        <f t="shared" ref="J272:J278" si="159">+SUM(C272:G272)-(H272+I272)</f>
        <v>249769</v>
      </c>
      <c r="K272" s="156" t="b">
        <f t="shared" si="158"/>
        <v>1</v>
      </c>
      <c r="L272" s="5"/>
      <c r="M272" s="5"/>
      <c r="N272" s="5"/>
      <c r="O272" s="5"/>
      <c r="Q272" s="5"/>
    </row>
    <row r="273" spans="1:17">
      <c r="A273" s="130" t="str">
        <f t="shared" si="157"/>
        <v>DECEMBRE</v>
      </c>
      <c r="B273" s="135" t="s">
        <v>153</v>
      </c>
      <c r="C273" s="33">
        <f>+C250</f>
        <v>-6000</v>
      </c>
      <c r="D273" s="32"/>
      <c r="E273" s="33">
        <f>+D250</f>
        <v>797000</v>
      </c>
      <c r="F273" s="33"/>
      <c r="G273" s="110"/>
      <c r="H273" s="57">
        <f>+F250</f>
        <v>177180</v>
      </c>
      <c r="I273" s="33">
        <f>+E250</f>
        <v>578885</v>
      </c>
      <c r="J273" s="31">
        <f t="shared" si="159"/>
        <v>34935</v>
      </c>
      <c r="K273" s="156" t="b">
        <f t="shared" si="158"/>
        <v>1</v>
      </c>
      <c r="L273" s="5"/>
      <c r="M273" s="5"/>
      <c r="N273" s="5"/>
      <c r="O273" s="5"/>
      <c r="Q273" s="5"/>
    </row>
    <row r="274" spans="1:17">
      <c r="A274" s="130" t="str">
        <f t="shared" si="157"/>
        <v>DECEMBRE</v>
      </c>
      <c r="B274" s="135" t="s">
        <v>152</v>
      </c>
      <c r="C274" s="33">
        <f t="shared" ref="C274:C278" si="160">+C251</f>
        <v>48400</v>
      </c>
      <c r="D274" s="32"/>
      <c r="E274" s="33">
        <f t="shared" ref="E274:E278" si="161">+D251</f>
        <v>847000</v>
      </c>
      <c r="F274" s="33"/>
      <c r="G274" s="110"/>
      <c r="H274" s="57">
        <f t="shared" ref="H274:H278" si="162">+F251</f>
        <v>658000</v>
      </c>
      <c r="I274" s="33">
        <f t="shared" ref="I274:I278" si="163">+E251</f>
        <v>193200</v>
      </c>
      <c r="J274" s="31">
        <f t="shared" si="159"/>
        <v>44200</v>
      </c>
      <c r="K274" s="156" t="b">
        <f t="shared" si="158"/>
        <v>1</v>
      </c>
      <c r="L274" s="5"/>
      <c r="M274" s="5"/>
      <c r="N274" s="5"/>
      <c r="O274" s="5"/>
      <c r="Q274" s="5"/>
    </row>
    <row r="275" spans="1:17">
      <c r="A275" s="130" t="str">
        <f t="shared" si="157"/>
        <v>DECEMBRE</v>
      </c>
      <c r="B275" s="135" t="s">
        <v>30</v>
      </c>
      <c r="C275" s="33">
        <f t="shared" si="160"/>
        <v>6800</v>
      </c>
      <c r="D275" s="32"/>
      <c r="E275" s="33">
        <f t="shared" si="161"/>
        <v>861000</v>
      </c>
      <c r="F275" s="33"/>
      <c r="G275" s="110"/>
      <c r="H275" s="57">
        <f t="shared" si="162"/>
        <v>0</v>
      </c>
      <c r="I275" s="33">
        <f t="shared" si="163"/>
        <v>855750</v>
      </c>
      <c r="J275" s="31">
        <f t="shared" si="159"/>
        <v>12050</v>
      </c>
      <c r="K275" s="156" t="b">
        <f t="shared" si="158"/>
        <v>1</v>
      </c>
      <c r="Q275" s="5"/>
    </row>
    <row r="276" spans="1:17">
      <c r="A276" s="130" t="str">
        <f>+A274</f>
        <v>DECEMBRE</v>
      </c>
      <c r="B276" s="135" t="s">
        <v>94</v>
      </c>
      <c r="C276" s="33">
        <f t="shared" si="160"/>
        <v>5500</v>
      </c>
      <c r="D276" s="32"/>
      <c r="E276" s="33">
        <f t="shared" si="161"/>
        <v>0</v>
      </c>
      <c r="F276" s="33"/>
      <c r="G276" s="110"/>
      <c r="H276" s="57">
        <f t="shared" si="162"/>
        <v>0</v>
      </c>
      <c r="I276" s="33">
        <f t="shared" si="163"/>
        <v>0</v>
      </c>
      <c r="J276" s="31">
        <f t="shared" si="159"/>
        <v>5500</v>
      </c>
      <c r="K276" s="156" t="b">
        <f t="shared" si="158"/>
        <v>1</v>
      </c>
      <c r="Q276" s="5"/>
    </row>
    <row r="277" spans="1:17">
      <c r="A277" s="130" t="str">
        <f>+A275</f>
        <v>DECEMBRE</v>
      </c>
      <c r="B277" s="135" t="s">
        <v>29</v>
      </c>
      <c r="C277" s="33">
        <f t="shared" si="160"/>
        <v>30700</v>
      </c>
      <c r="D277" s="32"/>
      <c r="E277" s="33">
        <f t="shared" si="161"/>
        <v>1215000</v>
      </c>
      <c r="F277" s="33"/>
      <c r="G277" s="110"/>
      <c r="H277" s="57">
        <f t="shared" si="162"/>
        <v>490000</v>
      </c>
      <c r="I277" s="33">
        <f t="shared" si="163"/>
        <v>697500</v>
      </c>
      <c r="J277" s="31">
        <f t="shared" si="159"/>
        <v>58200</v>
      </c>
      <c r="K277" s="156" t="b">
        <f t="shared" si="158"/>
        <v>1</v>
      </c>
      <c r="Q277" s="5"/>
    </row>
    <row r="278" spans="1:17">
      <c r="A278" s="130" t="str">
        <f t="shared" si="157"/>
        <v>DECEMBRE</v>
      </c>
      <c r="B278" s="136" t="s">
        <v>114</v>
      </c>
      <c r="C278" s="33">
        <f t="shared" si="160"/>
        <v>9193</v>
      </c>
      <c r="D278" s="127"/>
      <c r="E278" s="33">
        <f t="shared" si="161"/>
        <v>1100180</v>
      </c>
      <c r="F278" s="53"/>
      <c r="G278" s="147"/>
      <c r="H278" s="57">
        <f t="shared" si="162"/>
        <v>650000</v>
      </c>
      <c r="I278" s="33">
        <f t="shared" si="163"/>
        <v>195700</v>
      </c>
      <c r="J278" s="31">
        <f t="shared" si="159"/>
        <v>263673</v>
      </c>
      <c r="K278" s="156" t="b">
        <f t="shared" si="158"/>
        <v>1</v>
      </c>
      <c r="Q278" s="5"/>
    </row>
    <row r="279" spans="1:17">
      <c r="A279" s="35" t="s">
        <v>61</v>
      </c>
      <c r="B279" s="36"/>
      <c r="C279" s="36"/>
      <c r="D279" s="36"/>
      <c r="E279" s="36"/>
      <c r="F279" s="36"/>
      <c r="G279" s="36"/>
      <c r="H279" s="36"/>
      <c r="I279" s="36"/>
      <c r="J279" s="37"/>
      <c r="K279" s="155"/>
      <c r="Q279" s="5"/>
    </row>
    <row r="280" spans="1:17">
      <c r="A280" s="130" t="str">
        <f>+A278</f>
        <v>DECEMBRE</v>
      </c>
      <c r="B280" s="38" t="s">
        <v>62</v>
      </c>
      <c r="C280" s="39">
        <f>+C245</f>
        <v>926369</v>
      </c>
      <c r="D280" s="51"/>
      <c r="E280" s="51">
        <f>D245</f>
        <v>10580357</v>
      </c>
      <c r="F280" s="51"/>
      <c r="G280" s="133"/>
      <c r="H280" s="53">
        <f>+F245</f>
        <v>6750500</v>
      </c>
      <c r="I280" s="134">
        <f>+E245</f>
        <v>3713706</v>
      </c>
      <c r="J280" s="46">
        <f>+SUM(C280:G280)-(H280+I280)</f>
        <v>1042520</v>
      </c>
      <c r="K280" s="156" t="b">
        <f>J280=I245</f>
        <v>1</v>
      </c>
      <c r="Q280" s="5"/>
    </row>
    <row r="281" spans="1:17">
      <c r="A281" s="44" t="s">
        <v>63</v>
      </c>
      <c r="B281" s="25"/>
      <c r="C281" s="36"/>
      <c r="D281" s="25"/>
      <c r="E281" s="25"/>
      <c r="F281" s="25"/>
      <c r="G281" s="25"/>
      <c r="H281" s="25"/>
      <c r="I281" s="25"/>
      <c r="J281" s="37"/>
      <c r="K281" s="155"/>
      <c r="Q281" s="5"/>
    </row>
    <row r="282" spans="1:17">
      <c r="A282" s="130" t="str">
        <f>+A280</f>
        <v>DECEMBRE</v>
      </c>
      <c r="B282" s="38" t="s">
        <v>167</v>
      </c>
      <c r="C282" s="133">
        <f>+C243</f>
        <v>5738718</v>
      </c>
      <c r="D282" s="140">
        <f>+G243</f>
        <v>0</v>
      </c>
      <c r="E282" s="51"/>
      <c r="F282" s="51"/>
      <c r="G282" s="51"/>
      <c r="H282" s="53">
        <f>+F243</f>
        <v>2000000</v>
      </c>
      <c r="I282" s="55">
        <f>+E243</f>
        <v>283345</v>
      </c>
      <c r="J282" s="46">
        <f>+SUM(C282:G282)-(H282+I282)</f>
        <v>3455373</v>
      </c>
      <c r="K282" s="156" t="b">
        <f>+J282=I243</f>
        <v>1</v>
      </c>
      <c r="Q282" s="5"/>
    </row>
    <row r="283" spans="1:17">
      <c r="A283" s="130" t="str">
        <f t="shared" ref="A283" si="164">+A282</f>
        <v>DECEMBRE</v>
      </c>
      <c r="B283" s="38" t="s">
        <v>65</v>
      </c>
      <c r="C283" s="133">
        <f>+C244</f>
        <v>16087207</v>
      </c>
      <c r="D283" s="51">
        <f>+G244</f>
        <v>0</v>
      </c>
      <c r="E283" s="50"/>
      <c r="F283" s="50"/>
      <c r="G283" s="50"/>
      <c r="H283" s="33">
        <f>+F244</f>
        <v>8000000</v>
      </c>
      <c r="I283" s="52">
        <f>+E244</f>
        <v>3245592</v>
      </c>
      <c r="J283" s="46">
        <f>SUM(C283:G283)-(H283+I283)</f>
        <v>4841615</v>
      </c>
      <c r="K283" s="156" t="b">
        <f>+J283=I244</f>
        <v>1</v>
      </c>
      <c r="Q283" s="5"/>
    </row>
    <row r="284" spans="1:17" ht="15.75">
      <c r="C284" s="151">
        <f>SUM(C268:C283)</f>
        <v>23338190</v>
      </c>
      <c r="I284" s="149">
        <f>SUM(I268:I283)</f>
        <v>12136053</v>
      </c>
      <c r="J284" s="111">
        <f>+SUM(J267:J283)</f>
        <v>10222494</v>
      </c>
      <c r="K284" s="5" t="b">
        <f>J284=I256</f>
        <v>1</v>
      </c>
      <c r="Q284" s="5"/>
    </row>
    <row r="285" spans="1:17">
      <c r="G285" s="9"/>
      <c r="Q285" s="5"/>
    </row>
    <row r="286" spans="1:17">
      <c r="A286" s="217"/>
      <c r="B286" s="217"/>
      <c r="C286" s="217"/>
      <c r="D286" s="217"/>
      <c r="E286" s="217"/>
      <c r="F286" s="217"/>
      <c r="G286" s="217"/>
      <c r="H286" s="217"/>
      <c r="I286" s="217"/>
      <c r="J286" s="217"/>
      <c r="K286" s="217"/>
      <c r="L286" s="221"/>
      <c r="M286" s="221"/>
      <c r="N286" s="221"/>
      <c r="O286" s="221"/>
      <c r="P286" s="217"/>
      <c r="Q286" s="5"/>
    </row>
    <row r="287" spans="1:17">
      <c r="A287" s="4">
        <v>44530</v>
      </c>
      <c r="Q287" s="5"/>
    </row>
    <row r="288" spans="1:17" ht="15.75">
      <c r="A288" s="6" t="s">
        <v>37</v>
      </c>
      <c r="B288" s="6" t="s">
        <v>1</v>
      </c>
      <c r="C288" s="6">
        <v>44501</v>
      </c>
      <c r="D288" s="7" t="s">
        <v>38</v>
      </c>
      <c r="E288" s="7" t="s">
        <v>39</v>
      </c>
      <c r="F288" s="7" t="s">
        <v>40</v>
      </c>
      <c r="G288" s="7" t="s">
        <v>41</v>
      </c>
      <c r="H288" s="6">
        <v>44530</v>
      </c>
      <c r="I288" s="7" t="s">
        <v>42</v>
      </c>
      <c r="K288" s="47"/>
      <c r="L288" s="47" t="s">
        <v>43</v>
      </c>
      <c r="M288" s="47" t="s">
        <v>44</v>
      </c>
      <c r="N288" s="47" t="s">
        <v>45</v>
      </c>
      <c r="O288" s="47" t="s">
        <v>46</v>
      </c>
      <c r="Q288" s="5"/>
    </row>
    <row r="289" spans="1:17" s="185" customFormat="1" ht="16.5">
      <c r="A289" s="60" t="str">
        <f>+K289</f>
        <v>Axel</v>
      </c>
      <c r="B289" s="187" t="s">
        <v>164</v>
      </c>
      <c r="C289" s="62">
        <v>6757</v>
      </c>
      <c r="D289" s="63">
        <f t="shared" ref="D289:D302" si="165">+L289</f>
        <v>337000</v>
      </c>
      <c r="E289" s="63">
        <f>+N289</f>
        <v>314650</v>
      </c>
      <c r="F289" s="63">
        <f>+M289</f>
        <v>0</v>
      </c>
      <c r="G289" s="63">
        <f t="shared" ref="G289:G291" si="166">+O289</f>
        <v>0</v>
      </c>
      <c r="H289" s="63">
        <v>29107</v>
      </c>
      <c r="I289" s="63">
        <f>+C289+D289-E289-F289+G289</f>
        <v>29107</v>
      </c>
      <c r="J289" s="9">
        <f>I289-H289</f>
        <v>0</v>
      </c>
      <c r="K289" s="186" t="s">
        <v>163</v>
      </c>
      <c r="L289" s="186">
        <v>337000</v>
      </c>
      <c r="M289" s="186">
        <v>0</v>
      </c>
      <c r="N289" s="186">
        <v>314650</v>
      </c>
      <c r="O289" s="186">
        <v>0</v>
      </c>
    </row>
    <row r="290" spans="1:17" ht="16.5">
      <c r="A290" s="60" t="str">
        <f>+K290</f>
        <v>B52</v>
      </c>
      <c r="B290" s="61" t="s">
        <v>4</v>
      </c>
      <c r="C290" s="62">
        <v>0</v>
      </c>
      <c r="D290" s="63">
        <f t="shared" si="165"/>
        <v>118000</v>
      </c>
      <c r="E290" s="63">
        <f>+N290</f>
        <v>114000</v>
      </c>
      <c r="F290" s="63">
        <f>+M290</f>
        <v>0</v>
      </c>
      <c r="G290" s="63">
        <f t="shared" si="166"/>
        <v>0</v>
      </c>
      <c r="H290" s="63">
        <v>4000</v>
      </c>
      <c r="I290" s="63">
        <f>+C290+D290-E290-F290+G290</f>
        <v>4000</v>
      </c>
      <c r="J290" s="9">
        <f>I290-H290</f>
        <v>0</v>
      </c>
      <c r="K290" s="47" t="s">
        <v>173</v>
      </c>
      <c r="L290" s="49">
        <v>118000</v>
      </c>
      <c r="M290" s="49">
        <v>0</v>
      </c>
      <c r="N290" s="49">
        <v>114000</v>
      </c>
      <c r="O290" s="49">
        <v>0</v>
      </c>
      <c r="Q290" s="5"/>
    </row>
    <row r="291" spans="1:17" ht="16.5">
      <c r="A291" s="60" t="str">
        <f>+K291</f>
        <v>BCI</v>
      </c>
      <c r="B291" s="61" t="s">
        <v>47</v>
      </c>
      <c r="C291" s="62">
        <v>6762063</v>
      </c>
      <c r="D291" s="63">
        <f t="shared" si="165"/>
        <v>0</v>
      </c>
      <c r="E291" s="63">
        <f>+N291</f>
        <v>23345</v>
      </c>
      <c r="F291" s="63">
        <f>+M291</f>
        <v>1000000</v>
      </c>
      <c r="G291" s="63">
        <f t="shared" si="166"/>
        <v>0</v>
      </c>
      <c r="H291" s="63">
        <v>5738718</v>
      </c>
      <c r="I291" s="63">
        <f>+C291+D291-E291-F291+G291</f>
        <v>5738718</v>
      </c>
      <c r="J291" s="9">
        <f t="shared" ref="J291:J298" si="167">I291-H291</f>
        <v>0</v>
      </c>
      <c r="K291" s="47" t="s">
        <v>24</v>
      </c>
      <c r="L291" s="49">
        <v>0</v>
      </c>
      <c r="M291" s="49">
        <v>1000000</v>
      </c>
      <c r="N291" s="49">
        <v>23345</v>
      </c>
      <c r="O291" s="49">
        <v>0</v>
      </c>
      <c r="Q291" s="5"/>
    </row>
    <row r="292" spans="1:17" ht="16.5">
      <c r="A292" s="60" t="str">
        <f t="shared" ref="A292:A294" si="168">+K292</f>
        <v>BCI-Sous Compte</v>
      </c>
      <c r="B292" s="61" t="s">
        <v>47</v>
      </c>
      <c r="C292" s="62">
        <v>23107840</v>
      </c>
      <c r="D292" s="63">
        <f t="shared" si="165"/>
        <v>0</v>
      </c>
      <c r="E292" s="63">
        <f>+N292</f>
        <v>4020633</v>
      </c>
      <c r="F292" s="63">
        <f>+M292</f>
        <v>3000000</v>
      </c>
      <c r="G292" s="63">
        <f t="shared" ref="G292:G303" si="169">+O292</f>
        <v>0</v>
      </c>
      <c r="H292" s="63">
        <v>16087207</v>
      </c>
      <c r="I292" s="63">
        <f>+C292+D292-E292-F292+G292</f>
        <v>16087207</v>
      </c>
      <c r="J292" s="108">
        <f t="shared" si="167"/>
        <v>0</v>
      </c>
      <c r="K292" s="47" t="s">
        <v>158</v>
      </c>
      <c r="L292" s="49">
        <v>0</v>
      </c>
      <c r="M292" s="49">
        <v>3000000</v>
      </c>
      <c r="N292" s="49">
        <v>4020633</v>
      </c>
      <c r="O292" s="49">
        <v>0</v>
      </c>
      <c r="Q292" s="5"/>
    </row>
    <row r="293" spans="1:17" ht="16.5">
      <c r="A293" s="60" t="str">
        <f t="shared" si="168"/>
        <v>Caisse</v>
      </c>
      <c r="B293" s="61" t="s">
        <v>25</v>
      </c>
      <c r="C293" s="62">
        <v>1685107</v>
      </c>
      <c r="D293" s="63">
        <f t="shared" si="165"/>
        <v>4090000</v>
      </c>
      <c r="E293" s="63">
        <f t="shared" ref="E293" si="170">+N293</f>
        <v>2854238</v>
      </c>
      <c r="F293" s="63">
        <f t="shared" ref="F293:F300" si="171">+M293</f>
        <v>1994500</v>
      </c>
      <c r="G293" s="63">
        <f t="shared" si="169"/>
        <v>0</v>
      </c>
      <c r="H293" s="63">
        <v>926369</v>
      </c>
      <c r="I293" s="63">
        <f>+C293+D293-E293-F293+G293</f>
        <v>926369</v>
      </c>
      <c r="J293" s="9">
        <f t="shared" si="167"/>
        <v>0</v>
      </c>
      <c r="K293" s="47" t="s">
        <v>25</v>
      </c>
      <c r="L293" s="49">
        <v>4090000</v>
      </c>
      <c r="M293" s="49">
        <v>1994500</v>
      </c>
      <c r="N293" s="49">
        <v>2854238</v>
      </c>
      <c r="O293" s="49">
        <v>0</v>
      </c>
      <c r="Q293" s="5"/>
    </row>
    <row r="294" spans="1:17" ht="16.5">
      <c r="A294" s="60" t="str">
        <f t="shared" si="168"/>
        <v>Crépin</v>
      </c>
      <c r="B294" s="61" t="s">
        <v>164</v>
      </c>
      <c r="C294" s="62">
        <v>7200</v>
      </c>
      <c r="D294" s="63">
        <f t="shared" si="165"/>
        <v>286000</v>
      </c>
      <c r="E294" s="63">
        <f>+N294</f>
        <v>226875</v>
      </c>
      <c r="F294" s="63">
        <f t="shared" si="171"/>
        <v>70000</v>
      </c>
      <c r="G294" s="63">
        <f t="shared" si="169"/>
        <v>0</v>
      </c>
      <c r="H294" s="63">
        <v>-3675</v>
      </c>
      <c r="I294" s="63">
        <f t="shared" ref="I294" si="172">+C294+D294-E294-F294+G294</f>
        <v>-3675</v>
      </c>
      <c r="J294" s="9">
        <f t="shared" si="167"/>
        <v>0</v>
      </c>
      <c r="K294" s="47" t="s">
        <v>48</v>
      </c>
      <c r="L294" s="49">
        <v>286000</v>
      </c>
      <c r="M294" s="49">
        <v>70000</v>
      </c>
      <c r="N294" s="49">
        <v>226875</v>
      </c>
      <c r="O294" s="49">
        <v>0</v>
      </c>
      <c r="Q294" s="5"/>
    </row>
    <row r="295" spans="1:17" ht="16.5">
      <c r="A295" s="60" t="str">
        <f>K295</f>
        <v>Evariste</v>
      </c>
      <c r="B295" s="61" t="s">
        <v>165</v>
      </c>
      <c r="C295" s="62">
        <v>10095</v>
      </c>
      <c r="D295" s="63">
        <f t="shared" si="165"/>
        <v>70500</v>
      </c>
      <c r="E295" s="63">
        <f t="shared" ref="E295" si="173">+N295</f>
        <v>73000</v>
      </c>
      <c r="F295" s="63">
        <f t="shared" si="171"/>
        <v>0</v>
      </c>
      <c r="G295" s="63">
        <f t="shared" si="169"/>
        <v>0</v>
      </c>
      <c r="H295" s="63">
        <v>7595</v>
      </c>
      <c r="I295" s="63">
        <f>+C295+D295-E295-F295+G295</f>
        <v>7595</v>
      </c>
      <c r="J295" s="9">
        <f t="shared" si="167"/>
        <v>0</v>
      </c>
      <c r="K295" s="47" t="s">
        <v>31</v>
      </c>
      <c r="L295" s="49">
        <v>70500</v>
      </c>
      <c r="M295" s="49">
        <v>0</v>
      </c>
      <c r="N295" s="49">
        <v>73000</v>
      </c>
      <c r="O295" s="49">
        <v>0</v>
      </c>
      <c r="Q295" s="5"/>
    </row>
    <row r="296" spans="1:17" ht="16.5">
      <c r="A296" s="123" t="str">
        <f t="shared" ref="A296:A303" si="174">+K296</f>
        <v>I55S</v>
      </c>
      <c r="B296" s="124" t="s">
        <v>4</v>
      </c>
      <c r="C296" s="125">
        <v>233614</v>
      </c>
      <c r="D296" s="126">
        <f t="shared" si="165"/>
        <v>0</v>
      </c>
      <c r="E296" s="126">
        <f>+N296</f>
        <v>0</v>
      </c>
      <c r="F296" s="126">
        <f t="shared" si="171"/>
        <v>0</v>
      </c>
      <c r="G296" s="126">
        <f t="shared" si="169"/>
        <v>0</v>
      </c>
      <c r="H296" s="126">
        <v>233614</v>
      </c>
      <c r="I296" s="126">
        <f>+C296+D296-E296-F296+G296</f>
        <v>233614</v>
      </c>
      <c r="J296" s="9">
        <f t="shared" si="167"/>
        <v>0</v>
      </c>
      <c r="K296" s="47" t="s">
        <v>85</v>
      </c>
      <c r="L296" s="49">
        <v>0</v>
      </c>
      <c r="M296" s="49">
        <v>0</v>
      </c>
      <c r="N296" s="49">
        <v>0</v>
      </c>
      <c r="O296" s="49">
        <v>0</v>
      </c>
      <c r="Q296" s="5"/>
    </row>
    <row r="297" spans="1:17" ht="16.5">
      <c r="A297" s="123" t="str">
        <f t="shared" si="174"/>
        <v>I73X</v>
      </c>
      <c r="B297" s="124" t="s">
        <v>4</v>
      </c>
      <c r="C297" s="125">
        <v>249769</v>
      </c>
      <c r="D297" s="126">
        <f t="shared" si="165"/>
        <v>0</v>
      </c>
      <c r="E297" s="126">
        <f>+N297</f>
        <v>0</v>
      </c>
      <c r="F297" s="126">
        <f t="shared" si="171"/>
        <v>0</v>
      </c>
      <c r="G297" s="126">
        <f t="shared" si="169"/>
        <v>0</v>
      </c>
      <c r="H297" s="126">
        <v>249769</v>
      </c>
      <c r="I297" s="126">
        <f t="shared" ref="I297:I300" si="175">+C297+D297-E297-F297+G297</f>
        <v>249769</v>
      </c>
      <c r="J297" s="9">
        <f t="shared" si="167"/>
        <v>0</v>
      </c>
      <c r="K297" s="47" t="s">
        <v>84</v>
      </c>
      <c r="L297" s="49">
        <v>0</v>
      </c>
      <c r="M297" s="49">
        <v>0</v>
      </c>
      <c r="N297" s="49">
        <v>0</v>
      </c>
      <c r="O297" s="49">
        <v>0</v>
      </c>
      <c r="Q297" s="5"/>
    </row>
    <row r="298" spans="1:17" ht="16.5">
      <c r="A298" s="60" t="str">
        <f t="shared" si="174"/>
        <v>Godfré</v>
      </c>
      <c r="B298" s="104" t="s">
        <v>164</v>
      </c>
      <c r="C298" s="62">
        <v>3550</v>
      </c>
      <c r="D298" s="63">
        <f t="shared" si="165"/>
        <v>43000</v>
      </c>
      <c r="E298" s="179">
        <f t="shared" ref="E298:E303" si="176">+N298</f>
        <v>52550</v>
      </c>
      <c r="F298" s="63">
        <f t="shared" si="171"/>
        <v>0</v>
      </c>
      <c r="G298" s="63">
        <f t="shared" si="169"/>
        <v>0</v>
      </c>
      <c r="H298" s="63">
        <v>-6000</v>
      </c>
      <c r="I298" s="63">
        <f t="shared" si="175"/>
        <v>-6000</v>
      </c>
      <c r="J298" s="9">
        <f t="shared" si="167"/>
        <v>0</v>
      </c>
      <c r="K298" s="47" t="s">
        <v>153</v>
      </c>
      <c r="L298" s="49">
        <v>43000</v>
      </c>
      <c r="M298" s="49">
        <v>0</v>
      </c>
      <c r="N298" s="49">
        <v>52550</v>
      </c>
      <c r="O298" s="49">
        <v>0</v>
      </c>
      <c r="Q298" s="5"/>
    </row>
    <row r="299" spans="1:17" ht="16.5">
      <c r="A299" s="60" t="str">
        <f t="shared" si="174"/>
        <v>Grace</v>
      </c>
      <c r="B299" s="61" t="s">
        <v>2</v>
      </c>
      <c r="C299" s="62">
        <v>61300</v>
      </c>
      <c r="D299" s="63">
        <f t="shared" si="165"/>
        <v>53000</v>
      </c>
      <c r="E299" s="179">
        <f t="shared" si="176"/>
        <v>45900</v>
      </c>
      <c r="F299" s="63">
        <f t="shared" si="171"/>
        <v>20000</v>
      </c>
      <c r="G299" s="63">
        <f t="shared" si="169"/>
        <v>0</v>
      </c>
      <c r="H299" s="63">
        <v>48400</v>
      </c>
      <c r="I299" s="63">
        <f t="shared" si="175"/>
        <v>48400</v>
      </c>
      <c r="J299" s="9">
        <f>I299-H299</f>
        <v>0</v>
      </c>
      <c r="K299" s="47" t="s">
        <v>152</v>
      </c>
      <c r="L299" s="49">
        <v>53000</v>
      </c>
      <c r="M299" s="49">
        <v>20000</v>
      </c>
      <c r="N299" s="49">
        <v>45900</v>
      </c>
      <c r="O299" s="49">
        <v>0</v>
      </c>
      <c r="Q299" s="5"/>
    </row>
    <row r="300" spans="1:17" ht="16.5">
      <c r="A300" s="60" t="str">
        <f t="shared" si="174"/>
        <v>I23C</v>
      </c>
      <c r="B300" s="104" t="s">
        <v>4</v>
      </c>
      <c r="C300" s="62">
        <v>10800</v>
      </c>
      <c r="D300" s="63">
        <f t="shared" si="165"/>
        <v>488000</v>
      </c>
      <c r="E300" s="179">
        <f t="shared" si="176"/>
        <v>492000</v>
      </c>
      <c r="F300" s="63">
        <f t="shared" si="171"/>
        <v>0</v>
      </c>
      <c r="G300" s="63">
        <f t="shared" si="169"/>
        <v>0</v>
      </c>
      <c r="H300" s="63">
        <v>6800</v>
      </c>
      <c r="I300" s="63">
        <f t="shared" si="175"/>
        <v>6800</v>
      </c>
      <c r="J300" s="9">
        <f t="shared" ref="J300" si="177">I300-H300</f>
        <v>0</v>
      </c>
      <c r="K300" s="47" t="s">
        <v>30</v>
      </c>
      <c r="L300" s="49">
        <v>488000</v>
      </c>
      <c r="M300" s="49">
        <v>0</v>
      </c>
      <c r="N300" s="49">
        <v>492000</v>
      </c>
      <c r="O300" s="49">
        <v>0</v>
      </c>
      <c r="Q300" s="5"/>
    </row>
    <row r="301" spans="1:17" ht="16.5">
      <c r="A301" s="60" t="str">
        <f t="shared" si="174"/>
        <v>Merveille</v>
      </c>
      <c r="B301" s="61" t="s">
        <v>2</v>
      </c>
      <c r="C301" s="62">
        <v>9500</v>
      </c>
      <c r="D301" s="63">
        <f t="shared" si="165"/>
        <v>20000</v>
      </c>
      <c r="E301" s="179">
        <f t="shared" si="176"/>
        <v>24000</v>
      </c>
      <c r="F301" s="63">
        <f t="shared" ref="F301" si="178">+M301</f>
        <v>0</v>
      </c>
      <c r="G301" s="63">
        <f t="shared" ref="G301" si="179">+O301</f>
        <v>0</v>
      </c>
      <c r="H301" s="63">
        <v>5500</v>
      </c>
      <c r="I301" s="63">
        <f t="shared" ref="I301" si="180">+C301+D301-E301-F301+G301</f>
        <v>5500</v>
      </c>
      <c r="J301" s="9">
        <f t="shared" ref="J301" si="181">I301-H301</f>
        <v>0</v>
      </c>
      <c r="K301" s="47" t="s">
        <v>94</v>
      </c>
      <c r="L301" s="49">
        <v>20000</v>
      </c>
      <c r="M301" s="49">
        <v>0</v>
      </c>
      <c r="N301" s="49">
        <v>24000</v>
      </c>
      <c r="O301" s="49"/>
      <c r="Q301" s="5"/>
    </row>
    <row r="302" spans="1:17" ht="16.5">
      <c r="A302" s="60" t="str">
        <f t="shared" si="174"/>
        <v>P29</v>
      </c>
      <c r="B302" s="61" t="s">
        <v>4</v>
      </c>
      <c r="C302" s="62">
        <v>21200</v>
      </c>
      <c r="D302" s="63">
        <f t="shared" si="165"/>
        <v>543000</v>
      </c>
      <c r="E302" s="179">
        <f t="shared" si="176"/>
        <v>533500</v>
      </c>
      <c r="F302" s="63">
        <f>+M302</f>
        <v>0</v>
      </c>
      <c r="G302" s="63">
        <f>+O302</f>
        <v>0</v>
      </c>
      <c r="H302" s="63">
        <v>30700</v>
      </c>
      <c r="I302" s="63">
        <f>+C302+D302-E302-F302+G302</f>
        <v>30700</v>
      </c>
      <c r="J302" s="9">
        <f>I302-H302</f>
        <v>0</v>
      </c>
      <c r="K302" s="47" t="s">
        <v>29</v>
      </c>
      <c r="L302" s="49">
        <v>543000</v>
      </c>
      <c r="M302" s="49">
        <v>0</v>
      </c>
      <c r="N302" s="49">
        <v>533500</v>
      </c>
      <c r="O302" s="49">
        <v>0</v>
      </c>
      <c r="Q302" s="5"/>
    </row>
    <row r="303" spans="1:17" ht="16.5">
      <c r="A303" s="60" t="str">
        <f t="shared" si="174"/>
        <v>Tiffany</v>
      </c>
      <c r="B303" s="61" t="s">
        <v>2</v>
      </c>
      <c r="C303" s="62">
        <v>26193</v>
      </c>
      <c r="D303" s="63">
        <f t="shared" ref="D303" si="182">+L303</f>
        <v>36000</v>
      </c>
      <c r="E303" s="179">
        <f t="shared" si="176"/>
        <v>53000</v>
      </c>
      <c r="F303" s="63">
        <f t="shared" ref="F303" si="183">+M303</f>
        <v>0</v>
      </c>
      <c r="G303" s="63">
        <f t="shared" si="169"/>
        <v>0</v>
      </c>
      <c r="H303" s="63">
        <v>9193</v>
      </c>
      <c r="I303" s="63">
        <f t="shared" ref="I303" si="184">+C303+D303-E303-F303+G303</f>
        <v>9193</v>
      </c>
      <c r="J303" s="9">
        <f t="shared" ref="J303" si="185">I303-H303</f>
        <v>0</v>
      </c>
      <c r="K303" s="47" t="s">
        <v>114</v>
      </c>
      <c r="L303" s="49">
        <v>36000</v>
      </c>
      <c r="M303" s="49">
        <v>0</v>
      </c>
      <c r="N303" s="49">
        <v>53000</v>
      </c>
      <c r="O303" s="49">
        <v>0</v>
      </c>
      <c r="Q303" s="5"/>
    </row>
    <row r="304" spans="1:17" ht="16.5">
      <c r="A304" s="10" t="s">
        <v>51</v>
      </c>
      <c r="B304" s="11"/>
      <c r="C304" s="12">
        <f>SUM(C289:C303)</f>
        <v>32194988</v>
      </c>
      <c r="D304" s="59">
        <f t="shared" ref="D304:G304" si="186">SUM(D289:D303)</f>
        <v>6084500</v>
      </c>
      <c r="E304" s="59">
        <f t="shared" si="186"/>
        <v>8827691</v>
      </c>
      <c r="F304" s="59">
        <f t="shared" si="186"/>
        <v>6084500</v>
      </c>
      <c r="G304" s="59">
        <f t="shared" si="186"/>
        <v>0</v>
      </c>
      <c r="H304" s="59">
        <f>SUM(H289:H303)</f>
        <v>23367297</v>
      </c>
      <c r="I304" s="59">
        <f>SUM(I289:I303)</f>
        <v>23367297</v>
      </c>
      <c r="J304" s="9">
        <f>I304-H304</f>
        <v>0</v>
      </c>
      <c r="K304" s="3"/>
      <c r="L304" s="49">
        <v>6084500</v>
      </c>
      <c r="M304" s="49">
        <v>6084500</v>
      </c>
      <c r="N304" s="49">
        <v>8828291</v>
      </c>
      <c r="O304" s="49">
        <v>0</v>
      </c>
      <c r="Q304" s="5"/>
    </row>
    <row r="305" spans="1:17" ht="16.5">
      <c r="A305" s="10"/>
      <c r="B305" s="11"/>
      <c r="C305" s="12"/>
      <c r="D305" s="13"/>
      <c r="E305" s="12"/>
      <c r="F305" s="13"/>
      <c r="G305" s="12"/>
      <c r="H305" s="12"/>
      <c r="I305" s="143" t="b">
        <f>I304=D307</f>
        <v>1</v>
      </c>
      <c r="L305" s="5"/>
      <c r="M305" s="5"/>
      <c r="N305" s="5"/>
      <c r="O305" s="5"/>
      <c r="Q305" s="5"/>
    </row>
    <row r="306" spans="1:17" ht="16.5">
      <c r="A306" s="10" t="s">
        <v>169</v>
      </c>
      <c r="B306" s="11" t="s">
        <v>171</v>
      </c>
      <c r="C306" s="12" t="s">
        <v>174</v>
      </c>
      <c r="D306" s="12" t="s">
        <v>168</v>
      </c>
      <c r="E306" s="12" t="s">
        <v>52</v>
      </c>
      <c r="F306" s="12"/>
      <c r="G306" s="12">
        <f>+D304-F304</f>
        <v>0</v>
      </c>
      <c r="H306" s="12"/>
      <c r="I306" s="12"/>
      <c r="Q306" s="5"/>
    </row>
    <row r="307" spans="1:17" ht="16.5">
      <c r="A307" s="14">
        <f>C304</f>
        <v>32194988</v>
      </c>
      <c r="B307" s="15">
        <f>G304</f>
        <v>0</v>
      </c>
      <c r="C307" s="12">
        <f>E304</f>
        <v>8827691</v>
      </c>
      <c r="D307" s="12">
        <f>A307+B307-C307</f>
        <v>23367297</v>
      </c>
      <c r="E307" s="13">
        <f>I304-D307</f>
        <v>0</v>
      </c>
      <c r="F307" s="12"/>
      <c r="G307" s="12"/>
      <c r="H307" s="12"/>
      <c r="I307" s="12"/>
      <c r="L307" s="5"/>
      <c r="M307" s="5"/>
      <c r="N307" s="5"/>
      <c r="O307" s="5"/>
      <c r="Q307" s="5"/>
    </row>
    <row r="308" spans="1:17" ht="16.5">
      <c r="A308" s="14"/>
      <c r="B308" s="15"/>
      <c r="C308" s="12"/>
      <c r="D308" s="12"/>
      <c r="E308" s="13"/>
      <c r="F308" s="12"/>
      <c r="G308" s="12"/>
      <c r="H308" s="12"/>
      <c r="I308" s="12"/>
      <c r="L308" s="5"/>
      <c r="M308" s="5"/>
      <c r="N308" s="5"/>
      <c r="O308" s="5"/>
      <c r="Q308" s="5"/>
    </row>
    <row r="309" spans="1:17">
      <c r="A309" s="16" t="s">
        <v>53</v>
      </c>
      <c r="B309" s="16"/>
      <c r="C309" s="16"/>
      <c r="D309" s="17"/>
      <c r="E309" s="17"/>
      <c r="F309" s="17"/>
      <c r="G309" s="17"/>
      <c r="H309" s="17"/>
      <c r="I309" s="17"/>
      <c r="L309" s="5"/>
      <c r="M309" s="5"/>
      <c r="N309" s="5"/>
      <c r="O309" s="5"/>
      <c r="Q309" s="5"/>
    </row>
    <row r="310" spans="1:17">
      <c r="A310" s="18" t="s">
        <v>170</v>
      </c>
      <c r="B310" s="18"/>
      <c r="C310" s="18"/>
      <c r="D310" s="18"/>
      <c r="E310" s="18"/>
      <c r="F310" s="18"/>
      <c r="G310" s="18"/>
      <c r="H310" s="18"/>
      <c r="I310" s="18"/>
      <c r="J310" s="18"/>
      <c r="L310" s="5"/>
      <c r="M310" s="5"/>
      <c r="N310" s="5"/>
      <c r="O310" s="5"/>
      <c r="Q310" s="5"/>
    </row>
    <row r="311" spans="1:17">
      <c r="A311" s="19"/>
      <c r="B311" s="20"/>
      <c r="C311" s="21"/>
      <c r="D311" s="21"/>
      <c r="E311" s="21"/>
      <c r="F311" s="21"/>
      <c r="G311" s="21"/>
      <c r="H311" s="20"/>
      <c r="I311" s="20"/>
      <c r="L311" s="5"/>
      <c r="M311" s="5"/>
      <c r="N311" s="5"/>
      <c r="O311" s="5"/>
      <c r="Q311" s="5"/>
    </row>
    <row r="312" spans="1:17">
      <c r="A312" s="391" t="s">
        <v>54</v>
      </c>
      <c r="B312" s="393" t="s">
        <v>55</v>
      </c>
      <c r="C312" s="395" t="s">
        <v>172</v>
      </c>
      <c r="D312" s="397" t="s">
        <v>56</v>
      </c>
      <c r="E312" s="398"/>
      <c r="F312" s="398"/>
      <c r="G312" s="399"/>
      <c r="H312" s="400" t="s">
        <v>57</v>
      </c>
      <c r="I312" s="402" t="s">
        <v>58</v>
      </c>
      <c r="J312" s="20"/>
      <c r="L312" s="5"/>
      <c r="M312" s="5"/>
      <c r="N312" s="5"/>
      <c r="O312" s="5"/>
      <c r="Q312" s="5"/>
    </row>
    <row r="313" spans="1:17" ht="28.5" customHeight="1">
      <c r="A313" s="392"/>
      <c r="B313" s="394"/>
      <c r="C313" s="396"/>
      <c r="D313" s="22" t="s">
        <v>24</v>
      </c>
      <c r="E313" s="22" t="s">
        <v>25</v>
      </c>
      <c r="F313" s="188" t="s">
        <v>124</v>
      </c>
      <c r="G313" s="22" t="s">
        <v>59</v>
      </c>
      <c r="H313" s="401"/>
      <c r="I313" s="403"/>
      <c r="J313" s="404" t="s">
        <v>180</v>
      </c>
      <c r="K313" s="155"/>
      <c r="L313" s="5"/>
      <c r="M313" s="5"/>
      <c r="N313" s="5"/>
      <c r="O313" s="5"/>
      <c r="Q313" s="5"/>
    </row>
    <row r="314" spans="1:17">
      <c r="A314" s="24"/>
      <c r="B314" s="25" t="s">
        <v>60</v>
      </c>
      <c r="C314" s="26"/>
      <c r="D314" s="26"/>
      <c r="E314" s="26"/>
      <c r="F314" s="26"/>
      <c r="G314" s="26"/>
      <c r="H314" s="26"/>
      <c r="I314" s="27"/>
      <c r="J314" s="405"/>
      <c r="K314" s="155"/>
      <c r="L314" s="5"/>
      <c r="M314" s="5"/>
      <c r="N314" s="5"/>
      <c r="O314" s="5"/>
      <c r="Q314" s="5"/>
    </row>
    <row r="315" spans="1:17">
      <c r="A315" s="130" t="s">
        <v>99</v>
      </c>
      <c r="B315" s="135" t="s">
        <v>163</v>
      </c>
      <c r="C315" s="33">
        <f>+C289</f>
        <v>6757</v>
      </c>
      <c r="D315" s="32"/>
      <c r="E315" s="33">
        <f>D289</f>
        <v>337000</v>
      </c>
      <c r="F315" s="33"/>
      <c r="G315" s="33"/>
      <c r="H315" s="57">
        <f>+F289</f>
        <v>0</v>
      </c>
      <c r="I315" s="33">
        <f>+E289</f>
        <v>314650</v>
      </c>
      <c r="J315" s="31">
        <f>+SUM(C315:G315)-(H315+I315)</f>
        <v>29107</v>
      </c>
      <c r="K315" s="156" t="b">
        <f>J315=I289</f>
        <v>1</v>
      </c>
      <c r="L315" s="5"/>
      <c r="M315" s="5"/>
      <c r="N315" s="5"/>
      <c r="O315" s="5"/>
      <c r="Q315" s="5"/>
    </row>
    <row r="316" spans="1:17">
      <c r="A316" s="130" t="str">
        <f>A315</f>
        <v>NOVEMBRE</v>
      </c>
      <c r="B316" s="135" t="s">
        <v>173</v>
      </c>
      <c r="C316" s="33">
        <f>+C290</f>
        <v>0</v>
      </c>
      <c r="D316" s="32"/>
      <c r="E316" s="33">
        <f>+D290</f>
        <v>118000</v>
      </c>
      <c r="F316" s="33"/>
      <c r="G316" s="33"/>
      <c r="H316" s="57">
        <f>+F290</f>
        <v>0</v>
      </c>
      <c r="I316" s="33">
        <f>+E290</f>
        <v>114000</v>
      </c>
      <c r="J316" s="31">
        <f t="shared" ref="J316:J317" si="187">+SUM(C316:G316)-(H316+I316)</f>
        <v>4000</v>
      </c>
      <c r="K316" s="156" t="b">
        <f>J316=I290</f>
        <v>1</v>
      </c>
      <c r="L316" s="5"/>
      <c r="M316" s="5"/>
      <c r="N316" s="5"/>
      <c r="O316" s="5"/>
      <c r="Q316" s="5"/>
    </row>
    <row r="317" spans="1:17">
      <c r="A317" s="130" t="str">
        <f>+A316</f>
        <v>NOVEMBRE</v>
      </c>
      <c r="B317" s="135" t="s">
        <v>48</v>
      </c>
      <c r="C317" s="33">
        <f>+C294</f>
        <v>7200</v>
      </c>
      <c r="D317" s="32"/>
      <c r="E317" s="33">
        <f>+D294</f>
        <v>286000</v>
      </c>
      <c r="F317" s="33"/>
      <c r="G317" s="33"/>
      <c r="H317" s="57">
        <f>+F294</f>
        <v>70000</v>
      </c>
      <c r="I317" s="33">
        <f>+E294</f>
        <v>226875</v>
      </c>
      <c r="J317" s="107">
        <f t="shared" si="187"/>
        <v>-3675</v>
      </c>
      <c r="K317" s="156" t="b">
        <f>J317=I294</f>
        <v>1</v>
      </c>
      <c r="L317" s="5"/>
      <c r="M317" s="5"/>
      <c r="N317" s="5"/>
      <c r="O317" s="5"/>
      <c r="Q317" s="5"/>
    </row>
    <row r="318" spans="1:17">
      <c r="A318" s="130" t="str">
        <f t="shared" ref="A318:A326" si="188">+A317</f>
        <v>NOVEMBRE</v>
      </c>
      <c r="B318" s="136" t="s">
        <v>31</v>
      </c>
      <c r="C318" s="33">
        <f>+C295</f>
        <v>10095</v>
      </c>
      <c r="D318" s="127"/>
      <c r="E318" s="33">
        <f>+D295</f>
        <v>70500</v>
      </c>
      <c r="F318" s="53"/>
      <c r="G318" s="53"/>
      <c r="H318" s="57">
        <f>+F295</f>
        <v>0</v>
      </c>
      <c r="I318" s="33">
        <f>+E295</f>
        <v>73000</v>
      </c>
      <c r="J318" s="132">
        <f>+SUM(C318:G318)-(H318+I318)</f>
        <v>7595</v>
      </c>
      <c r="K318" s="156" t="b">
        <f t="shared" ref="K318:K326" si="189">J318=I295</f>
        <v>1</v>
      </c>
      <c r="L318" s="5"/>
      <c r="M318" s="5"/>
      <c r="N318" s="5"/>
      <c r="O318" s="5"/>
      <c r="Q318" s="5"/>
    </row>
    <row r="319" spans="1:17">
      <c r="A319" s="130" t="str">
        <f t="shared" si="188"/>
        <v>NOVEMBRE</v>
      </c>
      <c r="B319" s="137" t="s">
        <v>85</v>
      </c>
      <c r="C319" s="128">
        <f>+C296</f>
        <v>233614</v>
      </c>
      <c r="D319" s="131"/>
      <c r="E319" s="128">
        <f>+D296</f>
        <v>0</v>
      </c>
      <c r="F319" s="146"/>
      <c r="G319" s="146"/>
      <c r="H319" s="180">
        <f>+F296</f>
        <v>0</v>
      </c>
      <c r="I319" s="128">
        <f>+E296</f>
        <v>0</v>
      </c>
      <c r="J319" s="129">
        <f>+SUM(C319:G319)-(H319+I319)</f>
        <v>233614</v>
      </c>
      <c r="K319" s="156" t="b">
        <f t="shared" si="189"/>
        <v>1</v>
      </c>
      <c r="L319" s="5"/>
      <c r="M319" s="5"/>
      <c r="N319" s="5"/>
      <c r="O319" s="5"/>
      <c r="Q319" s="5"/>
    </row>
    <row r="320" spans="1:17">
      <c r="A320" s="130" t="str">
        <f t="shared" si="188"/>
        <v>NOVEMBRE</v>
      </c>
      <c r="B320" s="137" t="s">
        <v>84</v>
      </c>
      <c r="C320" s="128">
        <f>+C297</f>
        <v>249769</v>
      </c>
      <c r="D320" s="131"/>
      <c r="E320" s="128">
        <f>+D297</f>
        <v>0</v>
      </c>
      <c r="F320" s="146"/>
      <c r="G320" s="146"/>
      <c r="H320" s="180">
        <f>+F297</f>
        <v>0</v>
      </c>
      <c r="I320" s="128">
        <f>+E297</f>
        <v>0</v>
      </c>
      <c r="J320" s="129">
        <f t="shared" ref="J320:J326" si="190">+SUM(C320:G320)-(H320+I320)</f>
        <v>249769</v>
      </c>
      <c r="K320" s="156" t="b">
        <f t="shared" si="189"/>
        <v>1</v>
      </c>
      <c r="L320" s="5"/>
      <c r="M320" s="5"/>
      <c r="N320" s="5"/>
      <c r="O320" s="5"/>
      <c r="Q320" s="5"/>
    </row>
    <row r="321" spans="1:17">
      <c r="A321" s="130" t="str">
        <f t="shared" si="188"/>
        <v>NOVEMBRE</v>
      </c>
      <c r="B321" s="135" t="s">
        <v>153</v>
      </c>
      <c r="C321" s="33">
        <f>+C298</f>
        <v>3550</v>
      </c>
      <c r="D321" s="32"/>
      <c r="E321" s="33">
        <f>+D298</f>
        <v>43000</v>
      </c>
      <c r="F321" s="33"/>
      <c r="G321" s="110"/>
      <c r="H321" s="57">
        <f>+F298</f>
        <v>0</v>
      </c>
      <c r="I321" s="33">
        <f>+E298</f>
        <v>52550</v>
      </c>
      <c r="J321" s="31">
        <f t="shared" si="190"/>
        <v>-6000</v>
      </c>
      <c r="K321" s="156" t="b">
        <f t="shared" si="189"/>
        <v>1</v>
      </c>
      <c r="L321" s="5"/>
      <c r="M321" s="5"/>
      <c r="N321" s="5"/>
      <c r="O321" s="5"/>
      <c r="Q321" s="5"/>
    </row>
    <row r="322" spans="1:17">
      <c r="A322" s="130" t="str">
        <f t="shared" si="188"/>
        <v>NOVEMBRE</v>
      </c>
      <c r="B322" s="135" t="s">
        <v>152</v>
      </c>
      <c r="C322" s="33">
        <f t="shared" ref="C322:C326" si="191">+C299</f>
        <v>61300</v>
      </c>
      <c r="D322" s="32"/>
      <c r="E322" s="33">
        <f t="shared" ref="E322:E326" si="192">+D299</f>
        <v>53000</v>
      </c>
      <c r="F322" s="33"/>
      <c r="G322" s="110"/>
      <c r="H322" s="57">
        <f t="shared" ref="H322:H326" si="193">+F299</f>
        <v>20000</v>
      </c>
      <c r="I322" s="33">
        <f t="shared" ref="I322:I326" si="194">+E299</f>
        <v>45900</v>
      </c>
      <c r="J322" s="31">
        <f t="shared" si="190"/>
        <v>48400</v>
      </c>
      <c r="K322" s="156" t="b">
        <f t="shared" si="189"/>
        <v>1</v>
      </c>
      <c r="L322" s="5"/>
      <c r="M322" s="5"/>
      <c r="N322" s="5"/>
      <c r="O322" s="5"/>
      <c r="Q322" s="5"/>
    </row>
    <row r="323" spans="1:17">
      <c r="A323" s="130" t="str">
        <f t="shared" si="188"/>
        <v>NOVEMBRE</v>
      </c>
      <c r="B323" s="135" t="s">
        <v>30</v>
      </c>
      <c r="C323" s="33">
        <f t="shared" si="191"/>
        <v>10800</v>
      </c>
      <c r="D323" s="32"/>
      <c r="E323" s="33">
        <f t="shared" si="192"/>
        <v>488000</v>
      </c>
      <c r="F323" s="33"/>
      <c r="G323" s="110"/>
      <c r="H323" s="57">
        <f t="shared" si="193"/>
        <v>0</v>
      </c>
      <c r="I323" s="33">
        <f t="shared" si="194"/>
        <v>492000</v>
      </c>
      <c r="J323" s="31">
        <f t="shared" si="190"/>
        <v>6800</v>
      </c>
      <c r="K323" s="156" t="b">
        <f t="shared" si="189"/>
        <v>1</v>
      </c>
      <c r="L323" s="5"/>
      <c r="M323" s="5"/>
      <c r="N323" s="5"/>
      <c r="O323" s="5"/>
      <c r="Q323" s="5"/>
    </row>
    <row r="324" spans="1:17">
      <c r="A324" s="130" t="str">
        <f>+A322</f>
        <v>NOVEMBRE</v>
      </c>
      <c r="B324" s="135" t="s">
        <v>94</v>
      </c>
      <c r="C324" s="33">
        <f t="shared" si="191"/>
        <v>9500</v>
      </c>
      <c r="D324" s="32"/>
      <c r="E324" s="33">
        <f t="shared" si="192"/>
        <v>20000</v>
      </c>
      <c r="F324" s="33"/>
      <c r="G324" s="110"/>
      <c r="H324" s="57">
        <f t="shared" si="193"/>
        <v>0</v>
      </c>
      <c r="I324" s="33">
        <f t="shared" si="194"/>
        <v>24000</v>
      </c>
      <c r="J324" s="31">
        <f t="shared" si="190"/>
        <v>5500</v>
      </c>
      <c r="K324" s="156" t="b">
        <f t="shared" si="189"/>
        <v>1</v>
      </c>
      <c r="L324" s="5"/>
      <c r="M324" s="5"/>
      <c r="N324" s="5"/>
      <c r="O324" s="5"/>
      <c r="Q324" s="5"/>
    </row>
    <row r="325" spans="1:17">
      <c r="A325" s="130" t="str">
        <f>+A323</f>
        <v>NOVEMBRE</v>
      </c>
      <c r="B325" s="135" t="s">
        <v>29</v>
      </c>
      <c r="C325" s="33">
        <f t="shared" si="191"/>
        <v>21200</v>
      </c>
      <c r="D325" s="32"/>
      <c r="E325" s="33">
        <f t="shared" si="192"/>
        <v>543000</v>
      </c>
      <c r="F325" s="33"/>
      <c r="G325" s="110"/>
      <c r="H325" s="57">
        <f t="shared" si="193"/>
        <v>0</v>
      </c>
      <c r="I325" s="33">
        <f t="shared" si="194"/>
        <v>533500</v>
      </c>
      <c r="J325" s="31">
        <f t="shared" si="190"/>
        <v>30700</v>
      </c>
      <c r="K325" s="156" t="b">
        <f t="shared" si="189"/>
        <v>1</v>
      </c>
      <c r="L325" s="5"/>
      <c r="M325" s="5"/>
      <c r="N325" s="5"/>
      <c r="O325" s="5"/>
      <c r="Q325" s="5"/>
    </row>
    <row r="326" spans="1:17">
      <c r="A326" s="130" t="str">
        <f t="shared" si="188"/>
        <v>NOVEMBRE</v>
      </c>
      <c r="B326" s="136" t="s">
        <v>114</v>
      </c>
      <c r="C326" s="33">
        <f t="shared" si="191"/>
        <v>26193</v>
      </c>
      <c r="D326" s="127"/>
      <c r="E326" s="33">
        <f t="shared" si="192"/>
        <v>36000</v>
      </c>
      <c r="F326" s="53"/>
      <c r="G326" s="147"/>
      <c r="H326" s="57">
        <f t="shared" si="193"/>
        <v>0</v>
      </c>
      <c r="I326" s="33">
        <f t="shared" si="194"/>
        <v>53000</v>
      </c>
      <c r="J326" s="31">
        <f t="shared" si="190"/>
        <v>9193</v>
      </c>
      <c r="K326" s="156" t="b">
        <f t="shared" si="189"/>
        <v>1</v>
      </c>
      <c r="L326" s="5"/>
      <c r="M326" s="5"/>
      <c r="N326" s="5"/>
      <c r="O326" s="5"/>
      <c r="Q326" s="5"/>
    </row>
    <row r="327" spans="1:17">
      <c r="A327" s="35" t="s">
        <v>61</v>
      </c>
      <c r="B327" s="36"/>
      <c r="C327" s="36"/>
      <c r="D327" s="36"/>
      <c r="E327" s="36"/>
      <c r="F327" s="36"/>
      <c r="G327" s="36"/>
      <c r="H327" s="36"/>
      <c r="I327" s="36"/>
      <c r="J327" s="37"/>
      <c r="K327" s="155"/>
      <c r="L327" s="5"/>
      <c r="M327" s="5"/>
      <c r="N327" s="5"/>
      <c r="O327" s="5"/>
      <c r="Q327" s="5"/>
    </row>
    <row r="328" spans="1:17">
      <c r="A328" s="130" t="str">
        <f>+A326</f>
        <v>NOVEMBRE</v>
      </c>
      <c r="B328" s="38" t="s">
        <v>62</v>
      </c>
      <c r="C328" s="39">
        <f>+C293</f>
        <v>1685107</v>
      </c>
      <c r="D328" s="51"/>
      <c r="E328" s="51">
        <f>D293</f>
        <v>4090000</v>
      </c>
      <c r="F328" s="51"/>
      <c r="G328" s="133"/>
      <c r="H328" s="53">
        <f>+F293</f>
        <v>1994500</v>
      </c>
      <c r="I328" s="134">
        <f>+E293</f>
        <v>2854238</v>
      </c>
      <c r="J328" s="46">
        <f>+SUM(C328:G328)-(H328+I328)</f>
        <v>926369</v>
      </c>
      <c r="K328" s="156" t="b">
        <f>J328=I293</f>
        <v>1</v>
      </c>
      <c r="L328" s="5"/>
      <c r="M328" s="5"/>
      <c r="N328" s="5"/>
      <c r="O328" s="5"/>
      <c r="Q328" s="5"/>
    </row>
    <row r="329" spans="1:17">
      <c r="A329" s="44" t="s">
        <v>63</v>
      </c>
      <c r="B329" s="25"/>
      <c r="C329" s="36"/>
      <c r="D329" s="25"/>
      <c r="E329" s="25"/>
      <c r="F329" s="25"/>
      <c r="G329" s="25"/>
      <c r="H329" s="25"/>
      <c r="I329" s="25"/>
      <c r="J329" s="37"/>
      <c r="K329" s="155"/>
      <c r="L329" s="5"/>
      <c r="M329" s="5"/>
      <c r="N329" s="5"/>
      <c r="O329" s="5"/>
      <c r="Q329" s="5"/>
    </row>
    <row r="330" spans="1:17">
      <c r="A330" s="130" t="str">
        <f>+A328</f>
        <v>NOVEMBRE</v>
      </c>
      <c r="B330" s="38" t="s">
        <v>167</v>
      </c>
      <c r="C330" s="133">
        <f>+C291</f>
        <v>6762063</v>
      </c>
      <c r="D330" s="140">
        <f>+G291</f>
        <v>0</v>
      </c>
      <c r="E330" s="51"/>
      <c r="F330" s="51"/>
      <c r="G330" s="51"/>
      <c r="H330" s="53">
        <f>+F291</f>
        <v>1000000</v>
      </c>
      <c r="I330" s="55">
        <f>+E291</f>
        <v>23345</v>
      </c>
      <c r="J330" s="46">
        <f>+SUM(C330:G330)-(H330+I330)</f>
        <v>5738718</v>
      </c>
      <c r="K330" s="156" t="b">
        <f>+J330=I291</f>
        <v>1</v>
      </c>
      <c r="L330" s="5"/>
      <c r="M330" s="5"/>
      <c r="N330" s="5"/>
      <c r="O330" s="5"/>
      <c r="Q330" s="5"/>
    </row>
    <row r="331" spans="1:17">
      <c r="A331" s="130" t="str">
        <f t="shared" ref="A331" si="195">+A330</f>
        <v>NOVEMBRE</v>
      </c>
      <c r="B331" s="38" t="s">
        <v>65</v>
      </c>
      <c r="C331" s="133">
        <f>+C292</f>
        <v>23107840</v>
      </c>
      <c r="D331" s="51">
        <f>+G292</f>
        <v>0</v>
      </c>
      <c r="E331" s="50"/>
      <c r="F331" s="50"/>
      <c r="G331" s="50"/>
      <c r="H331" s="33">
        <f>+F292</f>
        <v>3000000</v>
      </c>
      <c r="I331" s="52">
        <f>+E292</f>
        <v>4020633</v>
      </c>
      <c r="J331" s="46">
        <f>SUM(C331:G331)-(H331+I331)</f>
        <v>16087207</v>
      </c>
      <c r="K331" s="156" t="b">
        <f>+J331=I292</f>
        <v>1</v>
      </c>
      <c r="L331" s="5"/>
      <c r="M331" s="5"/>
      <c r="N331" s="5"/>
      <c r="O331" s="5"/>
      <c r="Q331" s="5"/>
    </row>
    <row r="332" spans="1:17" ht="15.75">
      <c r="C332" s="151">
        <f>SUM(C316:C331)</f>
        <v>32188231</v>
      </c>
      <c r="I332" s="149">
        <f>SUM(I316:I331)</f>
        <v>8513041</v>
      </c>
      <c r="J332" s="111">
        <f>+SUM(J315:J331)</f>
        <v>23367297</v>
      </c>
      <c r="K332" s="5" t="b">
        <f>J332=I304</f>
        <v>1</v>
      </c>
      <c r="L332" s="5"/>
      <c r="M332" s="5"/>
      <c r="N332" s="5"/>
      <c r="O332" s="5"/>
      <c r="Q332" s="5"/>
    </row>
    <row r="333" spans="1:17">
      <c r="G333" s="9"/>
      <c r="L333" s="5"/>
      <c r="M333" s="5"/>
      <c r="N333" s="5"/>
      <c r="O333" s="5"/>
      <c r="Q333" s="5"/>
    </row>
    <row r="334" spans="1:17">
      <c r="A334" s="16" t="s">
        <v>53</v>
      </c>
      <c r="B334" s="16"/>
      <c r="C334" s="16"/>
      <c r="D334" s="17"/>
      <c r="E334" s="17"/>
      <c r="F334" s="17"/>
      <c r="G334" s="17"/>
      <c r="H334" s="17"/>
      <c r="I334" s="17"/>
      <c r="L334" s="5"/>
      <c r="M334" s="5"/>
      <c r="N334" s="5"/>
      <c r="O334" s="5"/>
      <c r="Q334" s="5"/>
    </row>
    <row r="335" spans="1:17">
      <c r="A335" s="18" t="s">
        <v>162</v>
      </c>
      <c r="B335" s="18"/>
      <c r="C335" s="18"/>
      <c r="D335" s="18"/>
      <c r="E335" s="18"/>
      <c r="F335" s="18"/>
      <c r="G335" s="18"/>
      <c r="H335" s="18"/>
      <c r="I335" s="18"/>
      <c r="J335" s="18"/>
      <c r="L335" s="5"/>
      <c r="M335" s="5"/>
      <c r="N335" s="5"/>
      <c r="O335" s="5"/>
      <c r="Q335" s="5"/>
    </row>
    <row r="336" spans="1:17">
      <c r="A336" s="19"/>
      <c r="B336" s="20"/>
      <c r="C336" s="21"/>
      <c r="D336" s="21"/>
      <c r="E336" s="21"/>
      <c r="F336" s="21"/>
      <c r="G336" s="21"/>
      <c r="H336" s="20"/>
      <c r="I336" s="20"/>
      <c r="L336" s="5"/>
      <c r="M336" s="5"/>
      <c r="N336" s="5"/>
      <c r="O336" s="5"/>
      <c r="Q336" s="5"/>
    </row>
    <row r="337" spans="1:17">
      <c r="A337" s="391" t="s">
        <v>54</v>
      </c>
      <c r="B337" s="393" t="s">
        <v>55</v>
      </c>
      <c r="C337" s="395" t="s">
        <v>159</v>
      </c>
      <c r="D337" s="397" t="s">
        <v>56</v>
      </c>
      <c r="E337" s="398"/>
      <c r="F337" s="398"/>
      <c r="G337" s="399"/>
      <c r="H337" s="400" t="s">
        <v>57</v>
      </c>
      <c r="I337" s="402" t="s">
        <v>58</v>
      </c>
      <c r="J337" s="20"/>
      <c r="L337" s="5"/>
      <c r="M337" s="5"/>
      <c r="N337" s="5"/>
      <c r="O337" s="5"/>
      <c r="Q337" s="5"/>
    </row>
    <row r="338" spans="1:17">
      <c r="A338" s="392"/>
      <c r="B338" s="394"/>
      <c r="C338" s="396"/>
      <c r="D338" s="22" t="s">
        <v>24</v>
      </c>
      <c r="E338" s="22" t="s">
        <v>25</v>
      </c>
      <c r="F338" s="182" t="s">
        <v>124</v>
      </c>
      <c r="G338" s="22" t="s">
        <v>59</v>
      </c>
      <c r="H338" s="401"/>
      <c r="I338" s="403"/>
      <c r="J338" s="404" t="s">
        <v>160</v>
      </c>
      <c r="K338" s="155"/>
      <c r="L338" s="5"/>
      <c r="M338" s="5"/>
      <c r="N338" s="5"/>
      <c r="O338" s="5"/>
      <c r="Q338" s="5"/>
    </row>
    <row r="339" spans="1:17">
      <c r="A339" s="24"/>
      <c r="B339" s="25" t="s">
        <v>60</v>
      </c>
      <c r="C339" s="26"/>
      <c r="D339" s="26"/>
      <c r="E339" s="26"/>
      <c r="F339" s="26"/>
      <c r="G339" s="26"/>
      <c r="H339" s="26"/>
      <c r="I339" s="27"/>
      <c r="J339" s="405"/>
      <c r="K339" s="155"/>
      <c r="L339" s="5"/>
      <c r="M339" s="5"/>
      <c r="N339" s="5"/>
      <c r="O339" s="5"/>
      <c r="Q339" s="5"/>
    </row>
    <row r="340" spans="1:17">
      <c r="A340" s="130" t="s">
        <v>91</v>
      </c>
      <c r="B340" s="135" t="s">
        <v>163</v>
      </c>
      <c r="C340" s="33">
        <f>+C289</f>
        <v>6757</v>
      </c>
      <c r="D340" s="32"/>
      <c r="E340" s="33">
        <f>+D289</f>
        <v>337000</v>
      </c>
      <c r="F340" s="33"/>
      <c r="G340" s="33"/>
      <c r="H340" s="57">
        <f>+F289</f>
        <v>0</v>
      </c>
      <c r="I340" s="33">
        <f>+E289</f>
        <v>314650</v>
      </c>
      <c r="J340" s="31">
        <f>+SUM(C340:G340)-(H340+I340)</f>
        <v>29107</v>
      </c>
      <c r="K340" s="156" t="b">
        <f>J340=I289</f>
        <v>1</v>
      </c>
      <c r="L340" s="5"/>
      <c r="M340" s="5"/>
      <c r="N340" s="5"/>
      <c r="O340" s="5"/>
      <c r="Q340" s="5"/>
    </row>
    <row r="341" spans="1:17">
      <c r="A341" s="130" t="s">
        <v>91</v>
      </c>
      <c r="B341" s="135" t="s">
        <v>48</v>
      </c>
      <c r="C341" s="33">
        <f t="shared" ref="C341:C350" si="196">C293</f>
        <v>1685107</v>
      </c>
      <c r="D341" s="32"/>
      <c r="E341" s="33">
        <f>+D293</f>
        <v>4090000</v>
      </c>
      <c r="F341" s="33"/>
      <c r="G341" s="33"/>
      <c r="H341" s="57">
        <f t="shared" ref="H341:H350" si="197">+F293</f>
        <v>1994500</v>
      </c>
      <c r="I341" s="33">
        <f t="shared" ref="I341:I350" si="198">+E293</f>
        <v>2854238</v>
      </c>
      <c r="J341" s="31">
        <f t="shared" ref="J341:J342" si="199">+SUM(C341:G341)-(H341+I341)</f>
        <v>926369</v>
      </c>
      <c r="K341" s="156" t="b">
        <f t="shared" ref="K341:K351" si="200">J341=I293</f>
        <v>1</v>
      </c>
      <c r="L341" s="5"/>
      <c r="M341" s="5"/>
      <c r="N341" s="5"/>
      <c r="O341" s="5"/>
      <c r="Q341" s="5"/>
    </row>
    <row r="342" spans="1:17">
      <c r="A342" s="130" t="str">
        <f>+A341</f>
        <v>OCTOBRE</v>
      </c>
      <c r="B342" s="135" t="s">
        <v>31</v>
      </c>
      <c r="C342" s="33">
        <f t="shared" si="196"/>
        <v>7200</v>
      </c>
      <c r="D342" s="32"/>
      <c r="E342" s="33">
        <f>+D294</f>
        <v>286000</v>
      </c>
      <c r="F342" s="33"/>
      <c r="G342" s="33"/>
      <c r="H342" s="57">
        <f t="shared" si="197"/>
        <v>70000</v>
      </c>
      <c r="I342" s="33">
        <f t="shared" si="198"/>
        <v>226875</v>
      </c>
      <c r="J342" s="107">
        <f t="shared" si="199"/>
        <v>-3675</v>
      </c>
      <c r="K342" s="156" t="b">
        <f t="shared" si="200"/>
        <v>1</v>
      </c>
      <c r="L342" s="5"/>
      <c r="M342" s="5"/>
      <c r="N342" s="5"/>
      <c r="O342" s="5"/>
      <c r="Q342" s="5"/>
    </row>
    <row r="343" spans="1:17">
      <c r="A343" s="130" t="str">
        <f t="shared" ref="A343:A351" si="201">+A342</f>
        <v>OCTOBRE</v>
      </c>
      <c r="B343" s="136" t="s">
        <v>153</v>
      </c>
      <c r="C343" s="33">
        <f t="shared" si="196"/>
        <v>10095</v>
      </c>
      <c r="D343" s="127"/>
      <c r="E343" s="33">
        <f>D295</f>
        <v>70500</v>
      </c>
      <c r="F343" s="53"/>
      <c r="G343" s="53"/>
      <c r="H343" s="57">
        <f t="shared" si="197"/>
        <v>0</v>
      </c>
      <c r="I343" s="33">
        <f t="shared" si="198"/>
        <v>73000</v>
      </c>
      <c r="J343" s="132">
        <f>+SUM(C343:G343)-(H343+I343)</f>
        <v>7595</v>
      </c>
      <c r="K343" s="156" t="b">
        <f t="shared" si="200"/>
        <v>1</v>
      </c>
      <c r="L343" s="5"/>
      <c r="M343" s="5"/>
      <c r="N343" s="5"/>
      <c r="O343" s="5"/>
      <c r="Q343" s="5"/>
    </row>
    <row r="344" spans="1:17">
      <c r="A344" s="130" t="str">
        <f t="shared" si="201"/>
        <v>OCTOBRE</v>
      </c>
      <c r="B344" s="137" t="s">
        <v>85</v>
      </c>
      <c r="C344" s="128">
        <f t="shared" si="196"/>
        <v>233614</v>
      </c>
      <c r="D344" s="131"/>
      <c r="E344" s="128">
        <f t="shared" ref="E344:E348" si="202">+D296</f>
        <v>0</v>
      </c>
      <c r="F344" s="146"/>
      <c r="G344" s="146"/>
      <c r="H344" s="180">
        <f t="shared" si="197"/>
        <v>0</v>
      </c>
      <c r="I344" s="128">
        <f t="shared" si="198"/>
        <v>0</v>
      </c>
      <c r="J344" s="129">
        <f>+SUM(C344:G344)-(H344+I344)</f>
        <v>233614</v>
      </c>
      <c r="K344" s="156" t="b">
        <f t="shared" si="200"/>
        <v>1</v>
      </c>
      <c r="L344" s="5"/>
      <c r="M344" s="5"/>
      <c r="N344" s="5"/>
      <c r="O344" s="5"/>
      <c r="Q344" s="5"/>
    </row>
    <row r="345" spans="1:17">
      <c r="A345" s="130" t="str">
        <f t="shared" si="201"/>
        <v>OCTOBRE</v>
      </c>
      <c r="B345" s="137" t="s">
        <v>84</v>
      </c>
      <c r="C345" s="128">
        <f t="shared" si="196"/>
        <v>249769</v>
      </c>
      <c r="D345" s="131"/>
      <c r="E345" s="128">
        <f t="shared" si="202"/>
        <v>0</v>
      </c>
      <c r="F345" s="146"/>
      <c r="G345" s="146"/>
      <c r="H345" s="180">
        <f t="shared" si="197"/>
        <v>0</v>
      </c>
      <c r="I345" s="128">
        <f t="shared" si="198"/>
        <v>0</v>
      </c>
      <c r="J345" s="129">
        <f t="shared" ref="J345:J351" si="203">+SUM(C345:G345)-(H345+I345)</f>
        <v>249769</v>
      </c>
      <c r="K345" s="156" t="b">
        <f t="shared" si="200"/>
        <v>1</v>
      </c>
      <c r="L345" s="5"/>
      <c r="M345" s="5"/>
      <c r="N345" s="5"/>
      <c r="O345" s="5"/>
      <c r="Q345" s="5"/>
    </row>
    <row r="346" spans="1:17">
      <c r="A346" s="130" t="str">
        <f t="shared" si="201"/>
        <v>OCTOBRE</v>
      </c>
      <c r="B346" s="135" t="s">
        <v>152</v>
      </c>
      <c r="C346" s="33">
        <f t="shared" si="196"/>
        <v>3550</v>
      </c>
      <c r="D346" s="32"/>
      <c r="E346" s="33">
        <f t="shared" si="202"/>
        <v>43000</v>
      </c>
      <c r="F346" s="33"/>
      <c r="G346" s="110"/>
      <c r="H346" s="57">
        <f t="shared" si="197"/>
        <v>0</v>
      </c>
      <c r="I346" s="33">
        <f t="shared" si="198"/>
        <v>52550</v>
      </c>
      <c r="J346" s="31">
        <f t="shared" si="203"/>
        <v>-6000</v>
      </c>
      <c r="K346" s="156" t="b">
        <f t="shared" si="200"/>
        <v>1</v>
      </c>
      <c r="L346" s="5"/>
      <c r="M346" s="5"/>
      <c r="N346" s="5"/>
      <c r="O346" s="5"/>
      <c r="Q346" s="5"/>
    </row>
    <row r="347" spans="1:17">
      <c r="A347" s="130" t="str">
        <f t="shared" si="201"/>
        <v>OCTOBRE</v>
      </c>
      <c r="B347" s="135" t="s">
        <v>30</v>
      </c>
      <c r="C347" s="33">
        <f t="shared" si="196"/>
        <v>61300</v>
      </c>
      <c r="D347" s="32"/>
      <c r="E347" s="33">
        <f t="shared" si="202"/>
        <v>53000</v>
      </c>
      <c r="F347" s="33"/>
      <c r="G347" s="110"/>
      <c r="H347" s="57">
        <f t="shared" si="197"/>
        <v>20000</v>
      </c>
      <c r="I347" s="33">
        <f t="shared" si="198"/>
        <v>45900</v>
      </c>
      <c r="J347" s="31">
        <f t="shared" si="203"/>
        <v>48400</v>
      </c>
      <c r="K347" s="156" t="b">
        <f t="shared" si="200"/>
        <v>1</v>
      </c>
      <c r="L347" s="5"/>
      <c r="M347" s="5"/>
      <c r="N347" s="5"/>
      <c r="O347" s="5"/>
      <c r="Q347" s="5"/>
    </row>
    <row r="348" spans="1:17">
      <c r="A348" s="130" t="str">
        <f t="shared" si="201"/>
        <v>OCTOBRE</v>
      </c>
      <c r="B348" s="135" t="s">
        <v>94</v>
      </c>
      <c r="C348" s="33">
        <f t="shared" si="196"/>
        <v>10800</v>
      </c>
      <c r="D348" s="32"/>
      <c r="E348" s="33">
        <f t="shared" si="202"/>
        <v>488000</v>
      </c>
      <c r="F348" s="33"/>
      <c r="G348" s="110"/>
      <c r="H348" s="57">
        <f t="shared" si="197"/>
        <v>0</v>
      </c>
      <c r="I348" s="33">
        <f t="shared" si="198"/>
        <v>492000</v>
      </c>
      <c r="J348" s="31">
        <f t="shared" si="203"/>
        <v>6800</v>
      </c>
      <c r="K348" s="156" t="b">
        <f t="shared" si="200"/>
        <v>1</v>
      </c>
      <c r="L348" s="5"/>
      <c r="M348" s="5"/>
      <c r="N348" s="5"/>
      <c r="O348" s="5"/>
      <c r="Q348" s="5"/>
    </row>
    <row r="349" spans="1:17">
      <c r="A349" s="130" t="str">
        <f>+A347</f>
        <v>OCTOBRE</v>
      </c>
      <c r="B349" s="135" t="s">
        <v>29</v>
      </c>
      <c r="C349" s="33">
        <f t="shared" si="196"/>
        <v>9500</v>
      </c>
      <c r="D349" s="32"/>
      <c r="E349" s="33">
        <f>+D301</f>
        <v>20000</v>
      </c>
      <c r="F349" s="33"/>
      <c r="G349" s="110"/>
      <c r="H349" s="57">
        <f t="shared" si="197"/>
        <v>0</v>
      </c>
      <c r="I349" s="33">
        <f t="shared" si="198"/>
        <v>24000</v>
      </c>
      <c r="J349" s="31">
        <f t="shared" ref="J349" si="204">+SUM(C349:G349)-(H349+I349)</f>
        <v>5500</v>
      </c>
      <c r="K349" s="156" t="b">
        <f t="shared" si="200"/>
        <v>1</v>
      </c>
      <c r="L349" s="5"/>
      <c r="M349" s="5"/>
      <c r="N349" s="5"/>
      <c r="O349" s="5"/>
      <c r="Q349" s="5"/>
    </row>
    <row r="350" spans="1:17">
      <c r="A350" s="130" t="str">
        <f>+A348</f>
        <v>OCTOBRE</v>
      </c>
      <c r="B350" s="135" t="s">
        <v>156</v>
      </c>
      <c r="C350" s="33">
        <f t="shared" si="196"/>
        <v>21200</v>
      </c>
      <c r="D350" s="32"/>
      <c r="E350" s="33">
        <f>+D302</f>
        <v>543000</v>
      </c>
      <c r="F350" s="33"/>
      <c r="G350" s="110"/>
      <c r="H350" s="57">
        <f t="shared" si="197"/>
        <v>0</v>
      </c>
      <c r="I350" s="33">
        <f t="shared" si="198"/>
        <v>533500</v>
      </c>
      <c r="J350" s="31">
        <f t="shared" si="203"/>
        <v>30700</v>
      </c>
      <c r="K350" s="156" t="b">
        <f t="shared" si="200"/>
        <v>1</v>
      </c>
      <c r="L350" s="5"/>
      <c r="M350" s="5"/>
      <c r="N350" s="5"/>
      <c r="O350" s="5"/>
      <c r="Q350" s="5"/>
    </row>
    <row r="351" spans="1:17">
      <c r="A351" s="130" t="str">
        <f t="shared" si="201"/>
        <v>OCTOBRE</v>
      </c>
      <c r="B351" s="136" t="s">
        <v>114</v>
      </c>
      <c r="C351" s="33">
        <f t="shared" ref="C351" si="205">C303</f>
        <v>26193</v>
      </c>
      <c r="D351" s="127"/>
      <c r="E351" s="33">
        <f t="shared" ref="E351" si="206">+D303</f>
        <v>36000</v>
      </c>
      <c r="F351" s="53"/>
      <c r="G351" s="147"/>
      <c r="H351" s="57">
        <f t="shared" ref="H351" si="207">+F303</f>
        <v>0</v>
      </c>
      <c r="I351" s="33">
        <f t="shared" ref="I351" si="208">+E303</f>
        <v>53000</v>
      </c>
      <c r="J351" s="31">
        <f t="shared" si="203"/>
        <v>9193</v>
      </c>
      <c r="K351" s="156" t="b">
        <f t="shared" si="200"/>
        <v>1</v>
      </c>
      <c r="L351" s="5"/>
      <c r="M351" s="5"/>
      <c r="N351" s="5"/>
      <c r="O351" s="5"/>
      <c r="Q351" s="5"/>
    </row>
    <row r="352" spans="1:17">
      <c r="A352" s="35" t="s">
        <v>61</v>
      </c>
      <c r="B352" s="36"/>
      <c r="C352" s="36"/>
      <c r="D352" s="36"/>
      <c r="E352" s="36"/>
      <c r="F352" s="36"/>
      <c r="G352" s="36"/>
      <c r="H352" s="36"/>
      <c r="I352" s="36"/>
      <c r="J352" s="37"/>
      <c r="K352" s="155"/>
      <c r="L352" s="5"/>
      <c r="M352" s="5"/>
      <c r="N352" s="5"/>
      <c r="O352" s="5"/>
      <c r="Q352" s="5"/>
    </row>
    <row r="353" spans="1:17">
      <c r="A353" s="130" t="str">
        <f>+A351</f>
        <v>OCTOBRE</v>
      </c>
      <c r="B353" s="38" t="s">
        <v>62</v>
      </c>
      <c r="C353" s="39">
        <f>C292</f>
        <v>23107840</v>
      </c>
      <c r="D353" s="51"/>
      <c r="E353" s="51">
        <f>D292</f>
        <v>0</v>
      </c>
      <c r="F353" s="51"/>
      <c r="G353" s="133"/>
      <c r="H353" s="53">
        <f>+F292</f>
        <v>3000000</v>
      </c>
      <c r="I353" s="134">
        <f>+E292</f>
        <v>4020633</v>
      </c>
      <c r="J353" s="46">
        <f>+SUM(C353:G353)-(H353+I353)</f>
        <v>16087207</v>
      </c>
      <c r="K353" s="156" t="b">
        <f>J353=I292</f>
        <v>1</v>
      </c>
      <c r="L353" s="5"/>
      <c r="M353" s="5"/>
      <c r="N353" s="5"/>
      <c r="O353" s="5"/>
      <c r="Q353" s="5"/>
    </row>
    <row r="354" spans="1:17">
      <c r="A354" s="44" t="s">
        <v>63</v>
      </c>
      <c r="B354" s="25"/>
      <c r="C354" s="36"/>
      <c r="D354" s="25"/>
      <c r="E354" s="25"/>
      <c r="F354" s="25"/>
      <c r="G354" s="25"/>
      <c r="H354" s="25"/>
      <c r="I354" s="25"/>
      <c r="J354" s="37"/>
      <c r="K354" s="155"/>
      <c r="L354" s="5"/>
      <c r="M354" s="5"/>
      <c r="N354" s="5"/>
      <c r="O354" s="5"/>
      <c r="Q354" s="5"/>
    </row>
    <row r="355" spans="1:17">
      <c r="A355" s="130" t="str">
        <f>+A353</f>
        <v>OCTOBRE</v>
      </c>
      <c r="B355" s="38" t="s">
        <v>167</v>
      </c>
      <c r="C355" s="133">
        <f>C290</f>
        <v>0</v>
      </c>
      <c r="D355" s="140">
        <f>G290</f>
        <v>0</v>
      </c>
      <c r="E355" s="51"/>
      <c r="F355" s="51"/>
      <c r="G355" s="51"/>
      <c r="H355" s="53">
        <f>+F290</f>
        <v>0</v>
      </c>
      <c r="I355" s="55">
        <f>+E290</f>
        <v>114000</v>
      </c>
      <c r="J355" s="46">
        <f>+SUM(C355:G355)-(H355+I355)</f>
        <v>-114000</v>
      </c>
      <c r="K355" s="156" t="b">
        <f>+J355=I290</f>
        <v>0</v>
      </c>
      <c r="L355" s="5"/>
      <c r="M355" s="5"/>
      <c r="N355" s="5"/>
      <c r="O355" s="5"/>
      <c r="Q355" s="5"/>
    </row>
    <row r="356" spans="1:17">
      <c r="A356" s="130" t="str">
        <f t="shared" ref="A356" si="209">+A355</f>
        <v>OCTOBRE</v>
      </c>
      <c r="B356" s="38" t="s">
        <v>65</v>
      </c>
      <c r="C356" s="133">
        <f>C291</f>
        <v>6762063</v>
      </c>
      <c r="D356" s="51">
        <f>G291</f>
        <v>0</v>
      </c>
      <c r="E356" s="50"/>
      <c r="F356" s="50"/>
      <c r="G356" s="50"/>
      <c r="H356" s="33">
        <f>+F291</f>
        <v>1000000</v>
      </c>
      <c r="I356" s="52">
        <f>+E291</f>
        <v>23345</v>
      </c>
      <c r="J356" s="46">
        <f>SUM(C356:G356)-(H356+I356)</f>
        <v>5738718</v>
      </c>
      <c r="K356" s="156" t="b">
        <f>+J356=I291</f>
        <v>1</v>
      </c>
      <c r="L356" s="5"/>
      <c r="M356" s="5"/>
      <c r="N356" s="5"/>
      <c r="O356" s="5"/>
      <c r="Q356" s="5"/>
    </row>
    <row r="357" spans="1:17" ht="15.75">
      <c r="C357" s="151">
        <f>SUM(C341:C356)</f>
        <v>32188231</v>
      </c>
      <c r="I357" s="149">
        <f>SUM(I341:I356)</f>
        <v>8513041</v>
      </c>
      <c r="J357" s="111">
        <f>+SUM(J340:J356)</f>
        <v>23249297</v>
      </c>
      <c r="K357" s="5" t="b">
        <f>J357=I304</f>
        <v>0</v>
      </c>
      <c r="L357" s="5"/>
      <c r="M357" s="5"/>
      <c r="N357" s="5"/>
      <c r="O357" s="5"/>
      <c r="Q357" s="5"/>
    </row>
    <row r="358" spans="1:17">
      <c r="G358" s="9"/>
      <c r="L358" s="5"/>
      <c r="M358" s="5"/>
      <c r="N358" s="5"/>
      <c r="O358" s="5"/>
      <c r="Q358" s="5"/>
    </row>
    <row r="359" spans="1:17">
      <c r="A359" s="16" t="s">
        <v>53</v>
      </c>
      <c r="B359" s="16"/>
      <c r="C359" s="16"/>
      <c r="D359" s="17"/>
      <c r="E359" s="17"/>
      <c r="F359" s="17"/>
      <c r="G359" s="17"/>
      <c r="H359" s="17"/>
      <c r="I359" s="17"/>
      <c r="L359" s="5"/>
      <c r="M359" s="5"/>
      <c r="N359" s="5"/>
      <c r="O359" s="5"/>
      <c r="Q359" s="5"/>
    </row>
    <row r="360" spans="1:17">
      <c r="A360" s="18" t="s">
        <v>154</v>
      </c>
      <c r="B360" s="18"/>
      <c r="C360" s="18"/>
      <c r="D360" s="18"/>
      <c r="E360" s="18"/>
      <c r="F360" s="18"/>
      <c r="G360" s="18"/>
      <c r="H360" s="18"/>
      <c r="I360" s="18"/>
      <c r="J360" s="18"/>
      <c r="L360" s="5"/>
      <c r="M360" s="5"/>
      <c r="N360" s="5"/>
      <c r="O360" s="5"/>
      <c r="Q360" s="5"/>
    </row>
    <row r="361" spans="1:17">
      <c r="A361" s="19"/>
      <c r="B361" s="20"/>
      <c r="C361" s="21"/>
      <c r="D361" s="21"/>
      <c r="E361" s="21"/>
      <c r="F361" s="21"/>
      <c r="G361" s="21"/>
      <c r="H361" s="20"/>
      <c r="I361" s="20"/>
      <c r="L361" s="5"/>
      <c r="M361" s="5"/>
      <c r="N361" s="5"/>
      <c r="O361" s="5"/>
      <c r="Q361" s="5"/>
    </row>
    <row r="362" spans="1:17">
      <c r="A362" s="391" t="s">
        <v>54</v>
      </c>
      <c r="B362" s="393" t="s">
        <v>55</v>
      </c>
      <c r="C362" s="395" t="s">
        <v>155</v>
      </c>
      <c r="D362" s="397" t="s">
        <v>56</v>
      </c>
      <c r="E362" s="398"/>
      <c r="F362" s="398"/>
      <c r="G362" s="399"/>
      <c r="H362" s="400" t="s">
        <v>57</v>
      </c>
      <c r="I362" s="402" t="s">
        <v>58</v>
      </c>
      <c r="J362" s="20"/>
      <c r="L362" s="5"/>
      <c r="M362" s="5"/>
      <c r="N362" s="5"/>
      <c r="O362" s="5"/>
      <c r="Q362" s="5"/>
    </row>
    <row r="363" spans="1:17">
      <c r="A363" s="392"/>
      <c r="B363" s="394"/>
      <c r="C363" s="396"/>
      <c r="D363" s="22" t="s">
        <v>24</v>
      </c>
      <c r="E363" s="22" t="s">
        <v>25</v>
      </c>
      <c r="F363" s="181" t="s">
        <v>124</v>
      </c>
      <c r="G363" s="22" t="s">
        <v>59</v>
      </c>
      <c r="H363" s="401"/>
      <c r="I363" s="403"/>
      <c r="J363" s="404" t="s">
        <v>161</v>
      </c>
      <c r="K363" s="155"/>
      <c r="L363" s="5"/>
      <c r="M363" s="5"/>
      <c r="N363" s="5"/>
      <c r="O363" s="5"/>
      <c r="Q363" s="5"/>
    </row>
    <row r="364" spans="1:17">
      <c r="A364" s="24"/>
      <c r="B364" s="25" t="s">
        <v>60</v>
      </c>
      <c r="C364" s="26"/>
      <c r="D364" s="26"/>
      <c r="E364" s="26"/>
      <c r="F364" s="26"/>
      <c r="G364" s="26"/>
      <c r="H364" s="26"/>
      <c r="I364" s="27"/>
      <c r="J364" s="405"/>
      <c r="K364" s="155"/>
      <c r="L364" s="5"/>
      <c r="M364" s="5"/>
      <c r="N364" s="5"/>
      <c r="O364" s="5"/>
      <c r="Q364" s="5"/>
    </row>
    <row r="365" spans="1:17">
      <c r="A365" s="130" t="s">
        <v>80</v>
      </c>
      <c r="B365" s="135" t="s">
        <v>48</v>
      </c>
      <c r="C365" s="33" t="e">
        <f>#REF!</f>
        <v>#REF!</v>
      </c>
      <c r="D365" s="32"/>
      <c r="E365" s="33" t="e">
        <f>+#REF!</f>
        <v>#REF!</v>
      </c>
      <c r="F365" s="33"/>
      <c r="G365" s="33"/>
      <c r="H365" s="57" t="e">
        <f>+#REF!</f>
        <v>#REF!</v>
      </c>
      <c r="I365" s="33" t="e">
        <f>+#REF!</f>
        <v>#REF!</v>
      </c>
      <c r="J365" s="31" t="e">
        <f t="shared" ref="J365:J366" si="210">+SUM(C365:G365)-(H365+I365)</f>
        <v>#REF!</v>
      </c>
      <c r="K365" s="156" t="e">
        <f>J365=#REF!</f>
        <v>#REF!</v>
      </c>
      <c r="L365" s="5"/>
      <c r="M365" s="5"/>
      <c r="N365" s="5"/>
      <c r="O365" s="5"/>
      <c r="Q365" s="5"/>
    </row>
    <row r="366" spans="1:17">
      <c r="A366" s="130" t="str">
        <f>+A365</f>
        <v>SEPTEMBRE</v>
      </c>
      <c r="B366" s="135" t="s">
        <v>31</v>
      </c>
      <c r="C366" s="33" t="e">
        <f>#REF!</f>
        <v>#REF!</v>
      </c>
      <c r="D366" s="32"/>
      <c r="E366" s="33" t="e">
        <f>+#REF!</f>
        <v>#REF!</v>
      </c>
      <c r="F366" s="33"/>
      <c r="G366" s="33"/>
      <c r="H366" s="57" t="e">
        <f>+#REF!</f>
        <v>#REF!</v>
      </c>
      <c r="I366" s="33" t="e">
        <f>+#REF!</f>
        <v>#REF!</v>
      </c>
      <c r="J366" s="107" t="e">
        <f t="shared" si="210"/>
        <v>#REF!</v>
      </c>
      <c r="K366" s="156" t="e">
        <f>J366=#REF!</f>
        <v>#REF!</v>
      </c>
      <c r="L366" s="5"/>
      <c r="M366" s="5"/>
      <c r="N366" s="5"/>
      <c r="O366" s="5"/>
      <c r="Q366" s="5"/>
    </row>
    <row r="367" spans="1:17">
      <c r="A367" s="130" t="str">
        <f t="shared" ref="A367:A374" si="211">+A366</f>
        <v>SEPTEMBRE</v>
      </c>
      <c r="B367" s="136" t="s">
        <v>153</v>
      </c>
      <c r="C367" s="33" t="e">
        <f>#REF!</f>
        <v>#REF!</v>
      </c>
      <c r="D367" s="127"/>
      <c r="E367" s="33" t="e">
        <f>#REF!</f>
        <v>#REF!</v>
      </c>
      <c r="F367" s="53"/>
      <c r="G367" s="53"/>
      <c r="H367" s="57" t="e">
        <f>+#REF!</f>
        <v>#REF!</v>
      </c>
      <c r="I367" s="33" t="e">
        <f>+#REF!</f>
        <v>#REF!</v>
      </c>
      <c r="J367" s="132" t="e">
        <f>+SUM(C367:G367)-(H367+I367)</f>
        <v>#REF!</v>
      </c>
      <c r="K367" s="156" t="e">
        <f>J367=#REF!</f>
        <v>#REF!</v>
      </c>
      <c r="L367" s="5"/>
      <c r="M367" s="5"/>
      <c r="N367" s="5"/>
      <c r="O367" s="5"/>
      <c r="Q367" s="5"/>
    </row>
    <row r="368" spans="1:17">
      <c r="A368" s="130" t="str">
        <f t="shared" si="211"/>
        <v>SEPTEMBRE</v>
      </c>
      <c r="B368" s="137" t="s">
        <v>85</v>
      </c>
      <c r="C368" s="128" t="e">
        <f>#REF!</f>
        <v>#REF!</v>
      </c>
      <c r="D368" s="131"/>
      <c r="E368" s="128" t="e">
        <f>+#REF!</f>
        <v>#REF!</v>
      </c>
      <c r="F368" s="146"/>
      <c r="G368" s="146"/>
      <c r="H368" s="180" t="e">
        <f>+#REF!</f>
        <v>#REF!</v>
      </c>
      <c r="I368" s="128" t="e">
        <f>+#REF!</f>
        <v>#REF!</v>
      </c>
      <c r="J368" s="129" t="e">
        <f>+SUM(C368:G368)-(H368+I368)</f>
        <v>#REF!</v>
      </c>
      <c r="K368" s="156" t="e">
        <f>J368=#REF!</f>
        <v>#REF!</v>
      </c>
      <c r="L368" s="5"/>
      <c r="M368" s="5"/>
      <c r="N368" s="5"/>
      <c r="O368" s="5"/>
      <c r="Q368" s="5"/>
    </row>
    <row r="369" spans="1:17">
      <c r="A369" s="130" t="str">
        <f t="shared" si="211"/>
        <v>SEPTEMBRE</v>
      </c>
      <c r="B369" s="137" t="s">
        <v>84</v>
      </c>
      <c r="C369" s="128" t="e">
        <f>#REF!</f>
        <v>#REF!</v>
      </c>
      <c r="D369" s="131"/>
      <c r="E369" s="128" t="e">
        <f>+#REF!</f>
        <v>#REF!</v>
      </c>
      <c r="F369" s="146"/>
      <c r="G369" s="146"/>
      <c r="H369" s="180" t="e">
        <f>+#REF!</f>
        <v>#REF!</v>
      </c>
      <c r="I369" s="128" t="e">
        <f>+#REF!</f>
        <v>#REF!</v>
      </c>
      <c r="J369" s="129" t="e">
        <f t="shared" ref="J369:J374" si="212">+SUM(C369:G369)-(H369+I369)</f>
        <v>#REF!</v>
      </c>
      <c r="K369" s="156" t="e">
        <f>J369=#REF!</f>
        <v>#REF!</v>
      </c>
      <c r="L369" s="5"/>
      <c r="M369" s="5"/>
      <c r="N369" s="5"/>
      <c r="O369" s="5"/>
      <c r="Q369" s="5"/>
    </row>
    <row r="370" spans="1:17">
      <c r="A370" s="130" t="str">
        <f t="shared" si="211"/>
        <v>SEPTEMBRE</v>
      </c>
      <c r="B370" s="135" t="s">
        <v>152</v>
      </c>
      <c r="C370" s="33" t="e">
        <f>#REF!</f>
        <v>#REF!</v>
      </c>
      <c r="D370" s="32"/>
      <c r="E370" s="33" t="e">
        <f>+#REF!</f>
        <v>#REF!</v>
      </c>
      <c r="F370" s="33"/>
      <c r="G370" s="110"/>
      <c r="H370" s="57" t="e">
        <f>+#REF!</f>
        <v>#REF!</v>
      </c>
      <c r="I370" s="33" t="e">
        <f>+#REF!</f>
        <v>#REF!</v>
      </c>
      <c r="J370" s="31" t="e">
        <f t="shared" si="212"/>
        <v>#REF!</v>
      </c>
      <c r="K370" s="156" t="e">
        <f>J370=#REF!</f>
        <v>#REF!</v>
      </c>
      <c r="L370" s="5"/>
      <c r="M370" s="5"/>
      <c r="N370" s="5"/>
      <c r="O370" s="5"/>
      <c r="Q370" s="5"/>
    </row>
    <row r="371" spans="1:17">
      <c r="A371" s="130" t="str">
        <f t="shared" si="211"/>
        <v>SEPTEMBRE</v>
      </c>
      <c r="B371" s="135" t="s">
        <v>30</v>
      </c>
      <c r="C371" s="33" t="e">
        <f>#REF!</f>
        <v>#REF!</v>
      </c>
      <c r="D371" s="32"/>
      <c r="E371" s="33" t="e">
        <f>+#REF!</f>
        <v>#REF!</v>
      </c>
      <c r="F371" s="33"/>
      <c r="G371" s="110"/>
      <c r="H371" s="57" t="e">
        <f>+#REF!</f>
        <v>#REF!</v>
      </c>
      <c r="I371" s="33" t="e">
        <f>+#REF!</f>
        <v>#REF!</v>
      </c>
      <c r="J371" s="31" t="e">
        <f t="shared" si="212"/>
        <v>#REF!</v>
      </c>
      <c r="K371" s="156" t="e">
        <f>J371=#REF!</f>
        <v>#REF!</v>
      </c>
      <c r="L371" s="5"/>
      <c r="M371" s="5"/>
      <c r="N371" s="5"/>
      <c r="O371" s="5"/>
      <c r="Q371" s="5"/>
    </row>
    <row r="372" spans="1:17">
      <c r="A372" s="130" t="str">
        <f t="shared" si="211"/>
        <v>SEPTEMBRE</v>
      </c>
      <c r="B372" s="135" t="s">
        <v>94</v>
      </c>
      <c r="C372" s="33" t="e">
        <f>#REF!</f>
        <v>#REF!</v>
      </c>
      <c r="D372" s="32"/>
      <c r="E372" s="33" t="e">
        <f>+#REF!</f>
        <v>#REF!</v>
      </c>
      <c r="F372" s="33"/>
      <c r="G372" s="110"/>
      <c r="H372" s="57" t="e">
        <f>+#REF!</f>
        <v>#REF!</v>
      </c>
      <c r="I372" s="33" t="e">
        <f>+#REF!</f>
        <v>#REF!</v>
      </c>
      <c r="J372" s="31" t="e">
        <f t="shared" si="212"/>
        <v>#REF!</v>
      </c>
      <c r="K372" s="156" t="e">
        <f>J372=#REF!</f>
        <v>#REF!</v>
      </c>
      <c r="L372" s="5"/>
      <c r="M372" s="5"/>
      <c r="N372" s="5"/>
      <c r="O372" s="5"/>
      <c r="Q372" s="5"/>
    </row>
    <row r="373" spans="1:17">
      <c r="A373" s="130" t="str">
        <f t="shared" si="211"/>
        <v>SEPTEMBRE</v>
      </c>
      <c r="B373" s="135" t="s">
        <v>156</v>
      </c>
      <c r="C373" s="33" t="e">
        <f>#REF!</f>
        <v>#REF!</v>
      </c>
      <c r="D373" s="32"/>
      <c r="E373" s="33" t="e">
        <f>+#REF!</f>
        <v>#REF!</v>
      </c>
      <c r="F373" s="33"/>
      <c r="G373" s="110"/>
      <c r="H373" s="57" t="e">
        <f>+#REF!</f>
        <v>#REF!</v>
      </c>
      <c r="I373" s="33" t="e">
        <f>+#REF!</f>
        <v>#REF!</v>
      </c>
      <c r="J373" s="31" t="e">
        <f t="shared" si="212"/>
        <v>#REF!</v>
      </c>
      <c r="K373" s="156" t="e">
        <f>J373=#REF!</f>
        <v>#REF!</v>
      </c>
      <c r="L373" s="5"/>
      <c r="M373" s="5"/>
      <c r="N373" s="5"/>
      <c r="O373" s="5"/>
      <c r="Q373" s="5"/>
    </row>
    <row r="374" spans="1:17">
      <c r="A374" s="130" t="str">
        <f t="shared" si="211"/>
        <v>SEPTEMBRE</v>
      </c>
      <c r="B374" s="136" t="s">
        <v>114</v>
      </c>
      <c r="C374" s="33" t="e">
        <f>#REF!</f>
        <v>#REF!</v>
      </c>
      <c r="D374" s="127"/>
      <c r="E374" s="33" t="e">
        <f>+#REF!</f>
        <v>#REF!</v>
      </c>
      <c r="F374" s="53"/>
      <c r="G374" s="147"/>
      <c r="H374" s="57" t="e">
        <f>+#REF!</f>
        <v>#REF!</v>
      </c>
      <c r="I374" s="33" t="e">
        <f>+#REF!</f>
        <v>#REF!</v>
      </c>
      <c r="J374" s="31" t="e">
        <f t="shared" si="212"/>
        <v>#REF!</v>
      </c>
      <c r="K374" s="156" t="e">
        <f>J374=#REF!</f>
        <v>#REF!</v>
      </c>
      <c r="L374" s="5"/>
      <c r="M374" s="5"/>
      <c r="N374" s="5"/>
      <c r="O374" s="5"/>
      <c r="Q374" s="5"/>
    </row>
    <row r="375" spans="1:17">
      <c r="A375" s="35" t="s">
        <v>61</v>
      </c>
      <c r="B375" s="36"/>
      <c r="C375" s="36"/>
      <c r="D375" s="36"/>
      <c r="E375" s="36"/>
      <c r="F375" s="36"/>
      <c r="G375" s="36"/>
      <c r="H375" s="36"/>
      <c r="I375" s="36"/>
      <c r="J375" s="37"/>
      <c r="K375" s="155"/>
      <c r="L375" s="5"/>
      <c r="M375" s="5"/>
      <c r="N375" s="5"/>
      <c r="O375" s="5"/>
      <c r="Q375" s="5"/>
    </row>
    <row r="376" spans="1:17">
      <c r="A376" s="130" t="str">
        <f>+A374</f>
        <v>SEPTEMBRE</v>
      </c>
      <c r="B376" s="38" t="s">
        <v>62</v>
      </c>
      <c r="C376" s="39" t="e">
        <f>#REF!</f>
        <v>#REF!</v>
      </c>
      <c r="D376" s="51"/>
      <c r="E376" s="51" t="e">
        <f>#REF!</f>
        <v>#REF!</v>
      </c>
      <c r="F376" s="51"/>
      <c r="G376" s="133"/>
      <c r="H376" s="53" t="e">
        <f>+#REF!</f>
        <v>#REF!</v>
      </c>
      <c r="I376" s="134" t="e">
        <f>+#REF!</f>
        <v>#REF!</v>
      </c>
      <c r="J376" s="46" t="e">
        <f>+SUM(C376:G376)-(H376+I376)</f>
        <v>#REF!</v>
      </c>
      <c r="K376" s="156" t="e">
        <f>J376=#REF!</f>
        <v>#REF!</v>
      </c>
      <c r="L376" s="5"/>
      <c r="M376" s="5"/>
      <c r="N376" s="5"/>
      <c r="O376" s="5"/>
      <c r="Q376" s="5"/>
    </row>
    <row r="377" spans="1:17">
      <c r="A377" s="44" t="s">
        <v>63</v>
      </c>
      <c r="B377" s="25"/>
      <c r="C377" s="36"/>
      <c r="D377" s="25"/>
      <c r="E377" s="25"/>
      <c r="F377" s="25"/>
      <c r="G377" s="25"/>
      <c r="H377" s="25"/>
      <c r="I377" s="25"/>
      <c r="J377" s="37"/>
      <c r="K377" s="155"/>
      <c r="L377" s="5"/>
      <c r="M377" s="5"/>
      <c r="N377" s="5"/>
      <c r="O377" s="5"/>
      <c r="Q377" s="5"/>
    </row>
    <row r="378" spans="1:17">
      <c r="A378" s="130" t="str">
        <f>+A376</f>
        <v>SEPTEMBRE</v>
      </c>
      <c r="B378" s="38" t="s">
        <v>64</v>
      </c>
      <c r="C378" s="133" t="e">
        <f>#REF!</f>
        <v>#REF!</v>
      </c>
      <c r="D378" s="140"/>
      <c r="E378" s="51"/>
      <c r="F378" s="51"/>
      <c r="G378" s="51"/>
      <c r="H378" s="53" t="e">
        <f>+#REF!</f>
        <v>#REF!</v>
      </c>
      <c r="I378" s="55" t="e">
        <f>+#REF!</f>
        <v>#REF!</v>
      </c>
      <c r="J378" s="46" t="e">
        <f>+SUM(C378:G378)-(H378+I378)</f>
        <v>#REF!</v>
      </c>
      <c r="K378" s="156" t="e">
        <f>+J378=#REF!</f>
        <v>#REF!</v>
      </c>
      <c r="L378" s="5"/>
      <c r="M378" s="5"/>
      <c r="N378" s="5"/>
      <c r="O378" s="5"/>
      <c r="Q378" s="5"/>
    </row>
    <row r="379" spans="1:17">
      <c r="A379" s="130" t="str">
        <f t="shared" ref="A379" si="213">+A378</f>
        <v>SEPTEMBRE</v>
      </c>
      <c r="B379" s="38" t="s">
        <v>65</v>
      </c>
      <c r="C379" s="133" t="e">
        <f>#REF!</f>
        <v>#REF!</v>
      </c>
      <c r="D379" s="51"/>
      <c r="E379" s="50"/>
      <c r="F379" s="50"/>
      <c r="G379" s="50"/>
      <c r="H379" s="33" t="e">
        <f>+#REF!</f>
        <v>#REF!</v>
      </c>
      <c r="I379" s="52" t="e">
        <f>+#REF!</f>
        <v>#REF!</v>
      </c>
      <c r="J379" s="46" t="e">
        <f>SUM(C379:G379)-(H379+I379)</f>
        <v>#REF!</v>
      </c>
      <c r="K379" s="156" t="e">
        <f>+J379=#REF!</f>
        <v>#REF!</v>
      </c>
      <c r="L379" s="5"/>
      <c r="M379" s="5"/>
      <c r="N379" s="5"/>
      <c r="O379" s="5"/>
      <c r="Q379" s="5"/>
    </row>
    <row r="380" spans="1:17" ht="15.75">
      <c r="C380" s="151" t="e">
        <f>SUM(C365:C379)</f>
        <v>#REF!</v>
      </c>
      <c r="I380" s="149" t="e">
        <f>SUM(I365:I379)</f>
        <v>#REF!</v>
      </c>
      <c r="J380" s="111" t="e">
        <f>+SUM(J365:J379)</f>
        <v>#REF!</v>
      </c>
      <c r="K380" s="5" t="e">
        <f>J380=#REF!</f>
        <v>#REF!</v>
      </c>
      <c r="L380" s="5"/>
      <c r="M380" s="5"/>
      <c r="N380" s="5"/>
      <c r="O380" s="5"/>
      <c r="Q380" s="5"/>
    </row>
    <row r="381" spans="1:17">
      <c r="G381" s="9"/>
      <c r="L381" s="5"/>
      <c r="M381" s="5"/>
      <c r="N381" s="5"/>
      <c r="O381" s="5"/>
      <c r="Q381" s="5"/>
    </row>
    <row r="382" spans="1:17">
      <c r="A382" s="16" t="s">
        <v>53</v>
      </c>
      <c r="B382" s="16"/>
      <c r="C382" s="16"/>
      <c r="D382" s="17"/>
      <c r="E382" s="17"/>
      <c r="F382" s="17"/>
      <c r="G382" s="17"/>
      <c r="H382" s="17"/>
      <c r="I382" s="17"/>
      <c r="L382" s="5"/>
      <c r="M382" s="5"/>
      <c r="N382" s="5"/>
      <c r="O382" s="5"/>
      <c r="Q382" s="5"/>
    </row>
    <row r="383" spans="1:17">
      <c r="A383" s="18" t="s">
        <v>150</v>
      </c>
      <c r="B383" s="18"/>
      <c r="C383" s="18"/>
      <c r="D383" s="18"/>
      <c r="E383" s="18"/>
      <c r="F383" s="18"/>
      <c r="G383" s="18"/>
      <c r="H383" s="18"/>
      <c r="I383" s="18"/>
      <c r="J383" s="17"/>
      <c r="L383" s="5"/>
      <c r="M383" s="5"/>
      <c r="N383" s="5"/>
      <c r="O383" s="5"/>
      <c r="Q383" s="5"/>
    </row>
    <row r="384" spans="1:17">
      <c r="A384" s="19"/>
      <c r="B384" s="20"/>
      <c r="C384" s="21"/>
      <c r="D384" s="21"/>
      <c r="E384" s="21"/>
      <c r="F384" s="21"/>
      <c r="G384" s="21"/>
      <c r="H384" s="20"/>
      <c r="I384" s="20"/>
      <c r="J384" s="18"/>
      <c r="L384" s="5"/>
      <c r="M384" s="5"/>
      <c r="N384" s="5"/>
      <c r="O384" s="5"/>
      <c r="Q384" s="5"/>
    </row>
    <row r="385" spans="1:17">
      <c r="A385" s="391" t="s">
        <v>54</v>
      </c>
      <c r="B385" s="393" t="s">
        <v>55</v>
      </c>
      <c r="C385" s="395" t="s">
        <v>149</v>
      </c>
      <c r="D385" s="397" t="s">
        <v>56</v>
      </c>
      <c r="E385" s="398"/>
      <c r="F385" s="398"/>
      <c r="G385" s="399"/>
      <c r="H385" s="400" t="s">
        <v>57</v>
      </c>
      <c r="I385" s="402" t="s">
        <v>58</v>
      </c>
      <c r="J385" s="20"/>
      <c r="L385" s="5"/>
      <c r="M385" s="5"/>
      <c r="N385" s="5"/>
      <c r="O385" s="5"/>
      <c r="Q385" s="5"/>
    </row>
    <row r="386" spans="1:17">
      <c r="A386" s="392"/>
      <c r="B386" s="394"/>
      <c r="C386" s="396"/>
      <c r="D386" s="22" t="s">
        <v>24</v>
      </c>
      <c r="E386" s="22" t="s">
        <v>25</v>
      </c>
      <c r="F386" s="176" t="s">
        <v>124</v>
      </c>
      <c r="G386" s="22" t="s">
        <v>59</v>
      </c>
      <c r="H386" s="401"/>
      <c r="I386" s="403"/>
      <c r="J386" s="404" t="s">
        <v>151</v>
      </c>
      <c r="K386" s="155"/>
      <c r="L386" s="5"/>
      <c r="M386" s="5"/>
      <c r="N386" s="5"/>
      <c r="O386" s="5"/>
      <c r="Q386" s="5"/>
    </row>
    <row r="387" spans="1:17">
      <c r="A387" s="24"/>
      <c r="B387" s="25" t="s">
        <v>60</v>
      </c>
      <c r="C387" s="26"/>
      <c r="D387" s="26"/>
      <c r="E387" s="26"/>
      <c r="F387" s="26"/>
      <c r="G387" s="26"/>
      <c r="H387" s="26"/>
      <c r="I387" s="27"/>
      <c r="J387" s="405"/>
      <c r="K387" s="155"/>
      <c r="L387" s="5"/>
      <c r="M387" s="5"/>
      <c r="N387" s="5"/>
      <c r="O387" s="5"/>
      <c r="Q387" s="5"/>
    </row>
    <row r="388" spans="1:17">
      <c r="A388" s="130" t="s">
        <v>148</v>
      </c>
      <c r="B388" s="135" t="s">
        <v>48</v>
      </c>
      <c r="C388" s="33" t="e">
        <f>#REF!</f>
        <v>#REF!</v>
      </c>
      <c r="D388" s="32"/>
      <c r="E388" s="33" t="e">
        <f>+#REF!</f>
        <v>#REF!</v>
      </c>
      <c r="F388" s="33"/>
      <c r="G388" s="33"/>
      <c r="H388" s="57" t="e">
        <f>+#REF!</f>
        <v>#REF!</v>
      </c>
      <c r="I388" s="33" t="e">
        <f>+#REF!</f>
        <v>#REF!</v>
      </c>
      <c r="J388" s="31" t="e">
        <f t="shared" ref="J388:J389" si="214">+SUM(C388:G388)-(H388+I388)</f>
        <v>#REF!</v>
      </c>
      <c r="K388" s="156" t="e">
        <f>J388=#REF!</f>
        <v>#REF!</v>
      </c>
      <c r="L388" s="5"/>
      <c r="M388" s="5"/>
      <c r="N388" s="5"/>
      <c r="O388" s="5"/>
      <c r="Q388" s="5"/>
    </row>
    <row r="389" spans="1:17">
      <c r="A389" s="130" t="s">
        <v>148</v>
      </c>
      <c r="B389" s="135" t="s">
        <v>31</v>
      </c>
      <c r="C389" s="33" t="e">
        <f>#REF!</f>
        <v>#REF!</v>
      </c>
      <c r="D389" s="32"/>
      <c r="E389" s="33" t="e">
        <f>+#REF!</f>
        <v>#REF!</v>
      </c>
      <c r="F389" s="33"/>
      <c r="G389" s="33"/>
      <c r="H389" s="57" t="e">
        <f>+#REF!</f>
        <v>#REF!</v>
      </c>
      <c r="I389" s="33" t="e">
        <f>+#REF!</f>
        <v>#REF!</v>
      </c>
      <c r="J389" s="107" t="e">
        <f t="shared" si="214"/>
        <v>#REF!</v>
      </c>
      <c r="K389" s="156" t="e">
        <f>J389=#REF!</f>
        <v>#REF!</v>
      </c>
      <c r="L389" s="5"/>
      <c r="M389" s="5"/>
      <c r="N389" s="5"/>
      <c r="O389" s="5"/>
      <c r="Q389" s="5"/>
    </row>
    <row r="390" spans="1:17">
      <c r="A390" s="130" t="s">
        <v>148</v>
      </c>
      <c r="B390" s="136" t="s">
        <v>153</v>
      </c>
      <c r="C390" s="33" t="e">
        <f>#REF!</f>
        <v>#REF!</v>
      </c>
      <c r="D390" s="127"/>
      <c r="E390" s="33">
        <v>30000</v>
      </c>
      <c r="F390" s="53">
        <v>240000</v>
      </c>
      <c r="G390" s="53"/>
      <c r="H390" s="57" t="e">
        <f>+#REF!</f>
        <v>#REF!</v>
      </c>
      <c r="I390" s="33" t="e">
        <f>+#REF!</f>
        <v>#REF!</v>
      </c>
      <c r="J390" s="132" t="e">
        <f>+SUM(C390:G390)-(H390+I390)</f>
        <v>#REF!</v>
      </c>
      <c r="K390" s="156" t="e">
        <f>J390=#REF!</f>
        <v>#REF!</v>
      </c>
      <c r="L390" s="5"/>
      <c r="M390" s="5"/>
      <c r="N390" s="5"/>
      <c r="O390" s="5"/>
      <c r="Q390" s="5"/>
    </row>
    <row r="391" spans="1:17">
      <c r="A391" s="130" t="s">
        <v>148</v>
      </c>
      <c r="B391" s="137" t="s">
        <v>85</v>
      </c>
      <c r="C391" s="128" t="e">
        <f>#REF!</f>
        <v>#REF!</v>
      </c>
      <c r="D391" s="131"/>
      <c r="E391" s="128" t="e">
        <f>+#REF!</f>
        <v>#REF!</v>
      </c>
      <c r="F391" s="146"/>
      <c r="G391" s="146"/>
      <c r="H391" s="180" t="e">
        <f>+#REF!</f>
        <v>#REF!</v>
      </c>
      <c r="I391" s="128" t="e">
        <f>+#REF!</f>
        <v>#REF!</v>
      </c>
      <c r="J391" s="129" t="e">
        <f>+SUM(C391:G391)-(H391+I391)</f>
        <v>#REF!</v>
      </c>
      <c r="K391" s="156" t="e">
        <f>J391=#REF!</f>
        <v>#REF!</v>
      </c>
      <c r="L391" s="5"/>
      <c r="M391" s="5"/>
      <c r="N391" s="5"/>
      <c r="O391" s="5"/>
      <c r="Q391" s="5"/>
    </row>
    <row r="392" spans="1:17">
      <c r="A392" s="130" t="s">
        <v>148</v>
      </c>
      <c r="B392" s="137" t="s">
        <v>84</v>
      </c>
      <c r="C392" s="128" t="e">
        <f>#REF!</f>
        <v>#REF!</v>
      </c>
      <c r="D392" s="131"/>
      <c r="E392" s="128" t="e">
        <f>+#REF!</f>
        <v>#REF!</v>
      </c>
      <c r="F392" s="146"/>
      <c r="G392" s="146"/>
      <c r="H392" s="180" t="e">
        <f>+#REF!</f>
        <v>#REF!</v>
      </c>
      <c r="I392" s="128" t="e">
        <f>+#REF!</f>
        <v>#REF!</v>
      </c>
      <c r="J392" s="129" t="e">
        <f t="shared" ref="J392:J398" si="215">+SUM(C392:G392)-(H392+I392)</f>
        <v>#REF!</v>
      </c>
      <c r="K392" s="156" t="e">
        <f>J392=#REF!</f>
        <v>#REF!</v>
      </c>
      <c r="L392" s="5"/>
      <c r="M392" s="5"/>
      <c r="N392" s="5"/>
      <c r="O392" s="5"/>
      <c r="Q392" s="5"/>
    </row>
    <row r="393" spans="1:17">
      <c r="A393" s="130" t="s">
        <v>148</v>
      </c>
      <c r="B393" s="135" t="s">
        <v>152</v>
      </c>
      <c r="C393" s="33" t="e">
        <f>#REF!</f>
        <v>#REF!</v>
      </c>
      <c r="D393" s="32"/>
      <c r="E393" s="33" t="e">
        <f>+#REF!</f>
        <v>#REF!</v>
      </c>
      <c r="F393" s="33"/>
      <c r="G393" s="110"/>
      <c r="H393" s="57" t="e">
        <f>+#REF!</f>
        <v>#REF!</v>
      </c>
      <c r="I393" s="33" t="e">
        <f>+#REF!</f>
        <v>#REF!</v>
      </c>
      <c r="J393" s="31" t="e">
        <f t="shared" si="215"/>
        <v>#REF!</v>
      </c>
      <c r="K393" s="156" t="e">
        <f>J393=#REF!</f>
        <v>#REF!</v>
      </c>
      <c r="L393" s="5"/>
      <c r="M393" s="5"/>
      <c r="N393" s="5"/>
      <c r="O393" s="5"/>
      <c r="Q393" s="5"/>
    </row>
    <row r="394" spans="1:17">
      <c r="A394" s="130" t="s">
        <v>148</v>
      </c>
      <c r="B394" s="135" t="s">
        <v>30</v>
      </c>
      <c r="C394" s="33" t="e">
        <f>#REF!</f>
        <v>#REF!</v>
      </c>
      <c r="D394" s="32"/>
      <c r="E394" s="33" t="e">
        <f>+#REF!</f>
        <v>#REF!</v>
      </c>
      <c r="F394" s="33"/>
      <c r="G394" s="110"/>
      <c r="H394" s="57" t="e">
        <f>+#REF!</f>
        <v>#REF!</v>
      </c>
      <c r="I394" s="33" t="e">
        <f>+#REF!</f>
        <v>#REF!</v>
      </c>
      <c r="J394" s="31" t="e">
        <f t="shared" si="215"/>
        <v>#REF!</v>
      </c>
      <c r="K394" s="156" t="e">
        <f>J394=#REF!</f>
        <v>#REF!</v>
      </c>
      <c r="L394" s="5"/>
      <c r="M394" s="5"/>
      <c r="N394" s="5"/>
      <c r="O394" s="5"/>
      <c r="Q394" s="5"/>
    </row>
    <row r="395" spans="1:17">
      <c r="A395" s="130" t="s">
        <v>148</v>
      </c>
      <c r="B395" s="135" t="s">
        <v>36</v>
      </c>
      <c r="C395" s="33" t="e">
        <f>#REF!</f>
        <v>#REF!</v>
      </c>
      <c r="D395" s="32"/>
      <c r="E395" s="33">
        <v>15000</v>
      </c>
      <c r="F395" s="33">
        <v>496625</v>
      </c>
      <c r="G395" s="110"/>
      <c r="H395" s="57" t="e">
        <f>+#REF!</f>
        <v>#REF!</v>
      </c>
      <c r="I395" s="33" t="e">
        <f>+#REF!</f>
        <v>#REF!</v>
      </c>
      <c r="J395" s="31" t="e">
        <f t="shared" si="215"/>
        <v>#REF!</v>
      </c>
      <c r="K395" s="156" t="e">
        <f>J395=#REF!</f>
        <v>#REF!</v>
      </c>
      <c r="L395" s="5"/>
      <c r="M395" s="5"/>
      <c r="N395" s="5"/>
      <c r="O395" s="5"/>
      <c r="Q395" s="5"/>
    </row>
    <row r="396" spans="1:17">
      <c r="A396" s="130" t="s">
        <v>148</v>
      </c>
      <c r="B396" s="135" t="s">
        <v>94</v>
      </c>
      <c r="C396" s="33" t="e">
        <f>#REF!</f>
        <v>#REF!</v>
      </c>
      <c r="D396" s="32"/>
      <c r="E396" s="33" t="e">
        <f>+#REF!</f>
        <v>#REF!</v>
      </c>
      <c r="F396" s="33"/>
      <c r="G396" s="110"/>
      <c r="H396" s="57" t="e">
        <f>+#REF!</f>
        <v>#REF!</v>
      </c>
      <c r="I396" s="33" t="e">
        <f>+#REF!</f>
        <v>#REF!</v>
      </c>
      <c r="J396" s="31" t="e">
        <f t="shared" si="215"/>
        <v>#REF!</v>
      </c>
      <c r="K396" s="156" t="e">
        <f>J396=#REF!</f>
        <v>#REF!</v>
      </c>
      <c r="L396" s="5"/>
      <c r="M396" s="5"/>
      <c r="N396" s="5"/>
      <c r="O396" s="5"/>
      <c r="Q396" s="5"/>
    </row>
    <row r="397" spans="1:17">
      <c r="A397" s="130" t="s">
        <v>148</v>
      </c>
      <c r="B397" s="135" t="s">
        <v>29</v>
      </c>
      <c r="C397" s="33" t="e">
        <f>#REF!</f>
        <v>#REF!</v>
      </c>
      <c r="D397" s="32"/>
      <c r="E397" s="33" t="e">
        <f>+#REF!</f>
        <v>#REF!</v>
      </c>
      <c r="F397" s="33"/>
      <c r="G397" s="110"/>
      <c r="H397" s="57" t="e">
        <f>+#REF!</f>
        <v>#REF!</v>
      </c>
      <c r="I397" s="33" t="e">
        <f>+#REF!</f>
        <v>#REF!</v>
      </c>
      <c r="J397" s="31" t="e">
        <f t="shared" ref="J397" si="216">+SUM(C397:G397)-(H397+I397)</f>
        <v>#REF!</v>
      </c>
      <c r="K397" s="156" t="e">
        <f>J397=#REF!</f>
        <v>#REF!</v>
      </c>
      <c r="L397" s="5"/>
      <c r="M397" s="5"/>
      <c r="N397" s="5"/>
      <c r="O397" s="5"/>
      <c r="Q397" s="5"/>
    </row>
    <row r="398" spans="1:17">
      <c r="A398" s="130" t="s">
        <v>148</v>
      </c>
      <c r="B398" s="136" t="s">
        <v>114</v>
      </c>
      <c r="C398" s="33" t="e">
        <f>#REF!</f>
        <v>#REF!</v>
      </c>
      <c r="D398" s="127"/>
      <c r="E398" s="33" t="e">
        <f>+#REF!</f>
        <v>#REF!</v>
      </c>
      <c r="F398" s="53"/>
      <c r="G398" s="147"/>
      <c r="H398" s="57" t="e">
        <f>+#REF!</f>
        <v>#REF!</v>
      </c>
      <c r="I398" s="33" t="e">
        <f>+#REF!</f>
        <v>#REF!</v>
      </c>
      <c r="J398" s="31" t="e">
        <f t="shared" si="215"/>
        <v>#REF!</v>
      </c>
      <c r="K398" s="156" t="e">
        <f>J398=#REF!</f>
        <v>#REF!</v>
      </c>
      <c r="L398" s="5"/>
      <c r="M398" s="5"/>
      <c r="N398" s="5"/>
      <c r="O398" s="5"/>
      <c r="Q398" s="5"/>
    </row>
    <row r="399" spans="1:17">
      <c r="A399" s="35" t="s">
        <v>61</v>
      </c>
      <c r="B399" s="36"/>
      <c r="C399" s="36"/>
      <c r="D399" s="36"/>
      <c r="E399" s="36"/>
      <c r="F399" s="36"/>
      <c r="G399" s="36"/>
      <c r="H399" s="36"/>
      <c r="I399" s="36"/>
      <c r="J399" s="37"/>
      <c r="K399" s="155"/>
      <c r="L399" s="5"/>
      <c r="M399" s="5"/>
      <c r="N399" s="5"/>
      <c r="O399" s="5"/>
      <c r="Q399" s="5"/>
    </row>
    <row r="400" spans="1:17">
      <c r="A400" s="130" t="s">
        <v>148</v>
      </c>
      <c r="B400" s="38" t="s">
        <v>62</v>
      </c>
      <c r="C400" s="39" t="e">
        <f>#REF!</f>
        <v>#REF!</v>
      </c>
      <c r="D400" s="51">
        <v>4000000</v>
      </c>
      <c r="E400" s="109"/>
      <c r="F400" s="51"/>
      <c r="G400" s="133">
        <v>15000</v>
      </c>
      <c r="H400" s="53" t="e">
        <f>+#REF!</f>
        <v>#REF!</v>
      </c>
      <c r="I400" s="134" t="e">
        <f>+#REF!</f>
        <v>#REF!</v>
      </c>
      <c r="J400" s="46" t="e">
        <f>+SUM(C400:G400)-(H400+I400)</f>
        <v>#REF!</v>
      </c>
      <c r="K400" s="156" t="e">
        <f>J400=#REF!</f>
        <v>#REF!</v>
      </c>
      <c r="L400" s="5"/>
      <c r="M400" s="5"/>
      <c r="N400" s="5"/>
      <c r="O400" s="5"/>
      <c r="Q400" s="5"/>
    </row>
    <row r="401" spans="1:17">
      <c r="A401" s="44" t="s">
        <v>63</v>
      </c>
      <c r="B401" s="25"/>
      <c r="C401" s="36"/>
      <c r="D401" s="25"/>
      <c r="E401" s="25"/>
      <c r="F401" s="25"/>
      <c r="G401" s="25"/>
      <c r="H401" s="25"/>
      <c r="I401" s="25"/>
      <c r="J401" s="37"/>
      <c r="K401" s="155"/>
      <c r="L401" s="5"/>
      <c r="M401" s="5"/>
      <c r="N401" s="5"/>
      <c r="O401" s="5"/>
      <c r="Q401" s="5"/>
    </row>
    <row r="402" spans="1:17">
      <c r="A402" s="130" t="s">
        <v>148</v>
      </c>
      <c r="B402" s="38" t="s">
        <v>64</v>
      </c>
      <c r="C402" s="133" t="e">
        <f>#REF!</f>
        <v>#REF!</v>
      </c>
      <c r="D402" s="140"/>
      <c r="E402" s="51"/>
      <c r="F402" s="51"/>
      <c r="G402" s="51"/>
      <c r="H402" s="53" t="e">
        <f>+#REF!</f>
        <v>#REF!</v>
      </c>
      <c r="I402" s="55" t="e">
        <f>+#REF!</f>
        <v>#REF!</v>
      </c>
      <c r="J402" s="46" t="e">
        <f>+SUM(C402:G402)-(H402+I402)</f>
        <v>#REF!</v>
      </c>
      <c r="K402" s="156" t="e">
        <f>+J402=#REF!</f>
        <v>#REF!</v>
      </c>
      <c r="L402" s="5"/>
      <c r="M402" s="5"/>
      <c r="N402" s="5"/>
      <c r="O402" s="5"/>
      <c r="Q402" s="5"/>
    </row>
    <row r="403" spans="1:17">
      <c r="A403" s="130" t="s">
        <v>148</v>
      </c>
      <c r="B403" s="38" t="s">
        <v>65</v>
      </c>
      <c r="C403" s="133" t="e">
        <f>#REF!</f>
        <v>#REF!</v>
      </c>
      <c r="D403" s="51"/>
      <c r="E403" s="50"/>
      <c r="F403" s="50"/>
      <c r="G403" s="50"/>
      <c r="H403" s="33" t="e">
        <f>+#REF!</f>
        <v>#REF!</v>
      </c>
      <c r="I403" s="52" t="e">
        <f>+#REF!</f>
        <v>#REF!</v>
      </c>
      <c r="J403" s="46" t="e">
        <f>SUM(C403:G403)-(H403+I403)</f>
        <v>#REF!</v>
      </c>
      <c r="K403" s="156" t="e">
        <f>+J403=#REF!</f>
        <v>#REF!</v>
      </c>
      <c r="Q403" s="5"/>
    </row>
    <row r="404" spans="1:17" ht="15.75">
      <c r="C404" s="151" t="e">
        <f>SUM(C388:C403)</f>
        <v>#REF!</v>
      </c>
      <c r="I404" s="149" t="e">
        <f>SUM(I388:I403)</f>
        <v>#REF!</v>
      </c>
      <c r="J404" s="111" t="e">
        <f>+SUM(J388:J403)</f>
        <v>#REF!</v>
      </c>
      <c r="K404" s="5" t="e">
        <f>J404=#REF!</f>
        <v>#REF!</v>
      </c>
      <c r="Q404" s="5"/>
    </row>
    <row r="405" spans="1:17" s="171" customFormat="1" ht="16.5">
      <c r="A405" s="14"/>
      <c r="B405" s="175"/>
      <c r="C405" s="174"/>
      <c r="D405" s="174"/>
      <c r="E405" s="173"/>
      <c r="F405" s="174"/>
      <c r="G405" s="174" t="e">
        <f>+#REF!-J404</f>
        <v>#REF!</v>
      </c>
      <c r="H405" s="174"/>
      <c r="I405" s="174"/>
      <c r="L405" s="172"/>
      <c r="M405" s="172"/>
      <c r="N405" s="172"/>
      <c r="O405" s="172"/>
    </row>
    <row r="406" spans="1:17">
      <c r="A406" s="16" t="s">
        <v>53</v>
      </c>
      <c r="B406" s="16"/>
      <c r="C406" s="16"/>
      <c r="D406" s="17"/>
      <c r="E406" s="17"/>
      <c r="F406" s="17"/>
      <c r="G406" s="17"/>
      <c r="H406" s="17"/>
      <c r="I406" s="17"/>
      <c r="Q406" s="5"/>
    </row>
    <row r="407" spans="1:17">
      <c r="A407" s="18" t="s">
        <v>145</v>
      </c>
      <c r="B407" s="18"/>
      <c r="C407" s="18"/>
      <c r="D407" s="18"/>
      <c r="E407" s="18"/>
      <c r="F407" s="18"/>
      <c r="G407" s="18"/>
      <c r="H407" s="18"/>
      <c r="I407" s="18"/>
      <c r="J407" s="17"/>
      <c r="Q407" s="5"/>
    </row>
    <row r="408" spans="1:17">
      <c r="A408" s="19"/>
      <c r="B408" s="20"/>
      <c r="C408" s="21"/>
      <c r="D408" s="21"/>
      <c r="E408" s="21"/>
      <c r="F408" s="21"/>
      <c r="G408" s="21"/>
      <c r="H408" s="20"/>
      <c r="I408" s="20"/>
      <c r="J408" s="18"/>
      <c r="Q408" s="5"/>
    </row>
    <row r="409" spans="1:17">
      <c r="A409" s="391" t="s">
        <v>54</v>
      </c>
      <c r="B409" s="393" t="s">
        <v>55</v>
      </c>
      <c r="C409" s="395" t="s">
        <v>146</v>
      </c>
      <c r="D409" s="397" t="s">
        <v>56</v>
      </c>
      <c r="E409" s="398"/>
      <c r="F409" s="398"/>
      <c r="G409" s="399"/>
      <c r="H409" s="400" t="s">
        <v>57</v>
      </c>
      <c r="I409" s="402" t="s">
        <v>58</v>
      </c>
      <c r="J409" s="20"/>
      <c r="Q409" s="5"/>
    </row>
    <row r="410" spans="1:17">
      <c r="A410" s="392"/>
      <c r="B410" s="394"/>
      <c r="C410" s="396"/>
      <c r="D410" s="22" t="s">
        <v>24</v>
      </c>
      <c r="E410" s="22" t="s">
        <v>25</v>
      </c>
      <c r="F410" s="170" t="s">
        <v>124</v>
      </c>
      <c r="G410" s="22" t="s">
        <v>59</v>
      </c>
      <c r="H410" s="401"/>
      <c r="I410" s="403"/>
      <c r="J410" s="404" t="s">
        <v>147</v>
      </c>
      <c r="K410" s="155"/>
      <c r="Q410" s="5"/>
    </row>
    <row r="411" spans="1:17">
      <c r="A411" s="24"/>
      <c r="B411" s="25" t="s">
        <v>60</v>
      </c>
      <c r="C411" s="26"/>
      <c r="D411" s="26"/>
      <c r="E411" s="26"/>
      <c r="F411" s="26"/>
      <c r="G411" s="26"/>
      <c r="H411" s="26"/>
      <c r="I411" s="27"/>
      <c r="J411" s="405"/>
      <c r="K411" s="155"/>
      <c r="Q411" s="5"/>
    </row>
    <row r="412" spans="1:17">
      <c r="A412" s="130" t="s">
        <v>73</v>
      </c>
      <c r="B412" s="135" t="s">
        <v>48</v>
      </c>
      <c r="C412" s="33" t="e">
        <f>#REF!</f>
        <v>#REF!</v>
      </c>
      <c r="D412" s="32"/>
      <c r="E412" s="33">
        <v>970765</v>
      </c>
      <c r="F412" s="33"/>
      <c r="G412" s="33"/>
      <c r="H412" s="57">
        <v>0</v>
      </c>
      <c r="I412" s="33">
        <v>980165</v>
      </c>
      <c r="J412" s="31" t="e">
        <f t="shared" ref="J412:J413" si="217">+SUM(C412:G412)-(H412+I412)</f>
        <v>#REF!</v>
      </c>
      <c r="K412" s="156" t="e">
        <f>J412=#REF!</f>
        <v>#REF!</v>
      </c>
      <c r="Q412" s="5"/>
    </row>
    <row r="413" spans="1:17">
      <c r="A413" s="130" t="s">
        <v>73</v>
      </c>
      <c r="B413" s="135" t="s">
        <v>31</v>
      </c>
      <c r="C413" s="33" t="e">
        <f>#REF!</f>
        <v>#REF!</v>
      </c>
      <c r="D413" s="32"/>
      <c r="E413" s="33">
        <v>58000</v>
      </c>
      <c r="F413" s="33"/>
      <c r="G413" s="33"/>
      <c r="H413" s="33">
        <v>0</v>
      </c>
      <c r="I413" s="33">
        <v>59500</v>
      </c>
      <c r="J413" s="107" t="e">
        <f t="shared" si="217"/>
        <v>#REF!</v>
      </c>
      <c r="K413" s="156" t="e">
        <f>J413=#REF!</f>
        <v>#REF!</v>
      </c>
      <c r="Q413" s="5"/>
    </row>
    <row r="414" spans="1:17">
      <c r="A414" s="130" t="s">
        <v>73</v>
      </c>
      <c r="B414" s="136" t="s">
        <v>30</v>
      </c>
      <c r="C414" s="33" t="e">
        <f>#REF!</f>
        <v>#REF!</v>
      </c>
      <c r="D414" s="127"/>
      <c r="E414" s="53">
        <v>557150</v>
      </c>
      <c r="F414" s="53"/>
      <c r="G414" s="53"/>
      <c r="H414" s="53">
        <v>0</v>
      </c>
      <c r="I414" s="53">
        <v>556650</v>
      </c>
      <c r="J414" s="132" t="e">
        <f>+SUM(C414:G414)-(H414+I414)</f>
        <v>#REF!</v>
      </c>
      <c r="K414" s="156" t="e">
        <f>J414=#REF!</f>
        <v>#REF!</v>
      </c>
      <c r="Q414" s="5"/>
    </row>
    <row r="415" spans="1:17">
      <c r="A415" s="130" t="s">
        <v>73</v>
      </c>
      <c r="B415" s="137" t="s">
        <v>85</v>
      </c>
      <c r="C415" s="128" t="e">
        <f>#REF!</f>
        <v>#REF!</v>
      </c>
      <c r="D415" s="131"/>
      <c r="E415" s="146"/>
      <c r="F415" s="146"/>
      <c r="G415" s="146"/>
      <c r="H415" s="146">
        <v>0</v>
      </c>
      <c r="I415" s="146">
        <v>0</v>
      </c>
      <c r="J415" s="129" t="e">
        <f>+SUM(C415:G415)-(H415+I415)</f>
        <v>#REF!</v>
      </c>
      <c r="K415" s="156" t="e">
        <f>J415=#REF!</f>
        <v>#REF!</v>
      </c>
      <c r="Q415" s="5"/>
    </row>
    <row r="416" spans="1:17">
      <c r="A416" s="130" t="s">
        <v>73</v>
      </c>
      <c r="B416" s="137" t="s">
        <v>84</v>
      </c>
      <c r="C416" s="128" t="e">
        <f>#REF!</f>
        <v>#REF!</v>
      </c>
      <c r="D416" s="131"/>
      <c r="E416" s="146"/>
      <c r="F416" s="146"/>
      <c r="G416" s="146"/>
      <c r="H416" s="146">
        <v>0</v>
      </c>
      <c r="I416" s="146">
        <v>0</v>
      </c>
      <c r="J416" s="129" t="e">
        <f t="shared" ref="J416:J421" si="218">+SUM(C416:G416)-(H416+I416)</f>
        <v>#REF!</v>
      </c>
      <c r="K416" s="156" t="e">
        <f>J416=#REF!</f>
        <v>#REF!</v>
      </c>
      <c r="Q416" s="5"/>
    </row>
    <row r="417" spans="1:17">
      <c r="A417" s="130" t="s">
        <v>73</v>
      </c>
      <c r="B417" s="135" t="s">
        <v>36</v>
      </c>
      <c r="C417" s="33" t="e">
        <f>#REF!</f>
        <v>#REF!</v>
      </c>
      <c r="D417" s="32"/>
      <c r="E417" s="33">
        <v>941000</v>
      </c>
      <c r="F417" s="33"/>
      <c r="G417" s="110"/>
      <c r="H417" s="110">
        <v>0</v>
      </c>
      <c r="I417" s="33">
        <v>1084725</v>
      </c>
      <c r="J417" s="31" t="e">
        <f t="shared" si="218"/>
        <v>#REF!</v>
      </c>
      <c r="K417" s="156" t="e">
        <f>J417=#REF!</f>
        <v>#REF!</v>
      </c>
      <c r="Q417" s="5"/>
    </row>
    <row r="418" spans="1:17">
      <c r="A418" s="130" t="s">
        <v>73</v>
      </c>
      <c r="B418" s="135" t="s">
        <v>94</v>
      </c>
      <c r="C418" s="33" t="e">
        <f>#REF!</f>
        <v>#REF!</v>
      </c>
      <c r="D418" s="32"/>
      <c r="E418" s="33">
        <v>52000</v>
      </c>
      <c r="F418" s="110"/>
      <c r="G418" s="110"/>
      <c r="H418" s="110">
        <v>0</v>
      </c>
      <c r="I418" s="33">
        <v>67000</v>
      </c>
      <c r="J418" s="31" t="e">
        <f t="shared" si="218"/>
        <v>#REF!</v>
      </c>
      <c r="K418" s="156" t="e">
        <f>J418=#REF!</f>
        <v>#REF!</v>
      </c>
      <c r="Q418" s="5"/>
    </row>
    <row r="419" spans="1:17">
      <c r="A419" s="130" t="s">
        <v>73</v>
      </c>
      <c r="B419" s="135" t="s">
        <v>29</v>
      </c>
      <c r="C419" s="33" t="e">
        <f>#REF!</f>
        <v>#REF!</v>
      </c>
      <c r="D419" s="32"/>
      <c r="E419" s="33">
        <v>515000</v>
      </c>
      <c r="F419" s="110"/>
      <c r="G419" s="110"/>
      <c r="H419" s="110">
        <v>0</v>
      </c>
      <c r="I419" s="33">
        <v>655500</v>
      </c>
      <c r="J419" s="31" t="e">
        <f t="shared" si="218"/>
        <v>#REF!</v>
      </c>
      <c r="K419" s="156" t="e">
        <f>J419=#REF!</f>
        <v>#REF!</v>
      </c>
      <c r="Q419" s="5"/>
    </row>
    <row r="420" spans="1:17">
      <c r="A420" s="130" t="s">
        <v>73</v>
      </c>
      <c r="B420" s="135" t="s">
        <v>32</v>
      </c>
      <c r="C420" s="33" t="e">
        <f>#REF!</f>
        <v>#REF!</v>
      </c>
      <c r="D420" s="32"/>
      <c r="E420" s="33">
        <v>10000</v>
      </c>
      <c r="F420" s="110"/>
      <c r="G420" s="110"/>
      <c r="H420" s="33">
        <v>500</v>
      </c>
      <c r="I420" s="33">
        <v>15300</v>
      </c>
      <c r="J420" s="31" t="e">
        <f t="shared" si="218"/>
        <v>#REF!</v>
      </c>
      <c r="K420" s="156" t="e">
        <f>J420=#REF!</f>
        <v>#REF!</v>
      </c>
      <c r="Q420" s="5"/>
    </row>
    <row r="421" spans="1:17">
      <c r="A421" s="130" t="s">
        <v>73</v>
      </c>
      <c r="B421" s="136" t="s">
        <v>114</v>
      </c>
      <c r="C421" s="33" t="e">
        <f>#REF!</f>
        <v>#REF!</v>
      </c>
      <c r="D421" s="127"/>
      <c r="E421" s="53">
        <v>20000</v>
      </c>
      <c r="F421" s="53"/>
      <c r="G421" s="147"/>
      <c r="H421" s="53">
        <v>0</v>
      </c>
      <c r="I421" s="53">
        <v>28000</v>
      </c>
      <c r="J421" s="31" t="e">
        <f t="shared" si="218"/>
        <v>#REF!</v>
      </c>
      <c r="K421" s="156" t="e">
        <f>J421=#REF!</f>
        <v>#REF!</v>
      </c>
      <c r="Q421" s="5"/>
    </row>
    <row r="422" spans="1:17">
      <c r="A422" s="35" t="s">
        <v>61</v>
      </c>
      <c r="B422" s="36"/>
      <c r="C422" s="36"/>
      <c r="D422" s="36"/>
      <c r="E422" s="36"/>
      <c r="F422" s="36"/>
      <c r="G422" s="36"/>
      <c r="H422" s="36"/>
      <c r="I422" s="36"/>
      <c r="J422" s="37"/>
      <c r="K422" s="155"/>
      <c r="Q422" s="5"/>
    </row>
    <row r="423" spans="1:17">
      <c r="A423" s="130" t="s">
        <v>73</v>
      </c>
      <c r="B423" s="38" t="s">
        <v>62</v>
      </c>
      <c r="C423" s="39" t="e">
        <f>#REF!</f>
        <v>#REF!</v>
      </c>
      <c r="D423" s="51">
        <v>6000500</v>
      </c>
      <c r="E423" s="109"/>
      <c r="F423" s="51"/>
      <c r="G423" s="148"/>
      <c r="H423" s="53">
        <v>3123915</v>
      </c>
      <c r="I423" s="134">
        <v>3367697</v>
      </c>
      <c r="J423" s="46" t="e">
        <f>+SUM(C423:G423)-(H423+I423)</f>
        <v>#REF!</v>
      </c>
      <c r="K423" s="156" t="e">
        <f>J423=#REF!</f>
        <v>#REF!</v>
      </c>
      <c r="Q423" s="5"/>
    </row>
    <row r="424" spans="1:17">
      <c r="A424" s="44" t="s">
        <v>63</v>
      </c>
      <c r="B424" s="25"/>
      <c r="C424" s="36"/>
      <c r="D424" s="25"/>
      <c r="E424" s="25"/>
      <c r="F424" s="25"/>
      <c r="G424" s="25"/>
      <c r="H424" s="25"/>
      <c r="I424" s="25"/>
      <c r="J424" s="37"/>
      <c r="K424" s="155"/>
      <c r="Q424" s="5"/>
    </row>
    <row r="425" spans="1:17">
      <c r="A425" s="130" t="s">
        <v>73</v>
      </c>
      <c r="B425" s="38" t="s">
        <v>64</v>
      </c>
      <c r="C425" s="133" t="e">
        <f>#REF!</f>
        <v>#REF!</v>
      </c>
      <c r="D425" s="140"/>
      <c r="E425" s="51"/>
      <c r="F425" s="51"/>
      <c r="G425" s="51"/>
      <c r="H425" s="53">
        <v>2000000</v>
      </c>
      <c r="I425" s="55">
        <v>271244</v>
      </c>
      <c r="J425" s="46" t="e">
        <f>+SUM(C425:G425)-(H425+I425)</f>
        <v>#REF!</v>
      </c>
      <c r="K425" s="156" t="e">
        <f>+J425=#REF!</f>
        <v>#REF!</v>
      </c>
      <c r="Q425" s="5"/>
    </row>
    <row r="426" spans="1:17">
      <c r="A426" s="130" t="s">
        <v>73</v>
      </c>
      <c r="B426" s="38" t="s">
        <v>65</v>
      </c>
      <c r="C426" s="133" t="e">
        <f>#REF!</f>
        <v>#REF!</v>
      </c>
      <c r="D426" s="51">
        <v>31201251</v>
      </c>
      <c r="E426" s="50"/>
      <c r="F426" s="50"/>
      <c r="G426" s="50"/>
      <c r="H426" s="33">
        <v>4000000</v>
      </c>
      <c r="I426" s="52">
        <v>6204544</v>
      </c>
      <c r="J426" s="46" t="e">
        <f>SUM(C426:G426)-(H426+I426)</f>
        <v>#REF!</v>
      </c>
      <c r="K426" s="156" t="e">
        <f>+J426=#REF!</f>
        <v>#REF!</v>
      </c>
      <c r="Q426" s="5"/>
    </row>
    <row r="427" spans="1:17" ht="15.75">
      <c r="C427" s="151" t="e">
        <f>SUM(C412:C426)</f>
        <v>#REF!</v>
      </c>
      <c r="I427" s="149">
        <f>SUM(I412:I426)</f>
        <v>13290325</v>
      </c>
      <c r="J427" s="111" t="e">
        <f>+SUM(J412:J426)</f>
        <v>#REF!</v>
      </c>
      <c r="K427" s="5" t="e">
        <f>J427=#REF!</f>
        <v>#REF!</v>
      </c>
      <c r="Q427" s="5"/>
    </row>
    <row r="428" spans="1:17" s="171" customFormat="1" ht="16.5">
      <c r="A428" s="14"/>
      <c r="B428" s="175"/>
      <c r="C428" s="174"/>
      <c r="D428" s="174"/>
      <c r="E428" s="173"/>
      <c r="F428" s="174"/>
      <c r="G428" s="174" t="e">
        <f>+#REF!-J427</f>
        <v>#REF!</v>
      </c>
      <c r="H428" s="174"/>
      <c r="I428" s="174"/>
      <c r="L428" s="172"/>
      <c r="M428" s="172"/>
      <c r="N428" s="172"/>
      <c r="O428" s="172"/>
    </row>
    <row r="429" spans="1:17" ht="16.5">
      <c r="A429" s="14"/>
      <c r="B429" s="15"/>
      <c r="C429" s="12"/>
      <c r="D429" s="12"/>
      <c r="E429" s="13"/>
      <c r="F429" s="12"/>
      <c r="G429" s="12"/>
      <c r="H429" s="12"/>
      <c r="I429" s="12"/>
      <c r="Q429" s="5"/>
    </row>
    <row r="430" spans="1:17">
      <c r="A430" s="16" t="s">
        <v>53</v>
      </c>
      <c r="B430" s="16"/>
      <c r="C430" s="16"/>
      <c r="D430" s="17"/>
      <c r="E430" s="17"/>
      <c r="F430" s="17"/>
      <c r="G430" s="17"/>
      <c r="H430" s="17"/>
      <c r="I430" s="17"/>
      <c r="Q430" s="5"/>
    </row>
    <row r="431" spans="1:17">
      <c r="A431" s="18" t="s">
        <v>141</v>
      </c>
      <c r="B431" s="18"/>
      <c r="C431" s="18"/>
      <c r="D431" s="18"/>
      <c r="E431" s="18"/>
      <c r="F431" s="18"/>
      <c r="G431" s="18"/>
      <c r="H431" s="18"/>
      <c r="I431" s="18"/>
      <c r="J431" s="17"/>
      <c r="Q431" s="5"/>
    </row>
    <row r="432" spans="1:17">
      <c r="A432" s="19"/>
      <c r="B432" s="20"/>
      <c r="C432" s="21"/>
      <c r="D432" s="21"/>
      <c r="E432" s="21"/>
      <c r="F432" s="21"/>
      <c r="G432" s="21"/>
      <c r="H432" s="20"/>
      <c r="I432" s="20"/>
      <c r="J432" s="18"/>
      <c r="Q432" s="5"/>
    </row>
    <row r="433" spans="1:17">
      <c r="A433" s="391" t="s">
        <v>54</v>
      </c>
      <c r="B433" s="393" t="s">
        <v>55</v>
      </c>
      <c r="C433" s="395" t="s">
        <v>143</v>
      </c>
      <c r="D433" s="397" t="s">
        <v>56</v>
      </c>
      <c r="E433" s="398"/>
      <c r="F433" s="398"/>
      <c r="G433" s="399"/>
      <c r="H433" s="400" t="s">
        <v>57</v>
      </c>
      <c r="I433" s="402" t="s">
        <v>58</v>
      </c>
      <c r="J433" s="20"/>
      <c r="Q433" s="5"/>
    </row>
    <row r="434" spans="1:17">
      <c r="A434" s="392"/>
      <c r="B434" s="394"/>
      <c r="C434" s="396"/>
      <c r="D434" s="22" t="s">
        <v>24</v>
      </c>
      <c r="E434" s="22" t="s">
        <v>25</v>
      </c>
      <c r="F434" s="168" t="s">
        <v>124</v>
      </c>
      <c r="G434" s="22" t="s">
        <v>59</v>
      </c>
      <c r="H434" s="401"/>
      <c r="I434" s="403"/>
      <c r="J434" s="404" t="s">
        <v>142</v>
      </c>
      <c r="K434" s="155"/>
      <c r="Q434" s="5"/>
    </row>
    <row r="435" spans="1:17">
      <c r="A435" s="24"/>
      <c r="B435" s="25" t="s">
        <v>60</v>
      </c>
      <c r="C435" s="26"/>
      <c r="D435" s="26"/>
      <c r="E435" s="26"/>
      <c r="F435" s="26"/>
      <c r="G435" s="26"/>
      <c r="H435" s="26"/>
      <c r="I435" s="27"/>
      <c r="J435" s="405"/>
      <c r="K435" s="155"/>
      <c r="L435" s="5"/>
      <c r="M435" s="5"/>
      <c r="N435" s="5"/>
      <c r="O435" s="5"/>
      <c r="Q435" s="5"/>
    </row>
    <row r="436" spans="1:17">
      <c r="A436" s="130" t="s">
        <v>144</v>
      </c>
      <c r="B436" s="135" t="s">
        <v>77</v>
      </c>
      <c r="C436" s="33" t="e">
        <f>+#REF!</f>
        <v>#REF!</v>
      </c>
      <c r="D436" s="32"/>
      <c r="E436" s="33">
        <v>114000</v>
      </c>
      <c r="F436" s="33"/>
      <c r="G436" s="33"/>
      <c r="H436" s="57">
        <v>11050</v>
      </c>
      <c r="I436" s="33">
        <v>112000</v>
      </c>
      <c r="J436" s="31" t="e">
        <f>+SUM(C436:G436)-(H436+I436)</f>
        <v>#REF!</v>
      </c>
      <c r="K436" s="156" t="e">
        <f>J436=#REF!</f>
        <v>#REF!</v>
      </c>
      <c r="L436" s="5"/>
      <c r="M436" s="5"/>
      <c r="N436" s="5"/>
      <c r="O436" s="5"/>
      <c r="Q436" s="5"/>
    </row>
    <row r="437" spans="1:17">
      <c r="A437" s="130" t="s">
        <v>144</v>
      </c>
      <c r="B437" s="135" t="s">
        <v>48</v>
      </c>
      <c r="C437" s="33" t="e">
        <f t="shared" ref="C437:C447" si="219">+C414</f>
        <v>#REF!</v>
      </c>
      <c r="D437" s="32"/>
      <c r="E437" s="33">
        <v>87350</v>
      </c>
      <c r="F437" s="33">
        <f>60000+62000</f>
        <v>122000</v>
      </c>
      <c r="G437" s="33"/>
      <c r="H437" s="57">
        <v>161395</v>
      </c>
      <c r="I437" s="33">
        <v>281200</v>
      </c>
      <c r="J437" s="31" t="e">
        <f t="shared" ref="J437:J438" si="220">+SUM(C437:G437)-(H437+I437)</f>
        <v>#REF!</v>
      </c>
      <c r="K437" s="156" t="e">
        <f t="shared" ref="K437:K447" si="221">J437=I414</f>
        <v>#REF!</v>
      </c>
      <c r="L437" s="5"/>
      <c r="M437" s="5"/>
      <c r="N437" s="5"/>
      <c r="O437" s="5"/>
      <c r="Q437" s="5"/>
    </row>
    <row r="438" spans="1:17">
      <c r="A438" s="130" t="s">
        <v>144</v>
      </c>
      <c r="B438" s="135" t="s">
        <v>31</v>
      </c>
      <c r="C438" s="33" t="e">
        <f t="shared" si="219"/>
        <v>#REF!</v>
      </c>
      <c r="D438" s="32"/>
      <c r="E438" s="33">
        <v>371500</v>
      </c>
      <c r="F438" s="33"/>
      <c r="G438" s="33"/>
      <c r="H438" s="33">
        <f>62000+81500+137000</f>
        <v>280500</v>
      </c>
      <c r="I438" s="33">
        <v>177000</v>
      </c>
      <c r="J438" s="107" t="e">
        <f t="shared" si="220"/>
        <v>#REF!</v>
      </c>
      <c r="K438" s="156" t="e">
        <f t="shared" si="221"/>
        <v>#REF!</v>
      </c>
      <c r="L438" s="5"/>
      <c r="M438" s="5"/>
      <c r="N438" s="5"/>
      <c r="O438" s="5"/>
      <c r="Q438" s="5"/>
    </row>
    <row r="439" spans="1:17">
      <c r="A439" s="130" t="s">
        <v>144</v>
      </c>
      <c r="B439" s="135" t="s">
        <v>78</v>
      </c>
      <c r="C439" s="33" t="e">
        <f t="shared" si="219"/>
        <v>#REF!</v>
      </c>
      <c r="D439" s="110"/>
      <c r="E439" s="33">
        <v>35560</v>
      </c>
      <c r="F439" s="33">
        <f>10000+81500</f>
        <v>91500</v>
      </c>
      <c r="G439" s="33"/>
      <c r="H439" s="33">
        <v>35000</v>
      </c>
      <c r="I439" s="33">
        <v>159750</v>
      </c>
      <c r="J439" s="107" t="e">
        <f>+SUM(C439:G439)-(H439+I439)</f>
        <v>#REF!</v>
      </c>
      <c r="K439" s="156" t="e">
        <f t="shared" si="221"/>
        <v>#REF!</v>
      </c>
      <c r="L439" s="5"/>
      <c r="M439" s="5"/>
      <c r="N439" s="5"/>
      <c r="O439" s="5"/>
      <c r="Q439" s="5"/>
    </row>
    <row r="440" spans="1:17">
      <c r="A440" s="130" t="s">
        <v>144</v>
      </c>
      <c r="B440" s="136" t="s">
        <v>30</v>
      </c>
      <c r="C440" s="33" t="e">
        <f t="shared" si="219"/>
        <v>#REF!</v>
      </c>
      <c r="D440" s="127"/>
      <c r="E440" s="53">
        <v>372085</v>
      </c>
      <c r="F440" s="53"/>
      <c r="G440" s="53"/>
      <c r="H440" s="53"/>
      <c r="I440" s="53">
        <v>336400</v>
      </c>
      <c r="J440" s="132" t="e">
        <f>+SUM(C440:G440)-(H440+I440)</f>
        <v>#REF!</v>
      </c>
      <c r="K440" s="156" t="e">
        <f t="shared" si="221"/>
        <v>#REF!</v>
      </c>
      <c r="L440" s="5"/>
      <c r="M440" s="5"/>
      <c r="N440" s="5"/>
      <c r="O440" s="5"/>
      <c r="Q440" s="5"/>
    </row>
    <row r="441" spans="1:17">
      <c r="A441" s="130" t="s">
        <v>144</v>
      </c>
      <c r="B441" s="137" t="s">
        <v>85</v>
      </c>
      <c r="C441" s="128" t="e">
        <f t="shared" si="219"/>
        <v>#REF!</v>
      </c>
      <c r="D441" s="131"/>
      <c r="E441" s="146"/>
      <c r="F441" s="146"/>
      <c r="G441" s="146"/>
      <c r="H441" s="146"/>
      <c r="I441" s="146"/>
      <c r="J441" s="129" t="e">
        <f>+SUM(C441:G441)-(H441+I441)</f>
        <v>#REF!</v>
      </c>
      <c r="K441" s="156" t="e">
        <f t="shared" si="221"/>
        <v>#REF!</v>
      </c>
      <c r="L441" s="5"/>
      <c r="M441" s="5"/>
      <c r="N441" s="5"/>
      <c r="O441" s="5"/>
      <c r="Q441" s="5"/>
    </row>
    <row r="442" spans="1:17">
      <c r="A442" s="130" t="s">
        <v>144</v>
      </c>
      <c r="B442" s="137" t="s">
        <v>84</v>
      </c>
      <c r="C442" s="128" t="e">
        <f t="shared" si="219"/>
        <v>#REF!</v>
      </c>
      <c r="D442" s="131"/>
      <c r="E442" s="146"/>
      <c r="F442" s="146"/>
      <c r="G442" s="146"/>
      <c r="H442" s="146"/>
      <c r="I442" s="146"/>
      <c r="J442" s="129" t="e">
        <f t="shared" ref="J442:J447" si="222">+SUM(C442:G442)-(H442+I442)</f>
        <v>#REF!</v>
      </c>
      <c r="K442" s="156" t="e">
        <f t="shared" si="221"/>
        <v>#REF!</v>
      </c>
      <c r="L442" s="5"/>
      <c r="M442" s="5"/>
      <c r="N442" s="5"/>
      <c r="O442" s="5"/>
      <c r="Q442" s="5"/>
    </row>
    <row r="443" spans="1:17">
      <c r="A443" s="130" t="s">
        <v>144</v>
      </c>
      <c r="B443" s="135" t="s">
        <v>36</v>
      </c>
      <c r="C443" s="33" t="e">
        <f t="shared" si="219"/>
        <v>#REF!</v>
      </c>
      <c r="D443" s="32"/>
      <c r="E443" s="33">
        <v>400000</v>
      </c>
      <c r="F443" s="33">
        <v>137000</v>
      </c>
      <c r="G443" s="110"/>
      <c r="H443" s="110"/>
      <c r="I443" s="33">
        <v>563500</v>
      </c>
      <c r="J443" s="31" t="e">
        <f t="shared" si="222"/>
        <v>#REF!</v>
      </c>
      <c r="K443" s="156" t="e">
        <f t="shared" si="221"/>
        <v>#REF!</v>
      </c>
      <c r="L443" s="5"/>
      <c r="M443" s="5"/>
      <c r="N443" s="5"/>
      <c r="O443" s="5"/>
      <c r="Q443" s="5"/>
    </row>
    <row r="444" spans="1:17">
      <c r="A444" s="130" t="s">
        <v>144</v>
      </c>
      <c r="B444" s="135" t="s">
        <v>94</v>
      </c>
      <c r="C444" s="33" t="e">
        <f t="shared" si="219"/>
        <v>#REF!</v>
      </c>
      <c r="D444" s="32"/>
      <c r="E444" s="33">
        <v>35000</v>
      </c>
      <c r="F444" s="110"/>
      <c r="G444" s="110"/>
      <c r="H444" s="110"/>
      <c r="I444" s="33">
        <v>23500</v>
      </c>
      <c r="J444" s="31" t="e">
        <f t="shared" si="222"/>
        <v>#REF!</v>
      </c>
      <c r="K444" s="156" t="e">
        <f t="shared" si="221"/>
        <v>#REF!</v>
      </c>
      <c r="L444" s="5"/>
      <c r="M444" s="5"/>
      <c r="N444" s="5"/>
      <c r="O444" s="5"/>
      <c r="Q444" s="5"/>
    </row>
    <row r="445" spans="1:17">
      <c r="A445" s="130" t="s">
        <v>144</v>
      </c>
      <c r="B445" s="135" t="s">
        <v>29</v>
      </c>
      <c r="C445" s="33">
        <f t="shared" si="219"/>
        <v>0</v>
      </c>
      <c r="D445" s="32"/>
      <c r="E445" s="33">
        <v>454000</v>
      </c>
      <c r="F445" s="110"/>
      <c r="G445" s="110"/>
      <c r="H445" s="110"/>
      <c r="I445" s="33">
        <v>329100</v>
      </c>
      <c r="J445" s="31">
        <f t="shared" si="222"/>
        <v>124900</v>
      </c>
      <c r="K445" s="156" t="b">
        <f t="shared" si="221"/>
        <v>0</v>
      </c>
      <c r="L445" s="5"/>
      <c r="M445" s="5"/>
      <c r="N445" s="5"/>
      <c r="O445" s="5"/>
      <c r="Q445" s="5"/>
    </row>
    <row r="446" spans="1:17">
      <c r="A446" s="130" t="s">
        <v>144</v>
      </c>
      <c r="B446" s="135" t="s">
        <v>32</v>
      </c>
      <c r="C446" s="33" t="e">
        <f t="shared" si="219"/>
        <v>#REF!</v>
      </c>
      <c r="D446" s="32"/>
      <c r="E446" s="33"/>
      <c r="F446" s="110"/>
      <c r="G446" s="110"/>
      <c r="H446" s="33">
        <v>20000</v>
      </c>
      <c r="I446" s="33">
        <v>5000</v>
      </c>
      <c r="J446" s="31" t="e">
        <f t="shared" si="222"/>
        <v>#REF!</v>
      </c>
      <c r="K446" s="156" t="e">
        <f t="shared" si="221"/>
        <v>#REF!</v>
      </c>
      <c r="L446" s="5"/>
      <c r="M446" s="5"/>
      <c r="N446" s="5"/>
      <c r="O446" s="5"/>
      <c r="Q446" s="5"/>
    </row>
    <row r="447" spans="1:17">
      <c r="A447" s="130" t="s">
        <v>144</v>
      </c>
      <c r="B447" s="136" t="s">
        <v>114</v>
      </c>
      <c r="C447" s="33">
        <f t="shared" si="219"/>
        <v>0</v>
      </c>
      <c r="D447" s="127"/>
      <c r="E447" s="53">
        <v>231000</v>
      </c>
      <c r="F447" s="53"/>
      <c r="G447" s="147"/>
      <c r="H447" s="53">
        <v>90000</v>
      </c>
      <c r="I447" s="53">
        <v>180000</v>
      </c>
      <c r="J447" s="31">
        <f t="shared" si="222"/>
        <v>-39000</v>
      </c>
      <c r="K447" s="156" t="b">
        <f t="shared" si="221"/>
        <v>0</v>
      </c>
      <c r="L447" s="5"/>
      <c r="M447" s="5"/>
      <c r="N447" s="5"/>
      <c r="O447" s="5"/>
      <c r="Q447" s="5"/>
    </row>
    <row r="448" spans="1:17">
      <c r="A448" s="35" t="s">
        <v>61</v>
      </c>
      <c r="B448" s="36"/>
      <c r="C448" s="36"/>
      <c r="D448" s="36"/>
      <c r="E448" s="36"/>
      <c r="F448" s="36"/>
      <c r="G448" s="36"/>
      <c r="H448" s="36"/>
      <c r="I448" s="36"/>
      <c r="J448" s="37"/>
      <c r="K448" s="155"/>
      <c r="L448" s="5"/>
      <c r="M448" s="5"/>
      <c r="N448" s="5"/>
      <c r="O448" s="5"/>
      <c r="Q448" s="5"/>
    </row>
    <row r="449" spans="1:17">
      <c r="A449" s="130" t="s">
        <v>144</v>
      </c>
      <c r="B449" s="38" t="s">
        <v>62</v>
      </c>
      <c r="C449" s="39" t="e">
        <f>+C413</f>
        <v>#REF!</v>
      </c>
      <c r="D449" s="51">
        <v>5000000</v>
      </c>
      <c r="E449" s="109"/>
      <c r="F449" s="51">
        <v>217445</v>
      </c>
      <c r="G449" s="148"/>
      <c r="H449" s="139">
        <v>2070495</v>
      </c>
      <c r="I449" s="134">
        <v>3286349</v>
      </c>
      <c r="J449" s="46" t="e">
        <f>+SUM(C449:G449)-(H449+I449)</f>
        <v>#REF!</v>
      </c>
      <c r="K449" s="156" t="e">
        <f>J449=I413</f>
        <v>#REF!</v>
      </c>
      <c r="L449" s="5"/>
      <c r="M449" s="5"/>
      <c r="N449" s="5"/>
      <c r="O449" s="5"/>
      <c r="Q449" s="5"/>
    </row>
    <row r="450" spans="1:17">
      <c r="A450" s="44" t="s">
        <v>63</v>
      </c>
      <c r="B450" s="25"/>
      <c r="C450" s="36"/>
      <c r="D450" s="25"/>
      <c r="E450" s="25"/>
      <c r="F450" s="25"/>
      <c r="G450" s="25"/>
      <c r="H450" s="25"/>
      <c r="I450" s="25"/>
      <c r="J450" s="37"/>
      <c r="K450" s="155"/>
      <c r="L450" s="5"/>
      <c r="M450" s="5"/>
      <c r="N450" s="5"/>
      <c r="O450" s="5"/>
      <c r="Q450" s="5"/>
    </row>
    <row r="451" spans="1:17">
      <c r="A451" s="130" t="s">
        <v>144</v>
      </c>
      <c r="B451" s="38" t="s">
        <v>64</v>
      </c>
      <c r="C451" s="133" t="e">
        <f>+#REF!</f>
        <v>#REF!</v>
      </c>
      <c r="D451" s="140">
        <v>7900099</v>
      </c>
      <c r="E451" s="51"/>
      <c r="F451" s="51"/>
      <c r="G451" s="51"/>
      <c r="H451" s="53">
        <v>3000000</v>
      </c>
      <c r="I451" s="55">
        <v>379529</v>
      </c>
      <c r="J451" s="46" t="e">
        <f>+SUM(C451:G451)-(H451+I451)</f>
        <v>#REF!</v>
      </c>
      <c r="K451" s="156" t="e">
        <f>+J451=#REF!</f>
        <v>#REF!</v>
      </c>
      <c r="L451" s="5"/>
      <c r="M451" s="5"/>
      <c r="N451" s="5"/>
      <c r="O451" s="5"/>
      <c r="Q451" s="5"/>
    </row>
    <row r="452" spans="1:17">
      <c r="A452" s="130" t="s">
        <v>144</v>
      </c>
      <c r="B452" s="38" t="s">
        <v>65</v>
      </c>
      <c r="C452" s="133" t="e">
        <f>+C412</f>
        <v>#REF!</v>
      </c>
      <c r="D452" s="51"/>
      <c r="E452" s="50"/>
      <c r="F452" s="50"/>
      <c r="G452" s="50"/>
      <c r="H452" s="33">
        <v>2000000</v>
      </c>
      <c r="I452" s="52">
        <v>5392233</v>
      </c>
      <c r="J452" s="46" t="e">
        <f>SUM(C452:G452)-(H452+I452)</f>
        <v>#REF!</v>
      </c>
      <c r="K452" s="156" t="e">
        <f>+J452=I412</f>
        <v>#REF!</v>
      </c>
      <c r="L452" s="5"/>
      <c r="M452" s="5"/>
      <c r="N452" s="5"/>
      <c r="O452" s="5"/>
      <c r="Q452" s="5"/>
    </row>
    <row r="453" spans="1:17" ht="15.75">
      <c r="C453" s="151" t="e">
        <f>SUM(C436:C452)</f>
        <v>#REF!</v>
      </c>
      <c r="I453" s="149">
        <f>SUM(I436:I452)</f>
        <v>11225561</v>
      </c>
      <c r="J453" s="111" t="e">
        <f>+SUM(J436:J452)</f>
        <v>#REF!</v>
      </c>
      <c r="K453" s="5" t="e">
        <f>J453=I425</f>
        <v>#REF!</v>
      </c>
      <c r="L453" s="5"/>
      <c r="M453" s="5"/>
      <c r="N453" s="5"/>
      <c r="O453" s="5"/>
      <c r="Q453" s="5"/>
    </row>
    <row r="454" spans="1:17" ht="16.5">
      <c r="A454" s="14"/>
      <c r="B454" s="15"/>
      <c r="C454" s="12"/>
      <c r="D454" s="12"/>
      <c r="E454" s="13"/>
      <c r="F454" s="12"/>
      <c r="G454" s="12"/>
      <c r="H454" s="12"/>
      <c r="I454" s="12"/>
      <c r="L454" s="5"/>
      <c r="M454" s="5"/>
      <c r="N454" s="5"/>
      <c r="O454" s="5"/>
      <c r="Q454" s="5"/>
    </row>
    <row r="455" spans="1:17">
      <c r="A455" s="16" t="s">
        <v>53</v>
      </c>
      <c r="B455" s="16"/>
      <c r="C455" s="16"/>
      <c r="D455" s="17"/>
      <c r="E455" s="17"/>
      <c r="F455" s="17"/>
      <c r="G455" s="17"/>
      <c r="H455" s="17"/>
      <c r="I455" s="17"/>
      <c r="L455" s="5"/>
      <c r="M455" s="5"/>
      <c r="N455" s="5"/>
      <c r="O455" s="5"/>
      <c r="Q455" s="5"/>
    </row>
    <row r="456" spans="1:17">
      <c r="A456" s="18" t="s">
        <v>132</v>
      </c>
      <c r="B456" s="18"/>
      <c r="C456" s="18"/>
      <c r="D456" s="18"/>
      <c r="E456" s="18"/>
      <c r="F456" s="18"/>
      <c r="G456" s="18"/>
      <c r="H456" s="18"/>
      <c r="I456" s="18"/>
      <c r="J456" s="17"/>
      <c r="L456" s="5"/>
      <c r="M456" s="5"/>
      <c r="N456" s="5"/>
      <c r="O456" s="5"/>
      <c r="Q456" s="5"/>
    </row>
    <row r="457" spans="1:17">
      <c r="A457" s="19"/>
      <c r="B457" s="20"/>
      <c r="C457" s="21"/>
      <c r="D457" s="21"/>
      <c r="E457" s="21"/>
      <c r="F457" s="21"/>
      <c r="G457" s="21"/>
      <c r="H457" s="20"/>
      <c r="I457" s="20"/>
      <c r="J457" s="18"/>
      <c r="L457" s="5"/>
      <c r="M457" s="5"/>
      <c r="N457" s="5"/>
      <c r="O457" s="5"/>
      <c r="Q457" s="5"/>
    </row>
    <row r="458" spans="1:17">
      <c r="A458" s="391" t="s">
        <v>54</v>
      </c>
      <c r="B458" s="393" t="s">
        <v>55</v>
      </c>
      <c r="C458" s="395" t="s">
        <v>133</v>
      </c>
      <c r="D458" s="397" t="s">
        <v>56</v>
      </c>
      <c r="E458" s="398"/>
      <c r="F458" s="398"/>
      <c r="G458" s="399"/>
      <c r="H458" s="400" t="s">
        <v>57</v>
      </c>
      <c r="I458" s="402" t="s">
        <v>58</v>
      </c>
      <c r="J458" s="20"/>
      <c r="L458" s="5"/>
      <c r="M458" s="5"/>
      <c r="N458" s="5"/>
      <c r="O458" s="5"/>
      <c r="Q458" s="5"/>
    </row>
    <row r="459" spans="1:17">
      <c r="A459" s="392"/>
      <c r="B459" s="394"/>
      <c r="C459" s="396"/>
      <c r="D459" s="22" t="s">
        <v>24</v>
      </c>
      <c r="E459" s="22" t="s">
        <v>25</v>
      </c>
      <c r="F459" s="167" t="s">
        <v>124</v>
      </c>
      <c r="G459" s="22" t="s">
        <v>59</v>
      </c>
      <c r="H459" s="401"/>
      <c r="I459" s="403"/>
      <c r="J459" s="404" t="s">
        <v>134</v>
      </c>
      <c r="K459" s="155"/>
      <c r="L459" s="5"/>
      <c r="M459" s="5"/>
      <c r="N459" s="5"/>
      <c r="O459" s="5"/>
      <c r="Q459" s="5"/>
    </row>
    <row r="460" spans="1:17">
      <c r="A460" s="24"/>
      <c r="B460" s="25" t="s">
        <v>60</v>
      </c>
      <c r="C460" s="26"/>
      <c r="D460" s="26"/>
      <c r="E460" s="26"/>
      <c r="F460" s="26"/>
      <c r="G460" s="26"/>
      <c r="H460" s="26"/>
      <c r="I460" s="27"/>
      <c r="J460" s="405"/>
      <c r="K460" s="155"/>
      <c r="L460" s="5"/>
      <c r="M460" s="5"/>
      <c r="N460" s="5"/>
      <c r="O460" s="5"/>
      <c r="Q460" s="5"/>
    </row>
    <row r="461" spans="1:17">
      <c r="A461" s="130" t="s">
        <v>135</v>
      </c>
      <c r="B461" s="135" t="s">
        <v>77</v>
      </c>
      <c r="C461" s="33">
        <v>40050</v>
      </c>
      <c r="D461" s="32"/>
      <c r="E461" s="33">
        <v>104000</v>
      </c>
      <c r="F461" s="33"/>
      <c r="G461" s="33"/>
      <c r="H461" s="57">
        <v>54000</v>
      </c>
      <c r="I461" s="33">
        <v>81000</v>
      </c>
      <c r="J461" s="31">
        <f>+SUM(C461:G461)-(H461+I461)</f>
        <v>9050</v>
      </c>
      <c r="K461" s="156" t="e">
        <f>J461=#REF!</f>
        <v>#REF!</v>
      </c>
      <c r="L461" s="5"/>
      <c r="M461" s="5"/>
      <c r="N461" s="5"/>
      <c r="O461" s="5"/>
      <c r="Q461" s="5"/>
    </row>
    <row r="462" spans="1:17">
      <c r="A462" s="130" t="s">
        <v>135</v>
      </c>
      <c r="B462" s="135" t="s">
        <v>48</v>
      </c>
      <c r="C462" s="33">
        <v>38845</v>
      </c>
      <c r="D462" s="32"/>
      <c r="E462" s="33">
        <v>1550000</v>
      </c>
      <c r="F462" s="33"/>
      <c r="G462" s="33"/>
      <c r="H462" s="57">
        <v>311000</v>
      </c>
      <c r="I462" s="33">
        <v>1017400</v>
      </c>
      <c r="J462" s="31">
        <f t="shared" ref="J462:J463" si="223">+SUM(C462:G462)-(H462+I462)</f>
        <v>260445</v>
      </c>
      <c r="K462" s="156" t="b">
        <f>J462=I414</f>
        <v>0</v>
      </c>
      <c r="L462" s="5"/>
      <c r="M462" s="5"/>
      <c r="N462" s="5"/>
      <c r="O462" s="5"/>
      <c r="Q462" s="5"/>
    </row>
    <row r="463" spans="1:17">
      <c r="A463" s="130" t="s">
        <v>135</v>
      </c>
      <c r="B463" s="135" t="s">
        <v>31</v>
      </c>
      <c r="C463" s="33">
        <v>6895</v>
      </c>
      <c r="D463" s="32"/>
      <c r="E463" s="33">
        <v>581000</v>
      </c>
      <c r="F463" s="33"/>
      <c r="G463" s="33"/>
      <c r="H463" s="33"/>
      <c r="I463" s="33">
        <v>498900</v>
      </c>
      <c r="J463" s="107">
        <f t="shared" si="223"/>
        <v>88995</v>
      </c>
      <c r="K463" s="156" t="b">
        <f>J463=I415</f>
        <v>0</v>
      </c>
      <c r="L463" s="5"/>
      <c r="M463" s="5"/>
      <c r="N463" s="5"/>
      <c r="O463" s="5"/>
      <c r="Q463" s="5"/>
    </row>
    <row r="464" spans="1:17">
      <c r="A464" s="130" t="s">
        <v>135</v>
      </c>
      <c r="B464" s="135" t="s">
        <v>78</v>
      </c>
      <c r="C464" s="33">
        <v>28540</v>
      </c>
      <c r="D464" s="110"/>
      <c r="E464" s="33">
        <v>332000</v>
      </c>
      <c r="F464" s="33">
        <v>10000</v>
      </c>
      <c r="G464" s="33"/>
      <c r="H464" s="33"/>
      <c r="I464" s="33">
        <v>302850</v>
      </c>
      <c r="J464" s="107">
        <f>+SUM(C464:G464)-(H464+I464)</f>
        <v>67690</v>
      </c>
      <c r="K464" s="156" t="b">
        <f>J464=I416</f>
        <v>0</v>
      </c>
      <c r="L464" s="5"/>
      <c r="M464" s="5"/>
      <c r="N464" s="5"/>
      <c r="O464" s="5"/>
      <c r="Q464" s="5"/>
    </row>
    <row r="465" spans="1:17">
      <c r="A465" s="130" t="s">
        <v>135</v>
      </c>
      <c r="B465" s="135" t="s">
        <v>70</v>
      </c>
      <c r="C465" s="33">
        <v>184</v>
      </c>
      <c r="D465" s="110"/>
      <c r="E465" s="33"/>
      <c r="F465" s="33"/>
      <c r="G465" s="33"/>
      <c r="H465" s="33">
        <v>184</v>
      </c>
      <c r="I465" s="33"/>
      <c r="J465" s="107">
        <f t="shared" ref="J465" si="224">+SUM(C465:G465)-(H465+I465)</f>
        <v>0</v>
      </c>
      <c r="K465" s="156" t="e">
        <f>J465=#REF!</f>
        <v>#REF!</v>
      </c>
      <c r="L465" s="5"/>
      <c r="M465" s="5"/>
      <c r="N465" s="5"/>
      <c r="O465" s="5"/>
      <c r="Q465" s="5"/>
    </row>
    <row r="466" spans="1:17">
      <c r="A466" s="130" t="s">
        <v>135</v>
      </c>
      <c r="B466" s="136" t="s">
        <v>30</v>
      </c>
      <c r="C466" s="33">
        <v>68200</v>
      </c>
      <c r="D466" s="127"/>
      <c r="E466" s="53">
        <v>638000</v>
      </c>
      <c r="F466" s="53">
        <v>45000</v>
      </c>
      <c r="G466" s="53"/>
      <c r="H466" s="53"/>
      <c r="I466" s="53">
        <v>787385</v>
      </c>
      <c r="J466" s="132">
        <f>+SUM(C466:G466)-(H466+I466)</f>
        <v>-36185</v>
      </c>
      <c r="K466" s="156" t="b">
        <f t="shared" ref="K466:K473" si="225">J466=I417</f>
        <v>0</v>
      </c>
      <c r="L466" s="5"/>
      <c r="M466" s="5"/>
      <c r="N466" s="5"/>
      <c r="O466" s="5"/>
      <c r="Q466" s="5"/>
    </row>
    <row r="467" spans="1:17">
      <c r="A467" s="130" t="s">
        <v>135</v>
      </c>
      <c r="B467" s="137" t="s">
        <v>85</v>
      </c>
      <c r="C467" s="128">
        <v>233614</v>
      </c>
      <c r="D467" s="131"/>
      <c r="E467" s="146"/>
      <c r="F467" s="146"/>
      <c r="G467" s="146"/>
      <c r="H467" s="146"/>
      <c r="I467" s="146"/>
      <c r="J467" s="129">
        <f>+SUM(C467:G467)-(H467+I467)</f>
        <v>233614</v>
      </c>
      <c r="K467" s="156" t="b">
        <f t="shared" si="225"/>
        <v>0</v>
      </c>
      <c r="L467" s="5"/>
      <c r="M467" s="5"/>
      <c r="N467" s="5"/>
      <c r="O467" s="5"/>
      <c r="Q467" s="5"/>
    </row>
    <row r="468" spans="1:17">
      <c r="A468" s="130" t="s">
        <v>135</v>
      </c>
      <c r="B468" s="137" t="s">
        <v>84</v>
      </c>
      <c r="C468" s="128">
        <v>249769</v>
      </c>
      <c r="D468" s="131"/>
      <c r="E468" s="146"/>
      <c r="F468" s="146"/>
      <c r="G468" s="146"/>
      <c r="H468" s="146"/>
      <c r="I468" s="146"/>
      <c r="J468" s="129">
        <f t="shared" ref="J468:J473" si="226">+SUM(C468:G468)-(H468+I468)</f>
        <v>249769</v>
      </c>
      <c r="K468" s="156" t="b">
        <f t="shared" si="225"/>
        <v>0</v>
      </c>
      <c r="L468" s="5"/>
      <c r="M468" s="5"/>
      <c r="N468" s="5"/>
      <c r="O468" s="5"/>
      <c r="Q468" s="5"/>
    </row>
    <row r="469" spans="1:17">
      <c r="A469" s="130" t="s">
        <v>135</v>
      </c>
      <c r="B469" s="135" t="s">
        <v>36</v>
      </c>
      <c r="C469" s="33">
        <v>-4675</v>
      </c>
      <c r="D469" s="32"/>
      <c r="E469" s="33">
        <v>494000</v>
      </c>
      <c r="F469" s="33">
        <v>256000</v>
      </c>
      <c r="G469" s="110"/>
      <c r="H469" s="110">
        <v>6500</v>
      </c>
      <c r="I469" s="33">
        <v>607250</v>
      </c>
      <c r="J469" s="31">
        <f t="shared" si="226"/>
        <v>131575</v>
      </c>
      <c r="K469" s="156" t="b">
        <f t="shared" si="225"/>
        <v>0</v>
      </c>
      <c r="L469" s="5"/>
      <c r="M469" s="5"/>
      <c r="N469" s="5"/>
      <c r="O469" s="5"/>
      <c r="Q469" s="5"/>
    </row>
    <row r="470" spans="1:17">
      <c r="A470" s="130" t="s">
        <v>135</v>
      </c>
      <c r="B470" s="135" t="s">
        <v>94</v>
      </c>
      <c r="C470" s="33">
        <v>5000</v>
      </c>
      <c r="D470" s="32"/>
      <c r="E470" s="33">
        <v>30000</v>
      </c>
      <c r="F470" s="110"/>
      <c r="G470" s="110"/>
      <c r="H470" s="110"/>
      <c r="I470" s="33">
        <v>29500</v>
      </c>
      <c r="J470" s="31">
        <f t="shared" si="226"/>
        <v>5500</v>
      </c>
      <c r="K470" s="156" t="b">
        <f t="shared" si="225"/>
        <v>0</v>
      </c>
      <c r="L470" s="5"/>
      <c r="M470" s="5"/>
      <c r="N470" s="5"/>
      <c r="O470" s="5"/>
      <c r="Q470" s="5"/>
    </row>
    <row r="471" spans="1:17">
      <c r="A471" s="130" t="s">
        <v>135</v>
      </c>
      <c r="B471" s="135" t="s">
        <v>29</v>
      </c>
      <c r="C471" s="33">
        <v>72800</v>
      </c>
      <c r="D471" s="32"/>
      <c r="E471" s="33">
        <v>446000</v>
      </c>
      <c r="F471" s="110"/>
      <c r="G471" s="110"/>
      <c r="H471" s="110"/>
      <c r="I471" s="33">
        <v>512600</v>
      </c>
      <c r="J471" s="31">
        <f t="shared" si="226"/>
        <v>6200</v>
      </c>
      <c r="K471" s="156" t="b">
        <f t="shared" si="225"/>
        <v>0</v>
      </c>
      <c r="L471" s="5"/>
      <c r="M471" s="5"/>
      <c r="N471" s="5"/>
      <c r="O471" s="5"/>
      <c r="Q471" s="5"/>
    </row>
    <row r="472" spans="1:17">
      <c r="A472" s="130" t="s">
        <v>135</v>
      </c>
      <c r="B472" s="135" t="s">
        <v>32</v>
      </c>
      <c r="C472" s="33">
        <v>47300</v>
      </c>
      <c r="D472" s="32"/>
      <c r="E472" s="33">
        <v>5000</v>
      </c>
      <c r="F472" s="110">
        <v>6500</v>
      </c>
      <c r="G472" s="110"/>
      <c r="H472" s="33">
        <v>20000</v>
      </c>
      <c r="I472" s="33">
        <v>8000</v>
      </c>
      <c r="J472" s="31">
        <f t="shared" si="226"/>
        <v>30800</v>
      </c>
      <c r="K472" s="156" t="b">
        <f t="shared" si="225"/>
        <v>0</v>
      </c>
      <c r="L472" s="5"/>
      <c r="M472" s="5"/>
      <c r="N472" s="5"/>
      <c r="O472" s="5"/>
      <c r="Q472" s="5"/>
    </row>
    <row r="473" spans="1:17">
      <c r="A473" s="130" t="s">
        <v>135</v>
      </c>
      <c r="B473" s="136" t="s">
        <v>114</v>
      </c>
      <c r="C473" s="33">
        <v>79600</v>
      </c>
      <c r="D473" s="127"/>
      <c r="E473" s="53"/>
      <c r="F473" s="53"/>
      <c r="G473" s="147"/>
      <c r="H473" s="53"/>
      <c r="I473" s="53">
        <v>37707</v>
      </c>
      <c r="J473" s="31">
        <f t="shared" si="226"/>
        <v>41893</v>
      </c>
      <c r="K473" s="156" t="b">
        <f t="shared" si="225"/>
        <v>0</v>
      </c>
      <c r="L473" s="5"/>
      <c r="M473" s="5"/>
      <c r="N473" s="5"/>
      <c r="O473" s="5"/>
      <c r="Q473" s="5"/>
    </row>
    <row r="474" spans="1:17">
      <c r="A474" s="35" t="s">
        <v>61</v>
      </c>
      <c r="B474" s="36"/>
      <c r="C474" s="36"/>
      <c r="D474" s="36"/>
      <c r="E474" s="36"/>
      <c r="F474" s="36"/>
      <c r="G474" s="36"/>
      <c r="H474" s="36"/>
      <c r="I474" s="36"/>
      <c r="J474" s="37"/>
      <c r="K474" s="155"/>
      <c r="L474" s="5"/>
      <c r="M474" s="5"/>
      <c r="N474" s="5"/>
      <c r="O474" s="5"/>
      <c r="Q474" s="5"/>
    </row>
    <row r="475" spans="1:17">
      <c r="A475" s="130" t="s">
        <v>135</v>
      </c>
      <c r="B475" s="38" t="s">
        <v>62</v>
      </c>
      <c r="C475" s="39">
        <v>467929</v>
      </c>
      <c r="D475" s="51">
        <v>6310000</v>
      </c>
      <c r="E475" s="109"/>
      <c r="F475" s="51">
        <v>74184</v>
      </c>
      <c r="G475" s="148"/>
      <c r="H475" s="139">
        <v>4180000</v>
      </c>
      <c r="I475" s="134">
        <v>1710965</v>
      </c>
      <c r="J475" s="46">
        <f>+SUM(C475:G475)-(H475+I475)</f>
        <v>961148</v>
      </c>
      <c r="K475" s="156" t="b">
        <f>J475=I413</f>
        <v>0</v>
      </c>
      <c r="L475" s="5"/>
      <c r="M475" s="5"/>
      <c r="N475" s="5"/>
      <c r="O475" s="5"/>
      <c r="Q475" s="5"/>
    </row>
    <row r="476" spans="1:17">
      <c r="A476" s="44" t="s">
        <v>63</v>
      </c>
      <c r="B476" s="25"/>
      <c r="C476" s="36"/>
      <c r="D476" s="25"/>
      <c r="E476" s="25"/>
      <c r="F476" s="25"/>
      <c r="G476" s="25"/>
      <c r="H476" s="25"/>
      <c r="I476" s="25"/>
      <c r="J476" s="37"/>
      <c r="K476" s="155"/>
      <c r="L476" s="5"/>
      <c r="M476" s="5"/>
      <c r="N476" s="5"/>
      <c r="O476" s="5"/>
      <c r="Q476" s="5"/>
    </row>
    <row r="477" spans="1:17">
      <c r="A477" s="130" t="s">
        <v>135</v>
      </c>
      <c r="B477" s="38" t="s">
        <v>64</v>
      </c>
      <c r="C477" s="133">
        <v>7405927</v>
      </c>
      <c r="D477" s="140"/>
      <c r="E477" s="51"/>
      <c r="F477" s="51"/>
      <c r="G477" s="51"/>
      <c r="H477" s="53">
        <v>2000000</v>
      </c>
      <c r="I477" s="55">
        <v>1710232</v>
      </c>
      <c r="J477" s="46">
        <f>+SUM(C477:G477)-(H477+I477)</f>
        <v>3695695</v>
      </c>
      <c r="K477" s="156" t="e">
        <f>+J477=#REF!</f>
        <v>#REF!</v>
      </c>
      <c r="L477" s="5"/>
      <c r="M477" s="5"/>
      <c r="N477" s="5"/>
      <c r="O477" s="5"/>
      <c r="Q477" s="5"/>
    </row>
    <row r="478" spans="1:17">
      <c r="A478" s="130" t="s">
        <v>135</v>
      </c>
      <c r="B478" s="38" t="s">
        <v>65</v>
      </c>
      <c r="C478" s="133">
        <v>22972065</v>
      </c>
      <c r="D478" s="51"/>
      <c r="E478" s="50"/>
      <c r="F478" s="50"/>
      <c r="G478" s="50"/>
      <c r="H478" s="33">
        <v>4310000</v>
      </c>
      <c r="I478" s="52">
        <v>3055511</v>
      </c>
      <c r="J478" s="46">
        <f>SUM(C478:G478)-(H478+I478)</f>
        <v>15606554</v>
      </c>
      <c r="K478" s="156" t="b">
        <f>+J478=I412</f>
        <v>0</v>
      </c>
      <c r="L478" s="5"/>
      <c r="M478" s="5"/>
      <c r="N478" s="5"/>
      <c r="O478" s="5"/>
      <c r="Q478" s="5"/>
    </row>
    <row r="479" spans="1:17" ht="15.75">
      <c r="C479" s="151">
        <f>SUM(C461:C478)</f>
        <v>31712043</v>
      </c>
      <c r="I479" s="149">
        <f>SUM(I461:I478)</f>
        <v>10359300</v>
      </c>
      <c r="J479" s="111">
        <f>+SUM(J461:J478)</f>
        <v>21352743</v>
      </c>
      <c r="K479" s="5" t="b">
        <f>J479=I425</f>
        <v>0</v>
      </c>
      <c r="L479" s="5"/>
      <c r="M479" s="5"/>
      <c r="N479" s="5"/>
      <c r="O479" s="5"/>
      <c r="Q479" s="5"/>
    </row>
    <row r="480" spans="1:17" ht="16.5">
      <c r="A480" s="14"/>
      <c r="B480" s="15"/>
      <c r="C480" s="12"/>
      <c r="D480" s="12"/>
      <c r="E480" s="13"/>
      <c r="F480" s="12"/>
      <c r="G480" s="12"/>
      <c r="H480" s="12"/>
      <c r="I480" s="12"/>
      <c r="L480" s="5"/>
      <c r="M480" s="5"/>
      <c r="N480" s="5"/>
      <c r="O480" s="5"/>
      <c r="Q480" s="5"/>
    </row>
    <row r="481" spans="1:17">
      <c r="A481" s="16" t="s">
        <v>53</v>
      </c>
      <c r="B481" s="16"/>
      <c r="C481" s="16"/>
      <c r="D481" s="17"/>
      <c r="E481" s="17"/>
      <c r="F481" s="17"/>
      <c r="G481" s="17"/>
      <c r="H481" s="17"/>
      <c r="I481" s="17"/>
      <c r="L481" s="5"/>
      <c r="M481" s="5"/>
      <c r="N481" s="5"/>
      <c r="O481" s="5"/>
      <c r="Q481" s="5"/>
    </row>
    <row r="482" spans="1:17">
      <c r="A482" s="18" t="s">
        <v>125</v>
      </c>
      <c r="B482" s="18"/>
      <c r="C482" s="18"/>
      <c r="D482" s="18"/>
      <c r="E482" s="18"/>
      <c r="F482" s="18"/>
      <c r="G482" s="18"/>
      <c r="H482" s="18"/>
      <c r="I482" s="18"/>
      <c r="J482" s="17"/>
      <c r="L482" s="5"/>
      <c r="M482" s="5"/>
      <c r="N482" s="5"/>
      <c r="O482" s="5"/>
      <c r="Q482" s="5"/>
    </row>
    <row r="483" spans="1:17">
      <c r="A483" s="19"/>
      <c r="B483" s="20"/>
      <c r="C483" s="21"/>
      <c r="D483" s="21"/>
      <c r="E483" s="21"/>
      <c r="F483" s="21"/>
      <c r="G483" s="21"/>
      <c r="H483" s="20"/>
      <c r="I483" s="20"/>
      <c r="J483" s="18"/>
      <c r="L483" s="5"/>
      <c r="M483" s="5"/>
      <c r="N483" s="5"/>
      <c r="O483" s="5"/>
      <c r="Q483" s="5"/>
    </row>
    <row r="484" spans="1:17">
      <c r="A484" s="391" t="s">
        <v>54</v>
      </c>
      <c r="B484" s="393" t="s">
        <v>55</v>
      </c>
      <c r="C484" s="395" t="s">
        <v>126</v>
      </c>
      <c r="D484" s="397" t="s">
        <v>56</v>
      </c>
      <c r="E484" s="398"/>
      <c r="F484" s="398"/>
      <c r="G484" s="399"/>
      <c r="H484" s="400" t="s">
        <v>57</v>
      </c>
      <c r="I484" s="402" t="s">
        <v>58</v>
      </c>
      <c r="J484" s="20"/>
      <c r="L484" s="5"/>
      <c r="M484" s="5"/>
      <c r="N484" s="5"/>
      <c r="O484" s="5"/>
      <c r="Q484" s="5"/>
    </row>
    <row r="485" spans="1:17">
      <c r="A485" s="392"/>
      <c r="B485" s="394"/>
      <c r="C485" s="396"/>
      <c r="D485" s="22" t="s">
        <v>24</v>
      </c>
      <c r="E485" s="22" t="s">
        <v>25</v>
      </c>
      <c r="F485" s="166" t="s">
        <v>124</v>
      </c>
      <c r="G485" s="22" t="s">
        <v>59</v>
      </c>
      <c r="H485" s="401"/>
      <c r="I485" s="403"/>
      <c r="J485" s="404" t="s">
        <v>127</v>
      </c>
      <c r="K485" s="155"/>
      <c r="L485" s="5"/>
      <c r="M485" s="5"/>
      <c r="N485" s="5"/>
      <c r="O485" s="5"/>
      <c r="Q485" s="5"/>
    </row>
    <row r="486" spans="1:17">
      <c r="A486" s="24"/>
      <c r="B486" s="25" t="s">
        <v>60</v>
      </c>
      <c r="C486" s="26"/>
      <c r="D486" s="26"/>
      <c r="E486" s="26"/>
      <c r="F486" s="26"/>
      <c r="G486" s="26"/>
      <c r="H486" s="26"/>
      <c r="I486" s="27"/>
      <c r="J486" s="405"/>
      <c r="K486" s="155"/>
      <c r="L486" s="5"/>
      <c r="M486" s="5"/>
      <c r="N486" s="5"/>
      <c r="O486" s="5"/>
      <c r="Q486" s="5"/>
    </row>
    <row r="487" spans="1:17">
      <c r="A487" s="130" t="s">
        <v>128</v>
      </c>
      <c r="B487" s="135" t="s">
        <v>77</v>
      </c>
      <c r="C487" s="33">
        <v>-450</v>
      </c>
      <c r="D487" s="32"/>
      <c r="E487" s="33">
        <v>168000</v>
      </c>
      <c r="F487" s="33">
        <v>55000</v>
      </c>
      <c r="G487" s="33"/>
      <c r="H487" s="57"/>
      <c r="I487" s="33">
        <v>182500</v>
      </c>
      <c r="J487" s="31">
        <f>+SUM(C487:G487)-(H487+I487)</f>
        <v>40050</v>
      </c>
      <c r="K487" s="156"/>
      <c r="L487" s="5"/>
      <c r="M487" s="5"/>
      <c r="N487" s="5"/>
      <c r="O487" s="5"/>
      <c r="Q487" s="5"/>
    </row>
    <row r="488" spans="1:17">
      <c r="A488" s="130" t="s">
        <v>128</v>
      </c>
      <c r="B488" s="135" t="s">
        <v>48</v>
      </c>
      <c r="C488" s="33">
        <v>12510</v>
      </c>
      <c r="D488" s="32"/>
      <c r="E488" s="33">
        <v>303000</v>
      </c>
      <c r="F488" s="33"/>
      <c r="G488" s="33"/>
      <c r="H488" s="57"/>
      <c r="I488" s="33">
        <v>276665</v>
      </c>
      <c r="J488" s="31">
        <f t="shared" ref="J488:J489" si="227">+SUM(C488:G488)-(H488+I488)</f>
        <v>38845</v>
      </c>
      <c r="K488" s="156"/>
      <c r="L488" s="5"/>
      <c r="M488" s="5"/>
      <c r="N488" s="5"/>
      <c r="O488" s="5"/>
      <c r="Q488" s="5"/>
    </row>
    <row r="489" spans="1:17">
      <c r="A489" s="130" t="s">
        <v>128</v>
      </c>
      <c r="B489" s="135" t="s">
        <v>31</v>
      </c>
      <c r="C489" s="33">
        <v>2895</v>
      </c>
      <c r="D489" s="32"/>
      <c r="E489" s="33">
        <v>40000</v>
      </c>
      <c r="F489" s="33"/>
      <c r="G489" s="33"/>
      <c r="H489" s="33"/>
      <c r="I489" s="33">
        <v>36000</v>
      </c>
      <c r="J489" s="107">
        <f t="shared" si="227"/>
        <v>6895</v>
      </c>
      <c r="K489" s="156"/>
      <c r="L489" s="5"/>
      <c r="M489" s="5"/>
      <c r="N489" s="5"/>
      <c r="O489" s="5"/>
      <c r="Q489" s="5"/>
    </row>
    <row r="490" spans="1:17">
      <c r="A490" s="130" t="s">
        <v>128</v>
      </c>
      <c r="B490" s="135" t="s">
        <v>78</v>
      </c>
      <c r="C490" s="33">
        <v>62040</v>
      </c>
      <c r="D490" s="110"/>
      <c r="E490" s="33"/>
      <c r="F490" s="33"/>
      <c r="G490" s="33"/>
      <c r="H490" s="33">
        <v>25000</v>
      </c>
      <c r="I490" s="33">
        <v>8500</v>
      </c>
      <c r="J490" s="107">
        <f>+SUM(C490:G490)-(H490+I490)</f>
        <v>28540</v>
      </c>
      <c r="K490" s="156"/>
      <c r="L490" s="5"/>
      <c r="M490" s="5"/>
      <c r="N490" s="5"/>
      <c r="O490" s="5"/>
      <c r="Q490" s="5"/>
    </row>
    <row r="491" spans="1:17">
      <c r="A491" s="130" t="s">
        <v>128</v>
      </c>
      <c r="B491" s="135" t="s">
        <v>70</v>
      </c>
      <c r="C491" s="33">
        <v>184</v>
      </c>
      <c r="D491" s="110"/>
      <c r="E491" s="33">
        <v>0</v>
      </c>
      <c r="F491" s="33"/>
      <c r="G491" s="33"/>
      <c r="H491" s="33"/>
      <c r="I491" s="33">
        <v>0</v>
      </c>
      <c r="J491" s="107">
        <f t="shared" ref="J491" si="228">+SUM(C491:G491)-(H491+I491)</f>
        <v>184</v>
      </c>
      <c r="K491" s="156"/>
      <c r="L491" s="5"/>
      <c r="M491" s="5"/>
      <c r="N491" s="5"/>
      <c r="O491" s="5"/>
      <c r="Q491" s="5"/>
    </row>
    <row r="492" spans="1:17">
      <c r="A492" s="130" t="s">
        <v>128</v>
      </c>
      <c r="B492" s="136" t="s">
        <v>30</v>
      </c>
      <c r="C492" s="33">
        <v>-36500</v>
      </c>
      <c r="D492" s="127"/>
      <c r="E492" s="53">
        <v>523500</v>
      </c>
      <c r="F492" s="53"/>
      <c r="G492" s="53"/>
      <c r="H492" s="53"/>
      <c r="I492" s="53">
        <v>418800</v>
      </c>
      <c r="J492" s="132">
        <f>+SUM(C492:G492)-(H492+I492)</f>
        <v>68200</v>
      </c>
      <c r="K492" s="156"/>
      <c r="L492" s="5"/>
      <c r="M492" s="5"/>
      <c r="N492" s="5"/>
      <c r="O492" s="5"/>
      <c r="Q492" s="5"/>
    </row>
    <row r="493" spans="1:17">
      <c r="A493" s="130" t="s">
        <v>128</v>
      </c>
      <c r="B493" s="137" t="s">
        <v>85</v>
      </c>
      <c r="C493" s="128">
        <v>233614</v>
      </c>
      <c r="D493" s="131"/>
      <c r="E493" s="146"/>
      <c r="F493" s="146"/>
      <c r="G493" s="146"/>
      <c r="H493" s="146"/>
      <c r="I493" s="146"/>
      <c r="J493" s="129">
        <f>+SUM(C493:G493)-(H493+I493)</f>
        <v>233614</v>
      </c>
      <c r="K493" s="156"/>
      <c r="L493" s="5"/>
      <c r="M493" s="5"/>
      <c r="N493" s="5"/>
      <c r="O493" s="5"/>
      <c r="Q493" s="5"/>
    </row>
    <row r="494" spans="1:17">
      <c r="A494" s="130" t="s">
        <v>128</v>
      </c>
      <c r="B494" s="137" t="s">
        <v>84</v>
      </c>
      <c r="C494" s="128">
        <v>249769</v>
      </c>
      <c r="D494" s="131"/>
      <c r="E494" s="146"/>
      <c r="F494" s="146"/>
      <c r="G494" s="146"/>
      <c r="H494" s="146"/>
      <c r="I494" s="146"/>
      <c r="J494" s="129">
        <f t="shared" ref="J494:J499" si="229">+SUM(C494:G494)-(H494+I494)</f>
        <v>249769</v>
      </c>
      <c r="K494" s="156"/>
      <c r="L494" s="5"/>
      <c r="M494" s="5"/>
      <c r="N494" s="5"/>
      <c r="O494" s="5"/>
      <c r="Q494" s="5"/>
    </row>
    <row r="495" spans="1:17">
      <c r="A495" s="130" t="s">
        <v>128</v>
      </c>
      <c r="B495" s="135" t="s">
        <v>36</v>
      </c>
      <c r="C495" s="33">
        <v>71200</v>
      </c>
      <c r="D495" s="32"/>
      <c r="E495" s="33">
        <v>1056000</v>
      </c>
      <c r="F495" s="33"/>
      <c r="G495" s="110"/>
      <c r="H495" s="110">
        <v>55000</v>
      </c>
      <c r="I495" s="33">
        <v>1076875</v>
      </c>
      <c r="J495" s="31">
        <f t="shared" si="229"/>
        <v>-4675</v>
      </c>
      <c r="K495" s="156"/>
      <c r="L495" s="5"/>
      <c r="M495" s="5"/>
      <c r="N495" s="5"/>
      <c r="O495" s="5"/>
      <c r="Q495" s="5"/>
    </row>
    <row r="496" spans="1:17">
      <c r="A496" s="130" t="s">
        <v>128</v>
      </c>
      <c r="B496" s="135" t="s">
        <v>94</v>
      </c>
      <c r="C496" s="33">
        <v>6000</v>
      </c>
      <c r="D496" s="32"/>
      <c r="E496" s="33">
        <v>20000</v>
      </c>
      <c r="F496" s="110"/>
      <c r="G496" s="110"/>
      <c r="H496" s="110"/>
      <c r="I496" s="33">
        <v>21000</v>
      </c>
      <c r="J496" s="31">
        <f t="shared" si="229"/>
        <v>5000</v>
      </c>
      <c r="K496" s="156"/>
      <c r="L496" s="5"/>
      <c r="M496" s="5"/>
      <c r="N496" s="5"/>
      <c r="O496" s="5"/>
      <c r="Q496" s="5"/>
    </row>
    <row r="497" spans="1:17">
      <c r="A497" s="130" t="s">
        <v>128</v>
      </c>
      <c r="B497" s="135" t="s">
        <v>29</v>
      </c>
      <c r="C497" s="33">
        <v>167700</v>
      </c>
      <c r="D497" s="32"/>
      <c r="E497" s="33">
        <v>473000</v>
      </c>
      <c r="F497" s="110"/>
      <c r="G497" s="110"/>
      <c r="H497" s="110"/>
      <c r="I497" s="33">
        <v>567900</v>
      </c>
      <c r="J497" s="31">
        <f t="shared" si="229"/>
        <v>72800</v>
      </c>
      <c r="K497" s="156"/>
      <c r="L497" s="5"/>
      <c r="M497" s="5"/>
      <c r="N497" s="5"/>
      <c r="O497" s="5"/>
      <c r="Q497" s="5"/>
    </row>
    <row r="498" spans="1:17">
      <c r="A498" s="130" t="s">
        <v>128</v>
      </c>
      <c r="B498" s="135" t="s">
        <v>32</v>
      </c>
      <c r="C498" s="33">
        <v>65300</v>
      </c>
      <c r="D498" s="32"/>
      <c r="E498" s="33">
        <v>10000</v>
      </c>
      <c r="F498" s="110"/>
      <c r="G498" s="110"/>
      <c r="H498" s="110">
        <v>20000</v>
      </c>
      <c r="I498" s="33">
        <v>8000</v>
      </c>
      <c r="J498" s="31">
        <f t="shared" si="229"/>
        <v>47300</v>
      </c>
      <c r="K498" s="156"/>
      <c r="L498" s="5"/>
      <c r="M498" s="5"/>
      <c r="N498" s="5"/>
      <c r="O498" s="5"/>
      <c r="Q498" s="5"/>
    </row>
    <row r="499" spans="1:17">
      <c r="A499" s="130" t="s">
        <v>128</v>
      </c>
      <c r="B499" s="136" t="s">
        <v>114</v>
      </c>
      <c r="C499" s="33">
        <v>-11700</v>
      </c>
      <c r="D499" s="127"/>
      <c r="E499" s="53">
        <v>385800</v>
      </c>
      <c r="F499" s="53"/>
      <c r="G499" s="147"/>
      <c r="H499" s="53"/>
      <c r="I499" s="53">
        <v>294500</v>
      </c>
      <c r="J499" s="31">
        <f t="shared" si="229"/>
        <v>79600</v>
      </c>
      <c r="K499" s="156"/>
      <c r="L499" s="5"/>
      <c r="M499" s="5"/>
      <c r="N499" s="5"/>
      <c r="O499" s="5"/>
      <c r="Q499" s="5"/>
    </row>
    <row r="500" spans="1:17">
      <c r="A500" s="35" t="s">
        <v>61</v>
      </c>
      <c r="B500" s="36"/>
      <c r="C500" s="36"/>
      <c r="D500" s="36"/>
      <c r="E500" s="36"/>
      <c r="F500" s="36"/>
      <c r="G500" s="36"/>
      <c r="H500" s="36"/>
      <c r="I500" s="36"/>
      <c r="J500" s="37"/>
      <c r="K500" s="155"/>
      <c r="L500" s="5"/>
      <c r="M500" s="5"/>
      <c r="N500" s="5"/>
      <c r="O500" s="5"/>
      <c r="Q500" s="5"/>
    </row>
    <row r="501" spans="1:17">
      <c r="A501" s="130" t="s">
        <v>128</v>
      </c>
      <c r="B501" s="38" t="s">
        <v>62</v>
      </c>
      <c r="C501" s="39">
        <v>1672959</v>
      </c>
      <c r="D501" s="51">
        <v>3341000</v>
      </c>
      <c r="E501" s="109"/>
      <c r="F501" s="109">
        <v>45000</v>
      </c>
      <c r="G501" s="148"/>
      <c r="H501" s="139">
        <v>2979300</v>
      </c>
      <c r="I501" s="134">
        <v>1611730</v>
      </c>
      <c r="J501" s="46">
        <f>+SUM(C501:G501)-(H501+I501)</f>
        <v>467929</v>
      </c>
      <c r="K501" s="156"/>
      <c r="L501" s="5"/>
      <c r="M501" s="5"/>
      <c r="N501" s="5"/>
      <c r="O501" s="5"/>
      <c r="Q501" s="5"/>
    </row>
    <row r="502" spans="1:17">
      <c r="A502" s="44" t="s">
        <v>63</v>
      </c>
      <c r="B502" s="25"/>
      <c r="C502" s="36"/>
      <c r="D502" s="25"/>
      <c r="E502" s="25"/>
      <c r="F502" s="25"/>
      <c r="G502" s="25"/>
      <c r="H502" s="25"/>
      <c r="I502" s="25"/>
      <c r="J502" s="37"/>
      <c r="K502" s="155"/>
      <c r="L502" s="5"/>
      <c r="M502" s="5"/>
      <c r="N502" s="5"/>
      <c r="O502" s="5"/>
      <c r="Q502" s="5"/>
    </row>
    <row r="503" spans="1:17">
      <c r="A503" s="130" t="s">
        <v>128</v>
      </c>
      <c r="B503" s="38" t="s">
        <v>64</v>
      </c>
      <c r="C503" s="133">
        <v>2957378</v>
      </c>
      <c r="D503" s="140">
        <v>7828953</v>
      </c>
      <c r="E503" s="51"/>
      <c r="F503" s="51"/>
      <c r="G503" s="51"/>
      <c r="H503" s="53">
        <v>3000000</v>
      </c>
      <c r="I503" s="55">
        <v>380404</v>
      </c>
      <c r="J503" s="46">
        <f>+SUM(C503:G503)-(H503+I503)</f>
        <v>7405927</v>
      </c>
      <c r="K503" s="156"/>
      <c r="L503" s="5"/>
      <c r="M503" s="5"/>
      <c r="N503" s="5"/>
      <c r="O503" s="5"/>
      <c r="Q503" s="5"/>
    </row>
    <row r="504" spans="1:17">
      <c r="A504" s="130" t="s">
        <v>128</v>
      </c>
      <c r="B504" s="38" t="s">
        <v>65</v>
      </c>
      <c r="C504" s="133">
        <v>28018504</v>
      </c>
      <c r="D504" s="51"/>
      <c r="E504" s="50"/>
      <c r="F504" s="50"/>
      <c r="G504" s="50"/>
      <c r="H504" s="33">
        <v>341000</v>
      </c>
      <c r="I504" s="52">
        <v>4705439</v>
      </c>
      <c r="J504" s="46">
        <f>SUM(C504:G504)-(H504+I504)</f>
        <v>22972065</v>
      </c>
      <c r="K504" s="156"/>
      <c r="L504" s="5"/>
      <c r="M504" s="5"/>
      <c r="N504" s="5"/>
      <c r="O504" s="5"/>
      <c r="Q504" s="5"/>
    </row>
    <row r="505" spans="1:17" ht="15.75">
      <c r="C505" s="151">
        <f>SUM(C487:C504)</f>
        <v>33471403</v>
      </c>
      <c r="I505" s="149">
        <f>SUM(I487:I504)</f>
        <v>9588313</v>
      </c>
      <c r="J505" s="111">
        <f>+SUM(J487:J504)</f>
        <v>31712043</v>
      </c>
      <c r="L505" s="5"/>
      <c r="M505" s="5"/>
      <c r="N505" s="5"/>
      <c r="O505" s="5"/>
      <c r="Q505" s="5"/>
    </row>
    <row r="506" spans="1:17" ht="16.5">
      <c r="A506" s="14"/>
      <c r="B506" s="15"/>
      <c r="C506" s="12" t="e">
        <f>C505=C425</f>
        <v>#REF!</v>
      </c>
      <c r="D506" s="12"/>
      <c r="E506" s="13"/>
      <c r="F506" s="12"/>
      <c r="G506" s="12"/>
      <c r="H506" s="12"/>
      <c r="I506" s="12"/>
      <c r="L506" s="5"/>
      <c r="M506" s="5"/>
      <c r="N506" s="5"/>
      <c r="O506" s="5"/>
      <c r="Q506" s="5"/>
    </row>
    <row r="507" spans="1:17">
      <c r="A507" s="16" t="s">
        <v>53</v>
      </c>
      <c r="B507" s="16"/>
      <c r="C507" s="16"/>
      <c r="D507" s="17"/>
      <c r="E507" s="17"/>
      <c r="F507" s="17"/>
      <c r="G507" s="17"/>
      <c r="H507" s="17"/>
      <c r="I507" s="17"/>
      <c r="L507" s="5"/>
      <c r="M507" s="5"/>
      <c r="N507" s="5"/>
      <c r="O507" s="5"/>
      <c r="Q507" s="5"/>
    </row>
    <row r="508" spans="1:17">
      <c r="A508" s="18" t="s">
        <v>120</v>
      </c>
      <c r="B508" s="18"/>
      <c r="C508" s="18"/>
      <c r="D508" s="18"/>
      <c r="E508" s="18"/>
      <c r="F508" s="18"/>
      <c r="G508" s="18"/>
      <c r="H508" s="18"/>
      <c r="I508" s="18"/>
      <c r="J508" s="17"/>
      <c r="L508" s="5"/>
      <c r="M508" s="5"/>
      <c r="N508" s="5"/>
      <c r="O508" s="5"/>
      <c r="Q508" s="5"/>
    </row>
    <row r="509" spans="1:17">
      <c r="A509" s="19"/>
      <c r="B509" s="20"/>
      <c r="C509" s="21"/>
      <c r="D509" s="21"/>
      <c r="E509" s="21"/>
      <c r="F509" s="21"/>
      <c r="G509" s="21"/>
      <c r="H509" s="20"/>
      <c r="I509" s="20"/>
      <c r="J509" s="18"/>
      <c r="L509" s="5"/>
      <c r="M509" s="5"/>
      <c r="N509" s="5"/>
      <c r="O509" s="5"/>
      <c r="Q509" s="5"/>
    </row>
    <row r="510" spans="1:17">
      <c r="A510" s="391" t="s">
        <v>54</v>
      </c>
      <c r="B510" s="393" t="s">
        <v>55</v>
      </c>
      <c r="C510" s="395" t="s">
        <v>122</v>
      </c>
      <c r="D510" s="397" t="s">
        <v>56</v>
      </c>
      <c r="E510" s="398"/>
      <c r="F510" s="398"/>
      <c r="G510" s="399"/>
      <c r="H510" s="400" t="s">
        <v>57</v>
      </c>
      <c r="I510" s="402" t="s">
        <v>58</v>
      </c>
      <c r="J510" s="20"/>
      <c r="L510" s="5"/>
      <c r="M510" s="5"/>
      <c r="N510" s="5"/>
      <c r="O510" s="5"/>
      <c r="Q510" s="5"/>
    </row>
    <row r="511" spans="1:17">
      <c r="A511" s="392"/>
      <c r="B511" s="394"/>
      <c r="C511" s="396"/>
      <c r="D511" s="22" t="s">
        <v>24</v>
      </c>
      <c r="E511" s="22" t="s">
        <v>25</v>
      </c>
      <c r="F511" s="154" t="s">
        <v>124</v>
      </c>
      <c r="G511" s="22" t="s">
        <v>59</v>
      </c>
      <c r="H511" s="401"/>
      <c r="I511" s="403"/>
      <c r="J511" s="404" t="s">
        <v>123</v>
      </c>
      <c r="K511" s="155"/>
      <c r="L511" s="5"/>
      <c r="M511" s="5"/>
      <c r="N511" s="5"/>
      <c r="O511" s="5"/>
      <c r="Q511" s="5"/>
    </row>
    <row r="512" spans="1:17">
      <c r="A512" s="24"/>
      <c r="B512" s="25" t="s">
        <v>60</v>
      </c>
      <c r="C512" s="26"/>
      <c r="D512" s="26"/>
      <c r="E512" s="26"/>
      <c r="F512" s="26"/>
      <c r="G512" s="26"/>
      <c r="H512" s="26"/>
      <c r="I512" s="27"/>
      <c r="J512" s="405"/>
      <c r="K512" s="155"/>
      <c r="L512" s="5"/>
      <c r="M512" s="5"/>
      <c r="N512" s="5"/>
      <c r="O512" s="5"/>
      <c r="Q512" s="5"/>
    </row>
    <row r="513" spans="1:17">
      <c r="A513" s="130" t="s">
        <v>121</v>
      </c>
      <c r="B513" s="135" t="s">
        <v>77</v>
      </c>
      <c r="C513" s="33">
        <v>7670</v>
      </c>
      <c r="D513" s="32"/>
      <c r="E513" s="33">
        <v>438000</v>
      </c>
      <c r="F513" s="33"/>
      <c r="G513" s="33"/>
      <c r="H513" s="57">
        <v>40000</v>
      </c>
      <c r="I513" s="33">
        <v>406120</v>
      </c>
      <c r="J513" s="31">
        <f>+SUM(C513:G513)-(H513+I513)</f>
        <v>-450</v>
      </c>
      <c r="K513" s="156" t="e">
        <f>J513=#REF!</f>
        <v>#REF!</v>
      </c>
      <c r="L513" s="5"/>
      <c r="M513" s="5"/>
      <c r="N513" s="5"/>
      <c r="O513" s="5"/>
      <c r="Q513" s="5"/>
    </row>
    <row r="514" spans="1:17">
      <c r="A514" s="130" t="s">
        <v>121</v>
      </c>
      <c r="B514" s="135" t="s">
        <v>48</v>
      </c>
      <c r="C514" s="33">
        <v>4710</v>
      </c>
      <c r="D514" s="32"/>
      <c r="E514" s="33">
        <v>303000</v>
      </c>
      <c r="F514" s="33">
        <f>25000+91000+62000</f>
        <v>178000</v>
      </c>
      <c r="G514" s="33"/>
      <c r="H514" s="57">
        <v>29000</v>
      </c>
      <c r="I514" s="33">
        <v>444200</v>
      </c>
      <c r="J514" s="31">
        <f t="shared" ref="J514:J515" si="230">+SUM(C514:G514)-(H514+I514)</f>
        <v>12510</v>
      </c>
      <c r="K514" s="156" t="b">
        <f>J514=I414</f>
        <v>0</v>
      </c>
      <c r="L514" s="5"/>
      <c r="M514" s="5"/>
      <c r="N514" s="5"/>
      <c r="O514" s="5"/>
      <c r="Q514" s="5"/>
    </row>
    <row r="515" spans="1:17">
      <c r="A515" s="130" t="s">
        <v>121</v>
      </c>
      <c r="B515" s="135" t="s">
        <v>31</v>
      </c>
      <c r="C515" s="33">
        <v>9295</v>
      </c>
      <c r="D515" s="32"/>
      <c r="E515" s="33">
        <v>743000</v>
      </c>
      <c r="F515" s="33">
        <v>2000</v>
      </c>
      <c r="G515" s="33"/>
      <c r="H515" s="33">
        <f>103000+91000+137000+101000+91000</f>
        <v>523000</v>
      </c>
      <c r="I515" s="33">
        <v>228400</v>
      </c>
      <c r="J515" s="107">
        <f t="shared" si="230"/>
        <v>2895</v>
      </c>
      <c r="K515" s="156" t="b">
        <f>J515=I415</f>
        <v>0</v>
      </c>
      <c r="L515" s="5"/>
      <c r="M515" s="5"/>
      <c r="N515" s="5"/>
      <c r="O515" s="5"/>
      <c r="Q515" s="5"/>
    </row>
    <row r="516" spans="1:17">
      <c r="A516" s="130" t="s">
        <v>121</v>
      </c>
      <c r="B516" s="135" t="s">
        <v>78</v>
      </c>
      <c r="C516" s="33">
        <v>-25100</v>
      </c>
      <c r="D516" s="110"/>
      <c r="E516" s="33">
        <v>121100</v>
      </c>
      <c r="F516" s="33">
        <f>103000+1000+28000+137000</f>
        <v>269000</v>
      </c>
      <c r="G516" s="33"/>
      <c r="H516" s="33"/>
      <c r="I516" s="33">
        <v>302960</v>
      </c>
      <c r="J516" s="107">
        <f>+SUM(C516:G516)-(H516+I516)</f>
        <v>62040</v>
      </c>
      <c r="K516" s="156" t="b">
        <f>J516=I416</f>
        <v>0</v>
      </c>
      <c r="L516" s="5"/>
      <c r="M516" s="5"/>
      <c r="N516" s="5"/>
      <c r="O516" s="5"/>
      <c r="Q516" s="5"/>
    </row>
    <row r="517" spans="1:17">
      <c r="A517" s="130" t="s">
        <v>121</v>
      </c>
      <c r="B517" s="135" t="s">
        <v>70</v>
      </c>
      <c r="C517" s="33">
        <v>7384</v>
      </c>
      <c r="D517" s="110"/>
      <c r="E517" s="33">
        <v>319000</v>
      </c>
      <c r="F517" s="33">
        <v>101000</v>
      </c>
      <c r="G517" s="33"/>
      <c r="H517" s="33">
        <v>62000</v>
      </c>
      <c r="I517" s="33">
        <v>365200</v>
      </c>
      <c r="J517" s="107">
        <f t="shared" ref="J517" si="231">+SUM(C517:G517)-(H517+I517)</f>
        <v>184</v>
      </c>
      <c r="K517" s="156" t="e">
        <f>J517=#REF!</f>
        <v>#REF!</v>
      </c>
      <c r="L517" s="5"/>
      <c r="M517" s="5"/>
      <c r="N517" s="5"/>
      <c r="O517" s="5"/>
      <c r="Q517" s="5"/>
    </row>
    <row r="518" spans="1:17">
      <c r="A518" s="130" t="s">
        <v>121</v>
      </c>
      <c r="B518" s="136" t="s">
        <v>30</v>
      </c>
      <c r="C518" s="33">
        <v>61300</v>
      </c>
      <c r="D518" s="127"/>
      <c r="E518" s="53">
        <v>931200</v>
      </c>
      <c r="F518" s="53"/>
      <c r="G518" s="53"/>
      <c r="H518" s="53">
        <v>28000</v>
      </c>
      <c r="I518" s="53">
        <v>1001000</v>
      </c>
      <c r="J518" s="132">
        <f>+SUM(C518:G518)-(H518+I518)</f>
        <v>-36500</v>
      </c>
      <c r="K518" s="156" t="b">
        <f t="shared" ref="K518:K525" si="232">J518=I417</f>
        <v>0</v>
      </c>
      <c r="L518" s="5"/>
      <c r="M518" s="5"/>
      <c r="N518" s="5"/>
      <c r="O518" s="5"/>
      <c r="Q518" s="5"/>
    </row>
    <row r="519" spans="1:17">
      <c r="A519" s="130" t="s">
        <v>121</v>
      </c>
      <c r="B519" s="137" t="s">
        <v>85</v>
      </c>
      <c r="C519" s="128">
        <v>233614</v>
      </c>
      <c r="D519" s="131"/>
      <c r="E519" s="146"/>
      <c r="F519" s="146"/>
      <c r="G519" s="146"/>
      <c r="H519" s="146"/>
      <c r="I519" s="146"/>
      <c r="J519" s="129">
        <f>+SUM(C519:G519)-(H519+I519)</f>
        <v>233614</v>
      </c>
      <c r="K519" s="156" t="b">
        <f t="shared" si="232"/>
        <v>0</v>
      </c>
      <c r="L519" s="5"/>
      <c r="M519" s="5"/>
      <c r="N519" s="5"/>
      <c r="O519" s="5"/>
      <c r="Q519" s="5"/>
    </row>
    <row r="520" spans="1:17">
      <c r="A520" s="130" t="s">
        <v>121</v>
      </c>
      <c r="B520" s="137" t="s">
        <v>84</v>
      </c>
      <c r="C520" s="128">
        <v>249769</v>
      </c>
      <c r="D520" s="131"/>
      <c r="E520" s="146"/>
      <c r="F520" s="146"/>
      <c r="G520" s="146"/>
      <c r="H520" s="146"/>
      <c r="I520" s="146"/>
      <c r="J520" s="129">
        <f t="shared" ref="J520:J523" si="233">+SUM(C520:G520)-(H520+I520)</f>
        <v>249769</v>
      </c>
      <c r="K520" s="156" t="b">
        <f t="shared" si="232"/>
        <v>0</v>
      </c>
      <c r="L520" s="5"/>
      <c r="M520" s="5"/>
      <c r="N520" s="5"/>
      <c r="O520" s="5"/>
      <c r="Q520" s="5"/>
    </row>
    <row r="521" spans="1:17">
      <c r="A521" s="130" t="s">
        <v>121</v>
      </c>
      <c r="B521" s="135" t="s">
        <v>36</v>
      </c>
      <c r="C521" s="33">
        <v>4500</v>
      </c>
      <c r="D521" s="32"/>
      <c r="E521" s="33">
        <v>234000</v>
      </c>
      <c r="F521" s="33">
        <v>40000</v>
      </c>
      <c r="G521" s="110"/>
      <c r="H521" s="110"/>
      <c r="I521" s="33">
        <v>207300</v>
      </c>
      <c r="J521" s="31">
        <f t="shared" si="233"/>
        <v>71200</v>
      </c>
      <c r="K521" s="156" t="b">
        <f t="shared" si="232"/>
        <v>0</v>
      </c>
      <c r="L521" s="5"/>
      <c r="M521" s="5"/>
      <c r="N521" s="5"/>
      <c r="O521" s="5"/>
      <c r="Q521" s="5"/>
    </row>
    <row r="522" spans="1:17">
      <c r="A522" s="130" t="s">
        <v>121</v>
      </c>
      <c r="B522" s="135" t="s">
        <v>94</v>
      </c>
      <c r="C522" s="33">
        <v>-6000</v>
      </c>
      <c r="D522" s="32"/>
      <c r="E522" s="33">
        <v>61000</v>
      </c>
      <c r="F522" s="110"/>
      <c r="G522" s="110"/>
      <c r="H522" s="110"/>
      <c r="I522" s="33">
        <v>49000</v>
      </c>
      <c r="J522" s="31">
        <f t="shared" si="233"/>
        <v>6000</v>
      </c>
      <c r="K522" s="156" t="b">
        <f t="shared" si="232"/>
        <v>0</v>
      </c>
      <c r="L522" s="5"/>
      <c r="M522" s="5"/>
      <c r="N522" s="5"/>
      <c r="O522" s="5"/>
      <c r="Q522" s="5"/>
    </row>
    <row r="523" spans="1:17">
      <c r="A523" s="130" t="s">
        <v>121</v>
      </c>
      <c r="B523" s="135" t="s">
        <v>29</v>
      </c>
      <c r="C523" s="33">
        <v>72200</v>
      </c>
      <c r="D523" s="32"/>
      <c r="E523" s="33">
        <v>722000</v>
      </c>
      <c r="F523" s="110"/>
      <c r="G523" s="110"/>
      <c r="H523" s="110"/>
      <c r="I523" s="33">
        <v>626500</v>
      </c>
      <c r="J523" s="31">
        <f t="shared" si="233"/>
        <v>167700</v>
      </c>
      <c r="K523" s="156" t="b">
        <f t="shared" si="232"/>
        <v>0</v>
      </c>
      <c r="L523" s="5"/>
      <c r="M523" s="5"/>
      <c r="N523" s="5"/>
      <c r="O523" s="5"/>
      <c r="Q523" s="5"/>
    </row>
    <row r="524" spans="1:17">
      <c r="A524" s="130" t="s">
        <v>121</v>
      </c>
      <c r="B524" s="135" t="s">
        <v>32</v>
      </c>
      <c r="C524" s="33">
        <v>9300</v>
      </c>
      <c r="D524" s="32"/>
      <c r="E524" s="33">
        <v>60000</v>
      </c>
      <c r="F524" s="110"/>
      <c r="G524" s="110"/>
      <c r="H524" s="110"/>
      <c r="I524" s="33">
        <v>4000</v>
      </c>
      <c r="J524" s="31">
        <f t="shared" ref="J524:J525" si="234">+SUM(C524:G524)-(H524+I524)</f>
        <v>65300</v>
      </c>
      <c r="K524" s="156" t="b">
        <f t="shared" si="232"/>
        <v>0</v>
      </c>
      <c r="L524" s="5"/>
      <c r="M524" s="5"/>
      <c r="N524" s="5"/>
      <c r="O524" s="5"/>
      <c r="Q524" s="5"/>
    </row>
    <row r="525" spans="1:17">
      <c r="A525" s="130" t="s">
        <v>121</v>
      </c>
      <c r="B525" s="136" t="s">
        <v>114</v>
      </c>
      <c r="C525" s="33">
        <v>-14000</v>
      </c>
      <c r="D525" s="127"/>
      <c r="E525" s="53">
        <v>378000</v>
      </c>
      <c r="F525" s="53">
        <f>29000+91000</f>
        <v>120000</v>
      </c>
      <c r="G525" s="147"/>
      <c r="H525" s="53">
        <f>2000+1000+25000</f>
        <v>28000</v>
      </c>
      <c r="I525" s="53">
        <v>467700</v>
      </c>
      <c r="J525" s="31">
        <f t="shared" si="234"/>
        <v>-11700</v>
      </c>
      <c r="K525" s="156" t="b">
        <f t="shared" si="232"/>
        <v>0</v>
      </c>
      <c r="L525" s="5"/>
      <c r="M525" s="5"/>
      <c r="N525" s="5"/>
      <c r="O525" s="5"/>
      <c r="Q525" s="5"/>
    </row>
    <row r="526" spans="1:17">
      <c r="A526" s="35" t="s">
        <v>61</v>
      </c>
      <c r="B526" s="36"/>
      <c r="C526" s="36"/>
      <c r="D526" s="36"/>
      <c r="E526" s="36"/>
      <c r="F526" s="36"/>
      <c r="G526" s="36"/>
      <c r="H526" s="36"/>
      <c r="I526" s="36"/>
      <c r="J526" s="37"/>
      <c r="K526" s="155"/>
      <c r="L526" s="5"/>
      <c r="M526" s="5"/>
      <c r="N526" s="5"/>
      <c r="O526" s="5"/>
      <c r="Q526" s="5"/>
    </row>
    <row r="527" spans="1:17">
      <c r="A527" s="130" t="s">
        <v>121</v>
      </c>
      <c r="B527" s="38" t="s">
        <v>62</v>
      </c>
      <c r="C527" s="39">
        <v>1148337</v>
      </c>
      <c r="D527" s="51">
        <v>7000000</v>
      </c>
      <c r="E527" s="109"/>
      <c r="F527" s="109"/>
      <c r="G527" s="148"/>
      <c r="H527" s="139">
        <v>4310300</v>
      </c>
      <c r="I527" s="134">
        <v>2165078</v>
      </c>
      <c r="J527" s="46">
        <f>+SUM(C527:G527)-(H527+I527)</f>
        <v>1672959</v>
      </c>
      <c r="K527" s="156" t="b">
        <f>J527=I413</f>
        <v>0</v>
      </c>
      <c r="L527" s="5"/>
      <c r="M527" s="5"/>
      <c r="N527" s="5"/>
      <c r="O527" s="5"/>
      <c r="Q527" s="5"/>
    </row>
    <row r="528" spans="1:17">
      <c r="A528" s="44" t="s">
        <v>63</v>
      </c>
      <c r="B528" s="25"/>
      <c r="C528" s="36"/>
      <c r="D528" s="25"/>
      <c r="E528" s="25"/>
      <c r="F528" s="25"/>
      <c r="G528" s="25"/>
      <c r="H528" s="25"/>
      <c r="I528" s="25"/>
      <c r="J528" s="37"/>
      <c r="K528" s="155"/>
      <c r="L528" s="5"/>
      <c r="M528" s="5"/>
      <c r="N528" s="5"/>
      <c r="O528" s="5"/>
      <c r="Q528" s="5"/>
    </row>
    <row r="529" spans="1:17">
      <c r="A529" s="130" t="s">
        <v>121</v>
      </c>
      <c r="B529" s="38" t="s">
        <v>64</v>
      </c>
      <c r="C529" s="133">
        <v>10113263</v>
      </c>
      <c r="D529" s="140">
        <v>0</v>
      </c>
      <c r="E529" s="51"/>
      <c r="F529" s="51"/>
      <c r="G529" s="51"/>
      <c r="H529" s="53">
        <v>7000000</v>
      </c>
      <c r="I529" s="55">
        <v>155885</v>
      </c>
      <c r="J529" s="46">
        <f>+SUM(C529:G529)-(H529+I529)</f>
        <v>2957378</v>
      </c>
      <c r="K529" s="156" t="e">
        <f>+J529=#REF!</f>
        <v>#REF!</v>
      </c>
      <c r="L529" s="5"/>
      <c r="M529" s="5"/>
      <c r="N529" s="5"/>
      <c r="O529" s="5"/>
      <c r="Q529" s="5"/>
    </row>
    <row r="530" spans="1:17">
      <c r="A530" s="130" t="s">
        <v>121</v>
      </c>
      <c r="B530" s="38" t="s">
        <v>65</v>
      </c>
      <c r="C530" s="133">
        <v>6219904</v>
      </c>
      <c r="D530" s="51">
        <v>28506579</v>
      </c>
      <c r="E530" s="50"/>
      <c r="F530" s="50"/>
      <c r="G530" s="50"/>
      <c r="H530" s="33"/>
      <c r="I530" s="52">
        <v>6707979</v>
      </c>
      <c r="J530" s="46">
        <f>SUM(C530:G530)-(H530+I530)</f>
        <v>28018504</v>
      </c>
      <c r="K530" s="156" t="b">
        <f>+J530=I412</f>
        <v>0</v>
      </c>
      <c r="L530" s="5"/>
      <c r="M530" s="5"/>
      <c r="N530" s="5"/>
      <c r="O530" s="5"/>
      <c r="Q530" s="5"/>
    </row>
    <row r="531" spans="1:17" ht="15.75">
      <c r="C531" s="151">
        <f>SUM(C513:C530)</f>
        <v>18096146</v>
      </c>
      <c r="I531" s="149">
        <f>SUM(I513:I530)</f>
        <v>13131322</v>
      </c>
      <c r="J531" s="111">
        <f>+SUM(J513:J530)</f>
        <v>33471403</v>
      </c>
      <c r="K531" s="5" t="b">
        <f>J531=I425</f>
        <v>0</v>
      </c>
      <c r="L531" s="5"/>
      <c r="M531" s="5"/>
      <c r="N531" s="5"/>
      <c r="O531" s="5"/>
      <c r="Q531" s="5"/>
    </row>
    <row r="532" spans="1:17" ht="16.5">
      <c r="A532" s="14"/>
      <c r="B532" s="15"/>
      <c r="C532" s="12" t="e">
        <f>C531=C425</f>
        <v>#REF!</v>
      </c>
      <c r="D532" s="12"/>
      <c r="E532" s="13"/>
      <c r="F532" s="12"/>
      <c r="G532" s="12"/>
      <c r="H532" s="12"/>
      <c r="I532" s="12"/>
      <c r="L532" s="5"/>
      <c r="M532" s="5"/>
      <c r="N532" s="5"/>
      <c r="O532" s="5"/>
      <c r="Q532" s="5"/>
    </row>
    <row r="533" spans="1:17" ht="16.5">
      <c r="A533" s="14"/>
      <c r="B533" s="15"/>
      <c r="C533" s="12"/>
      <c r="D533" s="12"/>
      <c r="E533" s="13"/>
      <c r="F533" s="12"/>
      <c r="G533" s="12"/>
      <c r="H533" s="12"/>
      <c r="I533" s="12"/>
      <c r="L533" s="5"/>
      <c r="M533" s="5"/>
      <c r="N533" s="5"/>
      <c r="O533" s="5"/>
      <c r="Q533" s="5"/>
    </row>
    <row r="534" spans="1:17">
      <c r="A534" s="16" t="s">
        <v>53</v>
      </c>
      <c r="B534" s="16"/>
      <c r="C534" s="16"/>
      <c r="D534" s="17"/>
      <c r="E534" s="17"/>
      <c r="F534" s="17"/>
      <c r="G534" s="17"/>
      <c r="H534" s="17"/>
      <c r="I534" s="17"/>
      <c r="L534" s="5"/>
      <c r="M534" s="5"/>
      <c r="N534" s="5"/>
      <c r="O534" s="5"/>
      <c r="Q534" s="5"/>
    </row>
    <row r="535" spans="1:17">
      <c r="A535" s="18" t="s">
        <v>115</v>
      </c>
      <c r="B535" s="18"/>
      <c r="C535" s="18"/>
      <c r="D535" s="18"/>
      <c r="E535" s="18"/>
      <c r="F535" s="18"/>
      <c r="G535" s="18"/>
      <c r="H535" s="18"/>
      <c r="I535" s="18"/>
      <c r="J535" s="17"/>
      <c r="L535" s="5"/>
      <c r="M535" s="5"/>
      <c r="N535" s="5"/>
      <c r="O535" s="5"/>
      <c r="Q535" s="5"/>
    </row>
    <row r="536" spans="1:17">
      <c r="A536" s="19"/>
      <c r="B536" s="20"/>
      <c r="C536" s="21"/>
      <c r="D536" s="21"/>
      <c r="E536" s="21"/>
      <c r="F536" s="21"/>
      <c r="G536" s="21"/>
      <c r="H536" s="20"/>
      <c r="I536" s="20"/>
      <c r="J536" s="18"/>
      <c r="L536" s="5"/>
      <c r="M536" s="5"/>
      <c r="N536" s="5"/>
      <c r="O536" s="5"/>
      <c r="Q536" s="5"/>
    </row>
    <row r="537" spans="1:17">
      <c r="A537" s="391" t="s">
        <v>54</v>
      </c>
      <c r="B537" s="393" t="s">
        <v>55</v>
      </c>
      <c r="C537" s="395" t="s">
        <v>117</v>
      </c>
      <c r="D537" s="397" t="s">
        <v>56</v>
      </c>
      <c r="E537" s="398"/>
      <c r="F537" s="398"/>
      <c r="G537" s="399"/>
      <c r="H537" s="400" t="s">
        <v>57</v>
      </c>
      <c r="I537" s="402" t="s">
        <v>58</v>
      </c>
      <c r="J537" s="20"/>
      <c r="L537" s="5"/>
      <c r="M537" s="5"/>
      <c r="N537" s="5"/>
      <c r="O537" s="5"/>
      <c r="Q537" s="5"/>
    </row>
    <row r="538" spans="1:17">
      <c r="A538" s="392"/>
      <c r="B538" s="394"/>
      <c r="C538" s="396"/>
      <c r="D538" s="22" t="s">
        <v>24</v>
      </c>
      <c r="E538" s="22" t="s">
        <v>25</v>
      </c>
      <c r="F538" s="152" t="s">
        <v>119</v>
      </c>
      <c r="G538" s="22" t="s">
        <v>59</v>
      </c>
      <c r="H538" s="401"/>
      <c r="I538" s="403"/>
      <c r="J538" s="404" t="s">
        <v>118</v>
      </c>
      <c r="L538" s="5"/>
      <c r="M538" s="5"/>
      <c r="N538" s="5"/>
      <c r="O538" s="5"/>
      <c r="Q538" s="5"/>
    </row>
    <row r="539" spans="1:17">
      <c r="A539" s="24"/>
      <c r="B539" s="25" t="s">
        <v>60</v>
      </c>
      <c r="C539" s="26"/>
      <c r="D539" s="26"/>
      <c r="E539" s="26"/>
      <c r="F539" s="26"/>
      <c r="G539" s="26"/>
      <c r="H539" s="26"/>
      <c r="I539" s="27"/>
      <c r="J539" s="405"/>
      <c r="L539" s="5"/>
      <c r="M539" s="5"/>
      <c r="N539" s="5"/>
      <c r="O539" s="5"/>
      <c r="Q539" s="5"/>
    </row>
    <row r="540" spans="1:17">
      <c r="A540" s="130" t="s">
        <v>116</v>
      </c>
      <c r="B540" s="135" t="s">
        <v>77</v>
      </c>
      <c r="C540" s="33">
        <v>3670</v>
      </c>
      <c r="D540" s="32"/>
      <c r="E540" s="33">
        <v>118000</v>
      </c>
      <c r="F540" s="33">
        <v>4000</v>
      </c>
      <c r="G540" s="33"/>
      <c r="H540" s="57"/>
      <c r="I540" s="33">
        <v>118000</v>
      </c>
      <c r="J540" s="31">
        <f>+SUM(C540:G540)-(H540+I540)</f>
        <v>7670</v>
      </c>
      <c r="K540" s="153"/>
      <c r="L540" s="5"/>
      <c r="M540" s="5"/>
      <c r="N540" s="5"/>
      <c r="O540" s="5"/>
      <c r="Q540" s="5"/>
    </row>
    <row r="541" spans="1:17">
      <c r="A541" s="130" t="s">
        <v>116</v>
      </c>
      <c r="B541" s="135" t="s">
        <v>48</v>
      </c>
      <c r="C541" s="33">
        <v>-540</v>
      </c>
      <c r="D541" s="32"/>
      <c r="E541" s="33">
        <v>209750</v>
      </c>
      <c r="F541" s="33">
        <v>5000</v>
      </c>
      <c r="G541" s="33"/>
      <c r="H541" s="57"/>
      <c r="I541" s="33">
        <v>209500</v>
      </c>
      <c r="J541" s="31">
        <f t="shared" ref="J541:J542" si="235">+SUM(C541:G541)-(H541+I541)</f>
        <v>4710</v>
      </c>
      <c r="K541" s="153"/>
      <c r="L541" s="5"/>
      <c r="M541" s="5"/>
      <c r="N541" s="5"/>
      <c r="O541" s="5"/>
      <c r="Q541" s="5"/>
    </row>
    <row r="542" spans="1:17">
      <c r="A542" s="130" t="s">
        <v>116</v>
      </c>
      <c r="B542" s="135" t="s">
        <v>31</v>
      </c>
      <c r="C542" s="33">
        <v>2395</v>
      </c>
      <c r="D542" s="32"/>
      <c r="E542" s="33">
        <v>70000</v>
      </c>
      <c r="F542" s="33">
        <v>4000</v>
      </c>
      <c r="G542" s="33"/>
      <c r="H542" s="33"/>
      <c r="I542" s="33">
        <v>67100</v>
      </c>
      <c r="J542" s="107">
        <f t="shared" si="235"/>
        <v>9295</v>
      </c>
      <c r="K542" s="153"/>
      <c r="L542" s="5"/>
      <c r="M542" s="5"/>
      <c r="N542" s="5"/>
      <c r="O542" s="5"/>
      <c r="Q542" s="5"/>
    </row>
    <row r="543" spans="1:17">
      <c r="A543" s="130" t="s">
        <v>116</v>
      </c>
      <c r="B543" s="135" t="s">
        <v>78</v>
      </c>
      <c r="C543" s="33">
        <v>96100</v>
      </c>
      <c r="D543" s="110"/>
      <c r="E543" s="33">
        <v>488100</v>
      </c>
      <c r="F543" s="33">
        <v>4000</v>
      </c>
      <c r="G543" s="33"/>
      <c r="H543" s="33">
        <v>61600</v>
      </c>
      <c r="I543" s="33">
        <v>551700</v>
      </c>
      <c r="J543" s="107">
        <f>+SUM(C543:G543)-(H543+I543)</f>
        <v>-25100</v>
      </c>
      <c r="K543" s="153"/>
      <c r="L543" s="5"/>
      <c r="M543" s="5"/>
      <c r="N543" s="5"/>
      <c r="O543" s="5"/>
      <c r="Q543" s="5"/>
    </row>
    <row r="544" spans="1:17">
      <c r="A544" s="130" t="s">
        <v>116</v>
      </c>
      <c r="B544" s="135" t="s">
        <v>70</v>
      </c>
      <c r="C544" s="33">
        <v>13884</v>
      </c>
      <c r="D544" s="110"/>
      <c r="E544" s="33">
        <v>194000</v>
      </c>
      <c r="F544" s="33"/>
      <c r="G544" s="33"/>
      <c r="H544" s="33">
        <v>17000</v>
      </c>
      <c r="I544" s="33">
        <v>183500</v>
      </c>
      <c r="J544" s="107">
        <f t="shared" ref="J544" si="236">+SUM(C544:G544)-(H544+I544)</f>
        <v>7384</v>
      </c>
      <c r="K544" s="153"/>
      <c r="L544" s="5"/>
      <c r="M544" s="5"/>
      <c r="N544" s="5"/>
      <c r="O544" s="5"/>
      <c r="Q544" s="5"/>
    </row>
    <row r="545" spans="1:17">
      <c r="A545" s="130" t="s">
        <v>116</v>
      </c>
      <c r="B545" s="136" t="s">
        <v>30</v>
      </c>
      <c r="C545" s="33">
        <v>72400</v>
      </c>
      <c r="D545" s="127"/>
      <c r="E545" s="53">
        <v>599900</v>
      </c>
      <c r="F545" s="53"/>
      <c r="G545" s="53"/>
      <c r="H545" s="53"/>
      <c r="I545" s="53">
        <v>611000</v>
      </c>
      <c r="J545" s="132">
        <f>+SUM(C545:G545)-(H545+I545)</f>
        <v>61300</v>
      </c>
      <c r="K545" s="153"/>
      <c r="L545" s="5"/>
      <c r="M545" s="5"/>
      <c r="N545" s="5"/>
      <c r="O545" s="5"/>
      <c r="Q545" s="5"/>
    </row>
    <row r="546" spans="1:17">
      <c r="A546" s="130" t="s">
        <v>116</v>
      </c>
      <c r="B546" s="137" t="s">
        <v>85</v>
      </c>
      <c r="C546" s="128">
        <v>233614</v>
      </c>
      <c r="D546" s="131"/>
      <c r="E546" s="146"/>
      <c r="F546" s="146"/>
      <c r="G546" s="146"/>
      <c r="H546" s="146"/>
      <c r="I546" s="146"/>
      <c r="J546" s="129">
        <f>+SUM(C546:G546)-(H546+I546)</f>
        <v>233614</v>
      </c>
      <c r="K546" s="153"/>
      <c r="L546" s="5"/>
      <c r="M546" s="5"/>
      <c r="N546" s="5"/>
      <c r="O546" s="5"/>
      <c r="Q546" s="5"/>
    </row>
    <row r="547" spans="1:17">
      <c r="A547" s="130" t="s">
        <v>116</v>
      </c>
      <c r="B547" s="137" t="s">
        <v>84</v>
      </c>
      <c r="C547" s="128">
        <v>249769</v>
      </c>
      <c r="D547" s="131"/>
      <c r="E547" s="146"/>
      <c r="F547" s="146"/>
      <c r="G547" s="146"/>
      <c r="H547" s="146"/>
      <c r="I547" s="146"/>
      <c r="J547" s="129">
        <f t="shared" ref="J547:J554" si="237">+SUM(C547:G547)-(H547+I547)</f>
        <v>249769</v>
      </c>
      <c r="K547" s="153"/>
      <c r="L547" s="5"/>
      <c r="M547" s="5"/>
      <c r="N547" s="5"/>
      <c r="O547" s="5"/>
      <c r="Q547" s="5"/>
    </row>
    <row r="548" spans="1:17">
      <c r="A548" s="130" t="s">
        <v>116</v>
      </c>
      <c r="B548" s="135" t="s">
        <v>36</v>
      </c>
      <c r="C548" s="33">
        <v>18490</v>
      </c>
      <c r="D548" s="32"/>
      <c r="E548" s="33">
        <v>796460</v>
      </c>
      <c r="F548" s="33">
        <v>61600</v>
      </c>
      <c r="G548" s="110"/>
      <c r="H548" s="110"/>
      <c r="I548" s="33">
        <v>872050</v>
      </c>
      <c r="J548" s="31">
        <f t="shared" si="237"/>
        <v>4500</v>
      </c>
      <c r="K548" s="153"/>
      <c r="L548" s="5"/>
      <c r="M548" s="5"/>
      <c r="N548" s="5"/>
      <c r="O548" s="5"/>
      <c r="Q548" s="5"/>
    </row>
    <row r="549" spans="1:17">
      <c r="A549" s="130" t="s">
        <v>116</v>
      </c>
      <c r="B549" s="135" t="s">
        <v>94</v>
      </c>
      <c r="C549" s="33">
        <v>4500</v>
      </c>
      <c r="D549" s="32"/>
      <c r="E549" s="33">
        <v>40000</v>
      </c>
      <c r="F549" s="110"/>
      <c r="G549" s="110"/>
      <c r="H549" s="110"/>
      <c r="I549" s="33">
        <v>50500</v>
      </c>
      <c r="J549" s="31">
        <f t="shared" si="237"/>
        <v>-6000</v>
      </c>
      <c r="K549" s="153"/>
      <c r="L549" s="5"/>
      <c r="M549" s="5"/>
      <c r="N549" s="5"/>
      <c r="O549" s="5"/>
      <c r="Q549" s="5"/>
    </row>
    <row r="550" spans="1:17">
      <c r="A550" s="130" t="s">
        <v>116</v>
      </c>
      <c r="B550" s="135" t="s">
        <v>29</v>
      </c>
      <c r="C550" s="33">
        <v>44200</v>
      </c>
      <c r="D550" s="32"/>
      <c r="E550" s="33">
        <v>60000</v>
      </c>
      <c r="F550" s="110"/>
      <c r="G550" s="110"/>
      <c r="H550" s="110"/>
      <c r="I550" s="33">
        <v>32000</v>
      </c>
      <c r="J550" s="31">
        <f t="shared" si="237"/>
        <v>72200</v>
      </c>
      <c r="K550" s="153"/>
      <c r="L550" s="5"/>
      <c r="M550" s="5"/>
      <c r="N550" s="5"/>
      <c r="O550" s="5"/>
      <c r="Q550" s="5"/>
    </row>
    <row r="551" spans="1:17">
      <c r="A551" s="130" t="s">
        <v>116</v>
      </c>
      <c r="B551" s="135" t="s">
        <v>95</v>
      </c>
      <c r="C551" s="33">
        <v>-851709</v>
      </c>
      <c r="D551" s="32"/>
      <c r="E551" s="33">
        <v>851709</v>
      </c>
      <c r="F551" s="110"/>
      <c r="G551" s="110"/>
      <c r="H551" s="110"/>
      <c r="I551" s="33"/>
      <c r="J551" s="31">
        <f>+SUM(C551:G551)-(H551+I551)</f>
        <v>0</v>
      </c>
      <c r="K551" s="153"/>
      <c r="L551" s="5"/>
      <c r="M551" s="5"/>
      <c r="N551" s="5"/>
      <c r="O551" s="5"/>
      <c r="Q551" s="5"/>
    </row>
    <row r="552" spans="1:17">
      <c r="A552" s="130" t="s">
        <v>116</v>
      </c>
      <c r="B552" s="135" t="s">
        <v>102</v>
      </c>
      <c r="C552" s="33">
        <v>90300</v>
      </c>
      <c r="D552" s="32"/>
      <c r="E552" s="33">
        <v>69200</v>
      </c>
      <c r="F552" s="110"/>
      <c r="G552" s="110"/>
      <c r="H552" s="110"/>
      <c r="I552" s="33">
        <v>159500</v>
      </c>
      <c r="J552" s="31">
        <f t="shared" si="237"/>
        <v>0</v>
      </c>
      <c r="K552" s="153"/>
      <c r="L552" s="5"/>
      <c r="M552" s="5"/>
      <c r="N552" s="5"/>
      <c r="O552" s="5"/>
      <c r="Q552" s="5"/>
    </row>
    <row r="553" spans="1:17">
      <c r="A553" s="130" t="s">
        <v>116</v>
      </c>
      <c r="B553" s="135" t="s">
        <v>32</v>
      </c>
      <c r="C553" s="33">
        <v>300</v>
      </c>
      <c r="D553" s="32"/>
      <c r="E553" s="33">
        <v>20000</v>
      </c>
      <c r="F553" s="110"/>
      <c r="G553" s="110"/>
      <c r="H553" s="110"/>
      <c r="I553" s="33">
        <v>11000</v>
      </c>
      <c r="J553" s="31">
        <f t="shared" si="237"/>
        <v>9300</v>
      </c>
      <c r="K553" s="153"/>
      <c r="L553" s="5"/>
      <c r="M553" s="5"/>
      <c r="N553" s="5"/>
      <c r="O553" s="5"/>
      <c r="Q553" s="5"/>
    </row>
    <row r="554" spans="1:17">
      <c r="A554" s="130" t="s">
        <v>116</v>
      </c>
      <c r="B554" s="136" t="s">
        <v>114</v>
      </c>
      <c r="C554" s="33">
        <v>0</v>
      </c>
      <c r="D554" s="127"/>
      <c r="E554" s="145"/>
      <c r="F554" s="145"/>
      <c r="G554" s="147"/>
      <c r="H554" s="145"/>
      <c r="I554" s="53">
        <v>14000</v>
      </c>
      <c r="J554" s="31">
        <f t="shared" si="237"/>
        <v>-14000</v>
      </c>
      <c r="K554" s="153"/>
      <c r="L554" s="5"/>
      <c r="M554" s="5"/>
      <c r="N554" s="5"/>
      <c r="O554" s="5"/>
      <c r="Q554" s="5"/>
    </row>
    <row r="555" spans="1:17">
      <c r="A555" s="35" t="s">
        <v>61</v>
      </c>
      <c r="B555" s="36"/>
      <c r="C555" s="36"/>
      <c r="D555" s="36"/>
      <c r="E555" s="36"/>
      <c r="F555" s="36"/>
      <c r="G555" s="36"/>
      <c r="H555" s="36"/>
      <c r="I555" s="36"/>
      <c r="J555" s="37"/>
      <c r="L555" s="5"/>
      <c r="M555" s="5"/>
      <c r="N555" s="5"/>
      <c r="O555" s="5"/>
      <c r="Q555" s="5"/>
    </row>
    <row r="556" spans="1:17">
      <c r="A556" s="130" t="s">
        <v>116</v>
      </c>
      <c r="B556" s="38" t="s">
        <v>62</v>
      </c>
      <c r="C556" s="39" t="e">
        <f>C413</f>
        <v>#REF!</v>
      </c>
      <c r="D556" s="51">
        <v>5872000</v>
      </c>
      <c r="E556" s="109"/>
      <c r="F556" s="109"/>
      <c r="G556" s="148"/>
      <c r="H556" s="139">
        <v>3517119</v>
      </c>
      <c r="I556" s="134">
        <v>1523260</v>
      </c>
      <c r="J556" s="46" t="e">
        <f>+SUM(C556:G556)-(H556+I556)</f>
        <v>#REF!</v>
      </c>
      <c r="K556" s="153"/>
      <c r="L556" s="5"/>
      <c r="M556" s="5"/>
      <c r="N556" s="5"/>
      <c r="O556" s="5"/>
      <c r="Q556" s="5"/>
    </row>
    <row r="557" spans="1:17">
      <c r="A557" s="44" t="s">
        <v>63</v>
      </c>
      <c r="B557" s="25"/>
      <c r="C557" s="36"/>
      <c r="D557" s="25"/>
      <c r="E557" s="25"/>
      <c r="F557" s="25"/>
      <c r="G557" s="25"/>
      <c r="H557" s="25"/>
      <c r="I557" s="25"/>
      <c r="J557" s="37"/>
      <c r="L557" s="5"/>
      <c r="M557" s="5"/>
      <c r="N557" s="5"/>
      <c r="O557" s="5"/>
      <c r="Q557" s="5"/>
    </row>
    <row r="558" spans="1:17">
      <c r="A558" s="130" t="s">
        <v>116</v>
      </c>
      <c r="B558" s="38" t="s">
        <v>64</v>
      </c>
      <c r="C558" s="133" t="e">
        <f>#REF!</f>
        <v>#REF!</v>
      </c>
      <c r="D558" s="140">
        <v>10380044</v>
      </c>
      <c r="E558" s="51"/>
      <c r="F558" s="51"/>
      <c r="G558" s="51"/>
      <c r="H558" s="53">
        <v>5500000</v>
      </c>
      <c r="I558" s="55">
        <v>277455</v>
      </c>
      <c r="J558" s="46" t="e">
        <f>+SUM(C558:G558)-(H558+I558)</f>
        <v>#REF!</v>
      </c>
      <c r="K558" s="153"/>
      <c r="L558" s="5"/>
      <c r="M558" s="5"/>
      <c r="N558" s="5"/>
      <c r="O558" s="5"/>
      <c r="Q558" s="5"/>
    </row>
    <row r="559" spans="1:17">
      <c r="A559" s="130" t="s">
        <v>116</v>
      </c>
      <c r="B559" s="38" t="s">
        <v>65</v>
      </c>
      <c r="C559" s="133" t="e">
        <f>C412</f>
        <v>#REF!</v>
      </c>
      <c r="D559" s="51"/>
      <c r="E559" s="50"/>
      <c r="F559" s="50"/>
      <c r="G559" s="50"/>
      <c r="H559" s="33">
        <v>372000</v>
      </c>
      <c r="I559" s="52">
        <v>4601760</v>
      </c>
      <c r="J559" s="46" t="e">
        <f>SUM(C559:G559)-(H559+I559)</f>
        <v>#REF!</v>
      </c>
      <c r="K559" s="153"/>
      <c r="L559" s="5"/>
      <c r="M559" s="5"/>
      <c r="N559" s="5"/>
      <c r="O559" s="5"/>
      <c r="Q559" s="5"/>
    </row>
    <row r="560" spans="1:17" ht="15.75">
      <c r="C560" s="151" t="e">
        <f>SUM(C540:C559)</f>
        <v>#REF!</v>
      </c>
      <c r="I560" s="149">
        <f>SUM(I540:I559)</f>
        <v>9282325</v>
      </c>
      <c r="J560" s="111" t="e">
        <f>+SUM(J540:J559)</f>
        <v>#REF!</v>
      </c>
      <c r="L560" s="5"/>
      <c r="M560" s="5"/>
      <c r="N560" s="5"/>
      <c r="O560" s="5"/>
      <c r="Q560" s="5"/>
    </row>
    <row r="561" spans="1:17" ht="16.5">
      <c r="A561" s="14"/>
      <c r="B561" s="15"/>
      <c r="C561" s="12"/>
      <c r="D561" s="12"/>
      <c r="E561" s="13"/>
      <c r="F561" s="12"/>
      <c r="G561" s="12"/>
      <c r="H561" s="12"/>
      <c r="I561" s="12"/>
      <c r="L561" s="5"/>
      <c r="M561" s="5"/>
      <c r="N561" s="5"/>
      <c r="O561" s="5"/>
      <c r="Q561" s="5"/>
    </row>
    <row r="562" spans="1:17">
      <c r="A562" s="16" t="s">
        <v>53</v>
      </c>
      <c r="B562" s="16"/>
      <c r="C562" s="16"/>
      <c r="D562" s="17"/>
      <c r="E562" s="17"/>
      <c r="F562" s="17"/>
      <c r="G562" s="17"/>
      <c r="H562" s="17"/>
      <c r="I562" s="17"/>
      <c r="L562" s="5"/>
      <c r="M562" s="5"/>
      <c r="N562" s="5"/>
      <c r="O562" s="5"/>
      <c r="Q562" s="5"/>
    </row>
    <row r="563" spans="1:17">
      <c r="A563" s="18" t="s">
        <v>110</v>
      </c>
      <c r="B563" s="18"/>
      <c r="C563" s="18"/>
      <c r="D563" s="18"/>
      <c r="E563" s="18"/>
      <c r="F563" s="18"/>
      <c r="G563" s="18"/>
      <c r="H563" s="18"/>
      <c r="I563" s="18"/>
      <c r="J563" s="17"/>
      <c r="L563" s="5"/>
      <c r="M563" s="5"/>
      <c r="N563" s="5"/>
      <c r="O563" s="5"/>
      <c r="Q563" s="5"/>
    </row>
    <row r="564" spans="1:17">
      <c r="A564" s="19"/>
      <c r="B564" s="20"/>
      <c r="C564" s="21"/>
      <c r="D564" s="21"/>
      <c r="E564" s="21"/>
      <c r="F564" s="21"/>
      <c r="G564" s="21"/>
      <c r="H564" s="20"/>
      <c r="I564" s="20"/>
      <c r="J564" s="18"/>
      <c r="L564" s="5"/>
      <c r="M564" s="5"/>
      <c r="N564" s="5"/>
      <c r="O564" s="5"/>
      <c r="Q564" s="5"/>
    </row>
    <row r="565" spans="1:17">
      <c r="A565" s="391" t="s">
        <v>54</v>
      </c>
      <c r="B565" s="393" t="s">
        <v>55</v>
      </c>
      <c r="C565" s="395" t="s">
        <v>111</v>
      </c>
      <c r="D565" s="397" t="s">
        <v>56</v>
      </c>
      <c r="E565" s="398"/>
      <c r="F565" s="398"/>
      <c r="G565" s="399"/>
      <c r="H565" s="400" t="s">
        <v>57</v>
      </c>
      <c r="I565" s="402" t="s">
        <v>58</v>
      </c>
      <c r="J565" s="20"/>
      <c r="L565" s="5"/>
      <c r="M565" s="5"/>
      <c r="N565" s="5"/>
      <c r="O565" s="5"/>
      <c r="Q565" s="5"/>
    </row>
    <row r="566" spans="1:17">
      <c r="A566" s="392"/>
      <c r="B566" s="394"/>
      <c r="C566" s="396"/>
      <c r="D566" s="22" t="s">
        <v>24</v>
      </c>
      <c r="E566" s="22" t="s">
        <v>25</v>
      </c>
      <c r="F566" s="150" t="s">
        <v>113</v>
      </c>
      <c r="G566" s="22" t="s">
        <v>59</v>
      </c>
      <c r="H566" s="401"/>
      <c r="I566" s="403"/>
      <c r="J566" s="404" t="s">
        <v>112</v>
      </c>
      <c r="L566" s="5"/>
      <c r="M566" s="5"/>
      <c r="N566" s="5"/>
      <c r="O566" s="5"/>
      <c r="Q566" s="5"/>
    </row>
    <row r="567" spans="1:17">
      <c r="A567" s="24"/>
      <c r="B567" s="25" t="s">
        <v>60</v>
      </c>
      <c r="C567" s="26"/>
      <c r="D567" s="26"/>
      <c r="E567" s="26"/>
      <c r="F567" s="26"/>
      <c r="G567" s="26"/>
      <c r="H567" s="26"/>
      <c r="I567" s="27"/>
      <c r="J567" s="405"/>
      <c r="L567" s="5"/>
      <c r="M567" s="5"/>
      <c r="N567" s="5"/>
      <c r="O567" s="5"/>
      <c r="Q567" s="5"/>
    </row>
    <row r="568" spans="1:17">
      <c r="A568" s="130" t="s">
        <v>109</v>
      </c>
      <c r="B568" s="135" t="s">
        <v>77</v>
      </c>
      <c r="C568" s="33">
        <v>-11330</v>
      </c>
      <c r="D568" s="32"/>
      <c r="E568" s="33">
        <v>201400</v>
      </c>
      <c r="F568" s="33">
        <v>184300</v>
      </c>
      <c r="G568" s="33"/>
      <c r="H568" s="57"/>
      <c r="I568" s="33">
        <v>370700</v>
      </c>
      <c r="J568" s="31">
        <f>+SUM(C568:G568)-(H568+I568)</f>
        <v>3670</v>
      </c>
      <c r="K568" s="70"/>
      <c r="L568" s="5"/>
      <c r="M568" s="5"/>
      <c r="N568" s="5"/>
      <c r="O568" s="5"/>
      <c r="Q568" s="5"/>
    </row>
    <row r="569" spans="1:17">
      <c r="A569" s="130" t="s">
        <v>109</v>
      </c>
      <c r="B569" s="135" t="s">
        <v>48</v>
      </c>
      <c r="C569" s="33">
        <v>8260</v>
      </c>
      <c r="D569" s="32"/>
      <c r="E569" s="33">
        <v>357900</v>
      </c>
      <c r="F569" s="33"/>
      <c r="G569" s="33"/>
      <c r="H569" s="57">
        <v>50000</v>
      </c>
      <c r="I569" s="33">
        <v>316700</v>
      </c>
      <c r="J569" s="31">
        <f t="shared" ref="J569:J570" si="238">+SUM(C569:G569)-(H569+I569)</f>
        <v>-540</v>
      </c>
      <c r="K569" s="70"/>
      <c r="L569" s="5"/>
      <c r="M569" s="5"/>
      <c r="N569" s="5"/>
      <c r="O569" s="5"/>
      <c r="Q569" s="5"/>
    </row>
    <row r="570" spans="1:17">
      <c r="A570" s="130" t="s">
        <v>109</v>
      </c>
      <c r="B570" s="135" t="s">
        <v>31</v>
      </c>
      <c r="C570" s="33">
        <v>3795</v>
      </c>
      <c r="D570" s="32"/>
      <c r="E570" s="33">
        <v>20000</v>
      </c>
      <c r="F570" s="33"/>
      <c r="G570" s="33"/>
      <c r="H570" s="33"/>
      <c r="I570" s="33">
        <v>21400</v>
      </c>
      <c r="J570" s="107">
        <f t="shared" si="238"/>
        <v>2395</v>
      </c>
      <c r="K570" s="70"/>
      <c r="L570" s="5"/>
      <c r="M570" s="5"/>
      <c r="N570" s="5"/>
      <c r="O570" s="5"/>
      <c r="Q570" s="5"/>
    </row>
    <row r="571" spans="1:17">
      <c r="A571" s="130" t="s">
        <v>109</v>
      </c>
      <c r="B571" s="135" t="s">
        <v>78</v>
      </c>
      <c r="C571" s="33">
        <v>-83100</v>
      </c>
      <c r="D571" s="110"/>
      <c r="E571" s="33">
        <v>699200</v>
      </c>
      <c r="F571" s="33"/>
      <c r="G571" s="33"/>
      <c r="H571" s="33"/>
      <c r="I571" s="33">
        <v>520000</v>
      </c>
      <c r="J571" s="107">
        <f>+SUM(C571:G571)-(H571+I571)</f>
        <v>96100</v>
      </c>
      <c r="K571" s="70"/>
      <c r="L571" s="5"/>
      <c r="M571" s="5"/>
      <c r="N571" s="5"/>
      <c r="O571" s="5"/>
      <c r="Q571" s="5"/>
    </row>
    <row r="572" spans="1:17">
      <c r="A572" s="130" t="s">
        <v>109</v>
      </c>
      <c r="B572" s="135" t="s">
        <v>70</v>
      </c>
      <c r="C572" s="33">
        <v>1784</v>
      </c>
      <c r="D572" s="110"/>
      <c r="E572" s="33">
        <v>568600</v>
      </c>
      <c r="F572" s="33">
        <v>50000</v>
      </c>
      <c r="G572" s="33"/>
      <c r="H572" s="33">
        <v>184300</v>
      </c>
      <c r="I572" s="33">
        <v>422200</v>
      </c>
      <c r="J572" s="107">
        <f t="shared" ref="J572" si="239">+SUM(C572:G572)-(H572+I572)</f>
        <v>13884</v>
      </c>
      <c r="K572" s="70"/>
      <c r="L572" s="5"/>
      <c r="M572" s="5"/>
      <c r="N572" s="5"/>
      <c r="O572" s="5"/>
      <c r="Q572" s="5"/>
    </row>
    <row r="573" spans="1:17">
      <c r="A573" s="130" t="s">
        <v>109</v>
      </c>
      <c r="B573" s="136" t="s">
        <v>30</v>
      </c>
      <c r="C573" s="33">
        <v>88800</v>
      </c>
      <c r="D573" s="127"/>
      <c r="E573" s="53">
        <v>694600</v>
      </c>
      <c r="F573" s="53"/>
      <c r="G573" s="53"/>
      <c r="H573" s="53"/>
      <c r="I573" s="53">
        <v>711000</v>
      </c>
      <c r="J573" s="132">
        <f>+SUM(C573:G573)-(H573+I573)</f>
        <v>72400</v>
      </c>
      <c r="K573" s="70"/>
      <c r="L573" s="5"/>
      <c r="M573" s="5"/>
      <c r="N573" s="5"/>
      <c r="O573" s="5"/>
      <c r="Q573" s="5"/>
    </row>
    <row r="574" spans="1:17">
      <c r="A574" s="130" t="s">
        <v>109</v>
      </c>
      <c r="B574" s="137" t="s">
        <v>85</v>
      </c>
      <c r="C574" s="128">
        <v>233614</v>
      </c>
      <c r="D574" s="131"/>
      <c r="E574" s="146"/>
      <c r="F574" s="146"/>
      <c r="G574" s="146"/>
      <c r="H574" s="146"/>
      <c r="I574" s="146"/>
      <c r="J574" s="129">
        <f>+SUM(C574:G574)-(H574+I574)</f>
        <v>233614</v>
      </c>
      <c r="K574" s="70"/>
      <c r="L574" s="5"/>
      <c r="M574" s="5"/>
      <c r="N574" s="5"/>
      <c r="O574" s="5"/>
      <c r="Q574" s="5"/>
    </row>
    <row r="575" spans="1:17">
      <c r="A575" s="130" t="s">
        <v>109</v>
      </c>
      <c r="B575" s="137" t="s">
        <v>84</v>
      </c>
      <c r="C575" s="128">
        <v>249769</v>
      </c>
      <c r="D575" s="131"/>
      <c r="E575" s="146"/>
      <c r="F575" s="146"/>
      <c r="G575" s="146"/>
      <c r="H575" s="146"/>
      <c r="I575" s="146"/>
      <c r="J575" s="129">
        <f t="shared" ref="J575:J579" si="240">+SUM(C575:G575)-(H575+I575)</f>
        <v>249769</v>
      </c>
      <c r="K575" s="70"/>
      <c r="L575" s="5"/>
      <c r="M575" s="5"/>
      <c r="N575" s="5"/>
      <c r="O575" s="5"/>
      <c r="Q575" s="5"/>
    </row>
    <row r="576" spans="1:17">
      <c r="A576" s="130" t="s">
        <v>109</v>
      </c>
      <c r="B576" s="135" t="s">
        <v>36</v>
      </c>
      <c r="C576" s="33">
        <v>7890</v>
      </c>
      <c r="D576" s="32"/>
      <c r="E576" s="33">
        <v>135600</v>
      </c>
      <c r="F576" s="110"/>
      <c r="G576" s="110"/>
      <c r="H576" s="110"/>
      <c r="I576" s="33">
        <v>125000</v>
      </c>
      <c r="J576" s="31">
        <f t="shared" si="240"/>
        <v>18490</v>
      </c>
      <c r="K576" s="70"/>
      <c r="L576" s="5"/>
      <c r="M576" s="5"/>
      <c r="N576" s="5"/>
      <c r="O576" s="5"/>
      <c r="Q576" s="5"/>
    </row>
    <row r="577" spans="1:17">
      <c r="A577" s="130" t="s">
        <v>109</v>
      </c>
      <c r="B577" s="135" t="s">
        <v>94</v>
      </c>
      <c r="C577" s="33">
        <v>5000</v>
      </c>
      <c r="D577" s="32"/>
      <c r="E577" s="33">
        <v>30000</v>
      </c>
      <c r="F577" s="110"/>
      <c r="G577" s="110"/>
      <c r="H577" s="110"/>
      <c r="I577" s="33">
        <v>30500</v>
      </c>
      <c r="J577" s="31">
        <f t="shared" si="240"/>
        <v>4500</v>
      </c>
      <c r="K577" s="70"/>
      <c r="L577" s="5"/>
      <c r="M577" s="5"/>
      <c r="N577" s="5"/>
      <c r="O577" s="5"/>
      <c r="Q577" s="5"/>
    </row>
    <row r="578" spans="1:17">
      <c r="A578" s="130" t="s">
        <v>109</v>
      </c>
      <c r="B578" s="135" t="s">
        <v>29</v>
      </c>
      <c r="C578" s="33">
        <v>57700</v>
      </c>
      <c r="D578" s="32"/>
      <c r="E578" s="33">
        <v>639000</v>
      </c>
      <c r="F578" s="110"/>
      <c r="G578" s="110"/>
      <c r="H578" s="110"/>
      <c r="I578" s="33">
        <v>652500</v>
      </c>
      <c r="J578" s="31">
        <f t="shared" si="240"/>
        <v>44200</v>
      </c>
      <c r="K578" s="70"/>
      <c r="L578" s="5"/>
      <c r="M578" s="5"/>
      <c r="N578" s="5"/>
      <c r="O578" s="5"/>
      <c r="Q578" s="5"/>
    </row>
    <row r="579" spans="1:17">
      <c r="A579" s="130" t="s">
        <v>109</v>
      </c>
      <c r="B579" s="135" t="s">
        <v>95</v>
      </c>
      <c r="C579" s="33">
        <v>-32081</v>
      </c>
      <c r="D579" s="32"/>
      <c r="E579" s="110"/>
      <c r="F579" s="110"/>
      <c r="G579" s="110"/>
      <c r="H579" s="110"/>
      <c r="I579" s="33">
        <v>819628</v>
      </c>
      <c r="J579" s="31">
        <f t="shared" si="240"/>
        <v>-851709</v>
      </c>
      <c r="K579" s="70"/>
      <c r="L579" s="5"/>
      <c r="M579" s="5"/>
      <c r="N579" s="5"/>
      <c r="O579" s="5"/>
      <c r="Q579" s="5"/>
    </row>
    <row r="580" spans="1:17">
      <c r="A580" s="130" t="s">
        <v>109</v>
      </c>
      <c r="B580" s="135" t="s">
        <v>102</v>
      </c>
      <c r="C580" s="33">
        <v>62000</v>
      </c>
      <c r="D580" s="32"/>
      <c r="E580" s="33">
        <v>622600</v>
      </c>
      <c r="F580" s="110"/>
      <c r="G580" s="110"/>
      <c r="H580" s="110"/>
      <c r="I580" s="33">
        <v>594300</v>
      </c>
      <c r="J580" s="31">
        <f>+SUM(C580:G580)-(H580+I580)</f>
        <v>90300</v>
      </c>
      <c r="K580" s="70"/>
      <c r="L580" s="5"/>
      <c r="M580" s="5"/>
      <c r="N580" s="5"/>
      <c r="O580" s="5"/>
      <c r="Q580" s="5"/>
    </row>
    <row r="581" spans="1:17">
      <c r="A581" s="130" t="s">
        <v>109</v>
      </c>
      <c r="B581" s="136" t="s">
        <v>32</v>
      </c>
      <c r="C581" s="33">
        <v>4300</v>
      </c>
      <c r="D581" s="127"/>
      <c r="E581" s="145"/>
      <c r="F581" s="145"/>
      <c r="G581" s="147"/>
      <c r="H581" s="145"/>
      <c r="I581" s="53">
        <v>4000</v>
      </c>
      <c r="J581" s="31">
        <f t="shared" ref="J581" si="241">+SUM(C581:G581)-(H581+I581)</f>
        <v>300</v>
      </c>
      <c r="K581" s="70"/>
      <c r="L581" s="5"/>
      <c r="M581" s="5"/>
      <c r="N581" s="5"/>
      <c r="O581" s="5"/>
      <c r="Q581" s="5"/>
    </row>
    <row r="582" spans="1:17">
      <c r="A582" s="35" t="s">
        <v>61</v>
      </c>
      <c r="B582" s="36"/>
      <c r="C582" s="36"/>
      <c r="D582" s="36"/>
      <c r="E582" s="36"/>
      <c r="F582" s="36"/>
      <c r="G582" s="36"/>
      <c r="H582" s="36"/>
      <c r="I582" s="36"/>
      <c r="J582" s="37"/>
      <c r="K582" s="70"/>
      <c r="L582" s="5"/>
      <c r="M582" s="5"/>
      <c r="N582" s="5"/>
      <c r="O582" s="5"/>
      <c r="Q582" s="5"/>
    </row>
    <row r="583" spans="1:17">
      <c r="A583" s="130" t="s">
        <v>109</v>
      </c>
      <c r="B583" s="38" t="s">
        <v>62</v>
      </c>
      <c r="C583" s="39">
        <v>62150</v>
      </c>
      <c r="D583" s="51">
        <v>5500000</v>
      </c>
      <c r="E583" s="109"/>
      <c r="F583" s="109"/>
      <c r="G583" s="148"/>
      <c r="H583" s="139">
        <v>3968900</v>
      </c>
      <c r="I583" s="134">
        <v>1276534</v>
      </c>
      <c r="J583" s="46">
        <f>+SUM(C583:G583)-(H583+I583)</f>
        <v>316716</v>
      </c>
      <c r="K583" s="70"/>
      <c r="L583" s="5"/>
      <c r="M583" s="5"/>
      <c r="N583" s="5"/>
      <c r="O583" s="5"/>
      <c r="Q583" s="5"/>
    </row>
    <row r="584" spans="1:17">
      <c r="A584" s="44" t="s">
        <v>63</v>
      </c>
      <c r="B584" s="25"/>
      <c r="C584" s="36"/>
      <c r="D584" s="25"/>
      <c r="E584" s="25"/>
      <c r="F584" s="25"/>
      <c r="G584" s="25"/>
      <c r="H584" s="25"/>
      <c r="I584" s="25"/>
      <c r="J584" s="37"/>
      <c r="L584" s="5"/>
      <c r="M584" s="5"/>
      <c r="N584" s="5"/>
      <c r="O584" s="5"/>
      <c r="Q584" s="5"/>
    </row>
    <row r="585" spans="1:17">
      <c r="A585" s="130" t="s">
        <v>109</v>
      </c>
      <c r="B585" s="38" t="s">
        <v>64</v>
      </c>
      <c r="C585" s="133">
        <v>11284555</v>
      </c>
      <c r="D585" s="140"/>
      <c r="E585" s="51"/>
      <c r="F585" s="51"/>
      <c r="G585" s="51"/>
      <c r="H585" s="53">
        <v>5500000</v>
      </c>
      <c r="I585" s="55">
        <v>273881</v>
      </c>
      <c r="J585" s="46">
        <f>+SUM(C585:G585)-(H585+I585)</f>
        <v>5510674</v>
      </c>
      <c r="K585" s="70"/>
      <c r="L585" s="5"/>
      <c r="M585" s="5"/>
      <c r="N585" s="5"/>
      <c r="O585" s="5"/>
      <c r="Q585" s="5"/>
    </row>
    <row r="586" spans="1:17">
      <c r="A586" s="130" t="s">
        <v>109</v>
      </c>
      <c r="B586" s="38" t="s">
        <v>65</v>
      </c>
      <c r="C586" s="133">
        <v>2158645</v>
      </c>
      <c r="D586" s="51">
        <v>15435980</v>
      </c>
      <c r="E586" s="50"/>
      <c r="F586" s="50"/>
      <c r="G586" s="50"/>
      <c r="H586" s="33"/>
      <c r="I586" s="52">
        <v>6400961</v>
      </c>
      <c r="J586" s="46">
        <f>SUM(C586:G586)-(H586+I586)</f>
        <v>11193664</v>
      </c>
      <c r="K586" s="70"/>
      <c r="L586" s="5"/>
      <c r="M586" s="5"/>
      <c r="N586" s="5"/>
      <c r="O586" s="5"/>
      <c r="Q586" s="5"/>
    </row>
    <row r="587" spans="1:17" ht="15.75">
      <c r="C587" s="151">
        <f>SUM(C568:C586)</f>
        <v>14101751</v>
      </c>
      <c r="I587" s="149">
        <f>SUM(I568:I586)</f>
        <v>12539304</v>
      </c>
      <c r="J587" s="111">
        <f>+SUM(J568:J586)</f>
        <v>16998427</v>
      </c>
      <c r="L587" s="5"/>
      <c r="M587" s="5"/>
      <c r="N587" s="5"/>
      <c r="O587" s="5"/>
      <c r="Q587" s="5"/>
    </row>
    <row r="588" spans="1:17" ht="16.5">
      <c r="A588" s="10"/>
      <c r="B588" s="11"/>
      <c r="C588" s="12"/>
      <c r="D588" s="12"/>
      <c r="E588" s="12"/>
      <c r="F588" s="12"/>
      <c r="G588" s="12"/>
      <c r="H588" s="12"/>
      <c r="I588" s="12"/>
      <c r="J588" s="141"/>
      <c r="L588" s="5"/>
      <c r="M588" s="5"/>
      <c r="N588" s="5"/>
      <c r="O588" s="5"/>
      <c r="Q588" s="5"/>
    </row>
    <row r="589" spans="1:17" ht="16.5">
      <c r="A589" s="14"/>
      <c r="B589" s="15"/>
      <c r="C589" s="12"/>
      <c r="D589" s="12"/>
      <c r="E589" s="13"/>
      <c r="F589" s="12"/>
      <c r="G589" s="12"/>
      <c r="H589" s="12"/>
      <c r="I589" s="12"/>
      <c r="L589" s="5"/>
      <c r="M589" s="5"/>
      <c r="N589" s="5"/>
      <c r="O589" s="5"/>
      <c r="Q589" s="5"/>
    </row>
    <row r="590" spans="1:17">
      <c r="A590" s="16" t="s">
        <v>53</v>
      </c>
      <c r="B590" s="16"/>
      <c r="C590" s="16"/>
      <c r="D590" s="17"/>
      <c r="E590" s="17"/>
      <c r="F590" s="17"/>
      <c r="G590" s="17"/>
      <c r="H590" s="17"/>
      <c r="I590" s="17"/>
      <c r="L590" s="5"/>
      <c r="M590" s="5"/>
      <c r="N590" s="5"/>
      <c r="O590" s="5"/>
      <c r="Q590" s="5"/>
    </row>
    <row r="591" spans="1:17">
      <c r="A591" s="18" t="s">
        <v>107</v>
      </c>
      <c r="B591" s="18"/>
      <c r="C591" s="18"/>
      <c r="D591" s="18"/>
      <c r="E591" s="18"/>
      <c r="F591" s="18"/>
      <c r="G591" s="18"/>
      <c r="H591" s="18"/>
      <c r="I591" s="18"/>
      <c r="J591" s="17"/>
      <c r="L591" s="5"/>
      <c r="M591" s="5"/>
      <c r="N591" s="5"/>
      <c r="O591" s="5"/>
      <c r="Q591" s="5"/>
    </row>
    <row r="592" spans="1:17">
      <c r="A592" s="19"/>
      <c r="B592" s="20"/>
      <c r="C592" s="21"/>
      <c r="D592" s="21"/>
      <c r="E592" s="21"/>
      <c r="F592" s="21"/>
      <c r="G592" s="21"/>
      <c r="H592" s="20"/>
      <c r="I592" s="20"/>
      <c r="J592" s="18"/>
      <c r="L592" s="5"/>
      <c r="M592" s="5"/>
      <c r="N592" s="5"/>
      <c r="O592" s="5"/>
      <c r="Q592" s="5"/>
    </row>
    <row r="593" spans="1:17">
      <c r="A593" s="391" t="s">
        <v>54</v>
      </c>
      <c r="B593" s="393" t="s">
        <v>55</v>
      </c>
      <c r="C593" s="395" t="s">
        <v>105</v>
      </c>
      <c r="D593" s="397" t="s">
        <v>56</v>
      </c>
      <c r="E593" s="398"/>
      <c r="F593" s="398"/>
      <c r="G593" s="399"/>
      <c r="H593" s="400" t="s">
        <v>57</v>
      </c>
      <c r="I593" s="402" t="s">
        <v>58</v>
      </c>
      <c r="J593" s="20"/>
      <c r="L593" s="5"/>
      <c r="M593" s="5"/>
      <c r="N593" s="5"/>
      <c r="O593" s="5"/>
      <c r="Q593" s="5"/>
    </row>
    <row r="594" spans="1:17">
      <c r="A594" s="392"/>
      <c r="B594" s="394"/>
      <c r="C594" s="396"/>
      <c r="D594" s="22" t="s">
        <v>24</v>
      </c>
      <c r="E594" s="22" t="s">
        <v>25</v>
      </c>
      <c r="F594" s="142" t="s">
        <v>108</v>
      </c>
      <c r="G594" s="22" t="s">
        <v>59</v>
      </c>
      <c r="H594" s="401"/>
      <c r="I594" s="403"/>
      <c r="J594" s="404" t="s">
        <v>106</v>
      </c>
      <c r="L594" s="5"/>
      <c r="M594" s="5"/>
      <c r="N594" s="5"/>
      <c r="O594" s="5"/>
      <c r="Q594" s="5"/>
    </row>
    <row r="595" spans="1:17">
      <c r="A595" s="24"/>
      <c r="B595" s="25" t="s">
        <v>60</v>
      </c>
      <c r="C595" s="26"/>
      <c r="D595" s="26"/>
      <c r="E595" s="26"/>
      <c r="F595" s="26"/>
      <c r="G595" s="26"/>
      <c r="H595" s="26"/>
      <c r="I595" s="27"/>
      <c r="J595" s="405"/>
      <c r="L595" s="5"/>
      <c r="M595" s="5"/>
      <c r="N595" s="5"/>
      <c r="O595" s="5"/>
      <c r="Q595" s="5"/>
    </row>
    <row r="596" spans="1:17">
      <c r="A596" s="130" t="s">
        <v>104</v>
      </c>
      <c r="B596" s="135" t="s">
        <v>77</v>
      </c>
      <c r="C596" s="33">
        <v>22200</v>
      </c>
      <c r="D596" s="32"/>
      <c r="E596" s="33">
        <v>439970</v>
      </c>
      <c r="F596" s="110"/>
      <c r="G596" s="110"/>
      <c r="H596" s="144"/>
      <c r="I596" s="33">
        <v>473500</v>
      </c>
      <c r="J596" s="31">
        <f>+SUM(C596:G596)-(H596+I596)</f>
        <v>-11330</v>
      </c>
      <c r="K596" s="70"/>
      <c r="L596" s="5"/>
      <c r="M596" s="5"/>
      <c r="N596" s="5"/>
      <c r="O596" s="5"/>
      <c r="Q596" s="5"/>
    </row>
    <row r="597" spans="1:17">
      <c r="A597" s="130" t="s">
        <v>104</v>
      </c>
      <c r="B597" s="135" t="s">
        <v>48</v>
      </c>
      <c r="C597" s="33">
        <v>3060</v>
      </c>
      <c r="D597" s="32"/>
      <c r="E597" s="33">
        <v>157200</v>
      </c>
      <c r="F597" s="33"/>
      <c r="G597" s="33"/>
      <c r="H597" s="57"/>
      <c r="I597" s="33">
        <v>152000</v>
      </c>
      <c r="J597" s="31">
        <f t="shared" ref="J597:J598" si="242">+SUM(C597:G597)-(H597+I597)</f>
        <v>8260</v>
      </c>
      <c r="K597" s="70"/>
      <c r="L597" s="5"/>
      <c r="M597" s="5"/>
      <c r="N597" s="5"/>
      <c r="O597" s="5"/>
      <c r="Q597" s="5"/>
    </row>
    <row r="598" spans="1:17">
      <c r="A598" s="130" t="s">
        <v>104</v>
      </c>
      <c r="B598" s="135" t="s">
        <v>31</v>
      </c>
      <c r="C598" s="33">
        <v>3795</v>
      </c>
      <c r="D598" s="32"/>
      <c r="E598" s="33">
        <v>45000</v>
      </c>
      <c r="F598" s="33"/>
      <c r="G598" s="33"/>
      <c r="H598" s="33"/>
      <c r="I598" s="33">
        <v>45000</v>
      </c>
      <c r="J598" s="107">
        <f t="shared" si="242"/>
        <v>3795</v>
      </c>
      <c r="K598" s="70"/>
      <c r="L598" s="5"/>
      <c r="M598" s="5"/>
      <c r="N598" s="5"/>
      <c r="O598" s="5"/>
      <c r="Q598" s="5"/>
    </row>
    <row r="599" spans="1:17">
      <c r="A599" s="130" t="s">
        <v>104</v>
      </c>
      <c r="B599" s="135" t="s">
        <v>78</v>
      </c>
      <c r="C599" s="33">
        <v>2300</v>
      </c>
      <c r="D599" s="110"/>
      <c r="E599" s="33">
        <v>266600</v>
      </c>
      <c r="F599" s="33">
        <v>159900</v>
      </c>
      <c r="G599" s="33"/>
      <c r="H599" s="33">
        <v>25000</v>
      </c>
      <c r="I599" s="33">
        <v>486900</v>
      </c>
      <c r="J599" s="107">
        <f>+SUM(C599:G599)-(H599+I599)</f>
        <v>-83100</v>
      </c>
      <c r="K599" s="70"/>
      <c r="L599" s="5"/>
      <c r="M599" s="5"/>
      <c r="N599" s="5"/>
      <c r="O599" s="5"/>
      <c r="Q599" s="5"/>
    </row>
    <row r="600" spans="1:17">
      <c r="A600" s="130" t="s">
        <v>104</v>
      </c>
      <c r="B600" s="135" t="s">
        <v>70</v>
      </c>
      <c r="C600" s="33">
        <v>-14216</v>
      </c>
      <c r="D600" s="110"/>
      <c r="E600" s="33">
        <v>622600</v>
      </c>
      <c r="F600" s="33">
        <v>25000</v>
      </c>
      <c r="G600" s="33"/>
      <c r="H600" s="33">
        <v>260700</v>
      </c>
      <c r="I600" s="33">
        <v>370900</v>
      </c>
      <c r="J600" s="107">
        <f>+SUM(C600:G600)-(H600+I600)</f>
        <v>1784</v>
      </c>
      <c r="K600" s="70"/>
      <c r="L600" s="5"/>
      <c r="M600" s="5"/>
      <c r="N600" s="5"/>
      <c r="O600" s="5"/>
      <c r="Q600" s="5"/>
    </row>
    <row r="601" spans="1:17">
      <c r="A601" s="130" t="s">
        <v>104</v>
      </c>
      <c r="B601" s="136" t="s">
        <v>30</v>
      </c>
      <c r="C601" s="53">
        <v>143300</v>
      </c>
      <c r="D601" s="127"/>
      <c r="E601" s="53">
        <v>466500</v>
      </c>
      <c r="F601" s="145"/>
      <c r="G601" s="145"/>
      <c r="H601" s="145"/>
      <c r="I601" s="53">
        <v>521000</v>
      </c>
      <c r="J601" s="132">
        <f>+SUM(C601:G601)-(H601+I601)</f>
        <v>88800</v>
      </c>
      <c r="K601" s="70"/>
      <c r="L601" s="5"/>
      <c r="M601" s="5"/>
      <c r="N601" s="5"/>
      <c r="O601" s="5"/>
      <c r="Q601" s="5"/>
    </row>
    <row r="602" spans="1:17">
      <c r="A602" s="130" t="s">
        <v>104</v>
      </c>
      <c r="B602" s="137" t="s">
        <v>85</v>
      </c>
      <c r="C602" s="128">
        <v>233614</v>
      </c>
      <c r="D602" s="131"/>
      <c r="E602" s="146"/>
      <c r="F602" s="146"/>
      <c r="G602" s="146"/>
      <c r="H602" s="146"/>
      <c r="I602" s="146"/>
      <c r="J602" s="129">
        <f>+SUM(C602:G602)-(H602+I602)</f>
        <v>233614</v>
      </c>
      <c r="K602" s="70"/>
      <c r="L602" s="5"/>
      <c r="M602" s="5"/>
      <c r="N602" s="5"/>
      <c r="O602" s="5"/>
      <c r="Q602" s="5"/>
    </row>
    <row r="603" spans="1:17">
      <c r="A603" s="130" t="s">
        <v>104</v>
      </c>
      <c r="B603" s="137" t="s">
        <v>84</v>
      </c>
      <c r="C603" s="128">
        <v>249768</v>
      </c>
      <c r="D603" s="131"/>
      <c r="E603" s="146"/>
      <c r="F603" s="146"/>
      <c r="G603" s="146"/>
      <c r="H603" s="146"/>
      <c r="I603" s="146"/>
      <c r="J603" s="129">
        <f t="shared" ref="J603:J609" si="243">+SUM(C603:G603)-(H603+I603)</f>
        <v>249768</v>
      </c>
      <c r="K603" s="70"/>
      <c r="L603" s="5"/>
      <c r="M603" s="5"/>
      <c r="N603" s="5"/>
      <c r="O603" s="5"/>
      <c r="Q603" s="5"/>
    </row>
    <row r="604" spans="1:17">
      <c r="A604" s="130" t="s">
        <v>104</v>
      </c>
      <c r="B604" s="135" t="s">
        <v>36</v>
      </c>
      <c r="C604" s="33">
        <v>55090</v>
      </c>
      <c r="D604" s="32"/>
      <c r="E604" s="33">
        <v>143000</v>
      </c>
      <c r="F604" s="33">
        <v>70800</v>
      </c>
      <c r="G604" s="110"/>
      <c r="H604" s="110"/>
      <c r="I604" s="33">
        <v>261000</v>
      </c>
      <c r="J604" s="31">
        <f t="shared" si="243"/>
        <v>7890</v>
      </c>
      <c r="K604" s="70"/>
      <c r="L604" s="5"/>
      <c r="M604" s="5"/>
      <c r="N604" s="5"/>
      <c r="O604" s="5"/>
      <c r="Q604" s="5"/>
    </row>
    <row r="605" spans="1:17">
      <c r="A605" s="130" t="s">
        <v>104</v>
      </c>
      <c r="B605" s="135" t="s">
        <v>94</v>
      </c>
      <c r="C605" s="33">
        <v>0</v>
      </c>
      <c r="D605" s="32"/>
      <c r="E605" s="33">
        <v>30000</v>
      </c>
      <c r="F605" s="110"/>
      <c r="G605" s="110"/>
      <c r="H605" s="110"/>
      <c r="I605" s="33">
        <v>25000</v>
      </c>
      <c r="J605" s="31">
        <f t="shared" si="243"/>
        <v>5000</v>
      </c>
      <c r="K605" s="70"/>
      <c r="L605" s="5"/>
      <c r="M605" s="5"/>
      <c r="N605" s="5"/>
      <c r="O605" s="5"/>
      <c r="Q605" s="5"/>
    </row>
    <row r="606" spans="1:17">
      <c r="A606" s="130" t="s">
        <v>104</v>
      </c>
      <c r="B606" s="135" t="s">
        <v>29</v>
      </c>
      <c r="C606" s="33">
        <v>110700</v>
      </c>
      <c r="D606" s="32"/>
      <c r="E606" s="33">
        <v>375000</v>
      </c>
      <c r="F606" s="33">
        <v>30000</v>
      </c>
      <c r="G606" s="110"/>
      <c r="H606" s="110"/>
      <c r="I606" s="33">
        <v>458000</v>
      </c>
      <c r="J606" s="31">
        <f t="shared" si="243"/>
        <v>57700</v>
      </c>
      <c r="K606" s="70"/>
      <c r="L606" s="5"/>
      <c r="M606" s="5"/>
      <c r="N606" s="5"/>
      <c r="O606" s="5"/>
      <c r="Q606" s="5"/>
    </row>
    <row r="607" spans="1:17">
      <c r="A607" s="130" t="s">
        <v>104</v>
      </c>
      <c r="B607" s="135" t="s">
        <v>95</v>
      </c>
      <c r="C607" s="33">
        <v>-32081</v>
      </c>
      <c r="D607" s="32"/>
      <c r="E607" s="110">
        <v>0</v>
      </c>
      <c r="F607" s="110"/>
      <c r="G607" s="110"/>
      <c r="H607" s="110"/>
      <c r="I607" s="110">
        <v>0</v>
      </c>
      <c r="J607" s="31">
        <f t="shared" si="243"/>
        <v>-32081</v>
      </c>
      <c r="K607" s="70"/>
      <c r="L607" s="5"/>
      <c r="M607" s="5"/>
      <c r="N607" s="5"/>
      <c r="O607" s="5"/>
      <c r="Q607" s="5"/>
    </row>
    <row r="608" spans="1:17">
      <c r="A608" s="130" t="s">
        <v>104</v>
      </c>
      <c r="B608" s="135" t="s">
        <v>102</v>
      </c>
      <c r="C608" s="33">
        <v>0</v>
      </c>
      <c r="D608" s="32"/>
      <c r="E608" s="33">
        <v>82000</v>
      </c>
      <c r="F608" s="110"/>
      <c r="G608" s="110"/>
      <c r="H608" s="110"/>
      <c r="I608" s="33">
        <v>20000</v>
      </c>
      <c r="J608" s="31">
        <f>+SUM(C608:G608)-(H608+I608)</f>
        <v>62000</v>
      </c>
      <c r="K608" s="70"/>
      <c r="L608" s="5"/>
      <c r="M608" s="5"/>
      <c r="N608" s="5"/>
      <c r="O608" s="5"/>
      <c r="Q608" s="5"/>
    </row>
    <row r="609" spans="1:17">
      <c r="A609" s="130" t="s">
        <v>104</v>
      </c>
      <c r="B609" s="136" t="s">
        <v>32</v>
      </c>
      <c r="C609" s="53">
        <v>7300</v>
      </c>
      <c r="D609" s="127"/>
      <c r="E609" s="145"/>
      <c r="F609" s="145"/>
      <c r="G609" s="147"/>
      <c r="H609" s="145"/>
      <c r="I609" s="53">
        <v>3000</v>
      </c>
      <c r="J609" s="31">
        <f t="shared" si="243"/>
        <v>4300</v>
      </c>
      <c r="K609" s="70"/>
      <c r="L609" s="5"/>
      <c r="M609" s="5"/>
      <c r="N609" s="5"/>
      <c r="O609" s="5"/>
      <c r="Q609" s="5"/>
    </row>
    <row r="610" spans="1:17">
      <c r="A610" s="35" t="s">
        <v>61</v>
      </c>
      <c r="B610" s="36"/>
      <c r="C610" s="36"/>
      <c r="D610" s="36"/>
      <c r="E610" s="36"/>
      <c r="F610" s="36"/>
      <c r="G610" s="36"/>
      <c r="H610" s="36"/>
      <c r="I610" s="36"/>
      <c r="J610" s="37"/>
      <c r="K610" s="70"/>
      <c r="L610" s="5"/>
      <c r="M610" s="5"/>
      <c r="N610" s="5"/>
      <c r="O610" s="5"/>
      <c r="Q610" s="5"/>
    </row>
    <row r="611" spans="1:17">
      <c r="A611" s="130" t="s">
        <v>104</v>
      </c>
      <c r="B611" s="38" t="s">
        <v>62</v>
      </c>
      <c r="C611" s="39">
        <v>817769</v>
      </c>
      <c r="D611" s="51">
        <v>3000000</v>
      </c>
      <c r="E611" s="109"/>
      <c r="F611" s="109"/>
      <c r="G611" s="148"/>
      <c r="H611" s="139">
        <v>2627870</v>
      </c>
      <c r="I611" s="134">
        <v>1127749</v>
      </c>
      <c r="J611" s="46">
        <f>+SUM(C611:G611)-(H611+I611)</f>
        <v>62150</v>
      </c>
      <c r="K611" s="70"/>
      <c r="L611" s="5"/>
      <c r="M611" s="5"/>
      <c r="N611" s="5"/>
      <c r="O611" s="5"/>
      <c r="Q611" s="5"/>
    </row>
    <row r="612" spans="1:17">
      <c r="A612" s="44" t="s">
        <v>63</v>
      </c>
      <c r="B612" s="25"/>
      <c r="C612" s="36"/>
      <c r="D612" s="25"/>
      <c r="E612" s="25"/>
      <c r="F612" s="25"/>
      <c r="G612" s="25"/>
      <c r="H612" s="25"/>
      <c r="I612" s="25"/>
      <c r="J612" s="37"/>
      <c r="L612" s="5"/>
      <c r="M612" s="5"/>
      <c r="N612" s="5"/>
      <c r="O612" s="5"/>
      <c r="Q612" s="5"/>
    </row>
    <row r="613" spans="1:17">
      <c r="A613" s="130" t="s">
        <v>104</v>
      </c>
      <c r="B613" s="38" t="s">
        <v>64</v>
      </c>
      <c r="C613" s="133">
        <v>14712920</v>
      </c>
      <c r="D613" s="140"/>
      <c r="E613" s="51"/>
      <c r="F613" s="51"/>
      <c r="G613" s="51"/>
      <c r="H613" s="53">
        <v>3000000</v>
      </c>
      <c r="I613" s="55">
        <v>428365</v>
      </c>
      <c r="J613" s="46">
        <f>+SUM(C613:G613)-(H613+I613)</f>
        <v>11284555</v>
      </c>
      <c r="K613" s="70"/>
      <c r="L613" s="5"/>
      <c r="M613" s="5"/>
      <c r="N613" s="5"/>
      <c r="O613" s="5"/>
      <c r="Q613" s="5"/>
    </row>
    <row r="614" spans="1:17">
      <c r="A614" s="130" t="s">
        <v>104</v>
      </c>
      <c r="B614" s="38" t="s">
        <v>65</v>
      </c>
      <c r="C614" s="133">
        <v>8361083</v>
      </c>
      <c r="D614" s="51"/>
      <c r="E614" s="50"/>
      <c r="F614" s="50"/>
      <c r="G614" s="50"/>
      <c r="H614" s="33"/>
      <c r="I614" s="52">
        <v>6202438</v>
      </c>
      <c r="J614" s="46">
        <f>SUM(C614:G614)-(H614+I614)</f>
        <v>2158645</v>
      </c>
      <c r="K614" s="70"/>
      <c r="L614" s="5"/>
      <c r="M614" s="5"/>
      <c r="N614" s="5"/>
      <c r="O614" s="5"/>
      <c r="Q614" s="5"/>
    </row>
    <row r="615" spans="1:17" ht="15.75">
      <c r="C615" s="9"/>
      <c r="I615" s="149">
        <f>SUM(I596:I614)</f>
        <v>10574852</v>
      </c>
      <c r="J615" s="111">
        <f>+SUM(J596:J614)</f>
        <v>14101750</v>
      </c>
      <c r="K615" s="9">
        <f>J615-C587</f>
        <v>-1</v>
      </c>
      <c r="L615" s="5"/>
      <c r="M615" s="5"/>
      <c r="N615" s="5"/>
      <c r="O615" s="5"/>
      <c r="Q615" s="5"/>
    </row>
    <row r="616" spans="1:17" ht="16.5">
      <c r="A616" s="10"/>
      <c r="B616" s="11"/>
      <c r="C616" s="12"/>
      <c r="D616" s="12"/>
      <c r="E616" s="12"/>
      <c r="F616" s="12"/>
      <c r="G616" s="12"/>
      <c r="H616" s="12"/>
      <c r="I616" s="12"/>
      <c r="J616" s="141"/>
      <c r="L616" s="5"/>
      <c r="M616" s="5"/>
      <c r="N616" s="5"/>
      <c r="O616" s="5"/>
      <c r="Q616" s="5"/>
    </row>
    <row r="617" spans="1:17">
      <c r="A617" s="16" t="s">
        <v>53</v>
      </c>
      <c r="B617" s="16"/>
      <c r="C617" s="16"/>
      <c r="D617" s="17"/>
      <c r="E617" s="17"/>
      <c r="F617" s="17"/>
      <c r="G617" s="17"/>
      <c r="H617" s="17"/>
      <c r="I617" s="17"/>
      <c r="L617" s="5"/>
      <c r="M617" s="5"/>
      <c r="N617" s="5"/>
      <c r="O617" s="5"/>
      <c r="Q617" s="5"/>
    </row>
    <row r="618" spans="1:17">
      <c r="A618" s="18" t="s">
        <v>96</v>
      </c>
      <c r="B618" s="18"/>
      <c r="C618" s="18"/>
      <c r="D618" s="18"/>
      <c r="E618" s="18"/>
      <c r="F618" s="18"/>
      <c r="G618" s="18"/>
      <c r="H618" s="18"/>
      <c r="I618" s="18"/>
      <c r="J618" s="17"/>
      <c r="L618" s="5"/>
      <c r="M618" s="5"/>
      <c r="N618" s="5"/>
      <c r="O618" s="5"/>
      <c r="Q618" s="5"/>
    </row>
    <row r="619" spans="1:17">
      <c r="A619" s="19"/>
      <c r="B619" s="20"/>
      <c r="C619" s="21"/>
      <c r="D619" s="21"/>
      <c r="E619" s="21"/>
      <c r="F619" s="21"/>
      <c r="G619" s="21"/>
      <c r="H619" s="20"/>
      <c r="I619" s="20"/>
      <c r="J619" s="18"/>
      <c r="L619" s="5"/>
      <c r="M619" s="5"/>
      <c r="N619" s="5"/>
      <c r="O619" s="5"/>
      <c r="Q619" s="5"/>
    </row>
    <row r="620" spans="1:17" ht="15" customHeight="1">
      <c r="A620" s="391" t="s">
        <v>54</v>
      </c>
      <c r="B620" s="393" t="s">
        <v>55</v>
      </c>
      <c r="C620" s="395" t="s">
        <v>97</v>
      </c>
      <c r="D620" s="397" t="s">
        <v>56</v>
      </c>
      <c r="E620" s="398"/>
      <c r="F620" s="398"/>
      <c r="G620" s="399"/>
      <c r="H620" s="400" t="s">
        <v>57</v>
      </c>
      <c r="I620" s="402" t="s">
        <v>58</v>
      </c>
      <c r="J620" s="20"/>
      <c r="L620" s="5"/>
      <c r="M620" s="5"/>
      <c r="N620" s="5"/>
      <c r="O620" s="5"/>
      <c r="Q620" s="5"/>
    </row>
    <row r="621" spans="1:17" ht="15" customHeight="1">
      <c r="A621" s="392"/>
      <c r="B621" s="394"/>
      <c r="C621" s="396"/>
      <c r="D621" s="22" t="s">
        <v>24</v>
      </c>
      <c r="E621" s="22" t="s">
        <v>25</v>
      </c>
      <c r="F621" s="122" t="s">
        <v>100</v>
      </c>
      <c r="G621" s="22" t="s">
        <v>59</v>
      </c>
      <c r="H621" s="401"/>
      <c r="I621" s="403"/>
      <c r="J621" s="404" t="s">
        <v>98</v>
      </c>
      <c r="L621" s="5"/>
      <c r="M621" s="5"/>
      <c r="N621" s="5"/>
      <c r="O621" s="5"/>
      <c r="Q621" s="5"/>
    </row>
    <row r="622" spans="1:17">
      <c r="A622" s="24"/>
      <c r="B622" s="25" t="s">
        <v>60</v>
      </c>
      <c r="C622" s="26"/>
      <c r="D622" s="26"/>
      <c r="E622" s="26"/>
      <c r="F622" s="26"/>
      <c r="G622" s="26"/>
      <c r="H622" s="26"/>
      <c r="I622" s="27"/>
      <c r="J622" s="405"/>
      <c r="L622" s="5"/>
      <c r="M622" s="5"/>
      <c r="N622" s="5"/>
      <c r="O622" s="5"/>
      <c r="Q622" s="5"/>
    </row>
    <row r="623" spans="1:17">
      <c r="A623" s="130" t="s">
        <v>99</v>
      </c>
      <c r="B623" s="135" t="s">
        <v>77</v>
      </c>
      <c r="C623" s="33">
        <v>-10750</v>
      </c>
      <c r="D623" s="32"/>
      <c r="E623" s="32">
        <v>170625</v>
      </c>
      <c r="F623" s="32">
        <v>301700</v>
      </c>
      <c r="G623" s="32"/>
      <c r="H623" s="57">
        <v>27000</v>
      </c>
      <c r="I623" s="33">
        <v>412375</v>
      </c>
      <c r="J623" s="31">
        <f>+SUM(C623:G623)-(H623+I623)</f>
        <v>22200</v>
      </c>
      <c r="K623" s="70"/>
      <c r="L623" s="5"/>
      <c r="M623" s="5"/>
      <c r="N623" s="5"/>
      <c r="O623" s="5"/>
      <c r="Q623" s="5"/>
    </row>
    <row r="624" spans="1:17">
      <c r="A624" s="130" t="s">
        <v>99</v>
      </c>
      <c r="B624" s="135" t="s">
        <v>48</v>
      </c>
      <c r="C624" s="33">
        <v>9060</v>
      </c>
      <c r="D624" s="32"/>
      <c r="E624" s="32">
        <v>0</v>
      </c>
      <c r="F624" s="32"/>
      <c r="G624" s="32"/>
      <c r="H624" s="57"/>
      <c r="I624" s="33">
        <v>6000</v>
      </c>
      <c r="J624" s="31">
        <f t="shared" ref="J624:J625" si="244">+SUM(C624:G624)-(H624+I624)</f>
        <v>3060</v>
      </c>
      <c r="K624" s="70"/>
      <c r="L624" s="5"/>
      <c r="M624" s="5"/>
      <c r="N624" s="5"/>
      <c r="O624" s="5"/>
      <c r="Q624" s="5"/>
    </row>
    <row r="625" spans="1:17">
      <c r="A625" s="130" t="s">
        <v>99</v>
      </c>
      <c r="B625" s="135" t="s">
        <v>31</v>
      </c>
      <c r="C625" s="33">
        <v>1195</v>
      </c>
      <c r="D625" s="32"/>
      <c r="E625" s="32">
        <v>75000</v>
      </c>
      <c r="F625" s="33"/>
      <c r="G625" s="33"/>
      <c r="H625" s="33"/>
      <c r="I625" s="33">
        <v>72400</v>
      </c>
      <c r="J625" s="107">
        <f t="shared" si="244"/>
        <v>3795</v>
      </c>
      <c r="K625" s="70"/>
      <c r="L625" s="5"/>
      <c r="M625" s="5"/>
      <c r="N625" s="5"/>
      <c r="O625" s="5"/>
      <c r="Q625" s="5"/>
    </row>
    <row r="626" spans="1:17">
      <c r="A626" s="130" t="s">
        <v>99</v>
      </c>
      <c r="B626" s="135" t="s">
        <v>78</v>
      </c>
      <c r="C626" s="33">
        <v>-8600</v>
      </c>
      <c r="D626" s="110"/>
      <c r="E626" s="32">
        <v>596900</v>
      </c>
      <c r="F626" s="33"/>
      <c r="G626" s="33"/>
      <c r="H626" s="33"/>
      <c r="I626" s="33">
        <v>586000</v>
      </c>
      <c r="J626" s="107">
        <f>+SUM(C626:G626)-(H626+I626)</f>
        <v>2300</v>
      </c>
      <c r="K626" s="70"/>
      <c r="L626" s="5"/>
      <c r="M626" s="5"/>
      <c r="N626" s="5"/>
      <c r="O626" s="5"/>
      <c r="Q626" s="5"/>
    </row>
    <row r="627" spans="1:17">
      <c r="A627" s="130" t="s">
        <v>99</v>
      </c>
      <c r="B627" s="135" t="s">
        <v>70</v>
      </c>
      <c r="C627" s="33">
        <v>8884</v>
      </c>
      <c r="D627" s="110"/>
      <c r="E627" s="32">
        <v>618600</v>
      </c>
      <c r="F627" s="33">
        <v>27000</v>
      </c>
      <c r="G627" s="33"/>
      <c r="H627" s="33">
        <v>301700</v>
      </c>
      <c r="I627" s="33">
        <v>367000</v>
      </c>
      <c r="J627" s="107">
        <f t="shared" ref="J627" si="245">+SUM(C627:G627)-(H627+I627)</f>
        <v>-14216</v>
      </c>
      <c r="K627" s="70"/>
      <c r="L627" s="5"/>
      <c r="M627" s="5"/>
      <c r="N627" s="5"/>
      <c r="O627" s="5"/>
      <c r="Q627" s="5"/>
    </row>
    <row r="628" spans="1:17">
      <c r="A628" s="127" t="s">
        <v>99</v>
      </c>
      <c r="B628" s="136" t="s">
        <v>30</v>
      </c>
      <c r="C628" s="53">
        <v>191600</v>
      </c>
      <c r="D628" s="127"/>
      <c r="E628" s="127">
        <v>777000</v>
      </c>
      <c r="F628" s="53"/>
      <c r="G628" s="53"/>
      <c r="H628" s="53"/>
      <c r="I628" s="53">
        <v>825300</v>
      </c>
      <c r="J628" s="132">
        <f>+SUM(C628:G628)-(H628+I628)</f>
        <v>143300</v>
      </c>
      <c r="K628" s="70"/>
      <c r="L628" s="5"/>
      <c r="M628" s="5"/>
      <c r="N628" s="5"/>
      <c r="O628" s="5"/>
      <c r="Q628" s="5"/>
    </row>
    <row r="629" spans="1:17">
      <c r="A629" s="131" t="s">
        <v>99</v>
      </c>
      <c r="B629" s="137" t="s">
        <v>85</v>
      </c>
      <c r="C629" s="128">
        <v>233614</v>
      </c>
      <c r="D629" s="131"/>
      <c r="E629" s="131"/>
      <c r="F629" s="131"/>
      <c r="G629" s="131"/>
      <c r="H629" s="128"/>
      <c r="I629" s="128"/>
      <c r="J629" s="129">
        <f>+SUM(C629:G629)-(H629+I629)</f>
        <v>233614</v>
      </c>
      <c r="K629" s="70"/>
      <c r="L629" s="5"/>
      <c r="M629" s="5"/>
      <c r="N629" s="5"/>
      <c r="O629" s="5"/>
      <c r="Q629" s="5"/>
    </row>
    <row r="630" spans="1:17">
      <c r="A630" s="131" t="s">
        <v>99</v>
      </c>
      <c r="B630" s="137" t="s">
        <v>84</v>
      </c>
      <c r="C630" s="128">
        <v>249769</v>
      </c>
      <c r="D630" s="131"/>
      <c r="E630" s="131"/>
      <c r="F630" s="131"/>
      <c r="G630" s="131"/>
      <c r="H630" s="128"/>
      <c r="I630" s="128"/>
      <c r="J630" s="129">
        <f t="shared" ref="J630:J635" si="246">+SUM(C630:G630)-(H630+I630)</f>
        <v>249769</v>
      </c>
      <c r="K630" s="70"/>
      <c r="L630" s="5"/>
      <c r="M630" s="5"/>
      <c r="N630" s="5"/>
      <c r="O630" s="5"/>
      <c r="Q630" s="5"/>
    </row>
    <row r="631" spans="1:17">
      <c r="A631" s="130" t="s">
        <v>99</v>
      </c>
      <c r="B631" s="135" t="s">
        <v>36</v>
      </c>
      <c r="C631" s="33">
        <v>-3510</v>
      </c>
      <c r="D631" s="32"/>
      <c r="E631" s="32">
        <v>240100</v>
      </c>
      <c r="F631" s="32"/>
      <c r="G631" s="32"/>
      <c r="H631" s="33"/>
      <c r="I631" s="33">
        <v>181500</v>
      </c>
      <c r="J631" s="31">
        <f t="shared" si="246"/>
        <v>55090</v>
      </c>
      <c r="K631" s="70"/>
      <c r="L631" s="5"/>
      <c r="M631" s="5"/>
      <c r="N631" s="5"/>
      <c r="O631" s="5"/>
      <c r="Q631" s="5"/>
    </row>
    <row r="632" spans="1:17">
      <c r="A632" s="130" t="s">
        <v>99</v>
      </c>
      <c r="B632" s="135" t="s">
        <v>94</v>
      </c>
      <c r="C632" s="33">
        <v>0</v>
      </c>
      <c r="D632" s="32"/>
      <c r="E632" s="32">
        <v>5000</v>
      </c>
      <c r="F632" s="32"/>
      <c r="G632" s="32"/>
      <c r="H632" s="33"/>
      <c r="I632" s="33">
        <v>5000</v>
      </c>
      <c r="J632" s="31">
        <f t="shared" si="246"/>
        <v>0</v>
      </c>
      <c r="K632" s="70"/>
      <c r="L632" s="5"/>
      <c r="M632" s="5"/>
      <c r="N632" s="5"/>
      <c r="O632" s="5"/>
      <c r="Q632" s="5"/>
    </row>
    <row r="633" spans="1:17">
      <c r="A633" s="130" t="s">
        <v>99</v>
      </c>
      <c r="B633" s="135" t="s">
        <v>29</v>
      </c>
      <c r="C633" s="33">
        <v>111200</v>
      </c>
      <c r="D633" s="32"/>
      <c r="E633" s="32">
        <v>704000</v>
      </c>
      <c r="F633" s="32"/>
      <c r="G633" s="32"/>
      <c r="H633" s="33"/>
      <c r="I633" s="33">
        <v>704500</v>
      </c>
      <c r="J633" s="31">
        <f t="shared" si="246"/>
        <v>110700</v>
      </c>
      <c r="K633" s="70"/>
      <c r="L633" s="5"/>
      <c r="M633" s="5"/>
      <c r="N633" s="5"/>
      <c r="O633" s="5"/>
      <c r="Q633" s="5"/>
    </row>
    <row r="634" spans="1:17">
      <c r="A634" s="130" t="s">
        <v>99</v>
      </c>
      <c r="B634" s="135" t="s">
        <v>95</v>
      </c>
      <c r="C634" s="33">
        <v>-32081</v>
      </c>
      <c r="D634" s="32"/>
      <c r="E634" s="32">
        <v>0</v>
      </c>
      <c r="F634" s="32"/>
      <c r="G634" s="32"/>
      <c r="H634" s="33"/>
      <c r="I634" s="33">
        <v>0</v>
      </c>
      <c r="J634" s="31">
        <f t="shared" si="246"/>
        <v>-32081</v>
      </c>
      <c r="K634" s="70"/>
      <c r="L634" s="5"/>
      <c r="M634" s="5"/>
      <c r="N634" s="5"/>
      <c r="O634" s="5"/>
      <c r="Q634" s="5"/>
    </row>
    <row r="635" spans="1:17">
      <c r="A635" s="130" t="s">
        <v>99</v>
      </c>
      <c r="B635" s="136" t="s">
        <v>32</v>
      </c>
      <c r="C635" s="53">
        <v>5300</v>
      </c>
      <c r="D635" s="127"/>
      <c r="E635" s="127">
        <v>10000</v>
      </c>
      <c r="F635" s="127"/>
      <c r="G635" s="138"/>
      <c r="H635" s="53"/>
      <c r="I635" s="53">
        <v>8000</v>
      </c>
      <c r="J635" s="31">
        <f t="shared" si="246"/>
        <v>7300</v>
      </c>
      <c r="K635" s="70"/>
      <c r="L635" s="5"/>
      <c r="M635" s="5"/>
      <c r="N635" s="5"/>
      <c r="O635" s="5"/>
      <c r="Q635" s="5"/>
    </row>
    <row r="636" spans="1:17">
      <c r="A636" s="35" t="s">
        <v>61</v>
      </c>
      <c r="B636" s="36"/>
      <c r="C636" s="36"/>
      <c r="D636" s="36"/>
      <c r="E636" s="36"/>
      <c r="F636" s="36"/>
      <c r="G636" s="36"/>
      <c r="H636" s="36"/>
      <c r="I636" s="36"/>
      <c r="J636" s="37"/>
      <c r="K636" s="70"/>
      <c r="L636" s="5"/>
      <c r="M636" s="5"/>
      <c r="N636" s="5"/>
      <c r="O636" s="5"/>
      <c r="Q636" s="5"/>
    </row>
    <row r="637" spans="1:17">
      <c r="A637" s="28" t="s">
        <v>99</v>
      </c>
      <c r="B637" s="38" t="s">
        <v>62</v>
      </c>
      <c r="C637" s="39">
        <v>733034</v>
      </c>
      <c r="D637" s="40">
        <v>4293000</v>
      </c>
      <c r="E637" s="40"/>
      <c r="F637" s="40"/>
      <c r="G637" s="133"/>
      <c r="H637" s="139">
        <v>3197225</v>
      </c>
      <c r="I637" s="134">
        <v>1011040</v>
      </c>
      <c r="J637" s="46">
        <f>+SUM(C637:G637)-(H637+I637)</f>
        <v>817769</v>
      </c>
      <c r="K637" s="70"/>
      <c r="L637" s="5"/>
      <c r="M637" s="5"/>
      <c r="N637" s="5"/>
      <c r="O637" s="5"/>
      <c r="Q637" s="5"/>
    </row>
    <row r="638" spans="1:17">
      <c r="A638" s="44" t="s">
        <v>63</v>
      </c>
      <c r="B638" s="25"/>
      <c r="C638" s="36"/>
      <c r="D638" s="25"/>
      <c r="E638" s="25"/>
      <c r="F638" s="25"/>
      <c r="G638" s="25"/>
      <c r="H638" s="25"/>
      <c r="I638" s="25"/>
      <c r="J638" s="37"/>
      <c r="L638" s="5"/>
      <c r="M638" s="5"/>
      <c r="N638" s="5"/>
      <c r="O638" s="5"/>
      <c r="Q638" s="5"/>
    </row>
    <row r="639" spans="1:17">
      <c r="A639" s="28" t="s">
        <v>99</v>
      </c>
      <c r="B639" s="38" t="s">
        <v>64</v>
      </c>
      <c r="C639" s="133">
        <v>19184971</v>
      </c>
      <c r="D639" s="140"/>
      <c r="E639" s="51"/>
      <c r="F639" s="51"/>
      <c r="G639" s="51"/>
      <c r="H639" s="53">
        <v>4000000</v>
      </c>
      <c r="I639" s="55">
        <v>472051</v>
      </c>
      <c r="J639" s="46">
        <f>+SUM(C639:G639)-(H639+I639)</f>
        <v>14712920</v>
      </c>
      <c r="K639" s="70"/>
      <c r="L639" s="5"/>
      <c r="M639" s="5"/>
      <c r="N639" s="5"/>
      <c r="O639" s="5"/>
      <c r="Q639" s="5"/>
    </row>
    <row r="640" spans="1:17">
      <c r="A640" s="28" t="s">
        <v>99</v>
      </c>
      <c r="B640" s="38" t="s">
        <v>65</v>
      </c>
      <c r="C640" s="133">
        <v>14419055</v>
      </c>
      <c r="D640" s="51"/>
      <c r="E640" s="50"/>
      <c r="F640" s="50"/>
      <c r="G640" s="50"/>
      <c r="H640" s="33">
        <v>293000</v>
      </c>
      <c r="I640" s="52">
        <v>5764972</v>
      </c>
      <c r="J640" s="46">
        <f>SUM(C640:G640)-(H640+I640)</f>
        <v>8361083</v>
      </c>
      <c r="K640" s="70"/>
      <c r="L640" s="5"/>
      <c r="M640" s="5"/>
      <c r="N640" s="5"/>
      <c r="O640" s="5"/>
      <c r="Q640" s="5"/>
    </row>
    <row r="641" spans="1:17" ht="15.75">
      <c r="C641" s="9"/>
      <c r="I641" s="9"/>
      <c r="J641" s="111">
        <f>+SUM(J623:J640)</f>
        <v>24676603</v>
      </c>
      <c r="L641" s="5"/>
      <c r="M641" s="5"/>
      <c r="N641" s="5"/>
      <c r="O641" s="5"/>
      <c r="Q641" s="5"/>
    </row>
    <row r="642" spans="1:17" ht="16.5">
      <c r="A642" s="10"/>
      <c r="B642" s="11"/>
      <c r="C642" s="12"/>
      <c r="D642" s="12"/>
      <c r="E642" s="12"/>
      <c r="F642" s="12"/>
      <c r="G642" s="12"/>
      <c r="H642" s="12"/>
      <c r="I642" s="12"/>
      <c r="J642" s="141"/>
      <c r="L642" s="5"/>
      <c r="M642" s="5"/>
      <c r="N642" s="5"/>
      <c r="O642" s="5"/>
      <c r="Q642" s="5"/>
    </row>
    <row r="643" spans="1:17">
      <c r="A643" s="16" t="s">
        <v>53</v>
      </c>
      <c r="B643" s="16"/>
      <c r="C643" s="16"/>
      <c r="D643" s="17"/>
      <c r="E643" s="17"/>
      <c r="F643" s="17"/>
      <c r="G643" s="17"/>
      <c r="H643" s="17"/>
      <c r="I643" s="17"/>
      <c r="L643" s="5"/>
      <c r="M643" s="5"/>
      <c r="N643" s="5"/>
      <c r="O643" s="5"/>
      <c r="Q643" s="5"/>
    </row>
    <row r="644" spans="1:17">
      <c r="A644" s="18" t="s">
        <v>88</v>
      </c>
      <c r="B644" s="18"/>
      <c r="C644" s="18"/>
      <c r="D644" s="18"/>
      <c r="E644" s="18"/>
      <c r="F644" s="18"/>
      <c r="G644" s="18"/>
      <c r="H644" s="18"/>
      <c r="I644" s="18"/>
      <c r="J644" s="17"/>
      <c r="L644" s="5"/>
      <c r="M644" s="5"/>
      <c r="N644" s="5"/>
      <c r="O644" s="5"/>
      <c r="Q644" s="5"/>
    </row>
    <row r="645" spans="1:17" ht="15" customHeight="1">
      <c r="A645" s="19"/>
      <c r="B645" s="20"/>
      <c r="C645" s="21"/>
      <c r="D645" s="21"/>
      <c r="E645" s="21"/>
      <c r="F645" s="21"/>
      <c r="G645" s="21"/>
      <c r="H645" s="20"/>
      <c r="I645" s="20"/>
      <c r="J645" s="18"/>
      <c r="L645" s="5"/>
      <c r="M645" s="5"/>
      <c r="N645" s="5"/>
      <c r="O645" s="5"/>
      <c r="Q645" s="5"/>
    </row>
    <row r="646" spans="1:17" ht="15" customHeight="1">
      <c r="A646" s="391" t="s">
        <v>54</v>
      </c>
      <c r="B646" s="393" t="s">
        <v>55</v>
      </c>
      <c r="C646" s="395" t="s">
        <v>89</v>
      </c>
      <c r="D646" s="397" t="s">
        <v>56</v>
      </c>
      <c r="E646" s="398"/>
      <c r="F646" s="398"/>
      <c r="G646" s="399"/>
      <c r="H646" s="400" t="s">
        <v>57</v>
      </c>
      <c r="I646" s="402" t="s">
        <v>58</v>
      </c>
      <c r="J646" s="20"/>
      <c r="L646" s="5"/>
      <c r="M646" s="5"/>
      <c r="N646" s="5"/>
      <c r="O646" s="5"/>
      <c r="Q646" s="5"/>
    </row>
    <row r="647" spans="1:17" ht="15" customHeight="1">
      <c r="A647" s="392"/>
      <c r="B647" s="394"/>
      <c r="C647" s="396"/>
      <c r="D647" s="22" t="s">
        <v>24</v>
      </c>
      <c r="E647" s="22" t="s">
        <v>25</v>
      </c>
      <c r="F647" s="112" t="s">
        <v>92</v>
      </c>
      <c r="G647" s="22" t="s">
        <v>59</v>
      </c>
      <c r="H647" s="401"/>
      <c r="I647" s="403"/>
      <c r="J647" s="404" t="s">
        <v>90</v>
      </c>
      <c r="L647" s="5"/>
      <c r="M647" s="5"/>
      <c r="N647" s="5"/>
      <c r="O647" s="5"/>
      <c r="Q647" s="5"/>
    </row>
    <row r="648" spans="1:17">
      <c r="A648" s="24"/>
      <c r="B648" s="25" t="s">
        <v>60</v>
      </c>
      <c r="C648" s="26"/>
      <c r="D648" s="26"/>
      <c r="E648" s="26"/>
      <c r="F648" s="26"/>
      <c r="G648" s="26"/>
      <c r="H648" s="26"/>
      <c r="I648" s="27"/>
      <c r="J648" s="405"/>
      <c r="L648" s="5"/>
      <c r="M648" s="5"/>
      <c r="N648" s="5"/>
      <c r="O648" s="5"/>
      <c r="Q648" s="5"/>
    </row>
    <row r="649" spans="1:17" ht="16.5">
      <c r="A649" s="28" t="s">
        <v>91</v>
      </c>
      <c r="B649" s="8" t="s">
        <v>77</v>
      </c>
      <c r="C649" s="29" t="e">
        <f>+#REF!</f>
        <v>#REF!</v>
      </c>
      <c r="D649" s="30"/>
      <c r="E649" s="30">
        <v>271100</v>
      </c>
      <c r="F649" s="30">
        <f>112800+126500</f>
        <v>239300</v>
      </c>
      <c r="G649" s="30"/>
      <c r="H649" s="57"/>
      <c r="I649" s="34">
        <v>521950</v>
      </c>
      <c r="J649" s="31" t="e">
        <f>+SUM(C649:G649)-(H649+I649)</f>
        <v>#REF!</v>
      </c>
      <c r="L649" s="5"/>
      <c r="M649" s="5"/>
      <c r="N649" s="5"/>
      <c r="O649" s="5"/>
      <c r="Q649" s="5"/>
    </row>
    <row r="650" spans="1:17" ht="16.5">
      <c r="A650" s="28" t="s">
        <v>91</v>
      </c>
      <c r="B650" s="8" t="s">
        <v>48</v>
      </c>
      <c r="C650" s="29" t="e">
        <f>+C414</f>
        <v>#REF!</v>
      </c>
      <c r="D650" s="30"/>
      <c r="E650" s="30">
        <v>625000</v>
      </c>
      <c r="F650" s="30"/>
      <c r="G650" s="30"/>
      <c r="H650" s="57">
        <v>247500</v>
      </c>
      <c r="I650" s="34">
        <v>371500</v>
      </c>
      <c r="J650" s="31" t="e">
        <f t="shared" ref="J650:J651" si="247">+SUM(C650:G650)-(H650+I650)</f>
        <v>#REF!</v>
      </c>
      <c r="L650" s="5"/>
      <c r="M650" s="5"/>
      <c r="N650" s="5"/>
      <c r="O650" s="5"/>
      <c r="Q650" s="5"/>
    </row>
    <row r="651" spans="1:17" ht="16.5">
      <c r="A651" s="28" t="s">
        <v>91</v>
      </c>
      <c r="B651" s="8" t="s">
        <v>31</v>
      </c>
      <c r="C651" s="29" t="e">
        <f>+C415</f>
        <v>#REF!</v>
      </c>
      <c r="D651" s="30"/>
      <c r="E651" s="30">
        <v>60000</v>
      </c>
      <c r="F651" s="106"/>
      <c r="G651" s="106"/>
      <c r="H651" s="33"/>
      <c r="I651" s="56">
        <v>67200</v>
      </c>
      <c r="J651" s="107" t="e">
        <f t="shared" si="247"/>
        <v>#REF!</v>
      </c>
      <c r="L651" s="5"/>
      <c r="M651" s="5"/>
      <c r="N651" s="5"/>
      <c r="O651" s="5"/>
      <c r="Q651" s="5"/>
    </row>
    <row r="652" spans="1:17" ht="15.75" customHeight="1">
      <c r="A652" s="28" t="s">
        <v>91</v>
      </c>
      <c r="B652" s="8" t="s">
        <v>78</v>
      </c>
      <c r="C652" s="29" t="e">
        <f>+C416</f>
        <v>#REF!</v>
      </c>
      <c r="D652" s="58"/>
      <c r="E652" s="30">
        <v>140000</v>
      </c>
      <c r="F652" s="106">
        <v>270500</v>
      </c>
      <c r="G652" s="106"/>
      <c r="H652" s="33"/>
      <c r="I652" s="33">
        <v>417300</v>
      </c>
      <c r="J652" s="107" t="e">
        <f>+SUM(C652:G652)-(H652+I652)</f>
        <v>#REF!</v>
      </c>
      <c r="L652" s="5"/>
      <c r="M652" s="5"/>
      <c r="N652" s="5"/>
      <c r="O652" s="5"/>
      <c r="Q652" s="5"/>
    </row>
    <row r="653" spans="1:17" ht="16.5">
      <c r="A653" s="28" t="s">
        <v>91</v>
      </c>
      <c r="B653" s="8" t="s">
        <v>70</v>
      </c>
      <c r="C653" s="29">
        <v>15984</v>
      </c>
      <c r="D653" s="58"/>
      <c r="E653" s="30">
        <v>256400</v>
      </c>
      <c r="F653" s="106"/>
      <c r="G653" s="106"/>
      <c r="H653" s="33"/>
      <c r="I653" s="34">
        <v>263500</v>
      </c>
      <c r="J653" s="107">
        <f t="shared" ref="J653" si="248">+SUM(C653:G653)-(H653+I653)</f>
        <v>8884</v>
      </c>
      <c r="L653" s="5"/>
      <c r="M653" s="5"/>
      <c r="N653" s="5"/>
      <c r="O653" s="5"/>
      <c r="Q653" s="5"/>
    </row>
    <row r="654" spans="1:17" ht="16.5">
      <c r="A654" s="28" t="s">
        <v>91</v>
      </c>
      <c r="B654" s="8" t="s">
        <v>30</v>
      </c>
      <c r="C654" s="29" t="e">
        <f t="shared" ref="C654:C658" si="249">+C417</f>
        <v>#REF!</v>
      </c>
      <c r="D654" s="30"/>
      <c r="E654" s="30">
        <v>858500</v>
      </c>
      <c r="F654" s="106"/>
      <c r="G654" s="106"/>
      <c r="H654" s="33"/>
      <c r="I654" s="34">
        <v>645000</v>
      </c>
      <c r="J654" s="107" t="e">
        <f>+SUM(C654:G654)-(H654+I654)</f>
        <v>#REF!</v>
      </c>
      <c r="L654" s="5"/>
      <c r="M654" s="5"/>
      <c r="N654" s="5"/>
      <c r="O654" s="5"/>
      <c r="Q654" s="5"/>
    </row>
    <row r="655" spans="1:17" ht="16.5">
      <c r="A655" s="28" t="s">
        <v>91</v>
      </c>
      <c r="B655" s="8" t="s">
        <v>36</v>
      </c>
      <c r="C655" s="29" t="e">
        <f t="shared" si="249"/>
        <v>#REF!</v>
      </c>
      <c r="D655" s="30"/>
      <c r="E655" s="30">
        <v>800700</v>
      </c>
      <c r="F655" s="30"/>
      <c r="G655" s="30"/>
      <c r="H655" s="33">
        <v>262300</v>
      </c>
      <c r="I655" s="34">
        <v>543600</v>
      </c>
      <c r="J655" s="31" t="e">
        <f>+SUM(C655:G655)-(H655+I655)</f>
        <v>#REF!</v>
      </c>
      <c r="L655" s="5"/>
      <c r="M655" s="5"/>
      <c r="N655" s="5"/>
      <c r="O655" s="5"/>
      <c r="Q655" s="5"/>
    </row>
    <row r="656" spans="1:17" ht="16.5">
      <c r="A656" s="28" t="s">
        <v>91</v>
      </c>
      <c r="B656" s="8" t="s">
        <v>29</v>
      </c>
      <c r="C656" s="29" t="e">
        <f t="shared" si="249"/>
        <v>#REF!</v>
      </c>
      <c r="D656" s="30"/>
      <c r="E656" s="30">
        <v>971600</v>
      </c>
      <c r="F656" s="30"/>
      <c r="G656" s="30"/>
      <c r="H656" s="33">
        <v>200000</v>
      </c>
      <c r="I656" s="34">
        <v>639450</v>
      </c>
      <c r="J656" s="31" t="e">
        <f t="shared" ref="J656:J657" si="250">+SUM(C656:G656)-(H656+I656)</f>
        <v>#REF!</v>
      </c>
      <c r="L656" s="5"/>
      <c r="M656" s="5"/>
      <c r="N656" s="5"/>
      <c r="O656" s="5"/>
      <c r="Q656" s="5"/>
    </row>
    <row r="657" spans="1:17" ht="16.5">
      <c r="A657" s="28" t="s">
        <v>91</v>
      </c>
      <c r="B657" s="8" t="s">
        <v>5</v>
      </c>
      <c r="C657" s="29" t="e">
        <f t="shared" si="249"/>
        <v>#REF!</v>
      </c>
      <c r="D657" s="30"/>
      <c r="E657" s="30"/>
      <c r="F657" s="30"/>
      <c r="G657" s="30"/>
      <c r="H657" s="33"/>
      <c r="I657" s="56">
        <v>23000</v>
      </c>
      <c r="J657" s="31" t="e">
        <f t="shared" si="250"/>
        <v>#REF!</v>
      </c>
      <c r="L657" s="5"/>
      <c r="M657" s="5"/>
      <c r="N657" s="5"/>
      <c r="O657" s="5"/>
      <c r="Q657" s="5"/>
    </row>
    <row r="658" spans="1:17" ht="16.5">
      <c r="A658" s="28" t="s">
        <v>91</v>
      </c>
      <c r="B658" s="8" t="s">
        <v>32</v>
      </c>
      <c r="C658" s="29" t="e">
        <f t="shared" si="249"/>
        <v>#REF!</v>
      </c>
      <c r="D658" s="30"/>
      <c r="E658" s="30"/>
      <c r="F658" s="30"/>
      <c r="G658" s="30"/>
      <c r="H658" s="33"/>
      <c r="I658" s="34">
        <v>0</v>
      </c>
      <c r="J658" s="31" t="e">
        <f>+SUM(C658:G658)-(H658+I658)</f>
        <v>#REF!</v>
      </c>
      <c r="L658" s="5"/>
      <c r="M658" s="5"/>
      <c r="N658" s="5"/>
      <c r="O658" s="5"/>
      <c r="Q658" s="5"/>
    </row>
    <row r="659" spans="1:17" ht="16.5">
      <c r="A659" s="114" t="s">
        <v>91</v>
      </c>
      <c r="B659" s="115" t="s">
        <v>93</v>
      </c>
      <c r="C659" s="116">
        <v>3721074</v>
      </c>
      <c r="D659" s="117"/>
      <c r="E659" s="118"/>
      <c r="F659" s="117"/>
      <c r="G659" s="119"/>
      <c r="H659" s="116">
        <v>3721074</v>
      </c>
      <c r="I659" s="120"/>
      <c r="J659" s="121">
        <f>+SUM(C659:G659)-(H659+I659)</f>
        <v>0</v>
      </c>
      <c r="L659" s="5"/>
      <c r="M659" s="5"/>
      <c r="N659" s="5"/>
      <c r="O659" s="5"/>
      <c r="Q659" s="5"/>
    </row>
    <row r="660" spans="1:17">
      <c r="A660" s="35" t="s">
        <v>61</v>
      </c>
      <c r="B660" s="36"/>
      <c r="C660" s="36"/>
      <c r="D660" s="36"/>
      <c r="E660" s="36"/>
      <c r="F660" s="36"/>
      <c r="G660" s="36"/>
      <c r="H660" s="36"/>
      <c r="I660" s="36"/>
      <c r="J660" s="37"/>
      <c r="L660" s="5"/>
      <c r="M660" s="5"/>
      <c r="N660" s="5"/>
      <c r="O660" s="5"/>
      <c r="Q660" s="5"/>
    </row>
    <row r="661" spans="1:17">
      <c r="A661" s="28" t="s">
        <v>91</v>
      </c>
      <c r="B661" s="38" t="s">
        <v>62</v>
      </c>
      <c r="C661" s="39" t="e">
        <f>+C413</f>
        <v>#REF!</v>
      </c>
      <c r="D661" s="40">
        <v>5000000</v>
      </c>
      <c r="E661" s="40"/>
      <c r="F661" s="40"/>
      <c r="G661" s="41">
        <v>200000</v>
      </c>
      <c r="H661" s="49">
        <v>3983300</v>
      </c>
      <c r="I661" s="42">
        <v>776245</v>
      </c>
      <c r="J661" s="43" t="e">
        <f>+SUM(C661:G661)-(H661+I661)</f>
        <v>#REF!</v>
      </c>
      <c r="L661" s="5"/>
      <c r="M661" s="5"/>
      <c r="N661" s="5"/>
      <c r="O661" s="5"/>
      <c r="Q661" s="5"/>
    </row>
    <row r="662" spans="1:17">
      <c r="A662" s="44" t="s">
        <v>63</v>
      </c>
      <c r="B662" s="25"/>
      <c r="C662" s="36"/>
      <c r="D662" s="25"/>
      <c r="E662" s="25"/>
      <c r="F662" s="25"/>
      <c r="G662" s="25"/>
      <c r="H662" s="25"/>
      <c r="I662" s="25"/>
      <c r="J662" s="37"/>
      <c r="L662" s="5"/>
      <c r="M662" s="5"/>
      <c r="N662" s="5"/>
      <c r="O662" s="5"/>
      <c r="Q662" s="5"/>
    </row>
    <row r="663" spans="1:17">
      <c r="A663" s="28" t="s">
        <v>91</v>
      </c>
      <c r="B663" s="38" t="s">
        <v>64</v>
      </c>
      <c r="C663" s="45" t="e">
        <f>+#REF!</f>
        <v>#REF!</v>
      </c>
      <c r="D663" s="54">
        <v>19826114</v>
      </c>
      <c r="E663" s="51"/>
      <c r="F663" s="51"/>
      <c r="G663" s="51"/>
      <c r="H663" s="53">
        <v>5000000</v>
      </c>
      <c r="I663" s="55">
        <v>455737</v>
      </c>
      <c r="J663" s="46" t="e">
        <f>+SUM(C663:G663)-(H663+I663)</f>
        <v>#REF!</v>
      </c>
      <c r="L663" s="5"/>
      <c r="M663" s="5"/>
      <c r="N663" s="5"/>
      <c r="O663" s="5"/>
      <c r="Q663" s="5"/>
    </row>
    <row r="664" spans="1:17">
      <c r="A664" s="28" t="s">
        <v>91</v>
      </c>
      <c r="B664" s="38" t="s">
        <v>65</v>
      </c>
      <c r="C664" s="45" t="e">
        <f>+C412</f>
        <v>#REF!</v>
      </c>
      <c r="D664" s="51">
        <v>13119140</v>
      </c>
      <c r="E664" s="50"/>
      <c r="F664" s="50"/>
      <c r="G664" s="50"/>
      <c r="H664" s="33"/>
      <c r="I664" s="52">
        <v>3445919</v>
      </c>
      <c r="J664" s="46" t="e">
        <f>SUM(C664:G664)-(H664+I664)</f>
        <v>#REF!</v>
      </c>
      <c r="L664" s="5"/>
      <c r="M664" s="5"/>
      <c r="N664" s="5"/>
      <c r="O664" s="5"/>
      <c r="Q664" s="5"/>
    </row>
    <row r="665" spans="1:17">
      <c r="A665" s="162" t="s">
        <v>91</v>
      </c>
      <c r="B665" s="158" t="s">
        <v>84</v>
      </c>
      <c r="C665" s="163">
        <v>249769</v>
      </c>
      <c r="D665" s="51"/>
      <c r="E665" s="51"/>
      <c r="F665" s="51"/>
      <c r="G665" s="51"/>
      <c r="H665" s="33"/>
      <c r="I665" s="52"/>
      <c r="J665" s="164">
        <f>SUM(C665:G665)-(H665+I665)</f>
        <v>249769</v>
      </c>
      <c r="L665" s="5"/>
      <c r="M665" s="5"/>
      <c r="N665" s="5"/>
      <c r="O665" s="5"/>
      <c r="Q665" s="5"/>
    </row>
    <row r="666" spans="1:17">
      <c r="A666" s="162" t="s">
        <v>91</v>
      </c>
      <c r="B666" s="160" t="s">
        <v>85</v>
      </c>
      <c r="C666" s="163">
        <v>233614</v>
      </c>
      <c r="D666" s="51"/>
      <c r="E666" s="51"/>
      <c r="F666" s="51"/>
      <c r="G666" s="51"/>
      <c r="H666" s="33"/>
      <c r="I666" s="52"/>
      <c r="J666" s="164">
        <f>SUM(C666:G666)-(H666+I666)</f>
        <v>233614</v>
      </c>
      <c r="L666" s="5"/>
      <c r="M666" s="5"/>
      <c r="N666" s="5"/>
      <c r="O666" s="5"/>
      <c r="Q666" s="5"/>
    </row>
    <row r="667" spans="1:17">
      <c r="A667" s="162" t="s">
        <v>91</v>
      </c>
      <c r="B667" s="161" t="s">
        <v>86</v>
      </c>
      <c r="C667" s="163">
        <v>330169</v>
      </c>
      <c r="D667" s="165"/>
      <c r="E667" s="165"/>
      <c r="F667" s="165"/>
      <c r="G667" s="165"/>
      <c r="H667" s="165"/>
      <c r="I667" s="165"/>
      <c r="J667" s="164">
        <f>SUM(C667:G667)-(H667+I667)</f>
        <v>330169</v>
      </c>
      <c r="L667" s="5"/>
      <c r="M667" s="5"/>
      <c r="N667" s="5"/>
      <c r="O667" s="5"/>
      <c r="Q667" s="5"/>
    </row>
    <row r="668" spans="1:17" ht="15.75">
      <c r="C668" s="9"/>
      <c r="I668" s="9"/>
      <c r="J668" s="111" t="e">
        <f>+SUM(J649:J667)</f>
        <v>#REF!</v>
      </c>
      <c r="K668" s="113" t="e">
        <f>+J668-I425</f>
        <v>#REF!</v>
      </c>
      <c r="L668" s="5"/>
      <c r="M668" s="5"/>
      <c r="N668" s="5"/>
      <c r="O668" s="5"/>
      <c r="Q668" s="5"/>
    </row>
    <row r="670" spans="1:17">
      <c r="A670" s="16" t="s">
        <v>53</v>
      </c>
      <c r="B670" s="16"/>
      <c r="C670" s="16"/>
      <c r="D670" s="17"/>
      <c r="E670" s="17"/>
      <c r="F670" s="17"/>
      <c r="G670" s="17"/>
      <c r="H670" s="17"/>
      <c r="I670" s="17"/>
      <c r="L670" s="5"/>
      <c r="M670" s="5"/>
      <c r="N670" s="5"/>
      <c r="O670" s="5"/>
      <c r="Q670" s="5"/>
    </row>
    <row r="671" spans="1:17">
      <c r="A671" s="18" t="s">
        <v>79</v>
      </c>
      <c r="B671" s="18"/>
      <c r="C671" s="18"/>
      <c r="D671" s="18"/>
      <c r="E671" s="18"/>
      <c r="F671" s="18"/>
      <c r="G671" s="18"/>
      <c r="H671" s="18"/>
      <c r="I671" s="18"/>
      <c r="J671" s="17"/>
      <c r="L671" s="5"/>
      <c r="M671" s="5"/>
      <c r="N671" s="5"/>
      <c r="O671" s="5"/>
      <c r="Q671" s="5"/>
    </row>
    <row r="672" spans="1:17">
      <c r="A672" s="19"/>
      <c r="B672" s="20"/>
      <c r="C672" s="21"/>
      <c r="D672" s="21"/>
      <c r="E672" s="21"/>
      <c r="F672" s="21"/>
      <c r="G672" s="21"/>
      <c r="H672" s="20"/>
      <c r="I672" s="20"/>
      <c r="J672" s="18"/>
      <c r="L672" s="5"/>
      <c r="M672" s="5"/>
      <c r="N672" s="5"/>
      <c r="O672" s="5"/>
      <c r="Q672" s="5"/>
    </row>
    <row r="673" spans="1:17">
      <c r="A673" s="391" t="s">
        <v>54</v>
      </c>
      <c r="B673" s="393" t="s">
        <v>55</v>
      </c>
      <c r="C673" s="395" t="s">
        <v>81</v>
      </c>
      <c r="D673" s="397" t="s">
        <v>56</v>
      </c>
      <c r="E673" s="398"/>
      <c r="F673" s="398"/>
      <c r="G673" s="399"/>
      <c r="H673" s="400" t="s">
        <v>57</v>
      </c>
      <c r="I673" s="402" t="s">
        <v>58</v>
      </c>
      <c r="J673" s="20"/>
      <c r="L673" s="5"/>
      <c r="M673" s="5"/>
      <c r="N673" s="5"/>
      <c r="O673" s="5"/>
      <c r="Q673" s="5"/>
    </row>
    <row r="674" spans="1:17" ht="36.75" customHeight="1">
      <c r="A674" s="392"/>
      <c r="B674" s="394"/>
      <c r="C674" s="396"/>
      <c r="D674" s="22" t="s">
        <v>24</v>
      </c>
      <c r="E674" s="22" t="s">
        <v>25</v>
      </c>
      <c r="F674" s="23" t="s">
        <v>70</v>
      </c>
      <c r="G674" s="22" t="s">
        <v>59</v>
      </c>
      <c r="H674" s="401"/>
      <c r="I674" s="403"/>
      <c r="J674" s="404" t="s">
        <v>87</v>
      </c>
      <c r="L674" s="5"/>
      <c r="M674" s="5"/>
      <c r="N674" s="5"/>
      <c r="O674" s="5"/>
      <c r="Q674" s="5"/>
    </row>
    <row r="675" spans="1:17">
      <c r="A675" s="24"/>
      <c r="B675" s="25" t="s">
        <v>60</v>
      </c>
      <c r="C675" s="26"/>
      <c r="D675" s="26"/>
      <c r="E675" s="26"/>
      <c r="F675" s="26"/>
      <c r="G675" s="26"/>
      <c r="H675" s="26"/>
      <c r="I675" s="27"/>
      <c r="J675" s="405"/>
      <c r="L675" s="5"/>
      <c r="M675" s="5"/>
      <c r="N675" s="5"/>
      <c r="O675" s="5"/>
      <c r="Q675" s="5"/>
    </row>
    <row r="676" spans="1:17" ht="16.5">
      <c r="A676" s="28" t="s">
        <v>80</v>
      </c>
      <c r="B676" s="8" t="s">
        <v>77</v>
      </c>
      <c r="C676" s="29">
        <v>0</v>
      </c>
      <c r="D676" s="30"/>
      <c r="E676" s="30">
        <v>40000</v>
      </c>
      <c r="F676" s="30"/>
      <c r="G676" s="30"/>
      <c r="H676" s="57"/>
      <c r="I676" s="34">
        <v>39200</v>
      </c>
      <c r="J676" s="31">
        <f>+SUM(C676:G676)-(H676+I676)</f>
        <v>800</v>
      </c>
      <c r="L676" s="5"/>
      <c r="M676" s="5"/>
      <c r="N676" s="5"/>
      <c r="O676" s="5"/>
      <c r="Q676" s="5"/>
    </row>
    <row r="677" spans="1:17" ht="16.5">
      <c r="A677" s="28" t="s">
        <v>80</v>
      </c>
      <c r="B677" s="8" t="str">
        <f>+A414</f>
        <v>JUILLET</v>
      </c>
      <c r="C677" s="29">
        <v>19060</v>
      </c>
      <c r="D677" s="30"/>
      <c r="E677" s="30">
        <v>20000</v>
      </c>
      <c r="F677" s="30"/>
      <c r="G677" s="30"/>
      <c r="H677" s="57"/>
      <c r="I677" s="34">
        <v>36000</v>
      </c>
      <c r="J677" s="31">
        <f t="shared" ref="J677:J684" si="251">+SUM(C677:G677)-(H677+I677)</f>
        <v>3060</v>
      </c>
      <c r="L677" s="5"/>
      <c r="M677" s="5"/>
      <c r="N677" s="5"/>
      <c r="O677" s="5"/>
      <c r="Q677" s="5"/>
    </row>
    <row r="678" spans="1:17" ht="16.5">
      <c r="A678" s="28" t="s">
        <v>80</v>
      </c>
      <c r="B678" s="8" t="str">
        <f>+A415</f>
        <v>JUILLET</v>
      </c>
      <c r="C678" s="29">
        <v>8395</v>
      </c>
      <c r="D678" s="30"/>
      <c r="E678" s="30">
        <v>20000</v>
      </c>
      <c r="F678" s="106"/>
      <c r="G678" s="106"/>
      <c r="H678" s="33"/>
      <c r="I678" s="56">
        <v>20000</v>
      </c>
      <c r="J678" s="107">
        <f t="shared" si="251"/>
        <v>8395</v>
      </c>
      <c r="L678" s="5"/>
      <c r="M678" s="5"/>
      <c r="N678" s="5"/>
      <c r="O678" s="5"/>
      <c r="Q678" s="5"/>
    </row>
    <row r="679" spans="1:17" ht="16.5">
      <c r="A679" s="28" t="s">
        <v>80</v>
      </c>
      <c r="B679" s="8" t="str">
        <f>+A416</f>
        <v>JUILLET</v>
      </c>
      <c r="C679" s="29">
        <v>0</v>
      </c>
      <c r="D679" s="58"/>
      <c r="E679" s="30">
        <v>100000</v>
      </c>
      <c r="F679" s="106">
        <v>102200</v>
      </c>
      <c r="G679" s="106"/>
      <c r="H679" s="33"/>
      <c r="I679" s="33">
        <v>204000</v>
      </c>
      <c r="J679" s="107">
        <f>+SUM(C679:G679)-(H679+I679)</f>
        <v>-1800</v>
      </c>
      <c r="L679" s="5"/>
      <c r="M679" s="5"/>
      <c r="N679" s="5"/>
      <c r="O679" s="5"/>
      <c r="Q679" s="5"/>
    </row>
    <row r="680" spans="1:17" ht="16.5">
      <c r="A680" s="28" t="s">
        <v>80</v>
      </c>
      <c r="B680" s="8" t="e">
        <f>+#REF!</f>
        <v>#REF!</v>
      </c>
      <c r="C680" s="29">
        <v>7559</v>
      </c>
      <c r="D680" s="58"/>
      <c r="E680" s="30">
        <v>866200</v>
      </c>
      <c r="F680" s="106"/>
      <c r="G680" s="106"/>
      <c r="H680" s="33">
        <v>252200</v>
      </c>
      <c r="I680" s="34">
        <v>605575</v>
      </c>
      <c r="J680" s="107">
        <f t="shared" si="251"/>
        <v>15984</v>
      </c>
      <c r="L680" s="5"/>
      <c r="M680" s="5"/>
      <c r="N680" s="5"/>
      <c r="O680" s="5"/>
      <c r="Q680" s="5"/>
    </row>
    <row r="681" spans="1:17" ht="16.5">
      <c r="A681" s="28" t="s">
        <v>80</v>
      </c>
      <c r="B681" s="8" t="str">
        <f t="shared" ref="B681:B684" si="252">+A417</f>
        <v>JUILLET</v>
      </c>
      <c r="C681" s="29">
        <v>214000</v>
      </c>
      <c r="D681" s="30"/>
      <c r="E681" s="30">
        <v>724100</v>
      </c>
      <c r="F681" s="106"/>
      <c r="G681" s="106"/>
      <c r="H681" s="33"/>
      <c r="I681" s="34">
        <v>960000</v>
      </c>
      <c r="J681" s="107">
        <f>+SUM(C681:G681)-(H681+I681)</f>
        <v>-21900</v>
      </c>
      <c r="L681" s="5"/>
      <c r="M681" s="5"/>
      <c r="N681" s="5"/>
      <c r="O681" s="5"/>
      <c r="Q681" s="5"/>
    </row>
    <row r="682" spans="1:17" ht="16.5">
      <c r="A682" s="28" t="s">
        <v>80</v>
      </c>
      <c r="B682" s="8" t="str">
        <f t="shared" si="252"/>
        <v>JUILLET</v>
      </c>
      <c r="C682" s="29">
        <v>-13805</v>
      </c>
      <c r="D682" s="30"/>
      <c r="E682" s="30">
        <v>333400</v>
      </c>
      <c r="F682" s="30">
        <v>150000</v>
      </c>
      <c r="G682" s="30"/>
      <c r="H682" s="33">
        <v>129000</v>
      </c>
      <c r="I682" s="34">
        <v>338905</v>
      </c>
      <c r="J682" s="31">
        <f>+SUM(C682:G682)-(H682+I682)</f>
        <v>1690</v>
      </c>
      <c r="L682" s="5"/>
      <c r="M682" s="5"/>
      <c r="N682" s="5"/>
      <c r="O682" s="5"/>
      <c r="Q682" s="5"/>
    </row>
    <row r="683" spans="1:17" ht="16.5">
      <c r="A683" s="28" t="s">
        <v>80</v>
      </c>
      <c r="B683" s="8" t="str">
        <f t="shared" si="252"/>
        <v>JUILLET</v>
      </c>
      <c r="C683" s="29">
        <v>84350</v>
      </c>
      <c r="D683" s="30"/>
      <c r="E683" s="30">
        <v>669400</v>
      </c>
      <c r="F683" s="30"/>
      <c r="G683" s="30"/>
      <c r="H683" s="33">
        <v>100000</v>
      </c>
      <c r="I683" s="34">
        <v>674700</v>
      </c>
      <c r="J683" s="31">
        <f>+SUM(C683:G683)-(H683+I683)</f>
        <v>-20950</v>
      </c>
      <c r="L683" s="5"/>
      <c r="M683" s="5"/>
      <c r="N683" s="5"/>
      <c r="O683" s="5"/>
      <c r="Q683" s="5"/>
    </row>
    <row r="684" spans="1:17" ht="16.5">
      <c r="A684" s="28" t="s">
        <v>80</v>
      </c>
      <c r="B684" s="8" t="str">
        <f t="shared" si="252"/>
        <v>JUILLET</v>
      </c>
      <c r="C684" s="29">
        <v>-216251</v>
      </c>
      <c r="D684" s="30"/>
      <c r="E684" s="30">
        <v>242000</v>
      </c>
      <c r="F684" s="30"/>
      <c r="G684" s="30"/>
      <c r="H684" s="33"/>
      <c r="I684" s="56">
        <v>34830</v>
      </c>
      <c r="J684" s="31">
        <f t="shared" si="251"/>
        <v>-9081</v>
      </c>
      <c r="L684" s="5"/>
      <c r="M684" s="5"/>
      <c r="N684" s="5"/>
      <c r="O684" s="5"/>
      <c r="Q684" s="5"/>
    </row>
    <row r="685" spans="1:17" ht="16.5">
      <c r="A685" s="28" t="s">
        <v>80</v>
      </c>
      <c r="B685" s="8" t="s">
        <v>33</v>
      </c>
      <c r="C685" s="29">
        <v>2025</v>
      </c>
      <c r="D685" s="30"/>
      <c r="E685" s="30">
        <v>25000</v>
      </c>
      <c r="F685" s="30"/>
      <c r="G685" s="30"/>
      <c r="H685" s="33">
        <v>3025</v>
      </c>
      <c r="I685" s="34">
        <v>24000</v>
      </c>
      <c r="J685" s="31">
        <f>+SUM(C685:G685)-(H685+I685)</f>
        <v>0</v>
      </c>
      <c r="L685" s="5"/>
      <c r="M685" s="5"/>
      <c r="N685" s="5"/>
      <c r="O685" s="5"/>
      <c r="Q685" s="5"/>
    </row>
    <row r="686" spans="1:17" ht="16.5">
      <c r="A686" s="28" t="s">
        <v>80</v>
      </c>
      <c r="B686" s="8" t="s">
        <v>32</v>
      </c>
      <c r="C686" s="29">
        <v>10000</v>
      </c>
      <c r="D686" s="32"/>
      <c r="E686" s="30">
        <v>0</v>
      </c>
      <c r="F686" s="32"/>
      <c r="G686" s="32"/>
      <c r="H686" s="33"/>
      <c r="I686" s="34">
        <v>4700</v>
      </c>
      <c r="J686" s="31">
        <f>+SUM(C686:G686)-(H686+I686)</f>
        <v>5300</v>
      </c>
      <c r="L686" s="5"/>
      <c r="M686" s="5"/>
      <c r="N686" s="5"/>
      <c r="O686" s="5"/>
      <c r="Q686" s="5"/>
    </row>
    <row r="687" spans="1:17">
      <c r="A687" s="35" t="s">
        <v>61</v>
      </c>
      <c r="B687" s="36"/>
      <c r="C687" s="36"/>
      <c r="D687" s="36"/>
      <c r="E687" s="36"/>
      <c r="F687" s="36"/>
      <c r="G687" s="36"/>
      <c r="H687" s="36"/>
      <c r="I687" s="36"/>
      <c r="J687" s="37"/>
      <c r="L687" s="5"/>
      <c r="M687" s="5"/>
      <c r="N687" s="5"/>
      <c r="O687" s="5"/>
      <c r="Q687" s="5"/>
    </row>
    <row r="688" spans="1:17">
      <c r="A688" s="28" t="s">
        <v>80</v>
      </c>
      <c r="B688" s="38" t="s">
        <v>62</v>
      </c>
      <c r="C688" s="39">
        <v>791675</v>
      </c>
      <c r="D688" s="40">
        <v>3185100</v>
      </c>
      <c r="E688" s="40"/>
      <c r="F688" s="40"/>
      <c r="G688" s="41">
        <v>237025</v>
      </c>
      <c r="H688" s="49">
        <v>3045100</v>
      </c>
      <c r="I688" s="42">
        <v>876121</v>
      </c>
      <c r="J688" s="43">
        <f>+SUM(C688:G688)-(H688+I688)</f>
        <v>292579</v>
      </c>
      <c r="L688" s="5"/>
      <c r="M688" s="5"/>
      <c r="N688" s="5"/>
      <c r="O688" s="5"/>
      <c r="Q688" s="5"/>
    </row>
    <row r="689" spans="1:17">
      <c r="A689" s="44" t="s">
        <v>63</v>
      </c>
      <c r="B689" s="25"/>
      <c r="C689" s="36"/>
      <c r="D689" s="25"/>
      <c r="E689" s="25"/>
      <c r="F689" s="25"/>
      <c r="G689" s="25"/>
      <c r="H689" s="25"/>
      <c r="I689" s="25"/>
      <c r="J689" s="37"/>
      <c r="L689" s="5"/>
      <c r="M689" s="5"/>
      <c r="N689" s="5"/>
      <c r="O689" s="5"/>
      <c r="Q689" s="5"/>
    </row>
    <row r="690" spans="1:17">
      <c r="A690" s="28" t="s">
        <v>80</v>
      </c>
      <c r="B690" s="38" t="s">
        <v>64</v>
      </c>
      <c r="C690" s="45">
        <v>8039273</v>
      </c>
      <c r="D690" s="54">
        <v>0</v>
      </c>
      <c r="E690" s="51"/>
      <c r="F690" s="51"/>
      <c r="G690" s="51"/>
      <c r="H690" s="53">
        <v>3000000</v>
      </c>
      <c r="I690" s="55">
        <v>224679</v>
      </c>
      <c r="J690" s="46">
        <f>+SUM(C690:G690)-(H690+I690)</f>
        <v>4814594</v>
      </c>
      <c r="L690" s="5"/>
      <c r="M690" s="5"/>
      <c r="N690" s="5"/>
      <c r="O690" s="5"/>
      <c r="Q690" s="5"/>
    </row>
    <row r="691" spans="1:17">
      <c r="A691" s="28" t="s">
        <v>80</v>
      </c>
      <c r="B691" s="38" t="s">
        <v>65</v>
      </c>
      <c r="C691" s="45">
        <v>13283340</v>
      </c>
      <c r="D691" s="51">
        <v>0</v>
      </c>
      <c r="E691" s="50"/>
      <c r="F691" s="50"/>
      <c r="G691" s="50"/>
      <c r="H691" s="33">
        <v>185100</v>
      </c>
      <c r="I691" s="52">
        <v>8352406</v>
      </c>
      <c r="J691" s="46">
        <f>SUM(C691:G691)-(H691+I691)</f>
        <v>4745834</v>
      </c>
      <c r="Q691" s="5"/>
    </row>
    <row r="692" spans="1:17">
      <c r="A692" s="157" t="s">
        <v>80</v>
      </c>
      <c r="B692" s="158" t="s">
        <v>83</v>
      </c>
      <c r="C692" s="45">
        <v>3721074</v>
      </c>
      <c r="D692" s="157"/>
      <c r="E692" s="157"/>
      <c r="F692" s="157"/>
      <c r="G692" s="157"/>
      <c r="H692" s="157"/>
      <c r="I692" s="157"/>
      <c r="J692" s="159">
        <f>SUM(C692:G692)-(H692+I692)</f>
        <v>3721074</v>
      </c>
      <c r="Q692" s="5"/>
    </row>
    <row r="693" spans="1:17">
      <c r="A693" s="157" t="s">
        <v>80</v>
      </c>
      <c r="B693" s="158" t="s">
        <v>84</v>
      </c>
      <c r="C693" s="45">
        <v>249769</v>
      </c>
      <c r="D693" s="51"/>
      <c r="E693" s="51"/>
      <c r="F693" s="51"/>
      <c r="G693" s="51"/>
      <c r="H693" s="33"/>
      <c r="I693" s="52"/>
      <c r="J693" s="159">
        <f>SUM(C693:G693)-(H693+I693)</f>
        <v>249769</v>
      </c>
      <c r="Q693" s="5"/>
    </row>
    <row r="694" spans="1:17">
      <c r="A694" s="157" t="s">
        <v>80</v>
      </c>
      <c r="B694" s="160" t="s">
        <v>85</v>
      </c>
      <c r="C694" s="45">
        <v>233614</v>
      </c>
      <c r="D694" s="51"/>
      <c r="E694" s="51"/>
      <c r="F694" s="51"/>
      <c r="G694" s="51"/>
      <c r="H694" s="33"/>
      <c r="I694" s="52"/>
      <c r="J694" s="159">
        <f>SUM(C694:G694)-(H694+I694)</f>
        <v>233614</v>
      </c>
      <c r="Q694" s="5"/>
    </row>
    <row r="695" spans="1:17">
      <c r="A695" s="157" t="s">
        <v>80</v>
      </c>
      <c r="B695" s="161" t="s">
        <v>86</v>
      </c>
      <c r="C695" s="45">
        <v>330169</v>
      </c>
      <c r="D695" s="157"/>
      <c r="E695" s="157"/>
      <c r="F695" s="157"/>
      <c r="G695" s="157"/>
      <c r="H695" s="157"/>
      <c r="I695" s="157"/>
      <c r="J695" s="159">
        <f>SUM(C695:G695)-(H695+I695)</f>
        <v>330169</v>
      </c>
      <c r="Q695" s="5"/>
    </row>
    <row r="696" spans="1:17" ht="15.75">
      <c r="C696" s="9"/>
      <c r="I696" s="9"/>
      <c r="J696" s="111">
        <f>+SUM(J676:J695)</f>
        <v>14369131</v>
      </c>
      <c r="Q696" s="5"/>
    </row>
    <row r="697" spans="1:17">
      <c r="C697" s="9"/>
      <c r="I697" s="9"/>
      <c r="J697" s="9"/>
      <c r="Q697" s="5"/>
    </row>
    <row r="698" spans="1:17" s="74" customFormat="1">
      <c r="A698" s="72" t="s">
        <v>66</v>
      </c>
      <c r="B698" s="72"/>
      <c r="C698" s="72"/>
      <c r="D698" s="72"/>
      <c r="E698" s="72"/>
      <c r="F698" s="72"/>
      <c r="G698" s="72"/>
      <c r="H698" s="72"/>
      <c r="I698" s="72"/>
      <c r="J698" s="73"/>
      <c r="L698" s="75"/>
      <c r="M698" s="75"/>
      <c r="N698" s="75"/>
      <c r="O698" s="75"/>
    </row>
    <row r="699" spans="1:17" s="74" customFormat="1">
      <c r="A699" s="76"/>
      <c r="B699" s="73"/>
      <c r="C699" s="77"/>
      <c r="D699" s="77"/>
      <c r="E699" s="77"/>
      <c r="F699" s="77"/>
      <c r="G699" s="77"/>
      <c r="H699" s="73"/>
      <c r="I699" s="73"/>
      <c r="J699" s="72"/>
      <c r="L699" s="75"/>
      <c r="M699" s="75"/>
      <c r="N699" s="75"/>
      <c r="O699" s="75"/>
    </row>
    <row r="700" spans="1:17" s="74" customFormat="1">
      <c r="A700" s="391" t="s">
        <v>54</v>
      </c>
      <c r="B700" s="393" t="s">
        <v>55</v>
      </c>
      <c r="C700" s="395" t="s">
        <v>68</v>
      </c>
      <c r="D700" s="418" t="s">
        <v>56</v>
      </c>
      <c r="E700" s="419"/>
      <c r="F700" s="419"/>
      <c r="G700" s="420"/>
      <c r="H700" s="421" t="s">
        <v>57</v>
      </c>
      <c r="I700" s="423" t="s">
        <v>58</v>
      </c>
      <c r="J700" s="73"/>
      <c r="L700" s="75"/>
      <c r="M700" s="75"/>
      <c r="N700" s="75"/>
      <c r="O700" s="75"/>
    </row>
    <row r="701" spans="1:17" s="74" customFormat="1">
      <c r="A701" s="392"/>
      <c r="B701" s="394"/>
      <c r="C701" s="396"/>
      <c r="D701" s="22" t="s">
        <v>24</v>
      </c>
      <c r="E701" s="22" t="s">
        <v>25</v>
      </c>
      <c r="F701" s="71" t="s">
        <v>70</v>
      </c>
      <c r="G701" s="22" t="s">
        <v>59</v>
      </c>
      <c r="H701" s="422"/>
      <c r="I701" s="424"/>
      <c r="J701" s="404" t="s">
        <v>69</v>
      </c>
      <c r="L701" s="75"/>
      <c r="M701" s="75"/>
      <c r="N701" s="75"/>
      <c r="O701" s="75"/>
    </row>
    <row r="702" spans="1:17" s="74" customFormat="1">
      <c r="A702" s="78"/>
      <c r="B702" s="79" t="s">
        <v>60</v>
      </c>
      <c r="C702" s="80"/>
      <c r="D702" s="80"/>
      <c r="E702" s="80"/>
      <c r="F702" s="80"/>
      <c r="G702" s="80"/>
      <c r="H702" s="80"/>
      <c r="I702" s="81"/>
      <c r="J702" s="405"/>
      <c r="L702" s="75"/>
      <c r="M702" s="75"/>
      <c r="N702" s="75"/>
      <c r="O702" s="75"/>
    </row>
    <row r="703" spans="1:17" s="74" customFormat="1" ht="16.5">
      <c r="A703" s="82" t="s">
        <v>67</v>
      </c>
      <c r="B703" s="8" t="s">
        <v>48</v>
      </c>
      <c r="C703" s="83">
        <v>40560</v>
      </c>
      <c r="D703" s="30"/>
      <c r="E703" s="30">
        <v>0</v>
      </c>
      <c r="F703" s="30"/>
      <c r="G703" s="30"/>
      <c r="H703" s="84"/>
      <c r="I703" s="85">
        <f>+SUM([1]COMPTA_CREPIN!$F$3050:$F$3066)</f>
        <v>21500</v>
      </c>
      <c r="J703" s="31">
        <f>+SUM(C703:G703)-(H703+I703)</f>
        <v>19060</v>
      </c>
      <c r="L703" s="75"/>
      <c r="M703" s="75"/>
      <c r="N703" s="75"/>
      <c r="O703" s="75"/>
    </row>
    <row r="704" spans="1:17" s="74" customFormat="1" ht="16.5">
      <c r="A704" s="82" t="s">
        <v>67</v>
      </c>
      <c r="B704" s="8" t="s">
        <v>28</v>
      </c>
      <c r="C704" s="83">
        <v>227975</v>
      </c>
      <c r="D704" s="30"/>
      <c r="E704" s="30">
        <f>+'[2]Compta Dalia (2)'!$E$1908+'[2]Compta Dalia (2)'!$E$1909+'[2]Compta Dalia (2)'!$E$1911+'[2]Compta Dalia (2)'!$E$1917</f>
        <v>119600</v>
      </c>
      <c r="F704" s="30"/>
      <c r="G704" s="30"/>
      <c r="H704" s="84">
        <f>+'[2]Compta Dalia (2)'!$F$1919</f>
        <v>1635</v>
      </c>
      <c r="I704" s="85">
        <v>345940</v>
      </c>
      <c r="J704" s="31">
        <f t="shared" ref="J704:J711" si="253">+SUM(C704:G704)-(H704+I704)</f>
        <v>0</v>
      </c>
      <c r="L704" s="75"/>
      <c r="M704" s="75"/>
      <c r="N704" s="75"/>
      <c r="O704" s="75"/>
    </row>
    <row r="705" spans="1:15" s="74" customFormat="1" ht="16.5">
      <c r="A705" s="82" t="s">
        <v>67</v>
      </c>
      <c r="B705" s="8" t="s">
        <v>31</v>
      </c>
      <c r="C705" s="83">
        <v>-605</v>
      </c>
      <c r="D705" s="30"/>
      <c r="E705" s="30">
        <f>+'[3]compta (3)'!$E$2556+'[3]compta (3)'!$E$2557+'[3]compta (3)'!$E$2558</f>
        <v>30000</v>
      </c>
      <c r="F705" s="30"/>
      <c r="G705" s="30"/>
      <c r="H705" s="86"/>
      <c r="I705" s="87">
        <f>'[3]compta (3)'!$F$2559</f>
        <v>21000</v>
      </c>
      <c r="J705" s="31">
        <f t="shared" si="253"/>
        <v>8395</v>
      </c>
      <c r="L705" s="75"/>
      <c r="M705" s="75"/>
      <c r="N705" s="75"/>
      <c r="O705" s="75"/>
    </row>
    <row r="706" spans="1:15" s="74" customFormat="1" ht="16.5">
      <c r="A706" s="82" t="s">
        <v>67</v>
      </c>
      <c r="B706" s="105" t="s">
        <v>26</v>
      </c>
      <c r="C706" s="83">
        <v>264659</v>
      </c>
      <c r="D706" s="106"/>
      <c r="E706" s="106">
        <f>+'[4]compta (2)'!$E$2521+'[4]compta (2)'!$E$2525+'[4]compta (2)'!$E$2527+'[4]compta (2)'!$E$2529</f>
        <v>325000</v>
      </c>
      <c r="F706" s="106"/>
      <c r="G706" s="106"/>
      <c r="H706" s="33">
        <f>'[4]compta (2)'!$F$2528+60000</f>
        <v>75000</v>
      </c>
      <c r="I706" s="33">
        <f>'[4]compta (2)'!$F$2522+'[4]compta (2)'!$F$2523+'[4]compta (2)'!$F$2524+'[4]compta (2)'!$F$2526+'[4]compta (2)'!$F$2530+'[4]compta (2)'!$F$2532+'[4]compta (2)'!$F$2533+'[4]compta (2)'!$F$2534</f>
        <v>507100</v>
      </c>
      <c r="J706" s="107">
        <f t="shared" si="253"/>
        <v>7559</v>
      </c>
      <c r="L706" s="75"/>
      <c r="M706" s="75"/>
      <c r="N706" s="75"/>
      <c r="O706" s="75"/>
    </row>
    <row r="707" spans="1:15" s="74" customFormat="1" ht="16.5">
      <c r="A707" s="82" t="s">
        <v>67</v>
      </c>
      <c r="B707" s="105" t="s">
        <v>49</v>
      </c>
      <c r="C707" s="83">
        <v>272500</v>
      </c>
      <c r="D707" s="106"/>
      <c r="E707" s="106">
        <f>+'[5]COMPTA_I23C (2)'!$E$4171+'[5]COMPTA_I23C (2)'!$E$4172+'[5]COMPTA_I23C (2)'!$E$4174+'[5]COMPTA_I23C (2)'!$E$4178+'[5]COMPTA_I23C (2)'!$E$4180+'[5]COMPTA_I23C (2)'!$E$4181</f>
        <v>695000</v>
      </c>
      <c r="F707" s="106"/>
      <c r="G707" s="106"/>
      <c r="H707" s="33"/>
      <c r="I707" s="83">
        <v>753500</v>
      </c>
      <c r="J707" s="107">
        <f t="shared" si="253"/>
        <v>214000</v>
      </c>
      <c r="L707" s="75"/>
      <c r="M707" s="75"/>
      <c r="N707" s="75"/>
      <c r="O707" s="75"/>
    </row>
    <row r="708" spans="1:15" s="74" customFormat="1" ht="16.5">
      <c r="A708" s="82" t="s">
        <v>67</v>
      </c>
      <c r="B708" s="8" t="s">
        <v>36</v>
      </c>
      <c r="C708" s="83">
        <v>284595</v>
      </c>
      <c r="D708" s="30"/>
      <c r="E708" s="30">
        <f>+'[6]Feuil1 (2)'!$E$2684+'[6]Feuil1 (2)'!$E$2689+'[6]Feuil1 (2)'!$E$2691</f>
        <v>275000</v>
      </c>
      <c r="F708" s="30">
        <f>'[4]compta (2)'!$F$2531</f>
        <v>60000</v>
      </c>
      <c r="G708" s="30"/>
      <c r="H708" s="86"/>
      <c r="I708" s="85">
        <v>633400</v>
      </c>
      <c r="J708" s="31">
        <f t="shared" si="253"/>
        <v>-13805</v>
      </c>
      <c r="L708" s="75"/>
      <c r="M708" s="75"/>
      <c r="N708" s="75"/>
      <c r="O708" s="75"/>
    </row>
    <row r="709" spans="1:15" s="74" customFormat="1" ht="16.5">
      <c r="A709" s="82" t="s">
        <v>67</v>
      </c>
      <c r="B709" s="8" t="s">
        <v>27</v>
      </c>
      <c r="C709" s="83">
        <v>-1750</v>
      </c>
      <c r="D709" s="30"/>
      <c r="E709" s="30">
        <f>+'[7]Compta Jospin (2)'!$E$1583+'[7]Compta Jospin (2)'!$E$1584+'[7]Compta Jospin (2)'!$E$1587</f>
        <v>96400</v>
      </c>
      <c r="F709" s="30"/>
      <c r="G709" s="30"/>
      <c r="H709" s="86">
        <f>+'[7]Compta Jospin (2)'!$F$1592</f>
        <v>950</v>
      </c>
      <c r="I709" s="85">
        <v>93700</v>
      </c>
      <c r="J709" s="31">
        <f t="shared" si="253"/>
        <v>0</v>
      </c>
      <c r="L709" s="75"/>
      <c r="M709" s="75"/>
      <c r="N709" s="75"/>
      <c r="O709" s="75"/>
    </row>
    <row r="710" spans="1:15" s="74" customFormat="1" ht="16.5">
      <c r="A710" s="82" t="s">
        <v>67</v>
      </c>
      <c r="B710" s="8" t="s">
        <v>29</v>
      </c>
      <c r="C710" s="83">
        <v>265600</v>
      </c>
      <c r="D710" s="30"/>
      <c r="E710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710" s="30"/>
      <c r="G710" s="30"/>
      <c r="H710" s="86"/>
      <c r="I710" s="85">
        <v>1036850</v>
      </c>
      <c r="J710" s="31">
        <f t="shared" si="253"/>
        <v>84350</v>
      </c>
      <c r="L710" s="75"/>
      <c r="M710" s="75"/>
      <c r="N710" s="75"/>
      <c r="O710" s="75"/>
    </row>
    <row r="711" spans="1:15" s="74" customFormat="1" ht="16.5">
      <c r="A711" s="82" t="s">
        <v>67</v>
      </c>
      <c r="B711" s="8" t="s">
        <v>50</v>
      </c>
      <c r="C711" s="83">
        <f t="shared" ref="C711" si="254">+C684</f>
        <v>-216251</v>
      </c>
      <c r="D711" s="30"/>
      <c r="E711" s="30">
        <v>0</v>
      </c>
      <c r="F711" s="30"/>
      <c r="G711" s="30"/>
      <c r="H711" s="86"/>
      <c r="I711" s="87">
        <v>0</v>
      </c>
      <c r="J711" s="31">
        <f t="shared" si="253"/>
        <v>-216251</v>
      </c>
      <c r="L711" s="75"/>
      <c r="M711" s="75"/>
      <c r="N711" s="75"/>
      <c r="O711" s="75"/>
    </row>
    <row r="712" spans="1:15" s="74" customFormat="1" ht="16.5">
      <c r="A712" s="82" t="s">
        <v>67</v>
      </c>
      <c r="B712" s="8" t="s">
        <v>33</v>
      </c>
      <c r="C712" s="83">
        <v>1025</v>
      </c>
      <c r="D712" s="30"/>
      <c r="E712" s="30">
        <f>+'[9]compta shely'!$E$90+'[9]compta shely'!$E$97+'[9]compta shely'!$E$100</f>
        <v>25000</v>
      </c>
      <c r="F712" s="30"/>
      <c r="G712" s="30"/>
      <c r="H712" s="86"/>
      <c r="I712" s="85">
        <v>24000</v>
      </c>
      <c r="J712" s="31">
        <f>+SUM(C712:G712)-(H712+I712)</f>
        <v>2025</v>
      </c>
      <c r="L712" s="75"/>
      <c r="M712" s="75"/>
      <c r="N712" s="75"/>
      <c r="O712" s="75"/>
    </row>
    <row r="713" spans="1:15" s="74" customFormat="1" ht="16.5">
      <c r="A713" s="32" t="s">
        <v>67</v>
      </c>
      <c r="B713" s="8" t="s">
        <v>32</v>
      </c>
      <c r="C713" s="83">
        <v>0</v>
      </c>
      <c r="D713" s="32"/>
      <c r="E713" s="32">
        <f>+'[10]compta ted'!$E$11</f>
        <v>10000</v>
      </c>
      <c r="F713" s="32"/>
      <c r="G713" s="32"/>
      <c r="H713" s="86"/>
      <c r="I713" s="85">
        <v>0</v>
      </c>
      <c r="J713" s="31">
        <f>+SUM(C713:G713)-(H713+I713)</f>
        <v>10000</v>
      </c>
      <c r="L713" s="75"/>
      <c r="M713" s="75"/>
      <c r="N713" s="75"/>
      <c r="O713" s="75"/>
    </row>
    <row r="714" spans="1:15" s="74" customFormat="1">
      <c r="A714" s="88" t="s">
        <v>61</v>
      </c>
      <c r="B714" s="89"/>
      <c r="C714" s="89"/>
      <c r="D714" s="89"/>
      <c r="E714" s="89"/>
      <c r="F714" s="89"/>
      <c r="G714" s="89"/>
      <c r="H714" s="89"/>
      <c r="I714" s="89"/>
      <c r="J714" s="90"/>
      <c r="L714" s="75"/>
      <c r="M714" s="75"/>
      <c r="N714" s="75"/>
      <c r="O714" s="75"/>
    </row>
    <row r="715" spans="1:15" s="74" customFormat="1">
      <c r="A715" s="32" t="s">
        <v>67</v>
      </c>
      <c r="B715" s="38" t="s">
        <v>62</v>
      </c>
      <c r="C715" s="39">
        <v>954796</v>
      </c>
      <c r="D715" s="30">
        <v>3000000</v>
      </c>
      <c r="E715" s="30"/>
      <c r="F715" s="30"/>
      <c r="G715" s="91">
        <v>17585</v>
      </c>
      <c r="H715" s="92">
        <v>2431600</v>
      </c>
      <c r="I715" s="93">
        <v>749106</v>
      </c>
      <c r="J715" s="94">
        <f>+SUM(C715:G715)-(H715+I715)</f>
        <v>791675</v>
      </c>
      <c r="L715" s="75"/>
      <c r="M715" s="75"/>
      <c r="N715" s="75"/>
      <c r="O715" s="75"/>
    </row>
    <row r="716" spans="1:15" s="74" customFormat="1">
      <c r="A716" s="95" t="s">
        <v>63</v>
      </c>
      <c r="B716" s="79"/>
      <c r="C716" s="89"/>
      <c r="D716" s="79"/>
      <c r="E716" s="79"/>
      <c r="F716" s="79"/>
      <c r="G716" s="79"/>
      <c r="H716" s="79"/>
      <c r="I716" s="79"/>
      <c r="J716" s="90"/>
      <c r="L716" s="75"/>
      <c r="M716" s="75"/>
      <c r="N716" s="75"/>
      <c r="O716" s="75"/>
    </row>
    <row r="717" spans="1:15" s="74" customFormat="1">
      <c r="A717" s="32" t="s">
        <v>67</v>
      </c>
      <c r="B717" s="38" t="s">
        <v>64</v>
      </c>
      <c r="C717" s="83">
        <v>705838</v>
      </c>
      <c r="D717" s="96">
        <v>10801800</v>
      </c>
      <c r="E717" s="97"/>
      <c r="F717" s="97"/>
      <c r="G717" s="97"/>
      <c r="H717" s="98">
        <v>3000000</v>
      </c>
      <c r="I717" s="99">
        <v>468365</v>
      </c>
      <c r="J717" s="31">
        <f>+SUM(C717:G717)-(H717+I717)</f>
        <v>8039273</v>
      </c>
      <c r="L717" s="75"/>
      <c r="M717" s="75"/>
      <c r="N717" s="75"/>
      <c r="O717" s="75"/>
    </row>
    <row r="718" spans="1:15" s="74" customFormat="1">
      <c r="A718" s="32" t="s">
        <v>67</v>
      </c>
      <c r="B718" s="38" t="s">
        <v>65</v>
      </c>
      <c r="C718" s="83">
        <v>14874402</v>
      </c>
      <c r="D718" s="97">
        <v>3279785</v>
      </c>
      <c r="E718" s="100"/>
      <c r="F718" s="100"/>
      <c r="G718" s="100"/>
      <c r="H718" s="101"/>
      <c r="I718" s="102">
        <v>4870847</v>
      </c>
      <c r="J718" s="31">
        <f>SUM(C718:G718)-(H718+I718)</f>
        <v>13283340</v>
      </c>
      <c r="L718" s="75"/>
      <c r="M718" s="75"/>
      <c r="N718" s="75"/>
      <c r="O718" s="75"/>
    </row>
    <row r="719" spans="1:15" s="74" customFormat="1">
      <c r="L719" s="75"/>
      <c r="M719" s="75"/>
      <c r="N719" s="75"/>
      <c r="O719" s="75"/>
    </row>
    <row r="720" spans="1:15" s="74" customFormat="1">
      <c r="C720" s="103">
        <f>+SUM(C703:C718)</f>
        <v>17673344</v>
      </c>
      <c r="I720" s="103">
        <f>SUM(I703:I718)</f>
        <v>9525308</v>
      </c>
      <c r="J720" s="103">
        <f>+SUM(J703:J718)</f>
        <v>22229621</v>
      </c>
      <c r="L720" s="75"/>
      <c r="M720" s="75"/>
      <c r="N720" s="75"/>
      <c r="O720" s="75"/>
    </row>
    <row r="721" spans="1:17">
      <c r="C721" s="9"/>
      <c r="I721" s="9"/>
      <c r="J721" s="9"/>
      <c r="Q721" s="5"/>
    </row>
    <row r="722" spans="1:17">
      <c r="A722" s="64" t="s">
        <v>71</v>
      </c>
      <c r="B722" s="64"/>
      <c r="Q722" s="5"/>
    </row>
    <row r="723" spans="1:17">
      <c r="A723" s="65" t="s">
        <v>72</v>
      </c>
      <c r="B723" s="65"/>
      <c r="C723" s="65"/>
      <c r="D723" s="65"/>
      <c r="E723" s="65"/>
      <c r="F723" s="65"/>
      <c r="G723" s="65"/>
      <c r="H723" s="65"/>
      <c r="I723" s="65"/>
      <c r="J723" s="65"/>
      <c r="L723" s="5"/>
      <c r="M723" s="5"/>
      <c r="N723" s="5"/>
      <c r="O723" s="5"/>
      <c r="Q723" s="5"/>
    </row>
    <row r="725" spans="1:17" ht="15" customHeight="1">
      <c r="A725" s="406" t="s">
        <v>54</v>
      </c>
      <c r="B725" s="406" t="s">
        <v>55</v>
      </c>
      <c r="C725" s="417" t="s">
        <v>74</v>
      </c>
      <c r="D725" s="412" t="s">
        <v>56</v>
      </c>
      <c r="E725" s="412"/>
      <c r="F725" s="412"/>
      <c r="G725" s="412"/>
      <c r="H725" s="413" t="s">
        <v>57</v>
      </c>
      <c r="I725" s="415" t="s">
        <v>58</v>
      </c>
      <c r="J725" s="408" t="s">
        <v>75</v>
      </c>
      <c r="K725" s="409"/>
      <c r="L725" s="5"/>
      <c r="M725" s="5"/>
      <c r="N725" s="5"/>
      <c r="O725" s="5"/>
      <c r="Q725" s="5"/>
    </row>
    <row r="726" spans="1:17" ht="28.5" customHeight="1">
      <c r="A726" s="407"/>
      <c r="B726" s="407"/>
      <c r="C726" s="407"/>
      <c r="D726" s="69" t="s">
        <v>24</v>
      </c>
      <c r="E726" s="66" t="s">
        <v>25</v>
      </c>
      <c r="F726" s="66" t="s">
        <v>27</v>
      </c>
      <c r="G726" s="66" t="s">
        <v>59</v>
      </c>
      <c r="H726" s="414"/>
      <c r="I726" s="416"/>
      <c r="J726" s="410"/>
      <c r="K726" s="411"/>
      <c r="L726" s="5"/>
      <c r="M726" s="5"/>
      <c r="N726" s="5"/>
      <c r="O726" s="5"/>
      <c r="Q726" s="5"/>
    </row>
    <row r="727" spans="1:17">
      <c r="A727" s="47"/>
      <c r="B727" s="47" t="s">
        <v>60</v>
      </c>
      <c r="C727" s="49"/>
      <c r="D727" s="49"/>
      <c r="E727" s="49"/>
      <c r="F727" s="49"/>
      <c r="G727" s="49"/>
      <c r="H727" s="49"/>
      <c r="I727" s="49"/>
      <c r="J727" s="49"/>
      <c r="K727" s="47"/>
      <c r="L727" s="5"/>
      <c r="M727" s="5"/>
      <c r="N727" s="5"/>
      <c r="O727" s="5"/>
      <c r="Q727" s="5"/>
    </row>
    <row r="728" spans="1:17">
      <c r="A728" s="47" t="s">
        <v>73</v>
      </c>
      <c r="B728" s="47" t="s">
        <v>48</v>
      </c>
      <c r="C728" s="49">
        <v>89360</v>
      </c>
      <c r="D728" s="49"/>
      <c r="E728" s="49">
        <v>13000</v>
      </c>
      <c r="F728" s="49"/>
      <c r="G728" s="49"/>
      <c r="H728" s="49"/>
      <c r="I728" s="49">
        <v>61800</v>
      </c>
      <c r="J728" s="49">
        <v>40560</v>
      </c>
      <c r="K728" s="47"/>
      <c r="L728" s="5"/>
      <c r="M728" s="5"/>
      <c r="N728" s="5"/>
      <c r="O728" s="5"/>
      <c r="Q728" s="5"/>
    </row>
    <row r="729" spans="1:17">
      <c r="A729" s="47" t="s">
        <v>73</v>
      </c>
      <c r="B729" s="47" t="s">
        <v>28</v>
      </c>
      <c r="C729" s="49">
        <v>-1025</v>
      </c>
      <c r="D729" s="49"/>
      <c r="E729" s="49">
        <v>684500</v>
      </c>
      <c r="F729" s="49"/>
      <c r="G729" s="49"/>
      <c r="H729" s="49"/>
      <c r="I729" s="49">
        <v>455500</v>
      </c>
      <c r="J729" s="49">
        <v>227975</v>
      </c>
      <c r="K729" s="47"/>
      <c r="L729" s="5"/>
      <c r="M729" s="5"/>
      <c r="N729" s="5"/>
      <c r="O729" s="5"/>
      <c r="Q729" s="5"/>
    </row>
    <row r="730" spans="1:17">
      <c r="A730" s="47" t="s">
        <v>73</v>
      </c>
      <c r="B730" s="47" t="s">
        <v>31</v>
      </c>
      <c r="C730" s="49">
        <v>14395</v>
      </c>
      <c r="D730" s="49"/>
      <c r="E730" s="49">
        <v>40000</v>
      </c>
      <c r="F730" s="49"/>
      <c r="G730" s="49"/>
      <c r="H730" s="49"/>
      <c r="I730" s="49">
        <v>55000</v>
      </c>
      <c r="J730" s="49">
        <v>-605</v>
      </c>
      <c r="K730" s="47"/>
      <c r="L730" s="5"/>
      <c r="M730" s="5"/>
      <c r="N730" s="5"/>
      <c r="O730" s="5"/>
      <c r="Q730" s="5"/>
    </row>
    <row r="731" spans="1:17">
      <c r="A731" s="47" t="s">
        <v>73</v>
      </c>
      <c r="B731" s="47" t="s">
        <v>26</v>
      </c>
      <c r="C731" s="49">
        <v>8559</v>
      </c>
      <c r="D731" s="49"/>
      <c r="E731" s="49">
        <v>428750</v>
      </c>
      <c r="F731" s="49">
        <v>280200</v>
      </c>
      <c r="G731" s="49"/>
      <c r="H731" s="49"/>
      <c r="I731" s="49">
        <v>452850</v>
      </c>
      <c r="J731" s="49">
        <v>264659</v>
      </c>
      <c r="K731" s="47"/>
      <c r="L731" s="5"/>
      <c r="M731" s="5"/>
      <c r="N731" s="5"/>
      <c r="O731" s="5"/>
      <c r="Q731" s="5"/>
    </row>
    <row r="732" spans="1:17">
      <c r="A732" s="47" t="s">
        <v>73</v>
      </c>
      <c r="B732" s="47" t="s">
        <v>49</v>
      </c>
      <c r="C732" s="49">
        <v>-5750</v>
      </c>
      <c r="D732" s="49"/>
      <c r="E732" s="49">
        <v>1161750</v>
      </c>
      <c r="F732" s="49"/>
      <c r="G732" s="49"/>
      <c r="H732" s="49">
        <v>124000</v>
      </c>
      <c r="I732" s="49">
        <v>759500</v>
      </c>
      <c r="J732" s="49">
        <v>272500</v>
      </c>
      <c r="K732" s="47"/>
      <c r="L732" s="5"/>
      <c r="M732" s="5"/>
      <c r="N732" s="5"/>
      <c r="O732" s="5"/>
      <c r="Q732" s="5"/>
    </row>
    <row r="733" spans="1:17">
      <c r="A733" s="47" t="s">
        <v>73</v>
      </c>
      <c r="B733" s="47" t="s">
        <v>36</v>
      </c>
      <c r="C733" s="49">
        <v>12995</v>
      </c>
      <c r="D733" s="49"/>
      <c r="E733" s="49">
        <v>726000</v>
      </c>
      <c r="F733" s="49"/>
      <c r="G733" s="49"/>
      <c r="H733" s="49"/>
      <c r="I733" s="49">
        <v>454400</v>
      </c>
      <c r="J733" s="49">
        <v>284595</v>
      </c>
      <c r="K733" s="47"/>
      <c r="L733" s="5"/>
      <c r="M733" s="5"/>
      <c r="N733" s="5"/>
      <c r="O733" s="5"/>
      <c r="Q733" s="5"/>
    </row>
    <row r="734" spans="1:17">
      <c r="A734" s="47" t="s">
        <v>73</v>
      </c>
      <c r="B734" s="47" t="s">
        <v>27</v>
      </c>
      <c r="C734" s="49">
        <v>6050</v>
      </c>
      <c r="D734" s="49"/>
      <c r="E734" s="49">
        <v>736300</v>
      </c>
      <c r="F734" s="49"/>
      <c r="G734" s="49"/>
      <c r="H734" s="49">
        <v>405200</v>
      </c>
      <c r="I734" s="49">
        <v>338900</v>
      </c>
      <c r="J734" s="49">
        <v>-1750</v>
      </c>
      <c r="K734" s="47"/>
      <c r="L734" s="5"/>
      <c r="M734" s="5"/>
      <c r="N734" s="5"/>
      <c r="O734" s="5"/>
      <c r="Q734" s="5"/>
    </row>
    <row r="735" spans="1:17">
      <c r="A735" s="47" t="s">
        <v>73</v>
      </c>
      <c r="B735" s="47" t="s">
        <v>29</v>
      </c>
      <c r="C735" s="49">
        <v>142400</v>
      </c>
      <c r="D735" s="49"/>
      <c r="E735" s="49">
        <v>1014000</v>
      </c>
      <c r="F735" s="49"/>
      <c r="G735" s="49"/>
      <c r="H735" s="49">
        <v>100000</v>
      </c>
      <c r="I735" s="49">
        <v>790800</v>
      </c>
      <c r="J735" s="49">
        <v>265600</v>
      </c>
      <c r="K735" s="47"/>
      <c r="L735" s="5"/>
      <c r="M735" s="5"/>
      <c r="N735" s="5"/>
      <c r="O735" s="5"/>
      <c r="Q735" s="5"/>
    </row>
    <row r="736" spans="1:17">
      <c r="A736" s="47" t="s">
        <v>73</v>
      </c>
      <c r="B736" s="47" t="s">
        <v>50</v>
      </c>
      <c r="C736" s="49">
        <v>-221251.00072999997</v>
      </c>
      <c r="D736" s="49"/>
      <c r="E736" s="49">
        <v>485000</v>
      </c>
      <c r="F736" s="49"/>
      <c r="G736" s="49"/>
      <c r="H736" s="49">
        <v>5000</v>
      </c>
      <c r="I736" s="49">
        <v>475000</v>
      </c>
      <c r="J736" s="49">
        <v>-216251.00072999997</v>
      </c>
      <c r="K736" s="47"/>
      <c r="L736" s="5"/>
      <c r="M736" s="5"/>
      <c r="N736" s="5"/>
      <c r="O736" s="5"/>
      <c r="Q736" s="5"/>
    </row>
    <row r="737" spans="1:17">
      <c r="A737" s="47" t="s">
        <v>73</v>
      </c>
      <c r="B737" s="47" t="s">
        <v>33</v>
      </c>
      <c r="C737" s="49">
        <v>14225</v>
      </c>
      <c r="D737" s="49"/>
      <c r="E737" s="49">
        <v>30000</v>
      </c>
      <c r="F737" s="49"/>
      <c r="G737" s="49"/>
      <c r="H737" s="49"/>
      <c r="I737" s="49">
        <v>43200</v>
      </c>
      <c r="J737" s="49">
        <v>1025</v>
      </c>
      <c r="K737" s="47"/>
      <c r="L737" s="5"/>
      <c r="M737" s="5"/>
      <c r="N737" s="5"/>
      <c r="O737" s="5"/>
      <c r="Q737" s="5"/>
    </row>
    <row r="738" spans="1:17">
      <c r="A738" s="67" t="s">
        <v>61</v>
      </c>
      <c r="B738" s="67"/>
      <c r="C738" s="68"/>
      <c r="D738" s="68"/>
      <c r="E738" s="68"/>
      <c r="F738" s="68"/>
      <c r="G738" s="68"/>
      <c r="H738" s="68"/>
      <c r="I738" s="68"/>
      <c r="J738" s="68"/>
      <c r="K738" s="67"/>
      <c r="L738" s="5"/>
      <c r="M738" s="5"/>
      <c r="N738" s="5"/>
      <c r="O738" s="5"/>
      <c r="Q738" s="5"/>
    </row>
    <row r="739" spans="1:17">
      <c r="A739" s="47" t="s">
        <v>73</v>
      </c>
      <c r="B739" s="47" t="s">
        <v>62</v>
      </c>
      <c r="C739" s="49">
        <v>494738</v>
      </c>
      <c r="D739" s="49">
        <v>6000000</v>
      </c>
      <c r="E739" s="49"/>
      <c r="F739" s="49"/>
      <c r="G739" s="49">
        <v>105000</v>
      </c>
      <c r="H739" s="49">
        <v>5070300</v>
      </c>
      <c r="I739" s="49">
        <v>574642</v>
      </c>
      <c r="J739" s="49">
        <v>954796</v>
      </c>
      <c r="K739" s="47"/>
      <c r="L739" s="5"/>
      <c r="M739" s="5"/>
      <c r="N739" s="5"/>
      <c r="O739" s="5"/>
      <c r="Q739" s="5"/>
    </row>
    <row r="740" spans="1:17">
      <c r="A740" s="67" t="s">
        <v>63</v>
      </c>
      <c r="B740" s="67"/>
      <c r="C740" s="68"/>
      <c r="D740" s="68"/>
      <c r="E740" s="68"/>
      <c r="F740" s="68"/>
      <c r="G740" s="68"/>
      <c r="H740" s="68"/>
      <c r="I740" s="68"/>
      <c r="J740" s="68"/>
      <c r="K740" s="67"/>
      <c r="L740" s="5"/>
      <c r="M740" s="5"/>
      <c r="N740" s="5"/>
      <c r="O740" s="5"/>
      <c r="Q740" s="5"/>
    </row>
    <row r="741" spans="1:17">
      <c r="A741" s="47" t="s">
        <v>73</v>
      </c>
      <c r="B741" s="47" t="s">
        <v>64</v>
      </c>
      <c r="C741" s="49">
        <v>11363703</v>
      </c>
      <c r="D741" s="49"/>
      <c r="E741" s="49"/>
      <c r="F741" s="49"/>
      <c r="G741" s="49"/>
      <c r="H741" s="49">
        <v>10000000</v>
      </c>
      <c r="I741" s="49">
        <v>657865</v>
      </c>
      <c r="J741" s="49">
        <v>705838</v>
      </c>
      <c r="K741" s="47"/>
      <c r="L741" s="5"/>
      <c r="M741" s="5"/>
      <c r="N741" s="5"/>
      <c r="O741" s="5"/>
      <c r="Q741" s="5"/>
    </row>
    <row r="742" spans="1:17">
      <c r="A742" s="47" t="s">
        <v>73</v>
      </c>
      <c r="B742" s="47" t="s">
        <v>65</v>
      </c>
      <c r="C742" s="49">
        <v>4902843</v>
      </c>
      <c r="D742" s="49">
        <v>17119140</v>
      </c>
      <c r="E742" s="49"/>
      <c r="F742" s="49"/>
      <c r="G742" s="49"/>
      <c r="H742" s="49"/>
      <c r="I742" s="49">
        <v>7147581</v>
      </c>
      <c r="J742" s="49">
        <v>14874402</v>
      </c>
      <c r="K742" s="47"/>
      <c r="L742" s="5"/>
      <c r="M742" s="5"/>
      <c r="N742" s="5"/>
      <c r="O742" s="5"/>
      <c r="Q742" s="5"/>
    </row>
    <row r="743" spans="1:17">
      <c r="A743" s="47"/>
      <c r="B743" s="47"/>
      <c r="C743" s="49"/>
      <c r="D743" s="49"/>
      <c r="E743" s="49"/>
      <c r="F743" s="49"/>
      <c r="G743" s="49"/>
      <c r="H743" s="49"/>
      <c r="I743" s="49"/>
      <c r="J743" s="49"/>
      <c r="K743" s="47"/>
      <c r="L743" s="5"/>
      <c r="M743" s="5"/>
      <c r="N743" s="5"/>
      <c r="O743" s="5"/>
      <c r="Q743" s="5"/>
    </row>
    <row r="744" spans="1:17">
      <c r="A744" s="47"/>
      <c r="B744" s="47"/>
      <c r="C744" s="49"/>
      <c r="D744" s="49"/>
      <c r="E744" s="49"/>
      <c r="F744" s="49"/>
      <c r="G744" s="49"/>
      <c r="H744" s="49"/>
      <c r="I744" s="49">
        <v>12267038</v>
      </c>
      <c r="J744" s="49">
        <v>17673343.99927</v>
      </c>
      <c r="K744" s="47" t="b">
        <v>1</v>
      </c>
      <c r="L744" s="5"/>
      <c r="M744" s="5"/>
      <c r="N744" s="5"/>
      <c r="O744" s="5"/>
      <c r="Q744" s="5"/>
    </row>
    <row r="745" spans="1:17">
      <c r="J745" s="70" t="b">
        <f>J744=[11]TABLEAU!$I$16</f>
        <v>1</v>
      </c>
      <c r="L745" s="5"/>
      <c r="M745" s="5"/>
      <c r="N745" s="5"/>
      <c r="O745" s="5"/>
      <c r="Q745" s="5"/>
    </row>
  </sheetData>
  <mergeCells count="133">
    <mergeCell ref="I484:I485"/>
    <mergeCell ref="J485:J486"/>
    <mergeCell ref="A484:A485"/>
    <mergeCell ref="B484:B485"/>
    <mergeCell ref="C484:C485"/>
    <mergeCell ref="D484:G484"/>
    <mergeCell ref="H484:H485"/>
    <mergeCell ref="A337:A338"/>
    <mergeCell ref="B337:B338"/>
    <mergeCell ref="C337:C338"/>
    <mergeCell ref="D337:G337"/>
    <mergeCell ref="H337:H338"/>
    <mergeCell ref="I337:I338"/>
    <mergeCell ref="J338:J339"/>
    <mergeCell ref="I409:I410"/>
    <mergeCell ref="J410:J411"/>
    <mergeCell ref="A409:A410"/>
    <mergeCell ref="A458:A459"/>
    <mergeCell ref="I433:I434"/>
    <mergeCell ref="I458:I459"/>
    <mergeCell ref="J434:J435"/>
    <mergeCell ref="J459:J460"/>
    <mergeCell ref="D385:G385"/>
    <mergeCell ref="H385:H386"/>
    <mergeCell ref="I620:I621"/>
    <mergeCell ref="J621:J622"/>
    <mergeCell ref="A620:A621"/>
    <mergeCell ref="B620:B621"/>
    <mergeCell ref="C620:C621"/>
    <mergeCell ref="D620:G620"/>
    <mergeCell ref="H620:H621"/>
    <mergeCell ref="I565:I566"/>
    <mergeCell ref="J566:J567"/>
    <mergeCell ref="A565:A566"/>
    <mergeCell ref="B565:B566"/>
    <mergeCell ref="C565:C566"/>
    <mergeCell ref="D565:G565"/>
    <mergeCell ref="H565:H566"/>
    <mergeCell ref="I593:I594"/>
    <mergeCell ref="J594:J595"/>
    <mergeCell ref="A593:A594"/>
    <mergeCell ref="I510:I511"/>
    <mergeCell ref="J511:J512"/>
    <mergeCell ref="A510:A511"/>
    <mergeCell ref="B510:B511"/>
    <mergeCell ref="C510:C511"/>
    <mergeCell ref="D510:G510"/>
    <mergeCell ref="J647:J648"/>
    <mergeCell ref="A646:A647"/>
    <mergeCell ref="B646:B647"/>
    <mergeCell ref="C646:C647"/>
    <mergeCell ref="D646:G646"/>
    <mergeCell ref="H646:H647"/>
    <mergeCell ref="I537:I538"/>
    <mergeCell ref="J538:J539"/>
    <mergeCell ref="A537:A538"/>
    <mergeCell ref="B537:B538"/>
    <mergeCell ref="C537:C538"/>
    <mergeCell ref="D537:G537"/>
    <mergeCell ref="H537:H538"/>
    <mergeCell ref="B593:B594"/>
    <mergeCell ref="C593:C594"/>
    <mergeCell ref="D593:G593"/>
    <mergeCell ref="H593:H594"/>
    <mergeCell ref="I646:I647"/>
    <mergeCell ref="A725:A726"/>
    <mergeCell ref="J674:J675"/>
    <mergeCell ref="A673:A674"/>
    <mergeCell ref="B673:B674"/>
    <mergeCell ref="C673:C674"/>
    <mergeCell ref="D673:G673"/>
    <mergeCell ref="H673:H674"/>
    <mergeCell ref="I673:I674"/>
    <mergeCell ref="B725:B726"/>
    <mergeCell ref="J725:K726"/>
    <mergeCell ref="D725:G725"/>
    <mergeCell ref="H725:H726"/>
    <mergeCell ref="I725:I726"/>
    <mergeCell ref="C725:C726"/>
    <mergeCell ref="B700:B701"/>
    <mergeCell ref="C700:C701"/>
    <mergeCell ref="A700:A701"/>
    <mergeCell ref="D700:G700"/>
    <mergeCell ref="H700:H701"/>
    <mergeCell ref="J701:J702"/>
    <mergeCell ref="I700:I701"/>
    <mergeCell ref="B409:B410"/>
    <mergeCell ref="C409:C410"/>
    <mergeCell ref="D409:G409"/>
    <mergeCell ref="H409:H410"/>
    <mergeCell ref="H510:H511"/>
    <mergeCell ref="B458:B459"/>
    <mergeCell ref="C458:C459"/>
    <mergeCell ref="D458:G458"/>
    <mergeCell ref="H458:H459"/>
    <mergeCell ref="A312:A313"/>
    <mergeCell ref="B312:B313"/>
    <mergeCell ref="C312:C313"/>
    <mergeCell ref="D312:G312"/>
    <mergeCell ref="H312:H313"/>
    <mergeCell ref="I312:I313"/>
    <mergeCell ref="J313:J314"/>
    <mergeCell ref="A433:A434"/>
    <mergeCell ref="B433:B434"/>
    <mergeCell ref="C433:C434"/>
    <mergeCell ref="D433:G433"/>
    <mergeCell ref="H433:H434"/>
    <mergeCell ref="I362:I363"/>
    <mergeCell ref="J363:J364"/>
    <mergeCell ref="A362:A363"/>
    <mergeCell ref="B362:B363"/>
    <mergeCell ref="C362:C363"/>
    <mergeCell ref="D362:G362"/>
    <mergeCell ref="H362:H363"/>
    <mergeCell ref="I385:I386"/>
    <mergeCell ref="J386:J387"/>
    <mergeCell ref="A385:A386"/>
    <mergeCell ref="B385:B386"/>
    <mergeCell ref="C385:C386"/>
    <mergeCell ref="A264:A265"/>
    <mergeCell ref="B264:B265"/>
    <mergeCell ref="C264:C265"/>
    <mergeCell ref="D264:G264"/>
    <mergeCell ref="H264:H265"/>
    <mergeCell ref="I264:I265"/>
    <mergeCell ref="J265:J266"/>
    <mergeCell ref="A217:A218"/>
    <mergeCell ref="B217:B218"/>
    <mergeCell ref="C217:C218"/>
    <mergeCell ref="D217:G217"/>
    <mergeCell ref="H217:H218"/>
    <mergeCell ref="I217:I218"/>
    <mergeCell ref="J218:J2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22"/>
  <sheetViews>
    <sheetView zoomScale="73" zoomScaleNormal="73" workbookViewId="0">
      <pane xSplit="1" topLeftCell="AG1" activePane="topRight" state="frozen"/>
      <selection pane="topRight" activeCell="AR14" sqref="AR14"/>
    </sheetView>
  </sheetViews>
  <sheetFormatPr baseColWidth="10" defaultRowHeight="15"/>
  <cols>
    <col min="1" max="1" width="22.28515625" customWidth="1"/>
    <col min="2" max="2" width="25.42578125" bestFit="1" customWidth="1"/>
    <col min="3" max="3" width="19.7109375" customWidth="1"/>
    <col min="4" max="4" width="16.5703125" customWidth="1"/>
    <col min="5" max="5" width="19.7109375" customWidth="1"/>
    <col min="6" max="6" width="16.5703125" customWidth="1"/>
    <col min="7" max="7" width="19.7109375" customWidth="1"/>
    <col min="8" max="8" width="16.5703125" customWidth="1"/>
    <col min="9" max="9" width="19.7109375" customWidth="1"/>
    <col min="10" max="10" width="16.5703125" customWidth="1"/>
    <col min="11" max="11" width="19.7109375" customWidth="1"/>
    <col min="12" max="12" width="16.5703125" customWidth="1"/>
    <col min="13" max="13" width="19.7109375" customWidth="1"/>
    <col min="14" max="14" width="16.5703125" customWidth="1"/>
    <col min="15" max="15" width="19.7109375" customWidth="1"/>
    <col min="16" max="16" width="16.5703125" customWidth="1"/>
    <col min="17" max="17" width="19.7109375" customWidth="1"/>
    <col min="18" max="18" width="16.5703125" customWidth="1"/>
    <col min="19" max="19" width="19.7109375" customWidth="1"/>
    <col min="20" max="20" width="16.5703125" customWidth="1"/>
    <col min="21" max="21" width="19.7109375" customWidth="1"/>
    <col min="22" max="22" width="16.5703125" customWidth="1"/>
    <col min="23" max="23" width="19.7109375" customWidth="1"/>
    <col min="24" max="24" width="16.5703125" customWidth="1"/>
    <col min="25" max="25" width="19.7109375" customWidth="1"/>
    <col min="26" max="26" width="16.5703125" customWidth="1"/>
    <col min="27" max="27" width="19.7109375" customWidth="1"/>
    <col min="28" max="28" width="16.5703125" customWidth="1"/>
    <col min="29" max="29" width="19.7109375" customWidth="1"/>
    <col min="30" max="30" width="18" customWidth="1"/>
    <col min="31" max="31" width="19.7109375" customWidth="1"/>
    <col min="32" max="32" width="16.5703125" customWidth="1"/>
    <col min="33" max="33" width="19.7109375" customWidth="1"/>
    <col min="34" max="34" width="16.5703125" customWidth="1"/>
    <col min="35" max="35" width="19.7109375" customWidth="1"/>
    <col min="36" max="36" width="16.5703125" customWidth="1"/>
    <col min="37" max="37" width="19.7109375" customWidth="1"/>
    <col min="38" max="38" width="21.42578125" customWidth="1"/>
    <col min="39" max="39" width="24.85546875" customWidth="1"/>
    <col min="40" max="40" width="21" customWidth="1"/>
    <col min="41" max="41" width="17" customWidth="1"/>
    <col min="42" max="42" width="15.140625" bestFit="1" customWidth="1"/>
    <col min="43" max="43" width="15.85546875" customWidth="1"/>
    <col min="44" max="44" width="13" customWidth="1"/>
    <col min="45" max="45" width="14.42578125" customWidth="1"/>
  </cols>
  <sheetData>
    <row r="3" spans="1:45">
      <c r="B3" s="1" t="s">
        <v>131</v>
      </c>
    </row>
    <row r="4" spans="1:45">
      <c r="B4" t="s">
        <v>195</v>
      </c>
      <c r="D4" t="s">
        <v>203</v>
      </c>
      <c r="F4" t="s">
        <v>194</v>
      </c>
      <c r="H4" t="s">
        <v>332</v>
      </c>
      <c r="J4" t="s">
        <v>140</v>
      </c>
      <c r="L4" t="s">
        <v>216</v>
      </c>
      <c r="N4" t="s">
        <v>280</v>
      </c>
      <c r="P4" t="s">
        <v>35</v>
      </c>
      <c r="R4" t="s">
        <v>181</v>
      </c>
      <c r="T4" t="s">
        <v>186</v>
      </c>
      <c r="V4" t="s">
        <v>3</v>
      </c>
      <c r="X4" t="s">
        <v>182</v>
      </c>
      <c r="Z4" t="s">
        <v>273</v>
      </c>
      <c r="AB4" t="s">
        <v>34</v>
      </c>
      <c r="AD4" t="s">
        <v>157</v>
      </c>
      <c r="AF4" t="s">
        <v>469</v>
      </c>
      <c r="AH4" t="s">
        <v>76</v>
      </c>
      <c r="AJ4" t="s">
        <v>313</v>
      </c>
      <c r="AL4" t="s">
        <v>139</v>
      </c>
      <c r="AM4" t="s">
        <v>137</v>
      </c>
    </row>
    <row r="5" spans="1:45">
      <c r="A5" s="1" t="s">
        <v>129</v>
      </c>
      <c r="B5" t="s">
        <v>136</v>
      </c>
      <c r="C5" t="s">
        <v>138</v>
      </c>
      <c r="D5" t="s">
        <v>136</v>
      </c>
      <c r="E5" t="s">
        <v>138</v>
      </c>
      <c r="F5" t="s">
        <v>136</v>
      </c>
      <c r="G5" t="s">
        <v>138</v>
      </c>
      <c r="H5" t="s">
        <v>136</v>
      </c>
      <c r="I5" t="s">
        <v>138</v>
      </c>
      <c r="J5" t="s">
        <v>136</v>
      </c>
      <c r="K5" t="s">
        <v>138</v>
      </c>
      <c r="L5" t="s">
        <v>136</v>
      </c>
      <c r="M5" t="s">
        <v>138</v>
      </c>
      <c r="N5" t="s">
        <v>136</v>
      </c>
      <c r="O5" t="s">
        <v>138</v>
      </c>
      <c r="P5" t="s">
        <v>136</v>
      </c>
      <c r="Q5" t="s">
        <v>138</v>
      </c>
      <c r="R5" t="s">
        <v>136</v>
      </c>
      <c r="S5" t="s">
        <v>138</v>
      </c>
      <c r="T5" t="s">
        <v>136</v>
      </c>
      <c r="U5" t="s">
        <v>138</v>
      </c>
      <c r="V5" t="s">
        <v>136</v>
      </c>
      <c r="W5" t="s">
        <v>138</v>
      </c>
      <c r="X5" t="s">
        <v>136</v>
      </c>
      <c r="Y5" t="s">
        <v>138</v>
      </c>
      <c r="Z5" t="s">
        <v>136</v>
      </c>
      <c r="AA5" t="s">
        <v>138</v>
      </c>
      <c r="AB5" t="s">
        <v>136</v>
      </c>
      <c r="AC5" t="s">
        <v>138</v>
      </c>
      <c r="AD5" t="s">
        <v>136</v>
      </c>
      <c r="AE5" t="s">
        <v>138</v>
      </c>
      <c r="AF5" t="s">
        <v>136</v>
      </c>
      <c r="AG5" t="s">
        <v>138</v>
      </c>
      <c r="AH5" t="s">
        <v>136</v>
      </c>
      <c r="AI5" t="s">
        <v>138</v>
      </c>
      <c r="AJ5" t="s">
        <v>136</v>
      </c>
      <c r="AK5" t="s">
        <v>138</v>
      </c>
      <c r="AO5" s="47" t="s">
        <v>196</v>
      </c>
      <c r="AP5" s="47" t="s">
        <v>43</v>
      </c>
      <c r="AQ5" s="47" t="s">
        <v>44</v>
      </c>
      <c r="AR5" s="47" t="s">
        <v>45</v>
      </c>
      <c r="AS5" s="47" t="s">
        <v>46</v>
      </c>
    </row>
    <row r="6" spans="1:45">
      <c r="A6" s="2" t="s">
        <v>24</v>
      </c>
      <c r="B6" s="169">
        <v>23345</v>
      </c>
      <c r="C6" s="169"/>
      <c r="D6" s="169"/>
      <c r="E6" s="169"/>
      <c r="F6" s="169"/>
      <c r="G6" s="169"/>
      <c r="H6" s="169"/>
      <c r="I6" s="169">
        <v>11963948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>
        <v>520000</v>
      </c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>
        <v>7000000</v>
      </c>
      <c r="AI6" s="169"/>
      <c r="AJ6" s="169"/>
      <c r="AK6" s="169"/>
      <c r="AL6" s="169">
        <v>7543345</v>
      </c>
      <c r="AM6" s="169">
        <v>11963948</v>
      </c>
      <c r="AO6" s="47" t="str">
        <f t="shared" ref="AO6:AO19" si="0">A6</f>
        <v>BCI</v>
      </c>
      <c r="AP6" s="49">
        <f>AI6</f>
        <v>0</v>
      </c>
      <c r="AQ6" s="49">
        <f>AH6</f>
        <v>7000000</v>
      </c>
      <c r="AR6" s="49">
        <f>AL6-AQ6</f>
        <v>543345</v>
      </c>
      <c r="AS6" s="49">
        <f>GETPIVOTDATA("Somme de Received",$A$3,"Type de dépenses","Grant","Name","BCI")</f>
        <v>11963948</v>
      </c>
    </row>
    <row r="7" spans="1:45">
      <c r="A7" s="2" t="s">
        <v>158</v>
      </c>
      <c r="B7" s="169">
        <v>15218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>
        <v>650000</v>
      </c>
      <c r="O7" s="169"/>
      <c r="P7" s="169"/>
      <c r="Q7" s="169"/>
      <c r="R7" s="169">
        <v>2554205</v>
      </c>
      <c r="S7" s="169"/>
      <c r="T7" s="169">
        <v>1000000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>
        <v>4219423</v>
      </c>
      <c r="AM7" s="169"/>
      <c r="AO7" s="47" t="str">
        <f t="shared" si="0"/>
        <v>BCI-Sous Compte</v>
      </c>
      <c r="AP7" s="49">
        <f>AI7</f>
        <v>0</v>
      </c>
      <c r="AQ7" s="49">
        <f t="shared" ref="AQ7:AQ19" si="1">AH7</f>
        <v>0</v>
      </c>
      <c r="AR7" s="49">
        <f t="shared" ref="AR7:AR19" si="2">AL7-AQ7</f>
        <v>4219423</v>
      </c>
      <c r="AS7" s="49">
        <f>GETPIVOTDATA("Somme de Received",$A$3,"Type de dépenses","Grant","Name","BCI-Sous Compte")</f>
        <v>0</v>
      </c>
    </row>
    <row r="8" spans="1:45">
      <c r="A8" s="2" t="s">
        <v>25</v>
      </c>
      <c r="B8" s="169"/>
      <c r="C8" s="169"/>
      <c r="D8" s="169">
        <v>716000</v>
      </c>
      <c r="E8" s="169"/>
      <c r="F8" s="169"/>
      <c r="G8" s="169"/>
      <c r="H8" s="169"/>
      <c r="I8" s="169"/>
      <c r="J8" s="169">
        <v>89175</v>
      </c>
      <c r="K8" s="169"/>
      <c r="L8" s="169"/>
      <c r="M8" s="169"/>
      <c r="N8" s="169">
        <v>302000</v>
      </c>
      <c r="O8" s="169"/>
      <c r="P8" s="169">
        <v>122500</v>
      </c>
      <c r="Q8" s="169"/>
      <c r="R8" s="169">
        <v>96800</v>
      </c>
      <c r="S8" s="169"/>
      <c r="T8" s="169">
        <v>83582</v>
      </c>
      <c r="U8" s="169"/>
      <c r="V8" s="169">
        <v>95625</v>
      </c>
      <c r="W8" s="169"/>
      <c r="X8" s="169">
        <v>432000</v>
      </c>
      <c r="Y8" s="169"/>
      <c r="Z8" s="169">
        <v>44610</v>
      </c>
      <c r="AA8" s="169"/>
      <c r="AB8" s="169"/>
      <c r="AC8" s="169"/>
      <c r="AD8" s="169">
        <v>15750</v>
      </c>
      <c r="AE8" s="169"/>
      <c r="AF8" s="169"/>
      <c r="AG8" s="169"/>
      <c r="AH8" s="169">
        <v>4914000</v>
      </c>
      <c r="AI8" s="169">
        <v>7684335</v>
      </c>
      <c r="AJ8" s="169">
        <v>35000</v>
      </c>
      <c r="AK8" s="169"/>
      <c r="AL8" s="169">
        <v>6947042</v>
      </c>
      <c r="AM8" s="169">
        <v>7684335</v>
      </c>
      <c r="AO8" s="47" t="str">
        <f t="shared" si="0"/>
        <v>Caisse</v>
      </c>
      <c r="AP8" s="49">
        <f t="shared" ref="AP8:AP19" si="3">AI8</f>
        <v>7684335</v>
      </c>
      <c r="AQ8" s="49">
        <f t="shared" si="1"/>
        <v>4914000</v>
      </c>
      <c r="AR8" s="49">
        <f t="shared" si="2"/>
        <v>2033042</v>
      </c>
      <c r="AS8" s="49">
        <v>0</v>
      </c>
    </row>
    <row r="9" spans="1:45">
      <c r="A9" s="2" t="s">
        <v>48</v>
      </c>
      <c r="B9" s="169"/>
      <c r="C9" s="169"/>
      <c r="D9" s="169">
        <v>180000</v>
      </c>
      <c r="E9" s="169"/>
      <c r="F9" s="169"/>
      <c r="G9" s="169"/>
      <c r="H9" s="169"/>
      <c r="I9" s="169"/>
      <c r="J9" s="169"/>
      <c r="K9" s="169"/>
      <c r="L9" s="169">
        <v>61000</v>
      </c>
      <c r="M9" s="169"/>
      <c r="N9" s="169"/>
      <c r="O9" s="169"/>
      <c r="P9" s="169">
        <v>49200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>
        <v>124500</v>
      </c>
      <c r="AC9" s="169"/>
      <c r="AD9" s="169">
        <v>873400</v>
      </c>
      <c r="AE9" s="169"/>
      <c r="AF9" s="169"/>
      <c r="AG9" s="169"/>
      <c r="AH9" s="169"/>
      <c r="AI9" s="169">
        <v>1282000</v>
      </c>
      <c r="AJ9" s="169"/>
      <c r="AK9" s="169"/>
      <c r="AL9" s="169">
        <v>1288100</v>
      </c>
      <c r="AM9" s="169">
        <v>1282000</v>
      </c>
      <c r="AO9" s="47" t="str">
        <f t="shared" si="0"/>
        <v>Crépin</v>
      </c>
      <c r="AP9" s="49">
        <f t="shared" si="3"/>
        <v>1282000</v>
      </c>
      <c r="AQ9" s="49">
        <f t="shared" si="1"/>
        <v>0</v>
      </c>
      <c r="AR9" s="49">
        <f t="shared" si="2"/>
        <v>1288100</v>
      </c>
      <c r="AS9" s="49">
        <v>0</v>
      </c>
    </row>
    <row r="10" spans="1:45">
      <c r="A10" s="2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>
        <v>152000</v>
      </c>
      <c r="AC10" s="169"/>
      <c r="AD10" s="169">
        <v>109200</v>
      </c>
      <c r="AE10" s="169"/>
      <c r="AF10" s="169"/>
      <c r="AG10" s="169"/>
      <c r="AH10" s="169"/>
      <c r="AI10" s="169">
        <v>262000</v>
      </c>
      <c r="AJ10" s="169"/>
      <c r="AK10" s="169"/>
      <c r="AL10" s="169">
        <v>261200</v>
      </c>
      <c r="AM10" s="169">
        <v>262000</v>
      </c>
      <c r="AO10" s="47" t="str">
        <f t="shared" si="0"/>
        <v>Evariste</v>
      </c>
      <c r="AP10" s="49">
        <f t="shared" si="3"/>
        <v>262000</v>
      </c>
      <c r="AQ10" s="49">
        <f t="shared" si="1"/>
        <v>0</v>
      </c>
      <c r="AR10" s="49">
        <f t="shared" si="2"/>
        <v>261200</v>
      </c>
      <c r="AS10" s="49">
        <v>0</v>
      </c>
    </row>
    <row r="11" spans="1:45">
      <c r="A11" s="2" t="s">
        <v>153</v>
      </c>
      <c r="B11" s="169"/>
      <c r="C11" s="169"/>
      <c r="D11" s="169">
        <v>200000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>
        <v>51500</v>
      </c>
      <c r="AC11" s="169"/>
      <c r="AD11" s="169">
        <v>57000</v>
      </c>
      <c r="AE11" s="169"/>
      <c r="AF11" s="169"/>
      <c r="AG11" s="169"/>
      <c r="AH11" s="169">
        <v>154835</v>
      </c>
      <c r="AI11" s="169">
        <v>307000</v>
      </c>
      <c r="AJ11" s="169"/>
      <c r="AK11" s="169"/>
      <c r="AL11" s="169">
        <v>463335</v>
      </c>
      <c r="AM11" s="169">
        <v>307000</v>
      </c>
      <c r="AO11" s="47" t="str">
        <f t="shared" si="0"/>
        <v>Godfré</v>
      </c>
      <c r="AP11" s="49">
        <f t="shared" si="3"/>
        <v>307000</v>
      </c>
      <c r="AQ11" s="49">
        <f t="shared" si="1"/>
        <v>154835</v>
      </c>
      <c r="AR11" s="49">
        <f t="shared" si="2"/>
        <v>308500</v>
      </c>
      <c r="AS11" s="49">
        <v>0</v>
      </c>
    </row>
    <row r="12" spans="1:45">
      <c r="A12" s="2" t="s">
        <v>152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>
        <v>20500</v>
      </c>
      <c r="AC12" s="169"/>
      <c r="AD12" s="169"/>
      <c r="AE12" s="169"/>
      <c r="AF12" s="169"/>
      <c r="AG12" s="169"/>
      <c r="AH12" s="169"/>
      <c r="AI12" s="169">
        <v>25000</v>
      </c>
      <c r="AJ12" s="169"/>
      <c r="AK12" s="169"/>
      <c r="AL12" s="169">
        <v>20500</v>
      </c>
      <c r="AM12" s="169">
        <v>25000</v>
      </c>
      <c r="AO12" s="47" t="str">
        <f t="shared" si="0"/>
        <v>Grace</v>
      </c>
      <c r="AP12" s="49">
        <f t="shared" si="3"/>
        <v>25000</v>
      </c>
      <c r="AQ12" s="49">
        <f t="shared" si="1"/>
        <v>0</v>
      </c>
      <c r="AR12" s="49">
        <f t="shared" si="2"/>
        <v>20500</v>
      </c>
      <c r="AS12" s="49">
        <v>0</v>
      </c>
    </row>
    <row r="13" spans="1:45">
      <c r="A13" s="2" t="s">
        <v>213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>
        <v>268050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>
        <v>110500</v>
      </c>
      <c r="AC13" s="169"/>
      <c r="AD13" s="169">
        <v>319000</v>
      </c>
      <c r="AE13" s="169"/>
      <c r="AF13" s="169"/>
      <c r="AG13" s="169"/>
      <c r="AH13" s="169"/>
      <c r="AI13" s="169">
        <v>701000</v>
      </c>
      <c r="AJ13" s="169"/>
      <c r="AK13" s="169"/>
      <c r="AL13" s="169">
        <v>697550</v>
      </c>
      <c r="AM13" s="169">
        <v>701000</v>
      </c>
      <c r="AO13" s="47" t="str">
        <f t="shared" si="0"/>
        <v>Hurielle</v>
      </c>
      <c r="AP13" s="49">
        <f t="shared" si="3"/>
        <v>701000</v>
      </c>
      <c r="AQ13" s="49">
        <f t="shared" si="1"/>
        <v>0</v>
      </c>
      <c r="AR13" s="49">
        <f t="shared" si="2"/>
        <v>697550</v>
      </c>
      <c r="AS13" s="49">
        <v>0</v>
      </c>
    </row>
    <row r="14" spans="1:45">
      <c r="A14" s="2" t="s">
        <v>49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>
        <v>500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>
        <v>223000</v>
      </c>
      <c r="AC14" s="169"/>
      <c r="AD14" s="169">
        <v>490000</v>
      </c>
      <c r="AE14" s="169"/>
      <c r="AF14" s="169">
        <v>101000</v>
      </c>
      <c r="AG14" s="169"/>
      <c r="AH14" s="169">
        <v>220000</v>
      </c>
      <c r="AI14" s="169">
        <v>969000</v>
      </c>
      <c r="AJ14" s="169"/>
      <c r="AK14" s="169"/>
      <c r="AL14" s="169">
        <v>1034500</v>
      </c>
      <c r="AM14" s="169">
        <v>969000</v>
      </c>
      <c r="AO14" s="47" t="str">
        <f t="shared" si="0"/>
        <v>i23c</v>
      </c>
      <c r="AP14" s="49">
        <f t="shared" si="3"/>
        <v>969000</v>
      </c>
      <c r="AQ14" s="49">
        <f t="shared" si="1"/>
        <v>220000</v>
      </c>
      <c r="AR14" s="49">
        <f t="shared" si="2"/>
        <v>814500</v>
      </c>
      <c r="AS14" s="49">
        <v>0</v>
      </c>
    </row>
    <row r="15" spans="1:45">
      <c r="A15" s="2" t="s">
        <v>94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>
        <v>109500</v>
      </c>
      <c r="AC15" s="169"/>
      <c r="AD15" s="169">
        <v>52000</v>
      </c>
      <c r="AE15" s="169"/>
      <c r="AF15" s="169"/>
      <c r="AG15" s="169"/>
      <c r="AH15" s="169">
        <v>10000</v>
      </c>
      <c r="AI15" s="169">
        <v>170000</v>
      </c>
      <c r="AJ15" s="169"/>
      <c r="AK15" s="169"/>
      <c r="AL15" s="169">
        <v>171500</v>
      </c>
      <c r="AM15" s="169">
        <v>170000</v>
      </c>
      <c r="AO15" s="47" t="str">
        <f t="shared" si="0"/>
        <v>Merveille</v>
      </c>
      <c r="AP15" s="49">
        <f t="shared" si="3"/>
        <v>170000</v>
      </c>
      <c r="AQ15" s="49">
        <f t="shared" si="1"/>
        <v>10000</v>
      </c>
      <c r="AR15" s="49">
        <f t="shared" si="2"/>
        <v>161500</v>
      </c>
      <c r="AS15" s="49">
        <v>0</v>
      </c>
    </row>
    <row r="16" spans="1:45">
      <c r="A16" s="2" t="s">
        <v>29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>
        <v>116500</v>
      </c>
      <c r="AC16" s="169"/>
      <c r="AD16" s="169">
        <v>325000</v>
      </c>
      <c r="AE16" s="169"/>
      <c r="AF16" s="169">
        <v>83500</v>
      </c>
      <c r="AG16" s="169"/>
      <c r="AH16" s="169">
        <v>300000</v>
      </c>
      <c r="AI16" s="169">
        <v>671000</v>
      </c>
      <c r="AJ16" s="169"/>
      <c r="AK16" s="169"/>
      <c r="AL16" s="169">
        <v>825000</v>
      </c>
      <c r="AM16" s="169">
        <v>671000</v>
      </c>
      <c r="AO16" s="47" t="str">
        <f t="shared" si="0"/>
        <v>P29</v>
      </c>
      <c r="AP16" s="49">
        <f t="shared" si="3"/>
        <v>671000</v>
      </c>
      <c r="AQ16" s="49">
        <f t="shared" si="1"/>
        <v>300000</v>
      </c>
      <c r="AR16" s="49">
        <f t="shared" si="2"/>
        <v>525000</v>
      </c>
      <c r="AS16" s="49">
        <v>0</v>
      </c>
    </row>
    <row r="17" spans="1:45">
      <c r="A17" s="2" t="s">
        <v>212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>
        <v>11000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>
        <v>65000</v>
      </c>
      <c r="AC17" s="169"/>
      <c r="AD17" s="169">
        <v>13000</v>
      </c>
      <c r="AE17" s="169"/>
      <c r="AF17" s="169"/>
      <c r="AG17" s="169"/>
      <c r="AH17" s="169">
        <v>9500</v>
      </c>
      <c r="AI17" s="169">
        <v>85000</v>
      </c>
      <c r="AJ17" s="169"/>
      <c r="AK17" s="169"/>
      <c r="AL17" s="169">
        <v>98500</v>
      </c>
      <c r="AM17" s="169">
        <v>85000</v>
      </c>
      <c r="AO17" s="47" t="str">
        <f t="shared" si="0"/>
        <v>Paule</v>
      </c>
      <c r="AP17" s="49">
        <f t="shared" si="3"/>
        <v>85000</v>
      </c>
      <c r="AQ17" s="49">
        <f t="shared" si="1"/>
        <v>9500</v>
      </c>
      <c r="AR17" s="49">
        <f t="shared" si="2"/>
        <v>89000</v>
      </c>
      <c r="AS17" s="49">
        <v>0</v>
      </c>
    </row>
    <row r="18" spans="1:45">
      <c r="A18" s="2" t="s">
        <v>114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>
        <v>48500</v>
      </c>
      <c r="AC18" s="169"/>
      <c r="AD18" s="169">
        <v>45000</v>
      </c>
      <c r="AE18" s="169"/>
      <c r="AF18" s="169"/>
      <c r="AG18" s="169"/>
      <c r="AH18" s="169">
        <v>226000</v>
      </c>
      <c r="AI18" s="169">
        <v>329000</v>
      </c>
      <c r="AJ18" s="169"/>
      <c r="AK18" s="169"/>
      <c r="AL18" s="169">
        <v>319500</v>
      </c>
      <c r="AM18" s="169">
        <v>329000</v>
      </c>
      <c r="AO18" s="47" t="str">
        <f t="shared" si="0"/>
        <v>Tiffany</v>
      </c>
      <c r="AP18" s="49">
        <f t="shared" si="3"/>
        <v>329000</v>
      </c>
      <c r="AQ18" s="49">
        <f t="shared" si="1"/>
        <v>226000</v>
      </c>
      <c r="AR18" s="49">
        <f t="shared" si="2"/>
        <v>93500</v>
      </c>
      <c r="AS18" s="49">
        <v>0</v>
      </c>
    </row>
    <row r="19" spans="1:45">
      <c r="A19" s="2" t="s">
        <v>271</v>
      </c>
      <c r="B19" s="169"/>
      <c r="C19" s="169"/>
      <c r="D19" s="169"/>
      <c r="E19" s="169"/>
      <c r="F19" s="169">
        <v>100000</v>
      </c>
      <c r="G19" s="169"/>
      <c r="H19" s="169"/>
      <c r="I19" s="169"/>
      <c r="J19" s="169"/>
      <c r="K19" s="169"/>
      <c r="L19" s="169">
        <v>22000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>
        <v>101500</v>
      </c>
      <c r="AC19" s="169"/>
      <c r="AD19" s="169">
        <v>115000</v>
      </c>
      <c r="AE19" s="169"/>
      <c r="AF19" s="169"/>
      <c r="AG19" s="169"/>
      <c r="AH19" s="169"/>
      <c r="AI19" s="169">
        <v>349000</v>
      </c>
      <c r="AJ19" s="169"/>
      <c r="AK19" s="169"/>
      <c r="AL19" s="169">
        <v>338500</v>
      </c>
      <c r="AM19" s="169">
        <v>349000</v>
      </c>
      <c r="AO19" s="47" t="str">
        <f t="shared" si="0"/>
        <v>Yan</v>
      </c>
      <c r="AP19" s="49">
        <f t="shared" si="3"/>
        <v>349000</v>
      </c>
      <c r="AQ19" s="49">
        <f t="shared" si="1"/>
        <v>0</v>
      </c>
      <c r="AR19" s="49">
        <f t="shared" si="2"/>
        <v>338500</v>
      </c>
      <c r="AS19" s="49">
        <v>0</v>
      </c>
    </row>
    <row r="20" spans="1:45">
      <c r="A20" s="2" t="s">
        <v>130</v>
      </c>
      <c r="B20" s="169">
        <v>38563</v>
      </c>
      <c r="C20" s="169"/>
      <c r="D20" s="169">
        <v>1096000</v>
      </c>
      <c r="E20" s="169"/>
      <c r="F20" s="169">
        <v>100000</v>
      </c>
      <c r="G20" s="169"/>
      <c r="H20" s="169"/>
      <c r="I20" s="169">
        <v>11963948</v>
      </c>
      <c r="J20" s="169">
        <v>89175</v>
      </c>
      <c r="K20" s="169"/>
      <c r="L20" s="169">
        <v>362050</v>
      </c>
      <c r="M20" s="169"/>
      <c r="N20" s="169">
        <v>952000</v>
      </c>
      <c r="O20" s="169"/>
      <c r="P20" s="169">
        <v>172200</v>
      </c>
      <c r="Q20" s="169"/>
      <c r="R20" s="169">
        <v>2651005</v>
      </c>
      <c r="S20" s="169"/>
      <c r="T20" s="169">
        <v>1083582</v>
      </c>
      <c r="U20" s="169"/>
      <c r="V20" s="169">
        <v>615625</v>
      </c>
      <c r="W20" s="169"/>
      <c r="X20" s="169">
        <v>432000</v>
      </c>
      <c r="Y20" s="169"/>
      <c r="Z20" s="169">
        <v>44610</v>
      </c>
      <c r="AA20" s="169"/>
      <c r="AB20" s="169">
        <v>1123000</v>
      </c>
      <c r="AC20" s="169"/>
      <c r="AD20" s="169">
        <v>2414350</v>
      </c>
      <c r="AE20" s="169"/>
      <c r="AF20" s="169">
        <v>184500</v>
      </c>
      <c r="AG20" s="169"/>
      <c r="AH20" s="169">
        <v>12834335</v>
      </c>
      <c r="AI20" s="169">
        <v>12834335</v>
      </c>
      <c r="AJ20" s="169">
        <v>35000</v>
      </c>
      <c r="AK20" s="169"/>
      <c r="AL20" s="169">
        <v>24227995</v>
      </c>
      <c r="AM20" s="169">
        <v>24798283</v>
      </c>
      <c r="AP20" s="49">
        <f>SUM(AP6:AP19)</f>
        <v>12834335</v>
      </c>
      <c r="AQ20" s="49">
        <f>SUM(AQ6:AQ19)</f>
        <v>12834335</v>
      </c>
      <c r="AR20" s="49">
        <f>SUM(AR6:AR19)</f>
        <v>11393660</v>
      </c>
      <c r="AS20" s="49">
        <f>SUM(AS6:AS19)</f>
        <v>11963948</v>
      </c>
    </row>
    <row r="22" spans="1:45">
      <c r="AQ22" s="209">
        <f>+AQ20-AP20</f>
        <v>0</v>
      </c>
      <c r="AR22" s="376" t="b">
        <f>AR20=GETPIVOTDATA("Spent",Donateur!$A$3)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0"/>
  <sheetViews>
    <sheetView workbookViewId="0">
      <selection activeCell="D22" sqref="D22"/>
    </sheetView>
  </sheetViews>
  <sheetFormatPr baseColWidth="10" defaultRowHeight="15"/>
  <cols>
    <col min="1" max="1" width="21" customWidth="1"/>
    <col min="2" max="2" width="16.140625" customWidth="1"/>
    <col min="3" max="3" width="8" customWidth="1"/>
    <col min="4" max="4" width="12.5703125" customWidth="1"/>
    <col min="5" max="5" width="12.5703125" bestFit="1" customWidth="1"/>
  </cols>
  <sheetData>
    <row r="3" spans="1:4">
      <c r="A3" s="1" t="s">
        <v>129</v>
      </c>
      <c r="B3" t="s">
        <v>136</v>
      </c>
    </row>
    <row r="4" spans="1:4">
      <c r="A4" s="2" t="s">
        <v>103</v>
      </c>
      <c r="B4" s="169">
        <v>5175540</v>
      </c>
    </row>
    <row r="5" spans="1:4">
      <c r="A5" s="2" t="s">
        <v>166</v>
      </c>
      <c r="B5" s="169">
        <v>6218120</v>
      </c>
    </row>
    <row r="6" spans="1:4">
      <c r="A6" s="2" t="s">
        <v>130</v>
      </c>
      <c r="B6" s="169">
        <v>11393660</v>
      </c>
    </row>
    <row r="13" spans="1:4">
      <c r="A13" s="1" t="s">
        <v>136</v>
      </c>
      <c r="B13" s="1" t="s">
        <v>131</v>
      </c>
    </row>
    <row r="14" spans="1:4">
      <c r="A14" s="1" t="s">
        <v>129</v>
      </c>
      <c r="B14" t="s">
        <v>103</v>
      </c>
      <c r="C14" t="s">
        <v>166</v>
      </c>
      <c r="D14" t="s">
        <v>130</v>
      </c>
    </row>
    <row r="15" spans="1:4">
      <c r="A15" s="2" t="s">
        <v>214</v>
      </c>
      <c r="B15" s="169"/>
      <c r="C15" s="169">
        <v>4322620</v>
      </c>
      <c r="D15" s="169">
        <v>4322620</v>
      </c>
    </row>
    <row r="16" spans="1:4">
      <c r="A16" s="2" t="s">
        <v>215</v>
      </c>
      <c r="B16" s="169">
        <v>5175540</v>
      </c>
      <c r="C16" s="169">
        <v>1895500</v>
      </c>
      <c r="D16" s="169">
        <v>7071040</v>
      </c>
    </row>
    <row r="17" spans="1:4">
      <c r="A17" s="2" t="s">
        <v>130</v>
      </c>
      <c r="B17" s="169">
        <v>5175540</v>
      </c>
      <c r="C17" s="169">
        <v>6218120</v>
      </c>
      <c r="D17" s="169">
        <v>11393660</v>
      </c>
    </row>
    <row r="19" spans="1:4">
      <c r="B19" s="246">
        <f>(B16*100%)/D16</f>
        <v>0.7319347649002127</v>
      </c>
      <c r="C19" s="247" t="s">
        <v>217</v>
      </c>
    </row>
    <row r="20" spans="1:4">
      <c r="B20" s="246">
        <f>(C16*100%)/D16</f>
        <v>0.2680652350997873</v>
      </c>
      <c r="C20" s="247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AE424"/>
  <sheetViews>
    <sheetView tabSelected="1" zoomScale="59" zoomScaleNormal="59" workbookViewId="0">
      <pane ySplit="11" topLeftCell="A152" activePane="bottomLeft" state="frozen"/>
      <selection pane="bottomLeft" activeCell="A174" sqref="A174:XFD174"/>
    </sheetView>
  </sheetViews>
  <sheetFormatPr baseColWidth="10" defaultColWidth="11.42578125" defaultRowHeight="15.75"/>
  <cols>
    <col min="1" max="1" width="15.85546875" style="224" customWidth="1"/>
    <col min="2" max="2" width="100.5703125" style="178" customWidth="1"/>
    <col min="3" max="3" width="21.85546875" style="177" customWidth="1"/>
    <col min="4" max="4" width="15" style="177" customWidth="1"/>
    <col min="5" max="5" width="16.28515625" style="193" customWidth="1"/>
    <col min="6" max="6" width="18.5703125" style="377" customWidth="1"/>
    <col min="7" max="7" width="16.7109375" style="194" customWidth="1"/>
    <col min="8" max="8" width="17.7109375" style="178" customWidth="1"/>
    <col min="9" max="9" width="13.5703125" style="183" customWidth="1"/>
    <col min="10" max="10" width="9.28515625" style="183" customWidth="1"/>
    <col min="11" max="11" width="8.7109375" style="178" customWidth="1"/>
    <col min="12" max="12" width="10.5703125" style="178" customWidth="1"/>
    <col min="13" max="13" width="15.85546875" style="178" customWidth="1"/>
    <col min="14" max="14" width="16.28515625" style="177" customWidth="1"/>
    <col min="15" max="15" width="70.5703125" style="211" customWidth="1"/>
    <col min="16" max="16384" width="11.42578125" style="178"/>
  </cols>
  <sheetData>
    <row r="1" spans="1:15" s="191" customFormat="1" ht="26.25" customHeight="1">
      <c r="A1" s="425" t="s">
        <v>226</v>
      </c>
      <c r="B1" s="425"/>
      <c r="C1" s="425"/>
      <c r="D1" s="425"/>
      <c r="E1" s="425"/>
      <c r="F1" s="426"/>
      <c r="G1" s="425"/>
      <c r="H1" s="425"/>
      <c r="I1" s="427"/>
      <c r="J1" s="425"/>
      <c r="K1" s="425"/>
      <c r="L1" s="425"/>
      <c r="M1" s="425"/>
      <c r="N1" s="425"/>
      <c r="O1" s="428"/>
    </row>
    <row r="2" spans="1:15">
      <c r="B2" s="192" t="s">
        <v>227</v>
      </c>
      <c r="C2" s="389">
        <v>22774658</v>
      </c>
    </row>
    <row r="4" spans="1:15">
      <c r="B4" s="195" t="s">
        <v>6</v>
      </c>
      <c r="C4" s="282" t="s">
        <v>7</v>
      </c>
    </row>
    <row r="5" spans="1:15">
      <c r="B5" s="178" t="s">
        <v>8</v>
      </c>
      <c r="C5" s="283">
        <f>SUM(E13:E1120)</f>
        <v>24798283</v>
      </c>
      <c r="E5" s="193" t="s">
        <v>101</v>
      </c>
      <c r="H5" s="196"/>
    </row>
    <row r="6" spans="1:15">
      <c r="B6" s="178" t="s">
        <v>9</v>
      </c>
      <c r="C6" s="283">
        <f>SUM(F13:F1121)</f>
        <v>24227995</v>
      </c>
      <c r="E6" s="210">
        <f>+C7-Récapitulatif!I19</f>
        <v>0</v>
      </c>
      <c r="J6" s="203"/>
      <c r="K6" s="190"/>
    </row>
    <row r="7" spans="1:15">
      <c r="B7" s="223" t="s">
        <v>10</v>
      </c>
      <c r="C7" s="284">
        <f>C2+C5-C6</f>
        <v>23344946</v>
      </c>
      <c r="D7" s="286">
        <f>C7-Récapitulatif!I19</f>
        <v>0</v>
      </c>
      <c r="K7" s="190"/>
    </row>
    <row r="9" spans="1:15">
      <c r="B9" s="189"/>
    </row>
    <row r="11" spans="1:15">
      <c r="A11" s="227" t="s">
        <v>0</v>
      </c>
      <c r="B11" s="198" t="s">
        <v>11</v>
      </c>
      <c r="C11" s="207" t="s">
        <v>12</v>
      </c>
      <c r="D11" s="207" t="s">
        <v>13</v>
      </c>
      <c r="E11" s="245" t="s">
        <v>14</v>
      </c>
      <c r="F11" s="378" t="s">
        <v>15</v>
      </c>
      <c r="G11" s="199" t="s">
        <v>16</v>
      </c>
      <c r="H11" s="198" t="s">
        <v>17</v>
      </c>
      <c r="I11" s="200" t="s">
        <v>18</v>
      </c>
      <c r="J11" s="200" t="s">
        <v>19</v>
      </c>
      <c r="K11" s="198" t="s">
        <v>20</v>
      </c>
      <c r="L11" s="198" t="s">
        <v>21</v>
      </c>
      <c r="M11" s="198" t="s">
        <v>82</v>
      </c>
      <c r="N11" s="207" t="s">
        <v>23</v>
      </c>
      <c r="O11" s="198" t="s">
        <v>22</v>
      </c>
    </row>
    <row r="12" spans="1:15" s="293" customFormat="1" ht="15.75" hidden="1" customHeight="1">
      <c r="A12" s="288">
        <v>44682</v>
      </c>
      <c r="B12" s="281" t="s">
        <v>257</v>
      </c>
      <c r="C12" s="289"/>
      <c r="D12" s="289"/>
      <c r="E12" s="290"/>
      <c r="F12" s="379"/>
      <c r="G12" s="292">
        <f>+C2</f>
        <v>22774658</v>
      </c>
      <c r="H12" s="281"/>
      <c r="I12" s="281"/>
      <c r="J12" s="281"/>
      <c r="K12" s="281"/>
      <c r="L12" s="281"/>
      <c r="N12" s="289"/>
      <c r="O12" s="281"/>
    </row>
    <row r="13" spans="1:15" s="293" customFormat="1" ht="15" hidden="1" customHeight="1">
      <c r="A13" s="288">
        <v>44682</v>
      </c>
      <c r="B13" s="281" t="s">
        <v>427</v>
      </c>
      <c r="C13" s="289" t="s">
        <v>157</v>
      </c>
      <c r="D13" s="289" t="s">
        <v>164</v>
      </c>
      <c r="E13" s="290"/>
      <c r="F13" s="307">
        <v>30000</v>
      </c>
      <c r="G13" s="294">
        <f>G12+E13-F13</f>
        <v>22744658</v>
      </c>
      <c r="H13" s="281" t="s">
        <v>213</v>
      </c>
      <c r="I13" s="295" t="s">
        <v>231</v>
      </c>
      <c r="J13" s="281" t="s">
        <v>166</v>
      </c>
      <c r="K13" s="281" t="s">
        <v>214</v>
      </c>
      <c r="L13" s="281" t="s">
        <v>183</v>
      </c>
      <c r="M13" s="281"/>
      <c r="N13" s="289"/>
      <c r="O13" s="281"/>
    </row>
    <row r="14" spans="1:15" s="293" customFormat="1" ht="15" hidden="1" customHeight="1">
      <c r="A14" s="288">
        <v>44683</v>
      </c>
      <c r="B14" s="281" t="s">
        <v>262</v>
      </c>
      <c r="C14" s="296" t="s">
        <v>182</v>
      </c>
      <c r="D14" s="289" t="s">
        <v>228</v>
      </c>
      <c r="E14" s="290"/>
      <c r="F14" s="307">
        <v>48000</v>
      </c>
      <c r="G14" s="294">
        <f t="shared" ref="G14:G77" si="0">+G13+E14-F14</f>
        <v>22696658</v>
      </c>
      <c r="H14" s="281" t="s">
        <v>25</v>
      </c>
      <c r="I14" s="293" t="s">
        <v>229</v>
      </c>
      <c r="J14" s="281" t="s">
        <v>166</v>
      </c>
      <c r="K14" s="281" t="s">
        <v>215</v>
      </c>
      <c r="L14" s="281" t="s">
        <v>183</v>
      </c>
      <c r="M14" s="178" t="s">
        <v>523</v>
      </c>
      <c r="N14" s="289" t="s">
        <v>250</v>
      </c>
      <c r="O14" s="281"/>
    </row>
    <row r="15" spans="1:15" s="293" customFormat="1" ht="15" hidden="1" customHeight="1">
      <c r="A15" s="288">
        <v>44683</v>
      </c>
      <c r="B15" s="281" t="s">
        <v>263</v>
      </c>
      <c r="C15" s="296" t="s">
        <v>182</v>
      </c>
      <c r="D15" s="289" t="s">
        <v>164</v>
      </c>
      <c r="E15" s="290"/>
      <c r="F15" s="309">
        <v>37000</v>
      </c>
      <c r="G15" s="294">
        <f t="shared" si="0"/>
        <v>22659658</v>
      </c>
      <c r="H15" s="281" t="s">
        <v>25</v>
      </c>
      <c r="I15" s="293" t="s">
        <v>229</v>
      </c>
      <c r="J15" s="281" t="s">
        <v>166</v>
      </c>
      <c r="K15" s="281" t="s">
        <v>215</v>
      </c>
      <c r="L15" s="281" t="s">
        <v>183</v>
      </c>
      <c r="M15" s="178" t="s">
        <v>524</v>
      </c>
      <c r="N15" s="289" t="s">
        <v>250</v>
      </c>
      <c r="O15" s="281"/>
    </row>
    <row r="16" spans="1:15" s="293" customFormat="1" ht="15" hidden="1" customHeight="1">
      <c r="A16" s="288">
        <v>44683</v>
      </c>
      <c r="B16" s="281" t="s">
        <v>264</v>
      </c>
      <c r="C16" s="297" t="s">
        <v>182</v>
      </c>
      <c r="D16" s="289" t="s">
        <v>164</v>
      </c>
      <c r="E16" s="290"/>
      <c r="F16" s="307">
        <v>63000</v>
      </c>
      <c r="G16" s="294">
        <f t="shared" si="0"/>
        <v>22596658</v>
      </c>
      <c r="H16" s="281" t="s">
        <v>25</v>
      </c>
      <c r="I16" s="293" t="s">
        <v>229</v>
      </c>
      <c r="J16" s="281" t="s">
        <v>166</v>
      </c>
      <c r="K16" s="281" t="s">
        <v>214</v>
      </c>
      <c r="L16" s="281" t="s">
        <v>183</v>
      </c>
      <c r="N16" s="289"/>
      <c r="O16" s="281"/>
    </row>
    <row r="17" spans="1:15" s="293" customFormat="1" ht="15" hidden="1" customHeight="1">
      <c r="A17" s="288">
        <v>44683</v>
      </c>
      <c r="B17" s="281" t="s">
        <v>265</v>
      </c>
      <c r="C17" s="296" t="s">
        <v>182</v>
      </c>
      <c r="D17" s="289" t="s">
        <v>4</v>
      </c>
      <c r="E17" s="290"/>
      <c r="F17" s="289">
        <v>20000</v>
      </c>
      <c r="G17" s="294">
        <f t="shared" si="0"/>
        <v>22576658</v>
      </c>
      <c r="H17" s="281" t="s">
        <v>25</v>
      </c>
      <c r="I17" s="293" t="s">
        <v>229</v>
      </c>
      <c r="J17" s="281" t="s">
        <v>166</v>
      </c>
      <c r="K17" s="281" t="s">
        <v>215</v>
      </c>
      <c r="L17" s="281" t="s">
        <v>183</v>
      </c>
      <c r="M17" s="178" t="s">
        <v>525</v>
      </c>
      <c r="N17" s="289" t="s">
        <v>250</v>
      </c>
      <c r="O17" s="281"/>
    </row>
    <row r="18" spans="1:15" s="293" customFormat="1" ht="15" hidden="1" customHeight="1">
      <c r="A18" s="288">
        <v>44683</v>
      </c>
      <c r="B18" s="281" t="s">
        <v>266</v>
      </c>
      <c r="C18" s="296" t="s">
        <v>182</v>
      </c>
      <c r="D18" s="289" t="s">
        <v>165</v>
      </c>
      <c r="E18" s="290"/>
      <c r="F18" s="309">
        <v>5000</v>
      </c>
      <c r="G18" s="294">
        <f t="shared" si="0"/>
        <v>22571658</v>
      </c>
      <c r="H18" s="281" t="s">
        <v>25</v>
      </c>
      <c r="I18" s="293" t="s">
        <v>229</v>
      </c>
      <c r="J18" s="281" t="s">
        <v>166</v>
      </c>
      <c r="K18" s="281" t="s">
        <v>215</v>
      </c>
      <c r="L18" s="281" t="s">
        <v>183</v>
      </c>
      <c r="M18" s="178" t="s">
        <v>526</v>
      </c>
      <c r="N18" s="289" t="s">
        <v>250</v>
      </c>
      <c r="O18" s="281"/>
    </row>
    <row r="19" spans="1:15" s="293" customFormat="1" ht="15" hidden="1" customHeight="1">
      <c r="A19" s="299">
        <v>44683</v>
      </c>
      <c r="B19" s="300" t="s">
        <v>267</v>
      </c>
      <c r="C19" s="296" t="s">
        <v>182</v>
      </c>
      <c r="D19" s="289" t="s">
        <v>228</v>
      </c>
      <c r="E19" s="301"/>
      <c r="F19" s="361">
        <v>26000</v>
      </c>
      <c r="G19" s="294">
        <f t="shared" si="0"/>
        <v>22545658</v>
      </c>
      <c r="H19" s="302" t="s">
        <v>25</v>
      </c>
      <c r="I19" s="293" t="s">
        <v>229</v>
      </c>
      <c r="J19" s="281" t="s">
        <v>166</v>
      </c>
      <c r="K19" s="281" t="s">
        <v>215</v>
      </c>
      <c r="L19" s="281" t="s">
        <v>183</v>
      </c>
      <c r="M19" s="178" t="s">
        <v>527</v>
      </c>
      <c r="N19" s="289" t="s">
        <v>250</v>
      </c>
      <c r="O19" s="281"/>
    </row>
    <row r="20" spans="1:15" s="293" customFormat="1" ht="15" hidden="1" customHeight="1">
      <c r="A20" s="288">
        <v>44683</v>
      </c>
      <c r="B20" s="281" t="s">
        <v>268</v>
      </c>
      <c r="C20" s="296" t="s">
        <v>182</v>
      </c>
      <c r="D20" s="289" t="s">
        <v>164</v>
      </c>
      <c r="E20" s="290"/>
      <c r="F20" s="307">
        <v>5000</v>
      </c>
      <c r="G20" s="294">
        <f t="shared" si="0"/>
        <v>22540658</v>
      </c>
      <c r="H20" s="281" t="s">
        <v>25</v>
      </c>
      <c r="I20" s="293" t="s">
        <v>229</v>
      </c>
      <c r="J20" s="281" t="s">
        <v>166</v>
      </c>
      <c r="K20" s="281" t="s">
        <v>215</v>
      </c>
      <c r="L20" s="281" t="s">
        <v>183</v>
      </c>
      <c r="M20" s="178" t="s">
        <v>528</v>
      </c>
      <c r="N20" s="289" t="s">
        <v>250</v>
      </c>
      <c r="O20" s="281"/>
    </row>
    <row r="21" spans="1:15" s="293" customFormat="1" ht="15" hidden="1" customHeight="1">
      <c r="A21" s="288">
        <v>44683</v>
      </c>
      <c r="B21" s="281" t="s">
        <v>269</v>
      </c>
      <c r="C21" s="296" t="s">
        <v>182</v>
      </c>
      <c r="D21" s="289" t="s">
        <v>4</v>
      </c>
      <c r="E21" s="290"/>
      <c r="F21" s="307">
        <v>32000</v>
      </c>
      <c r="G21" s="294">
        <f t="shared" si="0"/>
        <v>22508658</v>
      </c>
      <c r="H21" s="281" t="s">
        <v>25</v>
      </c>
      <c r="I21" s="293" t="s">
        <v>229</v>
      </c>
      <c r="J21" s="281" t="s">
        <v>166</v>
      </c>
      <c r="K21" s="281" t="s">
        <v>215</v>
      </c>
      <c r="L21" s="281" t="s">
        <v>183</v>
      </c>
      <c r="M21" s="178" t="s">
        <v>529</v>
      </c>
      <c r="N21" s="289" t="s">
        <v>250</v>
      </c>
      <c r="O21" s="281"/>
    </row>
    <row r="22" spans="1:15" s="293" customFormat="1" ht="15" hidden="1" customHeight="1">
      <c r="A22" s="288">
        <v>44683</v>
      </c>
      <c r="B22" s="281" t="s">
        <v>270</v>
      </c>
      <c r="C22" s="296" t="s">
        <v>182</v>
      </c>
      <c r="D22" s="303" t="s">
        <v>165</v>
      </c>
      <c r="E22" s="290"/>
      <c r="F22" s="309">
        <v>11000</v>
      </c>
      <c r="G22" s="294">
        <f t="shared" si="0"/>
        <v>22497658</v>
      </c>
      <c r="H22" s="281" t="s">
        <v>25</v>
      </c>
      <c r="I22" s="293" t="s">
        <v>229</v>
      </c>
      <c r="J22" s="281" t="s">
        <v>166</v>
      </c>
      <c r="K22" s="281" t="s">
        <v>215</v>
      </c>
      <c r="L22" s="281" t="s">
        <v>183</v>
      </c>
      <c r="M22" s="178" t="s">
        <v>530</v>
      </c>
      <c r="N22" s="289" t="s">
        <v>250</v>
      </c>
      <c r="O22" s="281"/>
    </row>
    <row r="23" spans="1:15" s="293" customFormat="1" ht="15" hidden="1" customHeight="1">
      <c r="A23" s="288">
        <v>44683</v>
      </c>
      <c r="B23" s="281" t="s">
        <v>271</v>
      </c>
      <c r="C23" s="296" t="s">
        <v>76</v>
      </c>
      <c r="D23" s="289"/>
      <c r="E23" s="290"/>
      <c r="F23" s="309">
        <v>15000</v>
      </c>
      <c r="G23" s="294">
        <f t="shared" si="0"/>
        <v>22482658</v>
      </c>
      <c r="H23" s="281" t="s">
        <v>25</v>
      </c>
      <c r="J23" s="281"/>
      <c r="K23" s="281"/>
      <c r="L23" s="281"/>
      <c r="N23" s="296"/>
      <c r="O23" s="281"/>
    </row>
    <row r="24" spans="1:15" s="293" customFormat="1" ht="15" hidden="1" customHeight="1">
      <c r="A24" s="299">
        <v>44683</v>
      </c>
      <c r="B24" s="300" t="s">
        <v>213</v>
      </c>
      <c r="C24" s="296" t="s">
        <v>76</v>
      </c>
      <c r="D24" s="289"/>
      <c r="E24" s="298"/>
      <c r="F24" s="289">
        <v>181000</v>
      </c>
      <c r="G24" s="294">
        <f t="shared" si="0"/>
        <v>22301658</v>
      </c>
      <c r="H24" s="302" t="s">
        <v>25</v>
      </c>
      <c r="J24" s="281"/>
      <c r="K24" s="281"/>
      <c r="L24" s="281"/>
      <c r="N24" s="296"/>
      <c r="O24" s="281"/>
    </row>
    <row r="25" spans="1:15" s="293" customFormat="1" ht="15" hidden="1" customHeight="1">
      <c r="A25" s="288">
        <v>44683</v>
      </c>
      <c r="B25" s="281" t="s">
        <v>272</v>
      </c>
      <c r="C25" s="296" t="s">
        <v>273</v>
      </c>
      <c r="D25" s="289" t="s">
        <v>230</v>
      </c>
      <c r="E25" s="290"/>
      <c r="F25" s="309">
        <v>5430</v>
      </c>
      <c r="G25" s="294">
        <f t="shared" si="0"/>
        <v>22296228</v>
      </c>
      <c r="H25" s="281" t="s">
        <v>25</v>
      </c>
      <c r="I25" s="293" t="s">
        <v>229</v>
      </c>
      <c r="J25" s="281" t="s">
        <v>166</v>
      </c>
      <c r="K25" s="281" t="s">
        <v>214</v>
      </c>
      <c r="L25" s="281" t="s">
        <v>183</v>
      </c>
      <c r="N25" s="289"/>
      <c r="O25" s="281"/>
    </row>
    <row r="26" spans="1:15" s="293" customFormat="1" ht="15" hidden="1" customHeight="1">
      <c r="A26" s="288">
        <v>44683</v>
      </c>
      <c r="B26" s="304" t="s">
        <v>329</v>
      </c>
      <c r="C26" s="305" t="s">
        <v>3</v>
      </c>
      <c r="D26" s="289" t="s">
        <v>230</v>
      </c>
      <c r="E26" s="281"/>
      <c r="F26" s="296">
        <v>260000</v>
      </c>
      <c r="G26" s="294">
        <f t="shared" si="0"/>
        <v>22036228</v>
      </c>
      <c r="H26" s="293" t="s">
        <v>24</v>
      </c>
      <c r="I26" s="306">
        <v>3654479</v>
      </c>
      <c r="J26" s="281" t="s">
        <v>166</v>
      </c>
      <c r="K26" s="293" t="s">
        <v>214</v>
      </c>
      <c r="L26" s="281" t="s">
        <v>183</v>
      </c>
      <c r="N26" s="296"/>
      <c r="O26" s="281"/>
    </row>
    <row r="27" spans="1:15" s="293" customFormat="1" ht="15" hidden="1" customHeight="1">
      <c r="A27" s="288">
        <v>44683</v>
      </c>
      <c r="B27" s="304" t="s">
        <v>331</v>
      </c>
      <c r="C27" s="307" t="s">
        <v>332</v>
      </c>
      <c r="D27" s="289"/>
      <c r="E27" s="281">
        <v>11963948</v>
      </c>
      <c r="F27" s="289"/>
      <c r="G27" s="294">
        <f t="shared" si="0"/>
        <v>34000176</v>
      </c>
      <c r="H27" s="293" t="s">
        <v>24</v>
      </c>
      <c r="I27" s="306" t="s">
        <v>339</v>
      </c>
      <c r="J27" s="281" t="s">
        <v>166</v>
      </c>
      <c r="K27" s="293" t="s">
        <v>214</v>
      </c>
      <c r="L27" s="281" t="s">
        <v>183</v>
      </c>
      <c r="N27" s="289"/>
      <c r="O27" s="281"/>
    </row>
    <row r="28" spans="1:15" s="293" customFormat="1" ht="15" hidden="1" customHeight="1">
      <c r="A28" s="288">
        <v>44683</v>
      </c>
      <c r="B28" s="308" t="s">
        <v>340</v>
      </c>
      <c r="C28" s="307" t="s">
        <v>195</v>
      </c>
      <c r="D28" s="309" t="s">
        <v>230</v>
      </c>
      <c r="F28" s="289">
        <v>15218</v>
      </c>
      <c r="G28" s="294">
        <f t="shared" si="0"/>
        <v>33984958</v>
      </c>
      <c r="H28" s="281" t="s">
        <v>158</v>
      </c>
      <c r="I28" s="306" t="s">
        <v>339</v>
      </c>
      <c r="J28" s="293" t="s">
        <v>103</v>
      </c>
      <c r="K28" s="293" t="s">
        <v>215</v>
      </c>
      <c r="L28" s="281" t="s">
        <v>183</v>
      </c>
      <c r="M28" s="178" t="s">
        <v>531</v>
      </c>
      <c r="N28" s="296" t="s">
        <v>239</v>
      </c>
      <c r="O28" s="281"/>
    </row>
    <row r="29" spans="1:15" s="293" customFormat="1" ht="15" hidden="1" customHeight="1">
      <c r="A29" s="299">
        <v>44683</v>
      </c>
      <c r="B29" s="310" t="s">
        <v>415</v>
      </c>
      <c r="C29" s="296" t="s">
        <v>76</v>
      </c>
      <c r="D29" s="297"/>
      <c r="E29" s="311">
        <v>15000</v>
      </c>
      <c r="F29" s="303"/>
      <c r="G29" s="294">
        <f t="shared" si="0"/>
        <v>33999958</v>
      </c>
      <c r="H29" s="312" t="s">
        <v>271</v>
      </c>
      <c r="I29" s="306"/>
      <c r="L29" s="281"/>
      <c r="N29" s="296"/>
      <c r="O29" s="296"/>
    </row>
    <row r="30" spans="1:15" s="293" customFormat="1" ht="15" hidden="1" customHeight="1">
      <c r="A30" s="299">
        <v>44683</v>
      </c>
      <c r="B30" s="310" t="s">
        <v>428</v>
      </c>
      <c r="C30" s="296" t="s">
        <v>237</v>
      </c>
      <c r="D30" s="313"/>
      <c r="E30" s="311">
        <v>181000</v>
      </c>
      <c r="F30" s="361"/>
      <c r="G30" s="294">
        <f t="shared" si="0"/>
        <v>34180958</v>
      </c>
      <c r="H30" s="312" t="s">
        <v>213</v>
      </c>
      <c r="I30" s="306"/>
      <c r="J30" s="306"/>
      <c r="K30" s="306"/>
      <c r="L30" s="281"/>
      <c r="N30" s="296"/>
    </row>
    <row r="31" spans="1:15" s="293" customFormat="1" ht="15" hidden="1" customHeight="1">
      <c r="A31" s="314">
        <v>44683</v>
      </c>
      <c r="B31" s="315" t="s">
        <v>429</v>
      </c>
      <c r="C31" s="296" t="s">
        <v>216</v>
      </c>
      <c r="D31" s="313" t="s">
        <v>164</v>
      </c>
      <c r="E31" s="316"/>
      <c r="F31" s="289">
        <v>20000</v>
      </c>
      <c r="G31" s="294">
        <f t="shared" si="0"/>
        <v>34160958</v>
      </c>
      <c r="H31" s="317" t="s">
        <v>213</v>
      </c>
      <c r="I31" s="293" t="s">
        <v>229</v>
      </c>
      <c r="J31" s="306" t="s">
        <v>166</v>
      </c>
      <c r="K31" s="293" t="s">
        <v>214</v>
      </c>
      <c r="L31" s="281" t="s">
        <v>183</v>
      </c>
      <c r="N31" s="296"/>
    </row>
    <row r="32" spans="1:15" s="293" customFormat="1" ht="15" hidden="1" customHeight="1">
      <c r="A32" s="288">
        <v>44683</v>
      </c>
      <c r="B32" s="293" t="s">
        <v>430</v>
      </c>
      <c r="C32" s="296" t="s">
        <v>216</v>
      </c>
      <c r="D32" s="313" t="s">
        <v>164</v>
      </c>
      <c r="E32" s="318"/>
      <c r="F32" s="345">
        <v>24500</v>
      </c>
      <c r="G32" s="294">
        <f t="shared" si="0"/>
        <v>34136458</v>
      </c>
      <c r="H32" s="293" t="s">
        <v>213</v>
      </c>
      <c r="I32" s="293" t="s">
        <v>229</v>
      </c>
      <c r="J32" s="306" t="s">
        <v>166</v>
      </c>
      <c r="K32" s="293" t="s">
        <v>214</v>
      </c>
      <c r="L32" s="281" t="s">
        <v>183</v>
      </c>
      <c r="N32" s="296"/>
    </row>
    <row r="33" spans="1:16" s="293" customFormat="1" ht="15" hidden="1" customHeight="1">
      <c r="A33" s="288">
        <v>44683</v>
      </c>
      <c r="B33" s="293" t="s">
        <v>475</v>
      </c>
      <c r="C33" s="296" t="s">
        <v>157</v>
      </c>
      <c r="D33" s="289" t="s">
        <v>4</v>
      </c>
      <c r="E33" s="320"/>
      <c r="F33" s="309">
        <v>20000</v>
      </c>
      <c r="G33" s="294">
        <f t="shared" si="0"/>
        <v>34116458</v>
      </c>
      <c r="H33" s="293" t="s">
        <v>49</v>
      </c>
      <c r="I33" s="295" t="s">
        <v>231</v>
      </c>
      <c r="J33" s="293" t="s">
        <v>166</v>
      </c>
      <c r="K33" s="293" t="s">
        <v>215</v>
      </c>
      <c r="L33" s="281" t="s">
        <v>183</v>
      </c>
      <c r="M33" s="178" t="s">
        <v>532</v>
      </c>
      <c r="N33" s="296" t="s">
        <v>511</v>
      </c>
    </row>
    <row r="34" spans="1:16" s="293" customFormat="1" ht="15.75" hidden="1" customHeight="1">
      <c r="A34" s="288">
        <v>44684</v>
      </c>
      <c r="B34" s="281" t="s">
        <v>94</v>
      </c>
      <c r="C34" s="296" t="s">
        <v>76</v>
      </c>
      <c r="D34" s="303"/>
      <c r="E34" s="290"/>
      <c r="F34" s="309">
        <v>15000</v>
      </c>
      <c r="G34" s="294">
        <f t="shared" si="0"/>
        <v>34101458</v>
      </c>
      <c r="H34" s="281" t="s">
        <v>25</v>
      </c>
      <c r="J34" s="281"/>
      <c r="K34" s="281"/>
      <c r="L34" s="281"/>
      <c r="N34" s="296"/>
      <c r="O34" s="281"/>
    </row>
    <row r="35" spans="1:16" s="293" customFormat="1" ht="15" hidden="1" customHeight="1">
      <c r="A35" s="288">
        <v>44684</v>
      </c>
      <c r="B35" s="304" t="s">
        <v>330</v>
      </c>
      <c r="C35" s="307" t="s">
        <v>195</v>
      </c>
      <c r="D35" s="307" t="s">
        <v>230</v>
      </c>
      <c r="E35" s="281"/>
      <c r="F35" s="289">
        <v>23345</v>
      </c>
      <c r="G35" s="294">
        <f t="shared" si="0"/>
        <v>34078113</v>
      </c>
      <c r="H35" s="293" t="s">
        <v>24</v>
      </c>
      <c r="I35" s="306" t="s">
        <v>339</v>
      </c>
      <c r="J35" s="281" t="s">
        <v>166</v>
      </c>
      <c r="K35" s="293" t="s">
        <v>214</v>
      </c>
      <c r="L35" s="281" t="s">
        <v>183</v>
      </c>
      <c r="N35" s="296"/>
      <c r="O35" s="281"/>
    </row>
    <row r="36" spans="1:16" s="293" customFormat="1" ht="15.75" hidden="1" customHeight="1">
      <c r="A36" s="288">
        <v>44684</v>
      </c>
      <c r="B36" s="293" t="s">
        <v>254</v>
      </c>
      <c r="C36" s="296" t="s">
        <v>76</v>
      </c>
      <c r="D36" s="303"/>
      <c r="E36" s="320">
        <v>15000</v>
      </c>
      <c r="F36" s="307"/>
      <c r="G36" s="294">
        <f t="shared" si="0"/>
        <v>34093113</v>
      </c>
      <c r="H36" s="293" t="s">
        <v>94</v>
      </c>
      <c r="I36" s="306"/>
      <c r="J36" s="281"/>
      <c r="L36" s="281"/>
      <c r="N36" s="296"/>
    </row>
    <row r="37" spans="1:16" s="293" customFormat="1" ht="15.75" hidden="1" customHeight="1">
      <c r="A37" s="288">
        <v>44684</v>
      </c>
      <c r="B37" s="293" t="s">
        <v>431</v>
      </c>
      <c r="C37" s="296" t="s">
        <v>216</v>
      </c>
      <c r="D37" s="296" t="s">
        <v>164</v>
      </c>
      <c r="E37" s="320"/>
      <c r="F37" s="307">
        <v>33700</v>
      </c>
      <c r="G37" s="294">
        <f t="shared" si="0"/>
        <v>34059413</v>
      </c>
      <c r="H37" s="293" t="s">
        <v>213</v>
      </c>
      <c r="I37" s="293" t="s">
        <v>229</v>
      </c>
      <c r="J37" s="306" t="s">
        <v>166</v>
      </c>
      <c r="K37" s="293" t="s">
        <v>214</v>
      </c>
      <c r="L37" s="281" t="s">
        <v>183</v>
      </c>
      <c r="N37" s="296"/>
    </row>
    <row r="38" spans="1:16" s="293" customFormat="1" ht="15.75" hidden="1" customHeight="1">
      <c r="A38" s="321">
        <v>44684</v>
      </c>
      <c r="B38" s="293" t="s">
        <v>518</v>
      </c>
      <c r="C38" s="297" t="s">
        <v>34</v>
      </c>
      <c r="D38" s="313" t="s">
        <v>164</v>
      </c>
      <c r="E38" s="322"/>
      <c r="F38" s="309">
        <v>7000</v>
      </c>
      <c r="G38" s="294">
        <f t="shared" si="0"/>
        <v>34052413</v>
      </c>
      <c r="H38" s="293" t="s">
        <v>213</v>
      </c>
      <c r="I38" s="293" t="s">
        <v>229</v>
      </c>
      <c r="J38" s="293" t="s">
        <v>166</v>
      </c>
      <c r="K38" s="293" t="s">
        <v>214</v>
      </c>
      <c r="L38" s="281" t="s">
        <v>183</v>
      </c>
      <c r="N38" s="296"/>
      <c r="P38" s="323"/>
    </row>
    <row r="39" spans="1:16" s="293" customFormat="1" ht="15.75" hidden="1" customHeight="1">
      <c r="A39" s="299">
        <v>44684</v>
      </c>
      <c r="B39" s="310" t="s">
        <v>636</v>
      </c>
      <c r="C39" s="296" t="s">
        <v>34</v>
      </c>
      <c r="D39" s="289" t="s">
        <v>4</v>
      </c>
      <c r="E39" s="311"/>
      <c r="F39" s="303">
        <v>6000</v>
      </c>
      <c r="G39" s="294">
        <f t="shared" si="0"/>
        <v>34046413</v>
      </c>
      <c r="H39" s="324" t="s">
        <v>29</v>
      </c>
      <c r="I39" s="293" t="s">
        <v>229</v>
      </c>
      <c r="J39" s="306" t="s">
        <v>166</v>
      </c>
      <c r="K39" s="293" t="s">
        <v>215</v>
      </c>
      <c r="L39" s="281" t="s">
        <v>183</v>
      </c>
      <c r="M39" s="178" t="s">
        <v>533</v>
      </c>
      <c r="N39" s="296" t="s">
        <v>251</v>
      </c>
    </row>
    <row r="40" spans="1:16" s="326" customFormat="1" ht="15.75" hidden="1" customHeight="1">
      <c r="A40" s="321">
        <v>44684</v>
      </c>
      <c r="B40" s="306" t="s">
        <v>463</v>
      </c>
      <c r="C40" s="296" t="s">
        <v>157</v>
      </c>
      <c r="D40" s="289" t="s">
        <v>4</v>
      </c>
      <c r="E40" s="322"/>
      <c r="F40" s="307">
        <v>40000</v>
      </c>
      <c r="G40" s="294">
        <f t="shared" si="0"/>
        <v>34006413</v>
      </c>
      <c r="H40" s="293" t="s">
        <v>29</v>
      </c>
      <c r="I40" s="295" t="s">
        <v>231</v>
      </c>
      <c r="J40" s="293" t="s">
        <v>103</v>
      </c>
      <c r="K40" s="300" t="s">
        <v>215</v>
      </c>
      <c r="L40" s="281" t="s">
        <v>183</v>
      </c>
      <c r="M40" s="178" t="s">
        <v>534</v>
      </c>
      <c r="N40" s="325" t="s">
        <v>511</v>
      </c>
      <c r="O40" s="293"/>
      <c r="P40" s="293"/>
    </row>
    <row r="41" spans="1:16" s="293" customFormat="1" ht="15.75" hidden="1" customHeight="1">
      <c r="A41" s="288">
        <v>44685</v>
      </c>
      <c r="B41" s="295" t="s">
        <v>341</v>
      </c>
      <c r="C41" s="289" t="s">
        <v>280</v>
      </c>
      <c r="D41" s="289" t="s">
        <v>164</v>
      </c>
      <c r="F41" s="289">
        <v>150000</v>
      </c>
      <c r="G41" s="294">
        <f t="shared" si="0"/>
        <v>33856413</v>
      </c>
      <c r="H41" s="281" t="s">
        <v>158</v>
      </c>
      <c r="I41" s="280">
        <v>3643658</v>
      </c>
      <c r="J41" s="293" t="s">
        <v>103</v>
      </c>
      <c r="K41" s="293" t="s">
        <v>215</v>
      </c>
      <c r="L41" s="281" t="s">
        <v>183</v>
      </c>
      <c r="M41" s="178" t="s">
        <v>535</v>
      </c>
      <c r="N41" s="289" t="s">
        <v>243</v>
      </c>
      <c r="O41" s="281"/>
    </row>
    <row r="42" spans="1:16" s="293" customFormat="1" ht="15.75" customHeight="1">
      <c r="A42" s="288">
        <v>44685</v>
      </c>
      <c r="B42" s="295" t="s">
        <v>342</v>
      </c>
      <c r="C42" s="327" t="s">
        <v>186</v>
      </c>
      <c r="D42" s="309" t="s">
        <v>343</v>
      </c>
      <c r="F42" s="296">
        <v>500000</v>
      </c>
      <c r="G42" s="294">
        <f t="shared" si="0"/>
        <v>33356413</v>
      </c>
      <c r="H42" s="281" t="s">
        <v>158</v>
      </c>
      <c r="I42" s="306">
        <v>3643656</v>
      </c>
      <c r="J42" s="293" t="s">
        <v>103</v>
      </c>
      <c r="K42" s="293" t="s">
        <v>215</v>
      </c>
      <c r="L42" s="281" t="s">
        <v>183</v>
      </c>
      <c r="M42" s="178" t="s">
        <v>536</v>
      </c>
      <c r="N42" s="296" t="s">
        <v>352</v>
      </c>
      <c r="O42" s="281"/>
    </row>
    <row r="43" spans="1:16" s="293" customFormat="1" ht="15.75" hidden="1" customHeight="1">
      <c r="A43" s="321">
        <v>44685</v>
      </c>
      <c r="B43" s="293" t="s">
        <v>432</v>
      </c>
      <c r="C43" s="297" t="s">
        <v>157</v>
      </c>
      <c r="D43" s="307" t="s">
        <v>164</v>
      </c>
      <c r="E43" s="322"/>
      <c r="F43" s="289">
        <v>45000</v>
      </c>
      <c r="G43" s="294">
        <f t="shared" si="0"/>
        <v>33311413</v>
      </c>
      <c r="H43" s="293" t="s">
        <v>213</v>
      </c>
      <c r="I43" s="293" t="s">
        <v>229</v>
      </c>
      <c r="J43" s="281" t="s">
        <v>166</v>
      </c>
      <c r="K43" s="281" t="s">
        <v>214</v>
      </c>
      <c r="L43" s="281" t="s">
        <v>183</v>
      </c>
      <c r="N43" s="296"/>
    </row>
    <row r="44" spans="1:16" s="293" customFormat="1" ht="15" hidden="1" customHeight="1">
      <c r="A44" s="299">
        <v>44685</v>
      </c>
      <c r="B44" s="310" t="s">
        <v>476</v>
      </c>
      <c r="C44" s="296" t="s">
        <v>157</v>
      </c>
      <c r="D44" s="289" t="s">
        <v>4</v>
      </c>
      <c r="E44" s="311"/>
      <c r="F44" s="303">
        <v>30000</v>
      </c>
      <c r="G44" s="294">
        <f t="shared" si="0"/>
        <v>33281413</v>
      </c>
      <c r="H44" s="312" t="s">
        <v>49</v>
      </c>
      <c r="I44" s="293" t="s">
        <v>229</v>
      </c>
      <c r="J44" s="293" t="s">
        <v>166</v>
      </c>
      <c r="K44" s="293" t="s">
        <v>215</v>
      </c>
      <c r="L44" s="281" t="s">
        <v>183</v>
      </c>
      <c r="M44" s="178" t="s">
        <v>537</v>
      </c>
      <c r="N44" s="296" t="s">
        <v>511</v>
      </c>
    </row>
    <row r="45" spans="1:16" s="293" customFormat="1" ht="15" hidden="1" customHeight="1">
      <c r="A45" s="288">
        <v>44686</v>
      </c>
      <c r="B45" s="281" t="s">
        <v>30</v>
      </c>
      <c r="C45" s="296" t="s">
        <v>76</v>
      </c>
      <c r="D45" s="289"/>
      <c r="E45" s="290"/>
      <c r="F45" s="309">
        <v>80000</v>
      </c>
      <c r="G45" s="294">
        <f t="shared" si="0"/>
        <v>33201413</v>
      </c>
      <c r="H45" s="281" t="s">
        <v>25</v>
      </c>
      <c r="J45" s="281"/>
      <c r="K45" s="281"/>
      <c r="L45" s="281"/>
      <c r="N45" s="296"/>
      <c r="O45" s="281"/>
    </row>
    <row r="46" spans="1:16" s="293" customFormat="1" ht="15" customHeight="1">
      <c r="A46" s="288">
        <v>44686</v>
      </c>
      <c r="B46" s="328" t="s">
        <v>274</v>
      </c>
      <c r="C46" s="296" t="s">
        <v>186</v>
      </c>
      <c r="D46" s="289" t="s">
        <v>230</v>
      </c>
      <c r="E46" s="329"/>
      <c r="F46" s="289">
        <v>13500</v>
      </c>
      <c r="G46" s="294">
        <f t="shared" si="0"/>
        <v>33187913</v>
      </c>
      <c r="H46" s="281" t="s">
        <v>25</v>
      </c>
      <c r="I46" s="293" t="s">
        <v>229</v>
      </c>
      <c r="J46" s="281" t="s">
        <v>166</v>
      </c>
      <c r="K46" s="281" t="s">
        <v>215</v>
      </c>
      <c r="L46" s="281" t="s">
        <v>183</v>
      </c>
      <c r="M46" s="178" t="s">
        <v>538</v>
      </c>
      <c r="N46" s="289" t="s">
        <v>245</v>
      </c>
    </row>
    <row r="47" spans="1:16" s="293" customFormat="1" ht="15" hidden="1" customHeight="1">
      <c r="A47" s="288">
        <v>44686</v>
      </c>
      <c r="B47" s="328" t="s">
        <v>275</v>
      </c>
      <c r="C47" s="296" t="s">
        <v>76</v>
      </c>
      <c r="D47" s="289"/>
      <c r="E47" s="329">
        <v>1000000</v>
      </c>
      <c r="F47" s="289"/>
      <c r="G47" s="294">
        <f t="shared" si="0"/>
        <v>34187913</v>
      </c>
      <c r="H47" s="281" t="s">
        <v>25</v>
      </c>
      <c r="J47" s="306"/>
      <c r="L47" s="281"/>
      <c r="N47" s="296"/>
    </row>
    <row r="48" spans="1:16" s="293" customFormat="1" ht="15" hidden="1" customHeight="1">
      <c r="A48" s="288">
        <v>44686</v>
      </c>
      <c r="B48" s="293" t="s">
        <v>276</v>
      </c>
      <c r="C48" s="296" t="s">
        <v>76</v>
      </c>
      <c r="D48" s="289"/>
      <c r="E48" s="329"/>
      <c r="F48" s="379">
        <v>88000</v>
      </c>
      <c r="G48" s="294">
        <f t="shared" si="0"/>
        <v>34099913</v>
      </c>
      <c r="H48" s="293" t="s">
        <v>25</v>
      </c>
      <c r="L48" s="281"/>
      <c r="N48" s="296"/>
    </row>
    <row r="49" spans="1:21" s="293" customFormat="1" ht="15" hidden="1" customHeight="1">
      <c r="A49" s="299">
        <v>44686</v>
      </c>
      <c r="B49" s="300" t="s">
        <v>277</v>
      </c>
      <c r="C49" s="297" t="s">
        <v>273</v>
      </c>
      <c r="D49" s="289" t="s">
        <v>230</v>
      </c>
      <c r="E49" s="301"/>
      <c r="F49" s="361">
        <v>2640</v>
      </c>
      <c r="G49" s="294">
        <f t="shared" si="0"/>
        <v>34097273</v>
      </c>
      <c r="H49" s="302" t="s">
        <v>25</v>
      </c>
      <c r="I49" s="293" t="s">
        <v>229</v>
      </c>
      <c r="J49" s="281" t="s">
        <v>103</v>
      </c>
      <c r="K49" s="281" t="s">
        <v>215</v>
      </c>
      <c r="L49" s="281" t="s">
        <v>183</v>
      </c>
      <c r="M49" s="178" t="s">
        <v>539</v>
      </c>
      <c r="N49" s="289" t="s">
        <v>239</v>
      </c>
      <c r="O49" s="281"/>
    </row>
    <row r="50" spans="1:21" s="293" customFormat="1" ht="15" hidden="1" customHeight="1">
      <c r="A50" s="288">
        <v>44686</v>
      </c>
      <c r="B50" s="281" t="s">
        <v>333</v>
      </c>
      <c r="C50" s="307" t="s">
        <v>76</v>
      </c>
      <c r="D50" s="309"/>
      <c r="E50" s="281"/>
      <c r="F50" s="296">
        <v>1000000</v>
      </c>
      <c r="G50" s="294">
        <f t="shared" si="0"/>
        <v>33097273</v>
      </c>
      <c r="H50" s="293" t="s">
        <v>24</v>
      </c>
      <c r="I50" s="306"/>
      <c r="J50" s="281"/>
      <c r="L50" s="281"/>
      <c r="N50" s="330"/>
      <c r="O50" s="281"/>
    </row>
    <row r="51" spans="1:21" s="293" customFormat="1" ht="15" hidden="1" customHeight="1">
      <c r="A51" s="299">
        <v>44686</v>
      </c>
      <c r="B51" s="281" t="s">
        <v>364</v>
      </c>
      <c r="C51" s="331" t="s">
        <v>34</v>
      </c>
      <c r="D51" s="332" t="s">
        <v>2</v>
      </c>
      <c r="E51" s="302"/>
      <c r="F51" s="289">
        <v>7000</v>
      </c>
      <c r="G51" s="294">
        <f t="shared" si="0"/>
        <v>33090273</v>
      </c>
      <c r="H51" s="293" t="s">
        <v>48</v>
      </c>
      <c r="I51" s="293" t="s">
        <v>229</v>
      </c>
      <c r="J51" s="306" t="s">
        <v>166</v>
      </c>
      <c r="K51" s="293" t="s">
        <v>215</v>
      </c>
      <c r="L51" s="281" t="s">
        <v>183</v>
      </c>
      <c r="M51" s="178" t="s">
        <v>540</v>
      </c>
      <c r="N51" s="296" t="s">
        <v>251</v>
      </c>
      <c r="O51" s="281"/>
    </row>
    <row r="52" spans="1:21" s="293" customFormat="1" ht="15" hidden="1" customHeight="1">
      <c r="A52" s="288">
        <v>44686</v>
      </c>
      <c r="B52" s="281" t="s">
        <v>365</v>
      </c>
      <c r="C52" s="333" t="s">
        <v>76</v>
      </c>
      <c r="D52" s="334"/>
      <c r="E52" s="281">
        <v>88000</v>
      </c>
      <c r="F52" s="289"/>
      <c r="G52" s="294">
        <f t="shared" si="0"/>
        <v>33178273</v>
      </c>
      <c r="H52" s="293" t="s">
        <v>48</v>
      </c>
      <c r="I52" s="306"/>
      <c r="J52" s="306"/>
      <c r="L52" s="281"/>
      <c r="N52" s="296"/>
      <c r="O52" s="281"/>
    </row>
    <row r="53" spans="1:21" s="293" customFormat="1" ht="15" hidden="1" customHeight="1">
      <c r="A53" s="288">
        <v>44686</v>
      </c>
      <c r="B53" s="293" t="s">
        <v>253</v>
      </c>
      <c r="C53" s="296" t="s">
        <v>76</v>
      </c>
      <c r="D53" s="313"/>
      <c r="E53" s="318">
        <v>80000</v>
      </c>
      <c r="F53" s="309"/>
      <c r="G53" s="294">
        <f t="shared" si="0"/>
        <v>33258273</v>
      </c>
      <c r="H53" s="281" t="s">
        <v>49</v>
      </c>
      <c r="I53" s="306"/>
      <c r="J53" s="306"/>
      <c r="K53" s="306"/>
      <c r="L53" s="281"/>
      <c r="N53" s="296"/>
    </row>
    <row r="54" spans="1:21" s="293" customFormat="1" ht="15" hidden="1" customHeight="1">
      <c r="A54" s="288">
        <v>44686</v>
      </c>
      <c r="B54" s="293" t="s">
        <v>477</v>
      </c>
      <c r="C54" s="296" t="s">
        <v>34</v>
      </c>
      <c r="D54" s="289" t="s">
        <v>4</v>
      </c>
      <c r="E54" s="318"/>
      <c r="F54" s="289">
        <v>4000</v>
      </c>
      <c r="G54" s="294">
        <f t="shared" si="0"/>
        <v>33254273</v>
      </c>
      <c r="H54" s="281" t="s">
        <v>49</v>
      </c>
      <c r="I54" s="293" t="s">
        <v>229</v>
      </c>
      <c r="J54" s="306" t="s">
        <v>166</v>
      </c>
      <c r="K54" s="293" t="s">
        <v>215</v>
      </c>
      <c r="L54" s="281" t="s">
        <v>183</v>
      </c>
      <c r="M54" s="178" t="s">
        <v>541</v>
      </c>
      <c r="N54" s="296" t="s">
        <v>251</v>
      </c>
      <c r="P54" s="335"/>
    </row>
    <row r="55" spans="1:21" s="293" customFormat="1" ht="15" hidden="1" customHeight="1">
      <c r="A55" s="288">
        <v>44686</v>
      </c>
      <c r="B55" s="293" t="s">
        <v>478</v>
      </c>
      <c r="C55" s="296" t="s">
        <v>34</v>
      </c>
      <c r="D55" s="289" t="s">
        <v>4</v>
      </c>
      <c r="E55" s="329"/>
      <c r="F55" s="379">
        <v>10000</v>
      </c>
      <c r="G55" s="294">
        <f t="shared" si="0"/>
        <v>33244273</v>
      </c>
      <c r="H55" s="293" t="s">
        <v>49</v>
      </c>
      <c r="I55" s="293" t="s">
        <v>229</v>
      </c>
      <c r="J55" s="306" t="s">
        <v>166</v>
      </c>
      <c r="K55" s="293" t="s">
        <v>215</v>
      </c>
      <c r="L55" s="281" t="s">
        <v>183</v>
      </c>
      <c r="M55" s="178" t="s">
        <v>542</v>
      </c>
      <c r="N55" s="296" t="s">
        <v>251</v>
      </c>
      <c r="P55" s="335"/>
    </row>
    <row r="56" spans="1:21" s="293" customFormat="1" ht="15" hidden="1" customHeight="1">
      <c r="A56" s="321">
        <v>44686</v>
      </c>
      <c r="B56" s="310" t="s">
        <v>479</v>
      </c>
      <c r="C56" s="297" t="s">
        <v>157</v>
      </c>
      <c r="D56" s="289" t="s">
        <v>4</v>
      </c>
      <c r="E56" s="337"/>
      <c r="F56" s="361">
        <v>20000</v>
      </c>
      <c r="G56" s="294">
        <f t="shared" si="0"/>
        <v>33224273</v>
      </c>
      <c r="H56" s="310" t="s">
        <v>49</v>
      </c>
      <c r="I56" s="295" t="s">
        <v>231</v>
      </c>
      <c r="J56" s="293" t="s">
        <v>166</v>
      </c>
      <c r="K56" s="293" t="s">
        <v>215</v>
      </c>
      <c r="L56" s="281" t="s">
        <v>183</v>
      </c>
      <c r="M56" s="178" t="s">
        <v>543</v>
      </c>
      <c r="N56" s="296" t="s">
        <v>511</v>
      </c>
      <c r="P56" s="335"/>
      <c r="U56" s="293">
        <f>39000+156000+117000+111000+62000+92000+154000</f>
        <v>731000</v>
      </c>
    </row>
    <row r="57" spans="1:21" s="293" customFormat="1" ht="15" hidden="1" customHeight="1">
      <c r="A57" s="288">
        <v>44686</v>
      </c>
      <c r="B57" s="293" t="s">
        <v>368</v>
      </c>
      <c r="C57" s="296" t="s">
        <v>157</v>
      </c>
      <c r="D57" s="289" t="s">
        <v>2</v>
      </c>
      <c r="E57" s="318"/>
      <c r="F57" s="289">
        <v>20000</v>
      </c>
      <c r="G57" s="294">
        <f t="shared" si="0"/>
        <v>33204273</v>
      </c>
      <c r="H57" s="281" t="s">
        <v>48</v>
      </c>
      <c r="I57" s="295" t="s">
        <v>231</v>
      </c>
      <c r="J57" s="293" t="s">
        <v>103</v>
      </c>
      <c r="K57" s="293" t="s">
        <v>215</v>
      </c>
      <c r="L57" s="281" t="s">
        <v>183</v>
      </c>
      <c r="M57" s="178" t="s">
        <v>544</v>
      </c>
      <c r="N57" s="296" t="s">
        <v>511</v>
      </c>
    </row>
    <row r="58" spans="1:21" s="293" customFormat="1" ht="15" hidden="1" customHeight="1">
      <c r="A58" s="299">
        <v>44687</v>
      </c>
      <c r="B58" s="300" t="s">
        <v>235</v>
      </c>
      <c r="C58" s="296" t="s">
        <v>76</v>
      </c>
      <c r="D58" s="289"/>
      <c r="E58" s="301">
        <v>70000</v>
      </c>
      <c r="F58" s="303"/>
      <c r="G58" s="294">
        <f t="shared" si="0"/>
        <v>33274273</v>
      </c>
      <c r="H58" s="302" t="s">
        <v>25</v>
      </c>
      <c r="J58" s="281"/>
      <c r="L58" s="281"/>
      <c r="N58" s="296"/>
      <c r="O58" s="281"/>
    </row>
    <row r="59" spans="1:21" s="293" customFormat="1" ht="15" customHeight="1">
      <c r="A59" s="299">
        <v>44687</v>
      </c>
      <c r="B59" s="281" t="s">
        <v>278</v>
      </c>
      <c r="C59" s="296" t="s">
        <v>186</v>
      </c>
      <c r="D59" s="289" t="s">
        <v>230</v>
      </c>
      <c r="E59" s="291"/>
      <c r="F59" s="309">
        <v>70082</v>
      </c>
      <c r="G59" s="294">
        <f t="shared" si="0"/>
        <v>33204191</v>
      </c>
      <c r="H59" s="281" t="s">
        <v>25</v>
      </c>
      <c r="I59" s="293" t="s">
        <v>229</v>
      </c>
      <c r="J59" s="281" t="s">
        <v>103</v>
      </c>
      <c r="K59" s="281" t="s">
        <v>215</v>
      </c>
      <c r="L59" s="281" t="s">
        <v>183</v>
      </c>
      <c r="M59" s="178" t="s">
        <v>545</v>
      </c>
      <c r="N59" s="289" t="s">
        <v>241</v>
      </c>
      <c r="O59" s="281"/>
    </row>
    <row r="60" spans="1:21" s="293" customFormat="1" ht="15" hidden="1" customHeight="1">
      <c r="A60" s="299">
        <v>44687</v>
      </c>
      <c r="B60" s="300" t="s">
        <v>279</v>
      </c>
      <c r="C60" s="296" t="s">
        <v>280</v>
      </c>
      <c r="D60" s="289" t="s">
        <v>164</v>
      </c>
      <c r="E60" s="301"/>
      <c r="F60" s="361">
        <v>86000</v>
      </c>
      <c r="G60" s="294">
        <f t="shared" si="0"/>
        <v>33118191</v>
      </c>
      <c r="H60" s="302" t="s">
        <v>25</v>
      </c>
      <c r="I60" s="293" t="s">
        <v>229</v>
      </c>
      <c r="J60" s="281" t="s">
        <v>103</v>
      </c>
      <c r="K60" s="281" t="s">
        <v>215</v>
      </c>
      <c r="L60" s="281" t="s">
        <v>183</v>
      </c>
      <c r="M60" s="178" t="s">
        <v>546</v>
      </c>
      <c r="N60" s="289" t="s">
        <v>244</v>
      </c>
      <c r="O60" s="281"/>
    </row>
    <row r="61" spans="1:21" s="293" customFormat="1" ht="15" hidden="1" customHeight="1">
      <c r="A61" s="321">
        <v>44687</v>
      </c>
      <c r="B61" s="281" t="s">
        <v>235</v>
      </c>
      <c r="C61" s="296" t="s">
        <v>76</v>
      </c>
      <c r="D61" s="307"/>
      <c r="E61" s="319"/>
      <c r="F61" s="289">
        <v>92000</v>
      </c>
      <c r="G61" s="294">
        <f t="shared" si="0"/>
        <v>33026191</v>
      </c>
      <c r="H61" s="281" t="s">
        <v>25</v>
      </c>
      <c r="J61" s="281"/>
      <c r="K61" s="281"/>
      <c r="L61" s="281"/>
      <c r="N61" s="289"/>
      <c r="O61" s="281"/>
    </row>
    <row r="62" spans="1:21" s="293" customFormat="1" ht="15" hidden="1" customHeight="1">
      <c r="A62" s="288">
        <v>44687</v>
      </c>
      <c r="B62" s="281" t="s">
        <v>271</v>
      </c>
      <c r="C62" s="296" t="s">
        <v>76</v>
      </c>
      <c r="D62" s="289"/>
      <c r="E62" s="318"/>
      <c r="F62" s="345">
        <v>15000</v>
      </c>
      <c r="G62" s="294">
        <f t="shared" si="0"/>
        <v>33011191</v>
      </c>
      <c r="H62" s="293" t="s">
        <v>25</v>
      </c>
      <c r="J62" s="281"/>
      <c r="K62" s="281"/>
      <c r="L62" s="281"/>
      <c r="N62" s="296"/>
    </row>
    <row r="63" spans="1:21" s="293" customFormat="1" ht="15" hidden="1" customHeight="1">
      <c r="A63" s="288">
        <v>44687</v>
      </c>
      <c r="B63" s="281" t="s">
        <v>212</v>
      </c>
      <c r="C63" s="296" t="s">
        <v>76</v>
      </c>
      <c r="D63" s="289"/>
      <c r="E63" s="290"/>
      <c r="F63" s="309">
        <v>15000</v>
      </c>
      <c r="G63" s="294">
        <f t="shared" si="0"/>
        <v>32996191</v>
      </c>
      <c r="H63" s="281" t="s">
        <v>25</v>
      </c>
      <c r="K63" s="281"/>
      <c r="L63" s="281"/>
      <c r="N63" s="289"/>
      <c r="O63" s="281"/>
    </row>
    <row r="64" spans="1:21" s="293" customFormat="1" ht="15" hidden="1" customHeight="1">
      <c r="A64" s="288">
        <v>44687</v>
      </c>
      <c r="B64" s="293" t="s">
        <v>400</v>
      </c>
      <c r="C64" s="296" t="s">
        <v>76</v>
      </c>
      <c r="D64" s="289"/>
      <c r="E64" s="318"/>
      <c r="F64" s="289">
        <v>70000</v>
      </c>
      <c r="G64" s="294">
        <f t="shared" si="0"/>
        <v>32926191</v>
      </c>
      <c r="H64" s="281" t="s">
        <v>153</v>
      </c>
      <c r="I64" s="306"/>
      <c r="J64" s="281"/>
      <c r="L64" s="281"/>
      <c r="N64" s="296"/>
    </row>
    <row r="65" spans="1:31" s="293" customFormat="1" ht="15" hidden="1" customHeight="1">
      <c r="A65" s="288">
        <v>44687</v>
      </c>
      <c r="B65" s="293" t="s">
        <v>400</v>
      </c>
      <c r="C65" s="296" t="s">
        <v>76</v>
      </c>
      <c r="D65" s="313"/>
      <c r="E65" s="318">
        <v>92000</v>
      </c>
      <c r="F65" s="309"/>
      <c r="G65" s="294">
        <f t="shared" si="0"/>
        <v>33018191</v>
      </c>
      <c r="H65" s="293" t="s">
        <v>153</v>
      </c>
      <c r="I65" s="306"/>
      <c r="J65" s="306"/>
      <c r="K65" s="306"/>
      <c r="L65" s="281"/>
      <c r="N65" s="296"/>
    </row>
    <row r="66" spans="1:31" s="293" customFormat="1" ht="15" hidden="1" customHeight="1">
      <c r="A66" s="288">
        <v>44687</v>
      </c>
      <c r="B66" s="293" t="s">
        <v>256</v>
      </c>
      <c r="C66" s="296" t="s">
        <v>237</v>
      </c>
      <c r="D66" s="289"/>
      <c r="E66" s="293">
        <v>15000</v>
      </c>
      <c r="F66" s="289"/>
      <c r="G66" s="294">
        <f t="shared" si="0"/>
        <v>33033191</v>
      </c>
      <c r="H66" s="293" t="s">
        <v>212</v>
      </c>
      <c r="I66" s="306"/>
      <c r="J66" s="281"/>
      <c r="L66" s="281"/>
      <c r="N66" s="296"/>
      <c r="Z66" s="293">
        <v>44188</v>
      </c>
      <c r="AA66" s="293" t="s">
        <v>233</v>
      </c>
      <c r="AB66" s="293" t="s">
        <v>181</v>
      </c>
      <c r="AC66" s="293" t="s">
        <v>234</v>
      </c>
      <c r="AE66" s="293">
        <v>882</v>
      </c>
    </row>
    <row r="67" spans="1:31" s="293" customFormat="1" ht="15" hidden="1" customHeight="1">
      <c r="A67" s="288">
        <v>44687</v>
      </c>
      <c r="B67" s="293" t="s">
        <v>415</v>
      </c>
      <c r="C67" s="296" t="s">
        <v>76</v>
      </c>
      <c r="D67" s="313"/>
      <c r="E67" s="320">
        <v>15000</v>
      </c>
      <c r="F67" s="309"/>
      <c r="G67" s="294">
        <f t="shared" si="0"/>
        <v>33048191</v>
      </c>
      <c r="H67" s="293" t="s">
        <v>271</v>
      </c>
      <c r="I67" s="306"/>
      <c r="L67" s="281"/>
      <c r="N67" s="296"/>
      <c r="P67" s="323"/>
    </row>
    <row r="68" spans="1:31" s="293" customFormat="1" ht="15" hidden="1" customHeight="1">
      <c r="A68" s="299">
        <v>44688</v>
      </c>
      <c r="B68" s="293" t="s">
        <v>480</v>
      </c>
      <c r="C68" s="296" t="s">
        <v>34</v>
      </c>
      <c r="D68" s="289" t="s">
        <v>4</v>
      </c>
      <c r="E68" s="329"/>
      <c r="F68" s="379">
        <v>7000</v>
      </c>
      <c r="G68" s="294">
        <f t="shared" si="0"/>
        <v>33041191</v>
      </c>
      <c r="H68" s="293" t="s">
        <v>49</v>
      </c>
      <c r="I68" s="293" t="s">
        <v>229</v>
      </c>
      <c r="J68" s="306" t="s">
        <v>166</v>
      </c>
      <c r="K68" s="293" t="s">
        <v>215</v>
      </c>
      <c r="L68" s="281" t="s">
        <v>183</v>
      </c>
      <c r="M68" s="178" t="s">
        <v>547</v>
      </c>
      <c r="N68" s="296" t="s">
        <v>251</v>
      </c>
      <c r="P68" s="335"/>
    </row>
    <row r="69" spans="1:31" s="293" customFormat="1" ht="15" hidden="1" customHeight="1">
      <c r="A69" s="299">
        <v>44688</v>
      </c>
      <c r="B69" s="315" t="s">
        <v>366</v>
      </c>
      <c r="C69" s="338" t="s">
        <v>34</v>
      </c>
      <c r="D69" s="296" t="s">
        <v>2</v>
      </c>
      <c r="E69" s="317"/>
      <c r="F69" s="289">
        <v>7000</v>
      </c>
      <c r="G69" s="294">
        <f t="shared" si="0"/>
        <v>33034191</v>
      </c>
      <c r="H69" s="293" t="s">
        <v>48</v>
      </c>
      <c r="I69" s="293" t="s">
        <v>229</v>
      </c>
      <c r="J69" s="306" t="s">
        <v>166</v>
      </c>
      <c r="K69" s="293" t="s">
        <v>215</v>
      </c>
      <c r="L69" s="281" t="s">
        <v>183</v>
      </c>
      <c r="M69" s="178" t="s">
        <v>548</v>
      </c>
      <c r="N69" s="296" t="s">
        <v>251</v>
      </c>
    </row>
    <row r="70" spans="1:31" s="293" customFormat="1" ht="15" hidden="1" customHeight="1">
      <c r="A70" s="288">
        <v>44688</v>
      </c>
      <c r="B70" s="293" t="s">
        <v>367</v>
      </c>
      <c r="C70" s="296" t="s">
        <v>157</v>
      </c>
      <c r="D70" s="313" t="s">
        <v>2</v>
      </c>
      <c r="E70" s="318"/>
      <c r="F70" s="289">
        <v>30000</v>
      </c>
      <c r="G70" s="294">
        <f t="shared" si="0"/>
        <v>33004191</v>
      </c>
      <c r="H70" s="281" t="s">
        <v>48</v>
      </c>
      <c r="I70" s="293" t="s">
        <v>229</v>
      </c>
      <c r="J70" s="293" t="s">
        <v>103</v>
      </c>
      <c r="K70" s="293" t="s">
        <v>215</v>
      </c>
      <c r="L70" s="281" t="s">
        <v>183</v>
      </c>
      <c r="M70" s="178" t="s">
        <v>549</v>
      </c>
      <c r="N70" s="296" t="s">
        <v>511</v>
      </c>
      <c r="P70" s="323"/>
    </row>
    <row r="71" spans="1:31" s="293" customFormat="1" ht="15" hidden="1" customHeight="1">
      <c r="A71" s="288">
        <v>44688</v>
      </c>
      <c r="B71" s="293" t="s">
        <v>464</v>
      </c>
      <c r="C71" s="296" t="s">
        <v>157</v>
      </c>
      <c r="D71" s="289" t="s">
        <v>4</v>
      </c>
      <c r="E71" s="320"/>
      <c r="F71" s="289">
        <v>60000</v>
      </c>
      <c r="G71" s="294">
        <f t="shared" si="0"/>
        <v>32944191</v>
      </c>
      <c r="H71" s="293" t="s">
        <v>29</v>
      </c>
      <c r="I71" s="293" t="s">
        <v>229</v>
      </c>
      <c r="J71" s="293" t="s">
        <v>103</v>
      </c>
      <c r="K71" s="300" t="s">
        <v>215</v>
      </c>
      <c r="L71" s="281" t="s">
        <v>183</v>
      </c>
      <c r="M71" s="178" t="s">
        <v>550</v>
      </c>
      <c r="N71" s="325" t="s">
        <v>511</v>
      </c>
    </row>
    <row r="72" spans="1:31" s="293" customFormat="1" ht="15" hidden="1" customHeight="1">
      <c r="A72" s="299">
        <v>44688</v>
      </c>
      <c r="B72" s="310" t="s">
        <v>637</v>
      </c>
      <c r="C72" s="296" t="s">
        <v>34</v>
      </c>
      <c r="D72" s="289" t="s">
        <v>4</v>
      </c>
      <c r="E72" s="311"/>
      <c r="F72" s="361">
        <v>6000</v>
      </c>
      <c r="G72" s="294">
        <f t="shared" si="0"/>
        <v>32938191</v>
      </c>
      <c r="H72" s="324" t="s">
        <v>29</v>
      </c>
      <c r="I72" s="293" t="s">
        <v>229</v>
      </c>
      <c r="J72" s="306" t="s">
        <v>166</v>
      </c>
      <c r="K72" s="293" t="s">
        <v>215</v>
      </c>
      <c r="L72" s="281" t="s">
        <v>183</v>
      </c>
      <c r="M72" s="178" t="s">
        <v>551</v>
      </c>
      <c r="N72" s="296" t="s">
        <v>251</v>
      </c>
    </row>
    <row r="73" spans="1:31" s="293" customFormat="1" ht="15" hidden="1" customHeight="1">
      <c r="A73" s="299">
        <v>44688</v>
      </c>
      <c r="B73" s="293" t="s">
        <v>481</v>
      </c>
      <c r="C73" s="296" t="s">
        <v>157</v>
      </c>
      <c r="D73" s="289" t="s">
        <v>4</v>
      </c>
      <c r="E73" s="329"/>
      <c r="F73" s="379">
        <v>30000</v>
      </c>
      <c r="G73" s="294">
        <f t="shared" si="0"/>
        <v>32908191</v>
      </c>
      <c r="H73" s="293" t="s">
        <v>49</v>
      </c>
      <c r="I73" s="293" t="s">
        <v>229</v>
      </c>
      <c r="J73" s="293" t="s">
        <v>103</v>
      </c>
      <c r="K73" s="293" t="s">
        <v>215</v>
      </c>
      <c r="L73" s="281" t="s">
        <v>183</v>
      </c>
      <c r="M73" s="178" t="s">
        <v>552</v>
      </c>
      <c r="N73" s="296" t="s">
        <v>511</v>
      </c>
      <c r="P73" s="335"/>
    </row>
    <row r="74" spans="1:31" s="293" customFormat="1" ht="15" hidden="1" customHeight="1">
      <c r="A74" s="288">
        <v>44689</v>
      </c>
      <c r="B74" s="293" t="s">
        <v>507</v>
      </c>
      <c r="C74" s="296" t="s">
        <v>34</v>
      </c>
      <c r="D74" s="289" t="s">
        <v>164</v>
      </c>
      <c r="E74" s="318"/>
      <c r="F74" s="309">
        <v>13000</v>
      </c>
      <c r="G74" s="294">
        <f t="shared" si="0"/>
        <v>32895191</v>
      </c>
      <c r="H74" s="281" t="s">
        <v>153</v>
      </c>
      <c r="I74" s="293" t="s">
        <v>229</v>
      </c>
      <c r="J74" s="306" t="s">
        <v>166</v>
      </c>
      <c r="K74" s="281" t="s">
        <v>215</v>
      </c>
      <c r="L74" s="281" t="s">
        <v>183</v>
      </c>
      <c r="M74" s="178" t="s">
        <v>553</v>
      </c>
      <c r="N74" s="296" t="s">
        <v>251</v>
      </c>
    </row>
    <row r="75" spans="1:31" s="293" customFormat="1" ht="16.5" hidden="1" customHeight="1">
      <c r="A75" s="288">
        <v>44690</v>
      </c>
      <c r="B75" s="281" t="s">
        <v>401</v>
      </c>
      <c r="C75" s="296" t="s">
        <v>157</v>
      </c>
      <c r="D75" s="289" t="s">
        <v>164</v>
      </c>
      <c r="E75" s="318"/>
      <c r="F75" s="309">
        <v>20000</v>
      </c>
      <c r="G75" s="294">
        <f t="shared" si="0"/>
        <v>32875191</v>
      </c>
      <c r="H75" s="293" t="s">
        <v>153</v>
      </c>
      <c r="I75" s="295" t="s">
        <v>231</v>
      </c>
      <c r="J75" s="293" t="s">
        <v>103</v>
      </c>
      <c r="K75" s="281" t="s">
        <v>215</v>
      </c>
      <c r="L75" s="281" t="s">
        <v>183</v>
      </c>
      <c r="M75" s="178" t="s">
        <v>554</v>
      </c>
      <c r="N75" s="296" t="s">
        <v>511</v>
      </c>
    </row>
    <row r="76" spans="1:31" s="293" customFormat="1" ht="15" hidden="1" customHeight="1">
      <c r="A76" s="288">
        <v>44691</v>
      </c>
      <c r="B76" s="281" t="s">
        <v>31</v>
      </c>
      <c r="C76" s="296" t="s">
        <v>76</v>
      </c>
      <c r="D76" s="289"/>
      <c r="E76" s="290"/>
      <c r="F76" s="309">
        <v>15000</v>
      </c>
      <c r="G76" s="294">
        <f t="shared" si="0"/>
        <v>32860191</v>
      </c>
      <c r="H76" s="281" t="s">
        <v>25</v>
      </c>
      <c r="J76" s="281"/>
      <c r="K76" s="281"/>
      <c r="L76" s="281"/>
      <c r="N76" s="289"/>
      <c r="O76" s="281"/>
    </row>
    <row r="77" spans="1:31" s="293" customFormat="1" ht="15" hidden="1" customHeight="1">
      <c r="A77" s="288">
        <v>44691</v>
      </c>
      <c r="B77" s="281" t="s">
        <v>281</v>
      </c>
      <c r="C77" s="296" t="s">
        <v>203</v>
      </c>
      <c r="D77" s="303" t="s">
        <v>165</v>
      </c>
      <c r="E77" s="298"/>
      <c r="F77" s="309">
        <v>29000</v>
      </c>
      <c r="G77" s="294">
        <f t="shared" si="0"/>
        <v>32831191</v>
      </c>
      <c r="H77" s="281" t="s">
        <v>25</v>
      </c>
      <c r="I77" s="295" t="s">
        <v>231</v>
      </c>
      <c r="J77" s="281" t="s">
        <v>166</v>
      </c>
      <c r="K77" s="293" t="s">
        <v>214</v>
      </c>
      <c r="L77" s="281" t="s">
        <v>183</v>
      </c>
      <c r="N77" s="296"/>
      <c r="O77" s="281"/>
    </row>
    <row r="78" spans="1:31" s="293" customFormat="1" ht="15" hidden="1" customHeight="1">
      <c r="A78" s="299">
        <v>44691</v>
      </c>
      <c r="B78" s="300" t="s">
        <v>276</v>
      </c>
      <c r="C78" s="296" t="s">
        <v>76</v>
      </c>
      <c r="D78" s="289"/>
      <c r="E78" s="339"/>
      <c r="F78" s="309">
        <v>15000</v>
      </c>
      <c r="G78" s="294">
        <f t="shared" ref="G78:G141" si="1">+G77+E78-F78</f>
        <v>32816191</v>
      </c>
      <c r="H78" s="281" t="s">
        <v>25</v>
      </c>
      <c r="J78" s="306"/>
      <c r="L78" s="281"/>
      <c r="N78" s="296"/>
      <c r="O78" s="281"/>
    </row>
    <row r="79" spans="1:31" s="293" customFormat="1" ht="15" hidden="1" customHeight="1">
      <c r="A79" s="299">
        <v>44691</v>
      </c>
      <c r="B79" s="293" t="s">
        <v>213</v>
      </c>
      <c r="C79" s="296" t="s">
        <v>76</v>
      </c>
      <c r="D79" s="331"/>
      <c r="E79" s="312"/>
      <c r="F79" s="289">
        <v>91000</v>
      </c>
      <c r="G79" s="294">
        <f t="shared" si="1"/>
        <v>32725191</v>
      </c>
      <c r="H79" s="293" t="s">
        <v>25</v>
      </c>
      <c r="K79" s="281"/>
      <c r="L79" s="281"/>
      <c r="M79" s="326"/>
      <c r="N79" s="296"/>
    </row>
    <row r="80" spans="1:31" s="293" customFormat="1" ht="15" hidden="1" customHeight="1">
      <c r="A80" s="288">
        <v>44691</v>
      </c>
      <c r="B80" s="340" t="s">
        <v>282</v>
      </c>
      <c r="C80" s="296" t="s">
        <v>280</v>
      </c>
      <c r="D80" s="341" t="s">
        <v>164</v>
      </c>
      <c r="F80" s="289">
        <v>70000</v>
      </c>
      <c r="G80" s="294">
        <f t="shared" si="1"/>
        <v>32655191</v>
      </c>
      <c r="H80" s="293" t="s">
        <v>25</v>
      </c>
      <c r="I80" s="293" t="s">
        <v>229</v>
      </c>
      <c r="J80" s="281" t="s">
        <v>103</v>
      </c>
      <c r="K80" s="281" t="s">
        <v>215</v>
      </c>
      <c r="L80" s="281" t="s">
        <v>183</v>
      </c>
      <c r="M80" s="178" t="s">
        <v>555</v>
      </c>
      <c r="N80" s="289" t="s">
        <v>244</v>
      </c>
      <c r="P80" s="335"/>
    </row>
    <row r="81" spans="1:16" s="293" customFormat="1" ht="15" hidden="1" customHeight="1">
      <c r="A81" s="288">
        <v>44691</v>
      </c>
      <c r="B81" s="340" t="s">
        <v>630</v>
      </c>
      <c r="C81" s="296" t="s">
        <v>182</v>
      </c>
      <c r="D81" s="289" t="s">
        <v>230</v>
      </c>
      <c r="E81" s="281"/>
      <c r="F81" s="289">
        <v>5000</v>
      </c>
      <c r="G81" s="294">
        <f t="shared" si="1"/>
        <v>32650191</v>
      </c>
      <c r="H81" s="293" t="s">
        <v>25</v>
      </c>
      <c r="I81" s="293" t="s">
        <v>229</v>
      </c>
      <c r="J81" s="281" t="s">
        <v>166</v>
      </c>
      <c r="K81" s="281" t="s">
        <v>214</v>
      </c>
      <c r="L81" s="281" t="s">
        <v>183</v>
      </c>
      <c r="N81" s="296"/>
      <c r="O81" s="281"/>
    </row>
    <row r="82" spans="1:16" s="293" customFormat="1" ht="15" hidden="1" customHeight="1">
      <c r="A82" s="321">
        <v>44691</v>
      </c>
      <c r="B82" s="300" t="s">
        <v>365</v>
      </c>
      <c r="C82" s="296" t="s">
        <v>76</v>
      </c>
      <c r="D82" s="289"/>
      <c r="E82" s="301">
        <v>15000</v>
      </c>
      <c r="F82" s="374"/>
      <c r="G82" s="294">
        <f t="shared" si="1"/>
        <v>32665191</v>
      </c>
      <c r="H82" s="300" t="s">
        <v>48</v>
      </c>
      <c r="I82" s="306"/>
      <c r="J82" s="281"/>
      <c r="K82" s="281"/>
      <c r="L82" s="281"/>
      <c r="N82" s="289"/>
      <c r="O82" s="323"/>
    </row>
    <row r="83" spans="1:16" s="293" customFormat="1" ht="15" hidden="1" customHeight="1">
      <c r="A83" s="288">
        <v>44691</v>
      </c>
      <c r="B83" s="281" t="s">
        <v>369</v>
      </c>
      <c r="C83" s="296" t="s">
        <v>34</v>
      </c>
      <c r="D83" s="289" t="s">
        <v>2</v>
      </c>
      <c r="E83" s="298"/>
      <c r="F83" s="309">
        <v>5000</v>
      </c>
      <c r="G83" s="294">
        <f t="shared" si="1"/>
        <v>32660191</v>
      </c>
      <c r="H83" s="281" t="s">
        <v>48</v>
      </c>
      <c r="I83" s="293" t="s">
        <v>229</v>
      </c>
      <c r="J83" s="281" t="s">
        <v>166</v>
      </c>
      <c r="K83" s="293" t="s">
        <v>214</v>
      </c>
      <c r="L83" s="281" t="s">
        <v>183</v>
      </c>
      <c r="N83" s="289"/>
      <c r="O83" s="281"/>
    </row>
    <row r="84" spans="1:16" s="293" customFormat="1" ht="15" hidden="1" customHeight="1">
      <c r="A84" s="288">
        <v>44691</v>
      </c>
      <c r="B84" s="293" t="s">
        <v>390</v>
      </c>
      <c r="C84" s="296" t="s">
        <v>34</v>
      </c>
      <c r="D84" s="303" t="s">
        <v>236</v>
      </c>
      <c r="E84" s="318"/>
      <c r="F84" s="345">
        <v>5000</v>
      </c>
      <c r="G84" s="294">
        <f t="shared" si="1"/>
        <v>32655191</v>
      </c>
      <c r="H84" s="293" t="s">
        <v>94</v>
      </c>
      <c r="I84" s="293" t="s">
        <v>229</v>
      </c>
      <c r="J84" s="281" t="s">
        <v>166</v>
      </c>
      <c r="K84" s="293" t="s">
        <v>214</v>
      </c>
      <c r="L84" s="281" t="s">
        <v>183</v>
      </c>
      <c r="N84" s="296"/>
    </row>
    <row r="85" spans="1:16" s="293" customFormat="1" ht="17.25" hidden="1" customHeight="1">
      <c r="A85" s="314">
        <v>44691</v>
      </c>
      <c r="B85" s="315" t="s">
        <v>428</v>
      </c>
      <c r="C85" s="343" t="s">
        <v>237</v>
      </c>
      <c r="D85" s="296"/>
      <c r="E85" s="318">
        <v>91000</v>
      </c>
      <c r="F85" s="305"/>
      <c r="G85" s="294">
        <f t="shared" si="1"/>
        <v>32746191</v>
      </c>
      <c r="H85" s="317" t="s">
        <v>213</v>
      </c>
      <c r="I85" s="306"/>
      <c r="J85" s="306"/>
      <c r="K85" s="306"/>
      <c r="L85" s="281"/>
      <c r="N85" s="296"/>
    </row>
    <row r="86" spans="1:16" s="293" customFormat="1" ht="17.25" hidden="1" customHeight="1">
      <c r="A86" s="314">
        <v>44691</v>
      </c>
      <c r="B86" s="293" t="s">
        <v>433</v>
      </c>
      <c r="C86" s="296" t="s">
        <v>34</v>
      </c>
      <c r="D86" s="296" t="s">
        <v>164</v>
      </c>
      <c r="E86" s="318"/>
      <c r="F86" s="380">
        <v>7000</v>
      </c>
      <c r="G86" s="294">
        <f t="shared" si="1"/>
        <v>32739191</v>
      </c>
      <c r="H86" s="317" t="s">
        <v>213</v>
      </c>
      <c r="I86" s="293" t="s">
        <v>229</v>
      </c>
      <c r="J86" s="293" t="s">
        <v>166</v>
      </c>
      <c r="K86" s="293" t="s">
        <v>214</v>
      </c>
      <c r="L86" s="281" t="s">
        <v>183</v>
      </c>
      <c r="N86" s="296"/>
    </row>
    <row r="87" spans="1:16" s="293" customFormat="1" ht="13.5" hidden="1" customHeight="1">
      <c r="A87" s="288">
        <v>44691</v>
      </c>
      <c r="B87" s="281" t="s">
        <v>252</v>
      </c>
      <c r="C87" s="289" t="s">
        <v>76</v>
      </c>
      <c r="D87" s="345"/>
      <c r="E87" s="298">
        <v>15000</v>
      </c>
      <c r="F87" s="309"/>
      <c r="G87" s="294">
        <f t="shared" si="1"/>
        <v>32754191</v>
      </c>
      <c r="H87" s="281" t="s">
        <v>31</v>
      </c>
      <c r="I87" s="281"/>
      <c r="J87" s="281"/>
      <c r="K87" s="281"/>
      <c r="L87" s="281"/>
      <c r="N87" s="289"/>
      <c r="O87" s="281"/>
    </row>
    <row r="88" spans="1:16" s="293" customFormat="1" ht="15" hidden="1" customHeight="1">
      <c r="A88" s="288">
        <v>44692</v>
      </c>
      <c r="B88" s="281" t="s">
        <v>31</v>
      </c>
      <c r="C88" s="296" t="s">
        <v>76</v>
      </c>
      <c r="D88" s="289"/>
      <c r="E88" s="290"/>
      <c r="F88" s="309">
        <v>15000</v>
      </c>
      <c r="G88" s="294">
        <f t="shared" si="1"/>
        <v>32739191</v>
      </c>
      <c r="H88" s="281" t="s">
        <v>25</v>
      </c>
      <c r="J88" s="281"/>
      <c r="K88" s="281"/>
      <c r="L88" s="281"/>
      <c r="N88" s="289"/>
      <c r="O88" s="281"/>
    </row>
    <row r="89" spans="1:16" s="293" customFormat="1" ht="15" hidden="1" customHeight="1">
      <c r="A89" s="299">
        <v>44692</v>
      </c>
      <c r="B89" s="295" t="s">
        <v>271</v>
      </c>
      <c r="C89" s="331" t="s">
        <v>76</v>
      </c>
      <c r="D89" s="309"/>
      <c r="E89" s="329"/>
      <c r="F89" s="367">
        <v>82000</v>
      </c>
      <c r="G89" s="294">
        <f t="shared" si="1"/>
        <v>32657191</v>
      </c>
      <c r="H89" s="281" t="s">
        <v>25</v>
      </c>
      <c r="J89" s="306"/>
      <c r="L89" s="281"/>
      <c r="N89" s="296"/>
      <c r="O89" s="281"/>
    </row>
    <row r="90" spans="1:16" s="293" customFormat="1" ht="15" hidden="1" customHeight="1">
      <c r="A90" s="288">
        <v>44692</v>
      </c>
      <c r="B90" s="281" t="s">
        <v>30</v>
      </c>
      <c r="C90" s="296" t="s">
        <v>76</v>
      </c>
      <c r="D90" s="303"/>
      <c r="E90" s="298"/>
      <c r="F90" s="289">
        <v>30000</v>
      </c>
      <c r="G90" s="294">
        <f t="shared" si="1"/>
        <v>32627191</v>
      </c>
      <c r="H90" s="281" t="s">
        <v>25</v>
      </c>
      <c r="J90" s="281"/>
      <c r="K90" s="281"/>
      <c r="L90" s="281"/>
      <c r="N90" s="289"/>
      <c r="O90" s="281"/>
    </row>
    <row r="91" spans="1:16" s="293" customFormat="1" ht="15" hidden="1" customHeight="1">
      <c r="A91" s="299">
        <v>44692</v>
      </c>
      <c r="B91" s="281" t="s">
        <v>94</v>
      </c>
      <c r="C91" s="296" t="s">
        <v>76</v>
      </c>
      <c r="D91" s="289"/>
      <c r="E91" s="298"/>
      <c r="F91" s="289">
        <v>20000</v>
      </c>
      <c r="G91" s="294">
        <f t="shared" si="1"/>
        <v>32607191</v>
      </c>
      <c r="H91" s="281" t="s">
        <v>25</v>
      </c>
      <c r="I91" s="281"/>
      <c r="J91" s="281"/>
      <c r="K91" s="281"/>
      <c r="L91" s="281"/>
      <c r="N91" s="289"/>
      <c r="O91" s="281"/>
    </row>
    <row r="92" spans="1:16" s="293" customFormat="1" ht="15" hidden="1" customHeight="1">
      <c r="A92" s="288">
        <v>44692</v>
      </c>
      <c r="B92" s="340" t="s">
        <v>212</v>
      </c>
      <c r="C92" s="296" t="s">
        <v>76</v>
      </c>
      <c r="D92" s="334"/>
      <c r="E92" s="281"/>
      <c r="F92" s="289">
        <v>5000</v>
      </c>
      <c r="G92" s="294">
        <f t="shared" si="1"/>
        <v>32602191</v>
      </c>
      <c r="H92" s="293" t="s">
        <v>25</v>
      </c>
      <c r="J92" s="306"/>
      <c r="L92" s="281"/>
      <c r="N92" s="296"/>
      <c r="O92" s="281"/>
    </row>
    <row r="93" spans="1:16" s="293" customFormat="1" ht="15" hidden="1" customHeight="1">
      <c r="A93" s="288">
        <v>44692</v>
      </c>
      <c r="B93" s="340" t="s">
        <v>235</v>
      </c>
      <c r="C93" s="296" t="s">
        <v>76</v>
      </c>
      <c r="D93" s="303"/>
      <c r="E93" s="298">
        <v>50000</v>
      </c>
      <c r="F93" s="309"/>
      <c r="G93" s="294">
        <f t="shared" si="1"/>
        <v>32652191</v>
      </c>
      <c r="H93" s="281" t="s">
        <v>25</v>
      </c>
      <c r="J93" s="281"/>
      <c r="L93" s="281"/>
      <c r="N93" s="296"/>
      <c r="O93" s="281"/>
    </row>
    <row r="94" spans="1:16" s="293" customFormat="1" ht="15" hidden="1" customHeight="1">
      <c r="A94" s="288">
        <v>44692</v>
      </c>
      <c r="B94" s="281" t="s">
        <v>283</v>
      </c>
      <c r="C94" s="296" t="s">
        <v>157</v>
      </c>
      <c r="D94" s="303" t="s">
        <v>236</v>
      </c>
      <c r="E94" s="290"/>
      <c r="F94" s="309">
        <v>15750</v>
      </c>
      <c r="G94" s="294">
        <f t="shared" si="1"/>
        <v>32636441</v>
      </c>
      <c r="H94" s="281" t="s">
        <v>25</v>
      </c>
      <c r="I94" s="293" t="s">
        <v>229</v>
      </c>
      <c r="J94" s="281" t="s">
        <v>166</v>
      </c>
      <c r="K94" s="281" t="s">
        <v>214</v>
      </c>
      <c r="L94" s="281" t="s">
        <v>183</v>
      </c>
      <c r="N94" s="289"/>
      <c r="O94" s="281"/>
    </row>
    <row r="95" spans="1:16" s="293" customFormat="1" ht="15" hidden="1" customHeight="1">
      <c r="A95" s="288">
        <v>44692</v>
      </c>
      <c r="B95" s="293" t="s">
        <v>271</v>
      </c>
      <c r="C95" s="296" t="s">
        <v>76</v>
      </c>
      <c r="D95" s="296"/>
      <c r="E95" s="318"/>
      <c r="F95" s="345">
        <v>70000</v>
      </c>
      <c r="G95" s="294">
        <f t="shared" si="1"/>
        <v>32566441</v>
      </c>
      <c r="H95" s="293" t="s">
        <v>25</v>
      </c>
      <c r="L95" s="281"/>
      <c r="N95" s="296"/>
    </row>
    <row r="96" spans="1:16" s="293" customFormat="1" ht="15" hidden="1" customHeight="1">
      <c r="A96" s="288">
        <v>44692</v>
      </c>
      <c r="B96" s="295" t="s">
        <v>29</v>
      </c>
      <c r="C96" s="296" t="s">
        <v>76</v>
      </c>
      <c r="D96" s="289"/>
      <c r="E96" s="329"/>
      <c r="F96" s="309">
        <v>10000</v>
      </c>
      <c r="G96" s="294">
        <f t="shared" si="1"/>
        <v>32556441</v>
      </c>
      <c r="H96" s="293" t="s">
        <v>25</v>
      </c>
      <c r="J96" s="306"/>
      <c r="L96" s="281"/>
      <c r="N96" s="296"/>
      <c r="P96" s="335"/>
    </row>
    <row r="97" spans="1:16" s="293" customFormat="1" ht="15" hidden="1" customHeight="1">
      <c r="A97" s="288">
        <v>44692</v>
      </c>
      <c r="B97" s="293" t="s">
        <v>370</v>
      </c>
      <c r="C97" s="296" t="s">
        <v>34</v>
      </c>
      <c r="D97" s="313" t="s">
        <v>2</v>
      </c>
      <c r="E97" s="318"/>
      <c r="F97" s="289">
        <v>5000</v>
      </c>
      <c r="G97" s="294">
        <f t="shared" si="1"/>
        <v>32551441</v>
      </c>
      <c r="H97" s="281" t="s">
        <v>48</v>
      </c>
      <c r="I97" s="293" t="s">
        <v>229</v>
      </c>
      <c r="J97" s="281" t="s">
        <v>166</v>
      </c>
      <c r="K97" s="293" t="s">
        <v>214</v>
      </c>
      <c r="L97" s="281" t="s">
        <v>183</v>
      </c>
      <c r="N97" s="296"/>
    </row>
    <row r="98" spans="1:16" s="293" customFormat="1" ht="15" hidden="1" customHeight="1">
      <c r="A98" s="288">
        <v>44692</v>
      </c>
      <c r="B98" s="281" t="s">
        <v>391</v>
      </c>
      <c r="C98" s="296" t="s">
        <v>34</v>
      </c>
      <c r="D98" s="303" t="s">
        <v>236</v>
      </c>
      <c r="E98" s="290"/>
      <c r="F98" s="309">
        <v>5000</v>
      </c>
      <c r="G98" s="294">
        <f t="shared" si="1"/>
        <v>32546441</v>
      </c>
      <c r="H98" s="281" t="s">
        <v>94</v>
      </c>
      <c r="I98" s="293" t="s">
        <v>229</v>
      </c>
      <c r="J98" s="281" t="s">
        <v>166</v>
      </c>
      <c r="K98" s="293" t="s">
        <v>214</v>
      </c>
      <c r="L98" s="281" t="s">
        <v>183</v>
      </c>
      <c r="N98" s="289"/>
      <c r="O98" s="281"/>
    </row>
    <row r="99" spans="1:16" s="293" customFormat="1" ht="15" hidden="1" customHeight="1">
      <c r="A99" s="288">
        <v>44692</v>
      </c>
      <c r="B99" s="281" t="s">
        <v>254</v>
      </c>
      <c r="C99" s="296" t="s">
        <v>76</v>
      </c>
      <c r="D99" s="289"/>
      <c r="E99" s="290">
        <v>20000</v>
      </c>
      <c r="F99" s="309"/>
      <c r="G99" s="294">
        <f t="shared" si="1"/>
        <v>32566441</v>
      </c>
      <c r="H99" s="281" t="s">
        <v>94</v>
      </c>
      <c r="I99" s="306"/>
      <c r="J99" s="281"/>
      <c r="L99" s="281"/>
      <c r="N99" s="289"/>
      <c r="O99" s="281"/>
    </row>
    <row r="100" spans="1:16" s="293" customFormat="1" ht="15" hidden="1" customHeight="1">
      <c r="A100" s="288">
        <v>44692</v>
      </c>
      <c r="B100" s="281" t="s">
        <v>508</v>
      </c>
      <c r="C100" s="333" t="s">
        <v>34</v>
      </c>
      <c r="D100" s="333" t="s">
        <v>164</v>
      </c>
      <c r="E100" s="316"/>
      <c r="F100" s="289">
        <v>13000</v>
      </c>
      <c r="G100" s="294">
        <f t="shared" si="1"/>
        <v>32553441</v>
      </c>
      <c r="H100" s="293" t="s">
        <v>153</v>
      </c>
      <c r="I100" s="293" t="s">
        <v>229</v>
      </c>
      <c r="J100" s="306" t="s">
        <v>166</v>
      </c>
      <c r="K100" s="281" t="s">
        <v>215</v>
      </c>
      <c r="L100" s="281" t="s">
        <v>183</v>
      </c>
      <c r="M100" s="178" t="s">
        <v>556</v>
      </c>
      <c r="N100" s="296" t="s">
        <v>251</v>
      </c>
    </row>
    <row r="101" spans="1:16" s="293" customFormat="1" ht="15" hidden="1" customHeight="1">
      <c r="A101" s="288">
        <v>44692</v>
      </c>
      <c r="B101" s="293" t="s">
        <v>402</v>
      </c>
      <c r="C101" s="327" t="s">
        <v>157</v>
      </c>
      <c r="D101" s="289" t="s">
        <v>164</v>
      </c>
      <c r="F101" s="289">
        <v>30000</v>
      </c>
      <c r="G101" s="294">
        <f t="shared" si="1"/>
        <v>32523441</v>
      </c>
      <c r="H101" s="293" t="s">
        <v>153</v>
      </c>
      <c r="I101" s="293" t="s">
        <v>229</v>
      </c>
      <c r="J101" s="293" t="s">
        <v>103</v>
      </c>
      <c r="K101" s="293" t="s">
        <v>215</v>
      </c>
      <c r="L101" s="281" t="s">
        <v>183</v>
      </c>
      <c r="M101" s="178" t="s">
        <v>557</v>
      </c>
      <c r="N101" s="296" t="s">
        <v>511</v>
      </c>
      <c r="P101" s="335"/>
    </row>
    <row r="102" spans="1:16" s="293" customFormat="1" ht="15" hidden="1" customHeight="1">
      <c r="A102" s="314">
        <v>44692</v>
      </c>
      <c r="B102" s="293" t="s">
        <v>400</v>
      </c>
      <c r="C102" s="296" t="s">
        <v>76</v>
      </c>
      <c r="D102" s="289"/>
      <c r="E102" s="317"/>
      <c r="F102" s="289">
        <v>50000</v>
      </c>
      <c r="G102" s="294">
        <f t="shared" si="1"/>
        <v>32473441</v>
      </c>
      <c r="H102" s="293" t="s">
        <v>153</v>
      </c>
      <c r="I102" s="306"/>
      <c r="J102" s="281"/>
      <c r="L102" s="281"/>
      <c r="N102" s="296"/>
    </row>
    <row r="103" spans="1:16" s="293" customFormat="1" ht="15" hidden="1" customHeight="1">
      <c r="A103" s="288">
        <v>44692</v>
      </c>
      <c r="B103" s="281" t="s">
        <v>256</v>
      </c>
      <c r="C103" s="296" t="s">
        <v>237</v>
      </c>
      <c r="D103" s="289"/>
      <c r="E103" s="281">
        <v>5000</v>
      </c>
      <c r="F103" s="289"/>
      <c r="G103" s="294">
        <f t="shared" si="1"/>
        <v>32478441</v>
      </c>
      <c r="H103" s="293" t="s">
        <v>212</v>
      </c>
      <c r="I103" s="295"/>
      <c r="J103" s="281"/>
      <c r="L103" s="281"/>
      <c r="N103" s="296"/>
      <c r="O103" s="281"/>
    </row>
    <row r="104" spans="1:16" s="293" customFormat="1" ht="15" hidden="1" customHeight="1">
      <c r="A104" s="288">
        <v>44692</v>
      </c>
      <c r="B104" s="281" t="s">
        <v>415</v>
      </c>
      <c r="C104" s="289" t="s">
        <v>76</v>
      </c>
      <c r="D104" s="289"/>
      <c r="E104" s="290">
        <v>82000</v>
      </c>
      <c r="F104" s="307"/>
      <c r="G104" s="294">
        <f t="shared" si="1"/>
        <v>32560441</v>
      </c>
      <c r="H104" s="281" t="s">
        <v>271</v>
      </c>
      <c r="I104" s="295"/>
      <c r="J104" s="281"/>
      <c r="K104" s="281"/>
      <c r="L104" s="281"/>
      <c r="M104" s="281"/>
      <c r="N104" s="289"/>
      <c r="O104" s="281"/>
    </row>
    <row r="105" spans="1:16" s="293" customFormat="1" ht="15" hidden="1" customHeight="1">
      <c r="A105" s="288">
        <v>44692</v>
      </c>
      <c r="B105" s="281" t="s">
        <v>415</v>
      </c>
      <c r="C105" s="289" t="s">
        <v>76</v>
      </c>
      <c r="D105" s="289"/>
      <c r="E105" s="291">
        <v>70000</v>
      </c>
      <c r="F105" s="379"/>
      <c r="G105" s="294">
        <f t="shared" si="1"/>
        <v>32630441</v>
      </c>
      <c r="H105" s="281" t="s">
        <v>271</v>
      </c>
      <c r="I105" s="295"/>
      <c r="J105" s="281"/>
      <c r="K105" s="281"/>
      <c r="L105" s="281"/>
      <c r="N105" s="289"/>
      <c r="O105" s="281"/>
    </row>
    <row r="106" spans="1:16" s="293" customFormat="1" ht="15" hidden="1" customHeight="1">
      <c r="A106" s="288">
        <v>44692</v>
      </c>
      <c r="B106" s="281" t="s">
        <v>416</v>
      </c>
      <c r="C106" s="296" t="s">
        <v>34</v>
      </c>
      <c r="D106" s="289" t="s">
        <v>164</v>
      </c>
      <c r="E106" s="290"/>
      <c r="F106" s="309">
        <v>10000</v>
      </c>
      <c r="G106" s="294">
        <f t="shared" si="1"/>
        <v>32620441</v>
      </c>
      <c r="H106" s="281" t="s">
        <v>271</v>
      </c>
      <c r="I106" s="293" t="s">
        <v>229</v>
      </c>
      <c r="J106" s="293" t="s">
        <v>166</v>
      </c>
      <c r="K106" s="293" t="s">
        <v>214</v>
      </c>
      <c r="L106" s="281" t="s">
        <v>183</v>
      </c>
      <c r="N106" s="289"/>
      <c r="O106" s="281"/>
    </row>
    <row r="107" spans="1:16" s="293" customFormat="1" ht="15" hidden="1" customHeight="1">
      <c r="A107" s="288">
        <v>44692</v>
      </c>
      <c r="B107" s="293" t="s">
        <v>434</v>
      </c>
      <c r="C107" s="296" t="s">
        <v>157</v>
      </c>
      <c r="D107" s="296" t="s">
        <v>164</v>
      </c>
      <c r="E107" s="320"/>
      <c r="F107" s="307">
        <v>20000</v>
      </c>
      <c r="G107" s="294">
        <f t="shared" si="1"/>
        <v>32600441</v>
      </c>
      <c r="H107" s="293" t="s">
        <v>213</v>
      </c>
      <c r="I107" s="295" t="s">
        <v>231</v>
      </c>
      <c r="J107" s="281" t="s">
        <v>166</v>
      </c>
      <c r="K107" s="281" t="s">
        <v>214</v>
      </c>
      <c r="L107" s="281" t="s">
        <v>183</v>
      </c>
      <c r="N107" s="296"/>
    </row>
    <row r="108" spans="1:16" s="293" customFormat="1" ht="15" hidden="1" customHeight="1">
      <c r="A108" s="288">
        <v>44692</v>
      </c>
      <c r="B108" s="281" t="s">
        <v>454</v>
      </c>
      <c r="C108" s="289" t="s">
        <v>34</v>
      </c>
      <c r="D108" s="303" t="s">
        <v>236</v>
      </c>
      <c r="E108" s="290"/>
      <c r="F108" s="309">
        <v>5000</v>
      </c>
      <c r="G108" s="294">
        <f t="shared" si="1"/>
        <v>32595441</v>
      </c>
      <c r="H108" s="281" t="s">
        <v>31</v>
      </c>
      <c r="I108" s="293" t="s">
        <v>229</v>
      </c>
      <c r="J108" s="281" t="s">
        <v>166</v>
      </c>
      <c r="K108" s="281" t="s">
        <v>214</v>
      </c>
      <c r="L108" s="281" t="s">
        <v>183</v>
      </c>
      <c r="N108" s="289"/>
      <c r="O108" s="281"/>
    </row>
    <row r="109" spans="1:16" s="293" customFormat="1" ht="15" hidden="1" customHeight="1">
      <c r="A109" s="288">
        <v>44692</v>
      </c>
      <c r="B109" s="281" t="s">
        <v>252</v>
      </c>
      <c r="C109" s="289" t="s">
        <v>76</v>
      </c>
      <c r="D109" s="309"/>
      <c r="E109" s="298">
        <v>15000</v>
      </c>
      <c r="F109" s="309"/>
      <c r="G109" s="294">
        <f t="shared" si="1"/>
        <v>32610441</v>
      </c>
      <c r="H109" s="281" t="s">
        <v>31</v>
      </c>
      <c r="I109" s="295"/>
      <c r="J109" s="281"/>
      <c r="K109" s="281"/>
      <c r="L109" s="281"/>
      <c r="N109" s="289"/>
      <c r="O109" s="281"/>
    </row>
    <row r="110" spans="1:16" s="293" customFormat="1" ht="15" hidden="1" customHeight="1">
      <c r="A110" s="288">
        <v>44692</v>
      </c>
      <c r="B110" s="293" t="s">
        <v>255</v>
      </c>
      <c r="C110" s="296" t="s">
        <v>76</v>
      </c>
      <c r="D110" s="297"/>
      <c r="E110" s="320">
        <v>10000</v>
      </c>
      <c r="F110" s="309"/>
      <c r="G110" s="294">
        <f t="shared" si="1"/>
        <v>32620441</v>
      </c>
      <c r="H110" s="293" t="s">
        <v>29</v>
      </c>
      <c r="I110" s="306"/>
      <c r="J110" s="281"/>
      <c r="K110" s="281"/>
      <c r="L110" s="281"/>
      <c r="N110" s="289"/>
    </row>
    <row r="111" spans="1:16" s="293" customFormat="1" ht="14.25" hidden="1" customHeight="1">
      <c r="A111" s="288">
        <v>44692</v>
      </c>
      <c r="B111" s="293" t="s">
        <v>482</v>
      </c>
      <c r="C111" s="296" t="s">
        <v>34</v>
      </c>
      <c r="D111" s="289" t="s">
        <v>4</v>
      </c>
      <c r="E111" s="318"/>
      <c r="F111" s="289">
        <v>5000</v>
      </c>
      <c r="G111" s="294">
        <f t="shared" si="1"/>
        <v>32615441</v>
      </c>
      <c r="H111" s="293" t="s">
        <v>49</v>
      </c>
      <c r="I111" s="293" t="s">
        <v>229</v>
      </c>
      <c r="J111" s="306" t="s">
        <v>166</v>
      </c>
      <c r="K111" s="293" t="s">
        <v>214</v>
      </c>
      <c r="L111" s="293" t="s">
        <v>183</v>
      </c>
      <c r="N111" s="296"/>
    </row>
    <row r="112" spans="1:16" s="293" customFormat="1" ht="15.75" hidden="1" customHeight="1">
      <c r="A112" s="288">
        <v>44692</v>
      </c>
      <c r="B112" s="293" t="s">
        <v>483</v>
      </c>
      <c r="C112" s="296" t="s">
        <v>76</v>
      </c>
      <c r="D112" s="296"/>
      <c r="E112" s="318">
        <v>30000</v>
      </c>
      <c r="F112" s="289"/>
      <c r="G112" s="294">
        <f t="shared" si="1"/>
        <v>32645441</v>
      </c>
      <c r="H112" s="293" t="s">
        <v>49</v>
      </c>
      <c r="I112" s="306"/>
      <c r="J112" s="306"/>
      <c r="N112" s="296"/>
    </row>
    <row r="113" spans="1:16" s="293" customFormat="1" ht="16.5" hidden="1" customHeight="1">
      <c r="A113" s="288">
        <v>44692</v>
      </c>
      <c r="B113" s="293" t="s">
        <v>482</v>
      </c>
      <c r="C113" s="296" t="s">
        <v>34</v>
      </c>
      <c r="D113" s="289" t="s">
        <v>4</v>
      </c>
      <c r="E113" s="318"/>
      <c r="F113" s="289">
        <v>5000</v>
      </c>
      <c r="G113" s="294">
        <f t="shared" si="1"/>
        <v>32640441</v>
      </c>
      <c r="H113" s="293" t="s">
        <v>49</v>
      </c>
      <c r="I113" s="293" t="s">
        <v>229</v>
      </c>
      <c r="J113" s="306" t="s">
        <v>166</v>
      </c>
      <c r="K113" s="293" t="s">
        <v>214</v>
      </c>
      <c r="L113" s="293" t="s">
        <v>183</v>
      </c>
      <c r="N113" s="296"/>
    </row>
    <row r="114" spans="1:16" s="293" customFormat="1" ht="15" hidden="1" customHeight="1">
      <c r="A114" s="288">
        <v>44693</v>
      </c>
      <c r="B114" s="281" t="s">
        <v>276</v>
      </c>
      <c r="C114" s="296" t="s">
        <v>76</v>
      </c>
      <c r="D114" s="289"/>
      <c r="E114" s="290"/>
      <c r="F114" s="309">
        <v>10000</v>
      </c>
      <c r="G114" s="294">
        <f t="shared" si="1"/>
        <v>32630441</v>
      </c>
      <c r="H114" s="281" t="s">
        <v>25</v>
      </c>
      <c r="J114" s="281"/>
      <c r="K114" s="281"/>
      <c r="L114" s="281"/>
      <c r="N114" s="289"/>
      <c r="O114" s="281"/>
    </row>
    <row r="115" spans="1:16" s="293" customFormat="1" ht="15" hidden="1" customHeight="1">
      <c r="A115" s="288">
        <v>44693</v>
      </c>
      <c r="B115" s="281" t="s">
        <v>212</v>
      </c>
      <c r="C115" s="296" t="s">
        <v>76</v>
      </c>
      <c r="D115" s="303"/>
      <c r="E115" s="290"/>
      <c r="F115" s="307">
        <v>15000</v>
      </c>
      <c r="G115" s="294">
        <f t="shared" si="1"/>
        <v>32615441</v>
      </c>
      <c r="H115" s="281" t="s">
        <v>25</v>
      </c>
      <c r="J115" s="281"/>
      <c r="K115" s="281"/>
      <c r="L115" s="281"/>
      <c r="N115" s="289"/>
      <c r="O115" s="281"/>
    </row>
    <row r="116" spans="1:16" s="293" customFormat="1" ht="15" hidden="1" customHeight="1">
      <c r="A116" s="288">
        <v>44693</v>
      </c>
      <c r="B116" s="281" t="s">
        <v>30</v>
      </c>
      <c r="C116" s="296" t="s">
        <v>76</v>
      </c>
      <c r="D116" s="289"/>
      <c r="E116" s="290"/>
      <c r="F116" s="309">
        <v>15000</v>
      </c>
      <c r="G116" s="294">
        <f t="shared" si="1"/>
        <v>32600441</v>
      </c>
      <c r="H116" s="281" t="s">
        <v>25</v>
      </c>
      <c r="J116" s="281"/>
      <c r="L116" s="281"/>
      <c r="N116" s="296"/>
      <c r="O116" s="281"/>
    </row>
    <row r="117" spans="1:16" s="293" customFormat="1" ht="15" hidden="1" customHeight="1">
      <c r="A117" s="321">
        <v>44693</v>
      </c>
      <c r="B117" s="300" t="s">
        <v>212</v>
      </c>
      <c r="C117" s="296" t="s">
        <v>76</v>
      </c>
      <c r="D117" s="289"/>
      <c r="E117" s="301"/>
      <c r="F117" s="361">
        <v>15000</v>
      </c>
      <c r="G117" s="294">
        <f t="shared" si="1"/>
        <v>32585441</v>
      </c>
      <c r="H117" s="300" t="s">
        <v>25</v>
      </c>
      <c r="J117" s="281"/>
      <c r="L117" s="281"/>
      <c r="N117" s="330"/>
      <c r="O117" s="323"/>
    </row>
    <row r="118" spans="1:16" s="293" customFormat="1" ht="15" hidden="1" customHeight="1">
      <c r="A118" s="288">
        <v>44693</v>
      </c>
      <c r="B118" s="281" t="s">
        <v>30</v>
      </c>
      <c r="C118" s="296" t="s">
        <v>76</v>
      </c>
      <c r="D118" s="289"/>
      <c r="E118" s="290"/>
      <c r="F118" s="307">
        <v>138000</v>
      </c>
      <c r="G118" s="294">
        <f t="shared" si="1"/>
        <v>32447441</v>
      </c>
      <c r="H118" s="281" t="s">
        <v>25</v>
      </c>
      <c r="J118" s="281"/>
      <c r="L118" s="281"/>
      <c r="N118" s="330"/>
      <c r="O118" s="281"/>
    </row>
    <row r="119" spans="1:16" s="293" customFormat="1" ht="15" hidden="1" customHeight="1">
      <c r="A119" s="288">
        <v>44693</v>
      </c>
      <c r="B119" s="281" t="s">
        <v>29</v>
      </c>
      <c r="C119" s="296" t="s">
        <v>76</v>
      </c>
      <c r="D119" s="345"/>
      <c r="E119" s="298"/>
      <c r="F119" s="309">
        <v>25000</v>
      </c>
      <c r="G119" s="294">
        <f t="shared" si="1"/>
        <v>32422441</v>
      </c>
      <c r="H119" s="281" t="s">
        <v>25</v>
      </c>
      <c r="J119" s="281"/>
      <c r="L119" s="281"/>
      <c r="N119" s="330"/>
      <c r="O119" s="281"/>
    </row>
    <row r="120" spans="1:16" s="293" customFormat="1" ht="15" hidden="1" customHeight="1">
      <c r="A120" s="288">
        <v>44693</v>
      </c>
      <c r="B120" s="293" t="s">
        <v>365</v>
      </c>
      <c r="C120" s="296" t="s">
        <v>76</v>
      </c>
      <c r="D120" s="289"/>
      <c r="E120" s="318">
        <v>10000</v>
      </c>
      <c r="F120" s="309"/>
      <c r="G120" s="294">
        <f t="shared" si="1"/>
        <v>32432441</v>
      </c>
      <c r="H120" s="281" t="s">
        <v>48</v>
      </c>
      <c r="I120" s="306"/>
      <c r="J120" s="281"/>
      <c r="K120" s="281"/>
      <c r="L120" s="281"/>
      <c r="N120" s="296"/>
    </row>
    <row r="121" spans="1:16" s="293" customFormat="1" ht="15" hidden="1" customHeight="1">
      <c r="A121" s="288">
        <v>44693</v>
      </c>
      <c r="B121" s="281" t="s">
        <v>371</v>
      </c>
      <c r="C121" s="296" t="s">
        <v>34</v>
      </c>
      <c r="D121" s="289" t="s">
        <v>2</v>
      </c>
      <c r="E121" s="290"/>
      <c r="F121" s="307">
        <v>5000</v>
      </c>
      <c r="G121" s="294">
        <f t="shared" si="1"/>
        <v>32427441</v>
      </c>
      <c r="H121" s="281" t="s">
        <v>48</v>
      </c>
      <c r="I121" s="293" t="s">
        <v>229</v>
      </c>
      <c r="J121" s="281" t="s">
        <v>166</v>
      </c>
      <c r="K121" s="293" t="s">
        <v>214</v>
      </c>
      <c r="L121" s="281" t="s">
        <v>183</v>
      </c>
      <c r="N121" s="289"/>
      <c r="O121" s="281"/>
    </row>
    <row r="122" spans="1:16" s="293" customFormat="1" ht="15" hidden="1" customHeight="1">
      <c r="A122" s="288">
        <v>44693</v>
      </c>
      <c r="B122" s="293" t="s">
        <v>256</v>
      </c>
      <c r="C122" s="296" t="s">
        <v>237</v>
      </c>
      <c r="D122" s="296"/>
      <c r="E122" s="320">
        <v>15000</v>
      </c>
      <c r="F122" s="309"/>
      <c r="G122" s="294">
        <f t="shared" si="1"/>
        <v>32442441</v>
      </c>
      <c r="H122" s="293" t="s">
        <v>212</v>
      </c>
      <c r="I122" s="306"/>
      <c r="J122" s="306"/>
      <c r="K122" s="306"/>
      <c r="L122" s="281"/>
      <c r="N122" s="296"/>
    </row>
    <row r="123" spans="1:16" s="293" customFormat="1" ht="15" hidden="1" customHeight="1">
      <c r="A123" s="288">
        <v>44693</v>
      </c>
      <c r="B123" s="293" t="s">
        <v>407</v>
      </c>
      <c r="C123" s="296" t="s">
        <v>34</v>
      </c>
      <c r="D123" s="303" t="s">
        <v>236</v>
      </c>
      <c r="E123" s="320"/>
      <c r="F123" s="307">
        <v>5000</v>
      </c>
      <c r="G123" s="294">
        <f t="shared" si="1"/>
        <v>32437441</v>
      </c>
      <c r="H123" s="293" t="s">
        <v>212</v>
      </c>
      <c r="I123" s="293" t="s">
        <v>229</v>
      </c>
      <c r="J123" s="293" t="s">
        <v>166</v>
      </c>
      <c r="K123" s="293" t="s">
        <v>214</v>
      </c>
      <c r="L123" s="281" t="s">
        <v>183</v>
      </c>
      <c r="N123" s="296"/>
    </row>
    <row r="124" spans="1:16" s="293" customFormat="1" ht="15.75" hidden="1" customHeight="1">
      <c r="A124" s="288">
        <v>44693</v>
      </c>
      <c r="B124" s="281" t="s">
        <v>408</v>
      </c>
      <c r="C124" s="296" t="s">
        <v>34</v>
      </c>
      <c r="D124" s="303" t="s">
        <v>236</v>
      </c>
      <c r="E124" s="298"/>
      <c r="F124" s="309">
        <v>5000</v>
      </c>
      <c r="G124" s="294">
        <f t="shared" si="1"/>
        <v>32432441</v>
      </c>
      <c r="H124" s="281" t="s">
        <v>212</v>
      </c>
      <c r="I124" s="293" t="s">
        <v>229</v>
      </c>
      <c r="J124" s="293" t="s">
        <v>166</v>
      </c>
      <c r="K124" s="293" t="s">
        <v>214</v>
      </c>
      <c r="L124" s="281" t="s">
        <v>183</v>
      </c>
      <c r="N124" s="289"/>
      <c r="O124" s="281"/>
    </row>
    <row r="125" spans="1:16" s="293" customFormat="1" ht="15" hidden="1" customHeight="1">
      <c r="A125" s="314">
        <v>44693</v>
      </c>
      <c r="B125" s="347" t="s">
        <v>409</v>
      </c>
      <c r="C125" s="296" t="s">
        <v>34</v>
      </c>
      <c r="D125" s="303" t="s">
        <v>236</v>
      </c>
      <c r="E125" s="316"/>
      <c r="F125" s="305">
        <v>5000</v>
      </c>
      <c r="G125" s="294">
        <f t="shared" si="1"/>
        <v>32427441</v>
      </c>
      <c r="H125" s="317" t="s">
        <v>212</v>
      </c>
      <c r="I125" s="293" t="s">
        <v>229</v>
      </c>
      <c r="J125" s="293" t="s">
        <v>166</v>
      </c>
      <c r="K125" s="293" t="s">
        <v>214</v>
      </c>
      <c r="L125" s="281" t="s">
        <v>183</v>
      </c>
      <c r="N125" s="296"/>
    </row>
    <row r="126" spans="1:16" s="293" customFormat="1" ht="15" hidden="1" customHeight="1">
      <c r="A126" s="288">
        <v>44693</v>
      </c>
      <c r="B126" s="293" t="s">
        <v>256</v>
      </c>
      <c r="C126" s="296" t="s">
        <v>237</v>
      </c>
      <c r="D126" s="296"/>
      <c r="E126" s="318">
        <v>15000</v>
      </c>
      <c r="F126" s="345"/>
      <c r="G126" s="294">
        <f t="shared" si="1"/>
        <v>32442441</v>
      </c>
      <c r="H126" s="293" t="s">
        <v>212</v>
      </c>
      <c r="I126" s="306"/>
      <c r="J126" s="306"/>
      <c r="K126" s="306"/>
      <c r="L126" s="281"/>
      <c r="N126" s="296"/>
      <c r="P126" s="323"/>
    </row>
    <row r="127" spans="1:16" s="293" customFormat="1" ht="15" hidden="1" customHeight="1">
      <c r="A127" s="321">
        <v>44693</v>
      </c>
      <c r="B127" s="348" t="s">
        <v>417</v>
      </c>
      <c r="C127" s="341" t="s">
        <v>157</v>
      </c>
      <c r="D127" s="307" t="s">
        <v>164</v>
      </c>
      <c r="E127" s="322"/>
      <c r="F127" s="289">
        <v>20000</v>
      </c>
      <c r="G127" s="294">
        <f t="shared" si="1"/>
        <v>32422441</v>
      </c>
      <c r="H127" s="293" t="s">
        <v>271</v>
      </c>
      <c r="I127" s="295" t="s">
        <v>231</v>
      </c>
      <c r="J127" s="281" t="s">
        <v>166</v>
      </c>
      <c r="K127" s="281" t="s">
        <v>214</v>
      </c>
      <c r="L127" s="281" t="s">
        <v>183</v>
      </c>
      <c r="N127" s="296"/>
      <c r="O127" s="296"/>
    </row>
    <row r="128" spans="1:16" s="293" customFormat="1" ht="15" hidden="1" customHeight="1">
      <c r="A128" s="321">
        <v>44693</v>
      </c>
      <c r="B128" s="293" t="s">
        <v>435</v>
      </c>
      <c r="C128" s="296" t="s">
        <v>34</v>
      </c>
      <c r="D128" s="296" t="s">
        <v>164</v>
      </c>
      <c r="E128" s="322"/>
      <c r="F128" s="309">
        <v>7000</v>
      </c>
      <c r="G128" s="294">
        <f t="shared" si="1"/>
        <v>32415441</v>
      </c>
      <c r="H128" s="293" t="s">
        <v>213</v>
      </c>
      <c r="I128" s="293" t="s">
        <v>229</v>
      </c>
      <c r="J128" s="293" t="s">
        <v>166</v>
      </c>
      <c r="K128" s="293" t="s">
        <v>214</v>
      </c>
      <c r="L128" s="281" t="s">
        <v>183</v>
      </c>
      <c r="N128" s="296"/>
    </row>
    <row r="129" spans="1:15" s="293" customFormat="1" ht="15" hidden="1" customHeight="1">
      <c r="A129" s="288">
        <v>44693</v>
      </c>
      <c r="B129" s="281" t="s">
        <v>454</v>
      </c>
      <c r="C129" s="289" t="s">
        <v>34</v>
      </c>
      <c r="D129" s="303" t="s">
        <v>236</v>
      </c>
      <c r="E129" s="290"/>
      <c r="F129" s="309">
        <v>5000</v>
      </c>
      <c r="G129" s="294">
        <f t="shared" si="1"/>
        <v>32410441</v>
      </c>
      <c r="H129" s="281" t="s">
        <v>31</v>
      </c>
      <c r="I129" s="293" t="s">
        <v>229</v>
      </c>
      <c r="J129" s="281" t="s">
        <v>166</v>
      </c>
      <c r="K129" s="281" t="s">
        <v>214</v>
      </c>
      <c r="L129" s="281" t="s">
        <v>183</v>
      </c>
      <c r="N129" s="289"/>
      <c r="O129" s="281"/>
    </row>
    <row r="130" spans="1:15" s="293" customFormat="1" ht="15" hidden="1" customHeight="1">
      <c r="A130" s="288">
        <v>44693</v>
      </c>
      <c r="B130" s="293" t="s">
        <v>255</v>
      </c>
      <c r="C130" s="296" t="s">
        <v>76</v>
      </c>
      <c r="D130" s="296"/>
      <c r="E130" s="318">
        <v>25000</v>
      </c>
      <c r="F130" s="309"/>
      <c r="G130" s="294">
        <f t="shared" si="1"/>
        <v>32435441</v>
      </c>
      <c r="H130" s="293" t="s">
        <v>29</v>
      </c>
      <c r="I130" s="306"/>
      <c r="J130" s="306"/>
      <c r="L130" s="281"/>
      <c r="N130" s="296"/>
    </row>
    <row r="131" spans="1:15" s="293" customFormat="1" ht="15" hidden="1" customHeight="1">
      <c r="A131" s="288">
        <v>44693</v>
      </c>
      <c r="B131" s="293" t="s">
        <v>482</v>
      </c>
      <c r="C131" s="296" t="s">
        <v>34</v>
      </c>
      <c r="D131" s="289" t="s">
        <v>4</v>
      </c>
      <c r="E131" s="318"/>
      <c r="F131" s="289">
        <v>5000</v>
      </c>
      <c r="G131" s="294">
        <f t="shared" si="1"/>
        <v>32430441</v>
      </c>
      <c r="H131" s="293" t="s">
        <v>49</v>
      </c>
      <c r="I131" s="293" t="s">
        <v>229</v>
      </c>
      <c r="J131" s="306" t="s">
        <v>166</v>
      </c>
      <c r="K131" s="293" t="s">
        <v>214</v>
      </c>
      <c r="L131" s="293" t="s">
        <v>183</v>
      </c>
      <c r="N131" s="296"/>
    </row>
    <row r="132" spans="1:15" s="293" customFormat="1" ht="15" hidden="1" customHeight="1">
      <c r="A132" s="288">
        <v>44693</v>
      </c>
      <c r="B132" s="293" t="s">
        <v>483</v>
      </c>
      <c r="C132" s="296" t="s">
        <v>76</v>
      </c>
      <c r="D132" s="289"/>
      <c r="E132" s="318">
        <v>15000</v>
      </c>
      <c r="F132" s="289"/>
      <c r="G132" s="294">
        <f t="shared" si="1"/>
        <v>32445441</v>
      </c>
      <c r="H132" s="293" t="s">
        <v>49</v>
      </c>
      <c r="I132" s="306"/>
      <c r="J132" s="306"/>
      <c r="N132" s="296"/>
    </row>
    <row r="133" spans="1:15" s="293" customFormat="1" ht="15" hidden="1" customHeight="1">
      <c r="A133" s="288">
        <v>44693</v>
      </c>
      <c r="B133" s="293" t="s">
        <v>483</v>
      </c>
      <c r="C133" s="296" t="s">
        <v>76</v>
      </c>
      <c r="D133" s="296"/>
      <c r="E133" s="318">
        <v>138000</v>
      </c>
      <c r="F133" s="289"/>
      <c r="G133" s="294">
        <f t="shared" si="1"/>
        <v>32583441</v>
      </c>
      <c r="H133" s="293" t="s">
        <v>49</v>
      </c>
      <c r="I133" s="306"/>
      <c r="J133" s="306"/>
      <c r="N133" s="296"/>
    </row>
    <row r="134" spans="1:15" s="293" customFormat="1" ht="15" hidden="1" customHeight="1">
      <c r="A134" s="288">
        <v>44693</v>
      </c>
      <c r="B134" s="293" t="s">
        <v>482</v>
      </c>
      <c r="C134" s="296" t="s">
        <v>34</v>
      </c>
      <c r="D134" s="289" t="s">
        <v>4</v>
      </c>
      <c r="E134" s="318"/>
      <c r="F134" s="289">
        <v>5000</v>
      </c>
      <c r="G134" s="294">
        <f t="shared" si="1"/>
        <v>32578441</v>
      </c>
      <c r="H134" s="293" t="s">
        <v>49</v>
      </c>
      <c r="I134" s="293" t="s">
        <v>229</v>
      </c>
      <c r="J134" s="306" t="s">
        <v>166</v>
      </c>
      <c r="K134" s="293" t="s">
        <v>214</v>
      </c>
      <c r="L134" s="293" t="s">
        <v>183</v>
      </c>
      <c r="N134" s="296"/>
    </row>
    <row r="135" spans="1:15" s="293" customFormat="1" ht="15" hidden="1" customHeight="1">
      <c r="A135" s="288">
        <v>44693</v>
      </c>
      <c r="B135" s="293" t="s">
        <v>484</v>
      </c>
      <c r="C135" s="296" t="s">
        <v>157</v>
      </c>
      <c r="D135" s="289" t="s">
        <v>4</v>
      </c>
      <c r="E135" s="318"/>
      <c r="F135" s="345">
        <v>100000</v>
      </c>
      <c r="G135" s="294">
        <f t="shared" si="1"/>
        <v>32478441</v>
      </c>
      <c r="H135" s="293" t="s">
        <v>49</v>
      </c>
      <c r="I135" s="293" t="s">
        <v>229</v>
      </c>
      <c r="J135" s="293" t="s">
        <v>166</v>
      </c>
      <c r="K135" s="293" t="s">
        <v>214</v>
      </c>
      <c r="L135" s="281" t="s">
        <v>183</v>
      </c>
      <c r="M135" s="178"/>
      <c r="N135" s="296"/>
    </row>
    <row r="136" spans="1:15" s="293" customFormat="1" ht="15" hidden="1" customHeight="1">
      <c r="A136" s="288">
        <v>44693</v>
      </c>
      <c r="B136" s="293" t="s">
        <v>485</v>
      </c>
      <c r="C136" s="296" t="s">
        <v>34</v>
      </c>
      <c r="D136" s="289" t="s">
        <v>4</v>
      </c>
      <c r="E136" s="318"/>
      <c r="F136" s="289">
        <v>30000</v>
      </c>
      <c r="G136" s="294">
        <f t="shared" si="1"/>
        <v>32448441</v>
      </c>
      <c r="H136" s="293" t="s">
        <v>49</v>
      </c>
      <c r="I136" s="293" t="s">
        <v>229</v>
      </c>
      <c r="J136" s="306" t="s">
        <v>166</v>
      </c>
      <c r="K136" s="293" t="s">
        <v>214</v>
      </c>
      <c r="L136" s="293" t="s">
        <v>183</v>
      </c>
      <c r="N136" s="296"/>
    </row>
    <row r="137" spans="1:15" s="293" customFormat="1" ht="15" hidden="1" customHeight="1">
      <c r="A137" s="288">
        <v>44694</v>
      </c>
      <c r="B137" s="281" t="s">
        <v>284</v>
      </c>
      <c r="C137" s="296" t="s">
        <v>182</v>
      </c>
      <c r="D137" s="303" t="s">
        <v>236</v>
      </c>
      <c r="E137" s="298"/>
      <c r="F137" s="309">
        <v>55000</v>
      </c>
      <c r="G137" s="294">
        <f t="shared" si="1"/>
        <v>32393441</v>
      </c>
      <c r="H137" s="281" t="s">
        <v>25</v>
      </c>
      <c r="I137" s="293" t="s">
        <v>229</v>
      </c>
      <c r="J137" s="281" t="s">
        <v>166</v>
      </c>
      <c r="K137" s="281" t="s">
        <v>214</v>
      </c>
      <c r="L137" s="281" t="s">
        <v>183</v>
      </c>
      <c r="N137" s="289"/>
      <c r="O137" s="281"/>
    </row>
    <row r="138" spans="1:15" s="293" customFormat="1" ht="15" hidden="1" customHeight="1">
      <c r="A138" s="288">
        <v>44694</v>
      </c>
      <c r="B138" s="281" t="s">
        <v>29</v>
      </c>
      <c r="C138" s="296" t="s">
        <v>76</v>
      </c>
      <c r="D138" s="289"/>
      <c r="E138" s="290"/>
      <c r="F138" s="307">
        <v>320000</v>
      </c>
      <c r="G138" s="294">
        <f t="shared" si="1"/>
        <v>32073441</v>
      </c>
      <c r="H138" s="281" t="s">
        <v>25</v>
      </c>
      <c r="I138" s="281"/>
      <c r="J138" s="281"/>
      <c r="K138" s="281"/>
      <c r="L138" s="281"/>
      <c r="N138" s="289"/>
      <c r="O138" s="281"/>
    </row>
    <row r="139" spans="1:15" s="293" customFormat="1" ht="15" hidden="1" customHeight="1">
      <c r="A139" s="288">
        <v>44694</v>
      </c>
      <c r="B139" s="281" t="s">
        <v>31</v>
      </c>
      <c r="C139" s="296" t="s">
        <v>76</v>
      </c>
      <c r="D139" s="289"/>
      <c r="E139" s="298"/>
      <c r="F139" s="289">
        <v>25000</v>
      </c>
      <c r="G139" s="294">
        <f t="shared" si="1"/>
        <v>32048441</v>
      </c>
      <c r="H139" s="281" t="s">
        <v>25</v>
      </c>
      <c r="J139" s="281"/>
      <c r="L139" s="281"/>
      <c r="N139" s="330"/>
      <c r="O139" s="281"/>
    </row>
    <row r="140" spans="1:15" s="293" customFormat="1" ht="15" hidden="1" customHeight="1">
      <c r="A140" s="299">
        <v>44694</v>
      </c>
      <c r="B140" s="281" t="s">
        <v>276</v>
      </c>
      <c r="C140" s="296" t="s">
        <v>76</v>
      </c>
      <c r="D140" s="289"/>
      <c r="E140" s="339"/>
      <c r="F140" s="309">
        <v>20000</v>
      </c>
      <c r="G140" s="294">
        <f t="shared" si="1"/>
        <v>32028441</v>
      </c>
      <c r="H140" s="281" t="s">
        <v>25</v>
      </c>
      <c r="L140" s="281"/>
      <c r="N140" s="296"/>
      <c r="O140" s="281"/>
    </row>
    <row r="141" spans="1:15" s="293" customFormat="1" ht="15" hidden="1" customHeight="1">
      <c r="A141" s="349">
        <v>44694</v>
      </c>
      <c r="B141" s="350" t="s">
        <v>153</v>
      </c>
      <c r="C141" s="296" t="s">
        <v>76</v>
      </c>
      <c r="D141" s="296"/>
      <c r="F141" s="289">
        <v>15000</v>
      </c>
      <c r="G141" s="294">
        <f t="shared" si="1"/>
        <v>32013441</v>
      </c>
      <c r="H141" s="281" t="s">
        <v>25</v>
      </c>
      <c r="J141" s="306"/>
      <c r="L141" s="281"/>
      <c r="N141" s="296"/>
    </row>
    <row r="142" spans="1:15" s="293" customFormat="1" ht="15.75" hidden="1" customHeight="1">
      <c r="A142" s="299">
        <v>44694</v>
      </c>
      <c r="B142" s="306" t="s">
        <v>285</v>
      </c>
      <c r="C142" s="296" t="s">
        <v>76</v>
      </c>
      <c r="D142" s="289"/>
      <c r="E142" s="329">
        <v>300000</v>
      </c>
      <c r="F142" s="289"/>
      <c r="G142" s="294">
        <f t="shared" ref="G142:G205" si="2">+G141+E142-F142</f>
        <v>32313441</v>
      </c>
      <c r="H142" s="281" t="s">
        <v>25</v>
      </c>
      <c r="J142" s="306"/>
      <c r="L142" s="281"/>
      <c r="N142" s="296"/>
    </row>
    <row r="143" spans="1:15" s="293" customFormat="1" ht="15" hidden="1" customHeight="1">
      <c r="A143" s="288">
        <v>44694</v>
      </c>
      <c r="B143" s="295" t="s">
        <v>286</v>
      </c>
      <c r="C143" s="296" t="s">
        <v>76</v>
      </c>
      <c r="D143" s="289"/>
      <c r="E143" s="329">
        <v>1000000</v>
      </c>
      <c r="F143" s="289"/>
      <c r="G143" s="294">
        <f t="shared" si="2"/>
        <v>33313441</v>
      </c>
      <c r="H143" s="281" t="s">
        <v>25</v>
      </c>
      <c r="J143" s="306"/>
      <c r="L143" s="281"/>
      <c r="N143" s="289"/>
      <c r="O143" s="281"/>
    </row>
    <row r="144" spans="1:15" s="293" customFormat="1" ht="15" hidden="1" customHeight="1">
      <c r="A144" s="288">
        <v>44694</v>
      </c>
      <c r="B144" s="281" t="s">
        <v>334</v>
      </c>
      <c r="C144" s="289" t="s">
        <v>76</v>
      </c>
      <c r="D144" s="309"/>
      <c r="E144" s="281"/>
      <c r="F144" s="289">
        <v>1000000</v>
      </c>
      <c r="G144" s="294">
        <f t="shared" si="2"/>
        <v>32313441</v>
      </c>
      <c r="H144" s="293" t="s">
        <v>24</v>
      </c>
      <c r="I144" s="306">
        <v>3654480</v>
      </c>
      <c r="J144" s="281"/>
      <c r="L144" s="281"/>
      <c r="N144" s="296"/>
      <c r="O144" s="281"/>
    </row>
    <row r="145" spans="1:16" s="293" customFormat="1" ht="15" hidden="1" customHeight="1">
      <c r="A145" s="299">
        <v>44694</v>
      </c>
      <c r="B145" s="295" t="s">
        <v>355</v>
      </c>
      <c r="C145" s="296" t="s">
        <v>76</v>
      </c>
      <c r="D145" s="289"/>
      <c r="E145" s="329"/>
      <c r="F145" s="309">
        <v>200000</v>
      </c>
      <c r="G145" s="294">
        <f t="shared" si="2"/>
        <v>32113441</v>
      </c>
      <c r="H145" s="281" t="s">
        <v>114</v>
      </c>
      <c r="I145" s="295"/>
      <c r="J145" s="306"/>
      <c r="L145" s="281"/>
      <c r="N145" s="289"/>
      <c r="O145" s="281"/>
    </row>
    <row r="146" spans="1:16" s="293" customFormat="1" ht="15" hidden="1" customHeight="1">
      <c r="A146" s="288">
        <v>44694</v>
      </c>
      <c r="B146" s="281" t="s">
        <v>365</v>
      </c>
      <c r="C146" s="296" t="s">
        <v>76</v>
      </c>
      <c r="D146" s="289"/>
      <c r="E146" s="290">
        <v>20000</v>
      </c>
      <c r="F146" s="309"/>
      <c r="G146" s="294">
        <f t="shared" si="2"/>
        <v>32133441</v>
      </c>
      <c r="H146" s="281" t="s">
        <v>48</v>
      </c>
      <c r="I146" s="306"/>
      <c r="J146" s="281"/>
      <c r="L146" s="281"/>
      <c r="N146" s="289"/>
      <c r="O146" s="281"/>
    </row>
    <row r="147" spans="1:16" s="293" customFormat="1" ht="15" hidden="1" customHeight="1">
      <c r="A147" s="288">
        <v>44694</v>
      </c>
      <c r="B147" s="281" t="s">
        <v>372</v>
      </c>
      <c r="C147" s="296" t="s">
        <v>157</v>
      </c>
      <c r="D147" s="313" t="s">
        <v>2</v>
      </c>
      <c r="E147" s="298"/>
      <c r="F147" s="289">
        <v>16300</v>
      </c>
      <c r="G147" s="294">
        <f t="shared" si="2"/>
        <v>32117141</v>
      </c>
      <c r="H147" s="281" t="s">
        <v>48</v>
      </c>
      <c r="I147" s="295" t="s">
        <v>231</v>
      </c>
      <c r="J147" s="281" t="s">
        <v>166</v>
      </c>
      <c r="K147" s="293" t="s">
        <v>214</v>
      </c>
      <c r="L147" s="281" t="s">
        <v>183</v>
      </c>
      <c r="N147" s="289"/>
      <c r="O147" s="281"/>
    </row>
    <row r="148" spans="1:16" s="293" customFormat="1" ht="15" hidden="1" customHeight="1">
      <c r="A148" s="299">
        <v>44694</v>
      </c>
      <c r="B148" s="310" t="s">
        <v>400</v>
      </c>
      <c r="C148" s="296" t="s">
        <v>76</v>
      </c>
      <c r="D148" s="289"/>
      <c r="E148" s="311">
        <v>15000</v>
      </c>
      <c r="F148" s="361"/>
      <c r="G148" s="294">
        <f t="shared" si="2"/>
        <v>32132141</v>
      </c>
      <c r="H148" s="312" t="s">
        <v>153</v>
      </c>
      <c r="I148" s="306"/>
      <c r="L148" s="281"/>
      <c r="N148" s="296"/>
    </row>
    <row r="149" spans="1:16" s="293" customFormat="1" ht="15" hidden="1" customHeight="1">
      <c r="A149" s="299">
        <v>44694</v>
      </c>
      <c r="B149" s="310" t="s">
        <v>403</v>
      </c>
      <c r="C149" s="296" t="s">
        <v>157</v>
      </c>
      <c r="D149" s="303" t="s">
        <v>236</v>
      </c>
      <c r="E149" s="311"/>
      <c r="F149" s="361">
        <v>7000</v>
      </c>
      <c r="G149" s="294">
        <f t="shared" si="2"/>
        <v>32125141</v>
      </c>
      <c r="H149" s="324" t="s">
        <v>153</v>
      </c>
      <c r="I149" s="295" t="s">
        <v>231</v>
      </c>
      <c r="J149" s="306" t="s">
        <v>166</v>
      </c>
      <c r="K149" s="293" t="s">
        <v>214</v>
      </c>
      <c r="L149" s="281" t="s">
        <v>183</v>
      </c>
      <c r="M149" s="296"/>
      <c r="N149" s="296"/>
      <c r="P149" s="323"/>
    </row>
    <row r="150" spans="1:16" s="293" customFormat="1" ht="15" hidden="1" customHeight="1">
      <c r="A150" s="288">
        <v>44694</v>
      </c>
      <c r="B150" s="281" t="s">
        <v>404</v>
      </c>
      <c r="C150" s="296" t="s">
        <v>76</v>
      </c>
      <c r="D150" s="296"/>
      <c r="E150" s="320">
        <v>200000</v>
      </c>
      <c r="F150" s="309"/>
      <c r="G150" s="294">
        <f t="shared" si="2"/>
        <v>32325141</v>
      </c>
      <c r="H150" s="293" t="s">
        <v>153</v>
      </c>
      <c r="I150" s="306"/>
      <c r="J150" s="306"/>
      <c r="K150" s="306"/>
      <c r="L150" s="281"/>
      <c r="N150" s="296"/>
    </row>
    <row r="151" spans="1:16" s="293" customFormat="1" ht="15" hidden="1" customHeight="1">
      <c r="A151" s="288">
        <v>44694</v>
      </c>
      <c r="B151" s="281" t="s">
        <v>631</v>
      </c>
      <c r="C151" s="296" t="s">
        <v>203</v>
      </c>
      <c r="D151" s="303" t="s">
        <v>236</v>
      </c>
      <c r="E151" s="290"/>
      <c r="F151" s="309">
        <v>200000</v>
      </c>
      <c r="G151" s="294">
        <f t="shared" si="2"/>
        <v>32125141</v>
      </c>
      <c r="H151" s="281" t="s">
        <v>153</v>
      </c>
      <c r="I151" s="295" t="s">
        <v>231</v>
      </c>
      <c r="J151" s="281" t="s">
        <v>166</v>
      </c>
      <c r="K151" s="293" t="s">
        <v>214</v>
      </c>
      <c r="L151" s="281" t="s">
        <v>183</v>
      </c>
      <c r="N151" s="296"/>
      <c r="O151" s="281"/>
    </row>
    <row r="152" spans="1:16" s="293" customFormat="1" ht="15" hidden="1" customHeight="1">
      <c r="A152" s="288">
        <v>44694</v>
      </c>
      <c r="B152" s="281" t="s">
        <v>418</v>
      </c>
      <c r="C152" s="289" t="s">
        <v>194</v>
      </c>
      <c r="D152" s="289" t="s">
        <v>164</v>
      </c>
      <c r="E152" s="298"/>
      <c r="F152" s="345">
        <v>70000</v>
      </c>
      <c r="G152" s="294">
        <f t="shared" si="2"/>
        <v>32055141</v>
      </c>
      <c r="H152" s="281" t="s">
        <v>271</v>
      </c>
      <c r="I152" s="293" t="s">
        <v>229</v>
      </c>
      <c r="J152" s="281" t="s">
        <v>166</v>
      </c>
      <c r="K152" s="281" t="s">
        <v>214</v>
      </c>
      <c r="L152" s="281" t="s">
        <v>183</v>
      </c>
      <c r="M152" s="281"/>
      <c r="N152" s="289"/>
      <c r="O152" s="281"/>
    </row>
    <row r="153" spans="1:16" s="293" customFormat="1" ht="15" hidden="1" customHeight="1">
      <c r="A153" s="288">
        <v>44694</v>
      </c>
      <c r="B153" s="281" t="s">
        <v>521</v>
      </c>
      <c r="C153" s="289" t="s">
        <v>157</v>
      </c>
      <c r="D153" s="289" t="s">
        <v>164</v>
      </c>
      <c r="E153" s="291"/>
      <c r="F153" s="381">
        <v>30000</v>
      </c>
      <c r="G153" s="294">
        <f t="shared" si="2"/>
        <v>32025141</v>
      </c>
      <c r="H153" s="281" t="s">
        <v>213</v>
      </c>
      <c r="I153" s="293" t="s">
        <v>229</v>
      </c>
      <c r="J153" s="281" t="s">
        <v>166</v>
      </c>
      <c r="K153" s="281" t="s">
        <v>214</v>
      </c>
      <c r="L153" s="281" t="s">
        <v>183</v>
      </c>
      <c r="N153" s="289"/>
      <c r="O153" s="281"/>
    </row>
    <row r="154" spans="1:16" s="293" customFormat="1" ht="17.25" hidden="1" customHeight="1">
      <c r="A154" s="288">
        <v>44694</v>
      </c>
      <c r="B154" s="281" t="s">
        <v>252</v>
      </c>
      <c r="C154" s="289" t="s">
        <v>76</v>
      </c>
      <c r="D154" s="345"/>
      <c r="E154" s="298">
        <v>25000</v>
      </c>
      <c r="F154" s="309"/>
      <c r="G154" s="294">
        <f t="shared" si="2"/>
        <v>32050141</v>
      </c>
      <c r="H154" s="281" t="s">
        <v>31</v>
      </c>
      <c r="I154" s="295"/>
      <c r="J154" s="281"/>
      <c r="K154" s="281"/>
      <c r="L154" s="281"/>
      <c r="N154" s="289"/>
      <c r="O154" s="281"/>
    </row>
    <row r="155" spans="1:16" s="293" customFormat="1" ht="15" hidden="1" customHeight="1">
      <c r="A155" s="314">
        <v>44694</v>
      </c>
      <c r="B155" s="351" t="s">
        <v>455</v>
      </c>
      <c r="C155" s="289" t="s">
        <v>34</v>
      </c>
      <c r="D155" s="303" t="s">
        <v>236</v>
      </c>
      <c r="E155" s="344"/>
      <c r="F155" s="309">
        <v>20000</v>
      </c>
      <c r="G155" s="294">
        <f t="shared" si="2"/>
        <v>32030141</v>
      </c>
      <c r="H155" s="281" t="s">
        <v>31</v>
      </c>
      <c r="I155" s="293" t="s">
        <v>229</v>
      </c>
      <c r="J155" s="281" t="s">
        <v>166</v>
      </c>
      <c r="K155" s="281" t="s">
        <v>214</v>
      </c>
      <c r="L155" s="281" t="s">
        <v>183</v>
      </c>
      <c r="N155" s="289"/>
      <c r="O155" s="281"/>
    </row>
    <row r="156" spans="1:16" s="293" customFormat="1" ht="14.25" hidden="1" customHeight="1">
      <c r="A156" s="288">
        <v>44694</v>
      </c>
      <c r="B156" s="293" t="s">
        <v>255</v>
      </c>
      <c r="C156" s="296" t="s">
        <v>76</v>
      </c>
      <c r="D156" s="296"/>
      <c r="E156" s="320">
        <v>320000</v>
      </c>
      <c r="F156" s="307"/>
      <c r="G156" s="294">
        <f t="shared" si="2"/>
        <v>32350141</v>
      </c>
      <c r="H156" s="293" t="s">
        <v>29</v>
      </c>
      <c r="I156" s="306"/>
      <c r="L156" s="281"/>
      <c r="N156" s="296"/>
    </row>
    <row r="157" spans="1:16" s="293" customFormat="1" ht="15" hidden="1" customHeight="1">
      <c r="A157" s="299">
        <v>44694</v>
      </c>
      <c r="B157" s="310" t="s">
        <v>501</v>
      </c>
      <c r="C157" s="296" t="s">
        <v>76</v>
      </c>
      <c r="D157" s="297"/>
      <c r="E157" s="311"/>
      <c r="F157" s="303">
        <v>300000</v>
      </c>
      <c r="G157" s="294">
        <f t="shared" si="2"/>
        <v>32050141</v>
      </c>
      <c r="H157" s="324" t="s">
        <v>29</v>
      </c>
      <c r="I157" s="306"/>
      <c r="L157" s="281"/>
      <c r="N157" s="296"/>
    </row>
    <row r="158" spans="1:16" s="293" customFormat="1" ht="15" hidden="1" customHeight="1">
      <c r="A158" s="288">
        <v>44695</v>
      </c>
      <c r="B158" s="350" t="s">
        <v>114</v>
      </c>
      <c r="C158" s="296" t="s">
        <v>76</v>
      </c>
      <c r="D158" s="289"/>
      <c r="E158" s="329"/>
      <c r="F158" s="309">
        <v>200000</v>
      </c>
      <c r="G158" s="294">
        <f t="shared" si="2"/>
        <v>31850141</v>
      </c>
      <c r="H158" s="281" t="s">
        <v>25</v>
      </c>
      <c r="J158" s="306"/>
      <c r="L158" s="281"/>
      <c r="N158" s="296"/>
    </row>
    <row r="159" spans="1:16" s="293" customFormat="1" ht="15" hidden="1" customHeight="1">
      <c r="A159" s="299">
        <v>44695</v>
      </c>
      <c r="B159" s="295" t="s">
        <v>502</v>
      </c>
      <c r="C159" s="296" t="s">
        <v>76</v>
      </c>
      <c r="D159" s="289"/>
      <c r="E159" s="329"/>
      <c r="F159" s="309">
        <v>20000</v>
      </c>
      <c r="G159" s="294">
        <f t="shared" si="2"/>
        <v>31830141</v>
      </c>
      <c r="H159" s="281" t="s">
        <v>114</v>
      </c>
      <c r="I159" s="295"/>
      <c r="J159" s="306"/>
      <c r="L159" s="281"/>
      <c r="N159" s="289"/>
      <c r="O159" s="281"/>
    </row>
    <row r="160" spans="1:16" s="293" customFormat="1" ht="15" hidden="1" customHeight="1">
      <c r="A160" s="288">
        <v>44695</v>
      </c>
      <c r="B160" s="295" t="s">
        <v>287</v>
      </c>
      <c r="C160" s="296" t="s">
        <v>181</v>
      </c>
      <c r="D160" s="289" t="s">
        <v>164</v>
      </c>
      <c r="E160" s="329"/>
      <c r="F160" s="309">
        <v>96800</v>
      </c>
      <c r="G160" s="294">
        <f t="shared" si="2"/>
        <v>31733341</v>
      </c>
      <c r="H160" s="281" t="s">
        <v>25</v>
      </c>
      <c r="I160" s="295" t="s">
        <v>231</v>
      </c>
      <c r="J160" s="293" t="s">
        <v>103</v>
      </c>
      <c r="K160" s="293" t="s">
        <v>215</v>
      </c>
      <c r="L160" s="281" t="s">
        <v>183</v>
      </c>
      <c r="M160" s="178" t="s">
        <v>558</v>
      </c>
      <c r="N160" s="296" t="s">
        <v>246</v>
      </c>
      <c r="O160" s="281"/>
    </row>
    <row r="161" spans="1:16" s="293" customFormat="1" ht="15" hidden="1" customHeight="1">
      <c r="A161" s="288">
        <v>44695</v>
      </c>
      <c r="B161" s="293" t="s">
        <v>288</v>
      </c>
      <c r="C161" s="296" t="s">
        <v>203</v>
      </c>
      <c r="D161" s="303" t="s">
        <v>236</v>
      </c>
      <c r="E161" s="329"/>
      <c r="F161" s="379">
        <v>15000</v>
      </c>
      <c r="G161" s="294">
        <f t="shared" si="2"/>
        <v>31718341</v>
      </c>
      <c r="H161" s="293" t="s">
        <v>25</v>
      </c>
      <c r="I161" s="295" t="s">
        <v>231</v>
      </c>
      <c r="J161" s="281" t="s">
        <v>166</v>
      </c>
      <c r="K161" s="293" t="s">
        <v>214</v>
      </c>
      <c r="L161" s="281" t="s">
        <v>183</v>
      </c>
      <c r="N161" s="289"/>
    </row>
    <row r="162" spans="1:16" s="293" customFormat="1" ht="15" hidden="1" customHeight="1">
      <c r="A162" s="288">
        <v>44695</v>
      </c>
      <c r="B162" s="281" t="s">
        <v>289</v>
      </c>
      <c r="C162" s="296" t="s">
        <v>203</v>
      </c>
      <c r="D162" s="303" t="s">
        <v>164</v>
      </c>
      <c r="E162" s="298"/>
      <c r="F162" s="289">
        <v>30000</v>
      </c>
      <c r="G162" s="294">
        <f t="shared" si="2"/>
        <v>31688341</v>
      </c>
      <c r="H162" s="281" t="s">
        <v>25</v>
      </c>
      <c r="I162" s="295" t="s">
        <v>231</v>
      </c>
      <c r="J162" s="281" t="s">
        <v>166</v>
      </c>
      <c r="K162" s="293" t="s">
        <v>214</v>
      </c>
      <c r="L162" s="281" t="s">
        <v>183</v>
      </c>
      <c r="N162" s="296"/>
      <c r="O162" s="281"/>
    </row>
    <row r="163" spans="1:16" s="293" customFormat="1" ht="16.5" hidden="1" customHeight="1">
      <c r="A163" s="321">
        <v>44695</v>
      </c>
      <c r="B163" s="352" t="s">
        <v>290</v>
      </c>
      <c r="C163" s="296" t="s">
        <v>76</v>
      </c>
      <c r="D163" s="353"/>
      <c r="E163" s="354">
        <v>34835</v>
      </c>
      <c r="F163" s="361"/>
      <c r="G163" s="294">
        <f t="shared" si="2"/>
        <v>31723176</v>
      </c>
      <c r="H163" s="352" t="s">
        <v>25</v>
      </c>
      <c r="J163" s="323"/>
      <c r="K163" s="352"/>
      <c r="L163" s="281"/>
      <c r="N163" s="325"/>
      <c r="O163" s="323"/>
    </row>
    <row r="164" spans="1:16" s="293" customFormat="1" ht="15" hidden="1" customHeight="1">
      <c r="A164" s="288">
        <v>44695</v>
      </c>
      <c r="B164" s="281" t="s">
        <v>291</v>
      </c>
      <c r="C164" s="296" t="s">
        <v>35</v>
      </c>
      <c r="D164" s="289" t="s">
        <v>230</v>
      </c>
      <c r="E164" s="290"/>
      <c r="F164" s="307">
        <v>1500</v>
      </c>
      <c r="G164" s="294">
        <f t="shared" si="2"/>
        <v>31721676</v>
      </c>
      <c r="H164" s="281" t="s">
        <v>25</v>
      </c>
      <c r="I164" s="293" t="s">
        <v>229</v>
      </c>
      <c r="J164" s="281" t="s">
        <v>166</v>
      </c>
      <c r="K164" s="281" t="s">
        <v>215</v>
      </c>
      <c r="L164" s="281" t="s">
        <v>183</v>
      </c>
      <c r="M164" s="178" t="s">
        <v>559</v>
      </c>
      <c r="N164" s="289" t="s">
        <v>240</v>
      </c>
      <c r="O164" s="281"/>
    </row>
    <row r="165" spans="1:16" s="293" customFormat="1" ht="15" hidden="1" customHeight="1">
      <c r="A165" s="299">
        <v>44695</v>
      </c>
      <c r="B165" s="293" t="s">
        <v>30</v>
      </c>
      <c r="C165" s="296" t="s">
        <v>76</v>
      </c>
      <c r="D165" s="289"/>
      <c r="E165" s="312"/>
      <c r="F165" s="289">
        <v>80000</v>
      </c>
      <c r="G165" s="294">
        <f t="shared" si="2"/>
        <v>31641676</v>
      </c>
      <c r="H165" s="293" t="s">
        <v>25</v>
      </c>
      <c r="L165" s="281"/>
      <c r="N165" s="296"/>
    </row>
    <row r="166" spans="1:16" s="293" customFormat="1" ht="15" hidden="1" customHeight="1">
      <c r="A166" s="288">
        <v>44695</v>
      </c>
      <c r="B166" s="281" t="s">
        <v>30</v>
      </c>
      <c r="C166" s="296" t="s">
        <v>76</v>
      </c>
      <c r="D166" s="303"/>
      <c r="E166" s="290"/>
      <c r="F166" s="309">
        <v>10000</v>
      </c>
      <c r="G166" s="294">
        <f t="shared" si="2"/>
        <v>31631676</v>
      </c>
      <c r="H166" s="281" t="s">
        <v>25</v>
      </c>
      <c r="J166" s="281"/>
      <c r="L166" s="281"/>
      <c r="N166" s="296"/>
      <c r="O166" s="281"/>
    </row>
    <row r="167" spans="1:16" s="356" customFormat="1" ht="15.75" hidden="1" customHeight="1">
      <c r="A167" s="288">
        <v>44695</v>
      </c>
      <c r="B167" s="355" t="s">
        <v>238</v>
      </c>
      <c r="C167" s="296" t="s">
        <v>76</v>
      </c>
      <c r="D167" s="289"/>
      <c r="E167" s="329">
        <v>200000</v>
      </c>
      <c r="F167" s="309"/>
      <c r="G167" s="294">
        <f t="shared" si="2"/>
        <v>31831676</v>
      </c>
      <c r="H167" s="281" t="s">
        <v>114</v>
      </c>
      <c r="I167" s="295"/>
      <c r="J167" s="306"/>
      <c r="K167" s="293"/>
      <c r="L167" s="281"/>
      <c r="M167" s="293"/>
      <c r="N167" s="289"/>
      <c r="O167" s="281"/>
      <c r="P167" s="293"/>
    </row>
    <row r="168" spans="1:16" s="356" customFormat="1" ht="15.75" hidden="1" customHeight="1">
      <c r="A168" s="288">
        <v>44695</v>
      </c>
      <c r="B168" s="281" t="s">
        <v>405</v>
      </c>
      <c r="C168" s="296" t="s">
        <v>34</v>
      </c>
      <c r="D168" s="289" t="s">
        <v>164</v>
      </c>
      <c r="E168" s="290"/>
      <c r="F168" s="309">
        <v>25500</v>
      </c>
      <c r="G168" s="294">
        <f t="shared" si="2"/>
        <v>31806176</v>
      </c>
      <c r="H168" s="281" t="s">
        <v>153</v>
      </c>
      <c r="I168" s="295" t="s">
        <v>231</v>
      </c>
      <c r="J168" s="306" t="s">
        <v>166</v>
      </c>
      <c r="K168" s="281" t="s">
        <v>215</v>
      </c>
      <c r="L168" s="281" t="s">
        <v>183</v>
      </c>
      <c r="M168" s="178" t="s">
        <v>560</v>
      </c>
      <c r="N168" s="296" t="s">
        <v>251</v>
      </c>
      <c r="O168" s="281"/>
      <c r="P168" s="293"/>
    </row>
    <row r="169" spans="1:16" s="356" customFormat="1" ht="15.75" hidden="1" customHeight="1">
      <c r="A169" s="288">
        <v>44695</v>
      </c>
      <c r="B169" s="281" t="s">
        <v>406</v>
      </c>
      <c r="C169" s="296" t="s">
        <v>76</v>
      </c>
      <c r="D169" s="327"/>
      <c r="E169" s="293"/>
      <c r="F169" s="289">
        <v>34835</v>
      </c>
      <c r="G169" s="294">
        <f t="shared" si="2"/>
        <v>31771341</v>
      </c>
      <c r="H169" s="293" t="s">
        <v>153</v>
      </c>
      <c r="I169" s="295"/>
      <c r="J169" s="293"/>
      <c r="K169" s="281"/>
      <c r="L169" s="281"/>
      <c r="M169" s="293"/>
      <c r="N169" s="296"/>
      <c r="O169" s="293"/>
      <c r="P169" s="293"/>
    </row>
    <row r="170" spans="1:16" s="293" customFormat="1" ht="15" hidden="1" customHeight="1">
      <c r="A170" s="288">
        <v>44695</v>
      </c>
      <c r="B170" s="293" t="s">
        <v>410</v>
      </c>
      <c r="C170" s="296" t="s">
        <v>237</v>
      </c>
      <c r="D170" s="289"/>
      <c r="E170" s="320">
        <v>20000</v>
      </c>
      <c r="F170" s="309"/>
      <c r="G170" s="294">
        <f t="shared" si="2"/>
        <v>31791341</v>
      </c>
      <c r="H170" s="293" t="s">
        <v>212</v>
      </c>
      <c r="I170" s="306"/>
      <c r="L170" s="281"/>
      <c r="N170" s="296"/>
      <c r="P170" s="323"/>
    </row>
    <row r="171" spans="1:16" s="293" customFormat="1" ht="15" hidden="1" customHeight="1">
      <c r="A171" s="288">
        <v>44695</v>
      </c>
      <c r="B171" s="281" t="s">
        <v>419</v>
      </c>
      <c r="C171" s="289" t="s">
        <v>157</v>
      </c>
      <c r="D171" s="289" t="s">
        <v>164</v>
      </c>
      <c r="E171" s="290"/>
      <c r="F171" s="309">
        <v>30000</v>
      </c>
      <c r="G171" s="294">
        <f t="shared" si="2"/>
        <v>31761341</v>
      </c>
      <c r="H171" s="281" t="s">
        <v>271</v>
      </c>
      <c r="I171" s="293" t="s">
        <v>229</v>
      </c>
      <c r="J171" s="281" t="s">
        <v>166</v>
      </c>
      <c r="K171" s="281" t="s">
        <v>214</v>
      </c>
      <c r="L171" s="281" t="s">
        <v>183</v>
      </c>
      <c r="N171" s="289"/>
      <c r="O171" s="281"/>
    </row>
    <row r="172" spans="1:16" s="293" customFormat="1" ht="15" hidden="1" customHeight="1">
      <c r="A172" s="288">
        <v>44695</v>
      </c>
      <c r="B172" s="281" t="s">
        <v>420</v>
      </c>
      <c r="C172" s="289" t="s">
        <v>34</v>
      </c>
      <c r="D172" s="289" t="s">
        <v>164</v>
      </c>
      <c r="E172" s="290"/>
      <c r="F172" s="309">
        <v>10000</v>
      </c>
      <c r="G172" s="294">
        <f t="shared" si="2"/>
        <v>31751341</v>
      </c>
      <c r="H172" s="281" t="s">
        <v>271</v>
      </c>
      <c r="I172" s="293" t="s">
        <v>229</v>
      </c>
      <c r="J172" s="293" t="s">
        <v>166</v>
      </c>
      <c r="K172" s="293" t="s">
        <v>214</v>
      </c>
      <c r="L172" s="281" t="s">
        <v>183</v>
      </c>
      <c r="N172" s="289"/>
      <c r="O172" s="281"/>
    </row>
    <row r="173" spans="1:16" s="293" customFormat="1" ht="15" hidden="1" customHeight="1">
      <c r="A173" s="288">
        <v>44695</v>
      </c>
      <c r="B173" s="293" t="s">
        <v>483</v>
      </c>
      <c r="C173" s="296" t="s">
        <v>76</v>
      </c>
      <c r="D173" s="297"/>
      <c r="E173" s="318">
        <v>10000</v>
      </c>
      <c r="F173" s="289"/>
      <c r="G173" s="294">
        <f t="shared" si="2"/>
        <v>31761341</v>
      </c>
      <c r="H173" s="293" t="s">
        <v>49</v>
      </c>
      <c r="I173" s="306"/>
      <c r="J173" s="306"/>
      <c r="N173" s="296"/>
    </row>
    <row r="174" spans="1:16" s="293" customFormat="1" ht="15" hidden="1" customHeight="1">
      <c r="A174" s="288">
        <v>44695</v>
      </c>
      <c r="B174" s="293" t="s">
        <v>639</v>
      </c>
      <c r="C174" s="296" t="s">
        <v>34</v>
      </c>
      <c r="D174" s="297" t="s">
        <v>4</v>
      </c>
      <c r="E174" s="318"/>
      <c r="F174" s="289">
        <v>7000</v>
      </c>
      <c r="G174" s="294">
        <f t="shared" si="2"/>
        <v>31754341</v>
      </c>
      <c r="H174" s="293" t="s">
        <v>49</v>
      </c>
      <c r="I174" s="293" t="s">
        <v>229</v>
      </c>
      <c r="J174" s="293" t="s">
        <v>166</v>
      </c>
      <c r="K174" s="293" t="s">
        <v>215</v>
      </c>
      <c r="L174" s="296" t="s">
        <v>183</v>
      </c>
      <c r="M174" s="293" t="s">
        <v>640</v>
      </c>
      <c r="N174" s="296" t="s">
        <v>251</v>
      </c>
    </row>
    <row r="175" spans="1:16" s="293" customFormat="1" ht="15" hidden="1" customHeight="1">
      <c r="A175" s="288">
        <v>44695</v>
      </c>
      <c r="B175" s="293" t="s">
        <v>253</v>
      </c>
      <c r="C175" s="296" t="s">
        <v>76</v>
      </c>
      <c r="D175" s="289"/>
      <c r="E175" s="318">
        <v>80000</v>
      </c>
      <c r="F175" s="289"/>
      <c r="G175" s="294">
        <f>+G173+E175-F175</f>
        <v>31841341</v>
      </c>
      <c r="H175" s="293" t="s">
        <v>49</v>
      </c>
      <c r="I175" s="306"/>
      <c r="K175" s="306"/>
      <c r="N175" s="296"/>
    </row>
    <row r="176" spans="1:16" s="293" customFormat="1" ht="15" hidden="1" customHeight="1">
      <c r="A176" s="288">
        <v>44696</v>
      </c>
      <c r="B176" s="281" t="s">
        <v>411</v>
      </c>
      <c r="C176" s="296" t="s">
        <v>216</v>
      </c>
      <c r="D176" s="289" t="s">
        <v>164</v>
      </c>
      <c r="E176" s="298"/>
      <c r="F176" s="309">
        <v>11000</v>
      </c>
      <c r="G176" s="294">
        <f t="shared" si="2"/>
        <v>31830341</v>
      </c>
      <c r="H176" s="281" t="s">
        <v>212</v>
      </c>
      <c r="I176" s="295" t="s">
        <v>231</v>
      </c>
      <c r="J176" s="306" t="s">
        <v>166</v>
      </c>
      <c r="K176" s="293" t="s">
        <v>214</v>
      </c>
      <c r="L176" s="281" t="s">
        <v>183</v>
      </c>
      <c r="N176" s="289"/>
      <c r="O176" s="281"/>
    </row>
    <row r="177" spans="1:16" s="293" customFormat="1" ht="15" hidden="1" customHeight="1">
      <c r="A177" s="321">
        <v>44697</v>
      </c>
      <c r="B177" s="300" t="s">
        <v>152</v>
      </c>
      <c r="C177" s="296" t="s">
        <v>76</v>
      </c>
      <c r="D177" s="303"/>
      <c r="E177" s="342"/>
      <c r="F177" s="361">
        <v>10000</v>
      </c>
      <c r="G177" s="294">
        <f t="shared" si="2"/>
        <v>31820341</v>
      </c>
      <c r="H177" s="300" t="s">
        <v>25</v>
      </c>
      <c r="J177" s="281"/>
      <c r="L177" s="281"/>
      <c r="N177" s="296"/>
      <c r="O177" s="281"/>
    </row>
    <row r="178" spans="1:16" s="293" customFormat="1" ht="14.25" hidden="1" customHeight="1">
      <c r="A178" s="288">
        <v>44697</v>
      </c>
      <c r="B178" s="281" t="s">
        <v>31</v>
      </c>
      <c r="C178" s="296" t="s">
        <v>76</v>
      </c>
      <c r="D178" s="303"/>
      <c r="E178" s="298"/>
      <c r="F178" s="289">
        <v>20000</v>
      </c>
      <c r="G178" s="294">
        <f t="shared" si="2"/>
        <v>31800341</v>
      </c>
      <c r="H178" s="281" t="s">
        <v>25</v>
      </c>
      <c r="J178" s="281"/>
      <c r="K178" s="281"/>
      <c r="L178" s="281"/>
      <c r="N178" s="289"/>
      <c r="O178" s="281"/>
    </row>
    <row r="179" spans="1:16" s="293" customFormat="1" ht="15" hidden="1" customHeight="1">
      <c r="A179" s="288">
        <v>44697</v>
      </c>
      <c r="B179" s="281" t="s">
        <v>292</v>
      </c>
      <c r="C179" s="296" t="s">
        <v>203</v>
      </c>
      <c r="D179" s="303" t="s">
        <v>165</v>
      </c>
      <c r="E179" s="298"/>
      <c r="F179" s="309">
        <v>18000</v>
      </c>
      <c r="G179" s="294">
        <f t="shared" si="2"/>
        <v>31782341</v>
      </c>
      <c r="H179" s="281" t="s">
        <v>25</v>
      </c>
      <c r="I179" s="295" t="s">
        <v>231</v>
      </c>
      <c r="J179" s="281" t="s">
        <v>166</v>
      </c>
      <c r="K179" s="293" t="s">
        <v>214</v>
      </c>
      <c r="L179" s="281" t="s">
        <v>183</v>
      </c>
      <c r="N179" s="296"/>
      <c r="O179" s="281"/>
    </row>
    <row r="180" spans="1:16" s="293" customFormat="1" ht="15" hidden="1" customHeight="1">
      <c r="A180" s="288">
        <v>44697</v>
      </c>
      <c r="B180" s="281" t="s">
        <v>293</v>
      </c>
      <c r="C180" s="296" t="s">
        <v>203</v>
      </c>
      <c r="D180" s="303" t="s">
        <v>165</v>
      </c>
      <c r="E180" s="298"/>
      <c r="F180" s="309">
        <v>39000</v>
      </c>
      <c r="G180" s="294">
        <f t="shared" si="2"/>
        <v>31743341</v>
      </c>
      <c r="H180" s="281" t="s">
        <v>25</v>
      </c>
      <c r="I180" s="295" t="s">
        <v>231</v>
      </c>
      <c r="J180" s="281" t="s">
        <v>166</v>
      </c>
      <c r="K180" s="293" t="s">
        <v>214</v>
      </c>
      <c r="L180" s="281" t="s">
        <v>183</v>
      </c>
      <c r="N180" s="289"/>
      <c r="O180" s="281"/>
    </row>
    <row r="181" spans="1:16" s="293" customFormat="1" ht="15" hidden="1" customHeight="1">
      <c r="A181" s="321">
        <v>44697</v>
      </c>
      <c r="B181" s="300" t="s">
        <v>294</v>
      </c>
      <c r="C181" s="296" t="s">
        <v>203</v>
      </c>
      <c r="D181" s="303" t="s">
        <v>165</v>
      </c>
      <c r="E181" s="301"/>
      <c r="F181" s="361">
        <v>150000</v>
      </c>
      <c r="G181" s="294">
        <f t="shared" si="2"/>
        <v>31593341</v>
      </c>
      <c r="H181" s="300" t="s">
        <v>25</v>
      </c>
      <c r="I181" s="295" t="s">
        <v>231</v>
      </c>
      <c r="J181" s="281" t="s">
        <v>166</v>
      </c>
      <c r="K181" s="293" t="s">
        <v>214</v>
      </c>
      <c r="L181" s="281" t="s">
        <v>183</v>
      </c>
      <c r="N181" s="296"/>
      <c r="O181" s="323"/>
    </row>
    <row r="182" spans="1:16" s="293" customFormat="1" ht="15" hidden="1" customHeight="1">
      <c r="A182" s="288">
        <v>44697</v>
      </c>
      <c r="B182" s="281" t="s">
        <v>295</v>
      </c>
      <c r="C182" s="296" t="s">
        <v>203</v>
      </c>
      <c r="D182" s="289" t="s">
        <v>165</v>
      </c>
      <c r="E182" s="290"/>
      <c r="F182" s="307">
        <v>150000</v>
      </c>
      <c r="G182" s="294">
        <f t="shared" si="2"/>
        <v>31443341</v>
      </c>
      <c r="H182" s="281" t="s">
        <v>25</v>
      </c>
      <c r="I182" s="295" t="s">
        <v>231</v>
      </c>
      <c r="J182" s="281" t="s">
        <v>166</v>
      </c>
      <c r="K182" s="293" t="s">
        <v>214</v>
      </c>
      <c r="L182" s="281" t="s">
        <v>183</v>
      </c>
      <c r="N182" s="296"/>
      <c r="O182" s="281"/>
    </row>
    <row r="183" spans="1:16" s="293" customFormat="1" ht="15" hidden="1" customHeight="1">
      <c r="A183" s="288">
        <v>44697</v>
      </c>
      <c r="B183" s="281" t="s">
        <v>629</v>
      </c>
      <c r="C183" s="296" t="s">
        <v>182</v>
      </c>
      <c r="D183" s="303" t="s">
        <v>236</v>
      </c>
      <c r="E183" s="318"/>
      <c r="F183" s="345">
        <v>3000</v>
      </c>
      <c r="G183" s="294">
        <f t="shared" si="2"/>
        <v>31440341</v>
      </c>
      <c r="H183" s="293" t="s">
        <v>25</v>
      </c>
      <c r="I183" s="293" t="s">
        <v>229</v>
      </c>
      <c r="J183" s="281" t="s">
        <v>166</v>
      </c>
      <c r="K183" s="281" t="s">
        <v>214</v>
      </c>
      <c r="L183" s="281" t="s">
        <v>183</v>
      </c>
      <c r="N183" s="296"/>
    </row>
    <row r="184" spans="1:16" s="293" customFormat="1" ht="15" hidden="1" customHeight="1">
      <c r="A184" s="288">
        <v>44697</v>
      </c>
      <c r="B184" s="293" t="s">
        <v>29</v>
      </c>
      <c r="C184" s="296" t="s">
        <v>76</v>
      </c>
      <c r="D184" s="289"/>
      <c r="E184" s="318"/>
      <c r="F184" s="309">
        <v>83000</v>
      </c>
      <c r="G184" s="294">
        <f t="shared" si="2"/>
        <v>31357341</v>
      </c>
      <c r="H184" s="281" t="s">
        <v>25</v>
      </c>
      <c r="J184" s="306"/>
      <c r="L184" s="281"/>
      <c r="N184" s="289"/>
    </row>
    <row r="185" spans="1:16" s="293" customFormat="1" ht="15" hidden="1" customHeight="1">
      <c r="A185" s="288">
        <v>44697</v>
      </c>
      <c r="B185" s="340" t="s">
        <v>276</v>
      </c>
      <c r="C185" s="296" t="s">
        <v>76</v>
      </c>
      <c r="D185" s="289"/>
      <c r="E185" s="281"/>
      <c r="F185" s="309">
        <v>15000</v>
      </c>
      <c r="G185" s="294">
        <f t="shared" si="2"/>
        <v>31342341</v>
      </c>
      <c r="H185" s="293" t="s">
        <v>25</v>
      </c>
      <c r="J185" s="306"/>
      <c r="L185" s="281"/>
      <c r="N185" s="289"/>
      <c r="O185" s="281"/>
    </row>
    <row r="186" spans="1:16" s="293" customFormat="1" ht="15" hidden="1" customHeight="1">
      <c r="A186" s="288">
        <v>44697</v>
      </c>
      <c r="B186" s="281" t="s">
        <v>271</v>
      </c>
      <c r="C186" s="296" t="s">
        <v>76</v>
      </c>
      <c r="D186" s="289"/>
      <c r="E186" s="290"/>
      <c r="F186" s="307">
        <v>10000</v>
      </c>
      <c r="G186" s="294">
        <f t="shared" si="2"/>
        <v>31332341</v>
      </c>
      <c r="H186" s="281" t="s">
        <v>25</v>
      </c>
      <c r="J186" s="306"/>
      <c r="L186" s="281"/>
      <c r="N186" s="289"/>
      <c r="O186" s="281"/>
    </row>
    <row r="187" spans="1:16" s="293" customFormat="1" ht="15" hidden="1" customHeight="1">
      <c r="A187" s="288">
        <v>44697</v>
      </c>
      <c r="B187" s="281" t="s">
        <v>213</v>
      </c>
      <c r="C187" s="296" t="s">
        <v>76</v>
      </c>
      <c r="D187" s="289"/>
      <c r="E187" s="290"/>
      <c r="F187" s="309">
        <v>185000</v>
      </c>
      <c r="G187" s="294">
        <f t="shared" si="2"/>
        <v>31147341</v>
      </c>
      <c r="H187" s="281" t="s">
        <v>25</v>
      </c>
      <c r="J187" s="306"/>
      <c r="L187" s="281"/>
      <c r="N187" s="289"/>
      <c r="O187" s="281"/>
    </row>
    <row r="188" spans="1:16" s="293" customFormat="1" ht="15" hidden="1" customHeight="1">
      <c r="A188" s="288">
        <v>44697</v>
      </c>
      <c r="B188" s="357" t="s">
        <v>350</v>
      </c>
      <c r="C188" s="358" t="s">
        <v>76</v>
      </c>
      <c r="D188" s="358"/>
      <c r="E188" s="357">
        <v>10000</v>
      </c>
      <c r="F188" s="358"/>
      <c r="G188" s="294">
        <f t="shared" si="2"/>
        <v>31157341</v>
      </c>
      <c r="H188" s="357" t="s">
        <v>152</v>
      </c>
      <c r="I188" s="359"/>
      <c r="J188" s="359"/>
      <c r="K188" s="359"/>
      <c r="L188" s="356"/>
      <c r="M188" s="356"/>
      <c r="N188" s="360"/>
      <c r="O188" s="356"/>
      <c r="P188" s="356"/>
    </row>
    <row r="189" spans="1:16" s="293" customFormat="1" ht="15" hidden="1" customHeight="1">
      <c r="A189" s="288">
        <v>44697</v>
      </c>
      <c r="B189" s="328" t="s">
        <v>365</v>
      </c>
      <c r="C189" s="296" t="s">
        <v>76</v>
      </c>
      <c r="D189" s="345"/>
      <c r="E189" s="329">
        <v>15000</v>
      </c>
      <c r="F189" s="289"/>
      <c r="G189" s="294">
        <f t="shared" si="2"/>
        <v>31172341</v>
      </c>
      <c r="H189" s="293" t="s">
        <v>48</v>
      </c>
      <c r="I189" s="295"/>
      <c r="J189" s="306"/>
      <c r="L189" s="281"/>
      <c r="N189" s="296"/>
    </row>
    <row r="190" spans="1:16" s="293" customFormat="1" ht="15" hidden="1" customHeight="1">
      <c r="A190" s="321">
        <v>44697</v>
      </c>
      <c r="B190" s="300" t="s">
        <v>415</v>
      </c>
      <c r="C190" s="289" t="s">
        <v>76</v>
      </c>
      <c r="D190" s="289"/>
      <c r="E190" s="301">
        <v>10000</v>
      </c>
      <c r="F190" s="303"/>
      <c r="G190" s="294">
        <f t="shared" si="2"/>
        <v>31182341</v>
      </c>
      <c r="H190" s="300" t="s">
        <v>271</v>
      </c>
      <c r="I190" s="295"/>
      <c r="J190" s="281"/>
      <c r="K190" s="281"/>
      <c r="L190" s="281"/>
      <c r="N190" s="289"/>
      <c r="O190" s="323"/>
    </row>
    <row r="191" spans="1:16" s="293" customFormat="1" ht="15" hidden="1" customHeight="1">
      <c r="A191" s="288">
        <v>44697</v>
      </c>
      <c r="B191" s="281" t="s">
        <v>428</v>
      </c>
      <c r="C191" s="289" t="s">
        <v>237</v>
      </c>
      <c r="D191" s="289"/>
      <c r="E191" s="290">
        <v>185000</v>
      </c>
      <c r="F191" s="307"/>
      <c r="G191" s="294">
        <f t="shared" si="2"/>
        <v>31367341</v>
      </c>
      <c r="H191" s="281" t="s">
        <v>213</v>
      </c>
      <c r="I191" s="281"/>
      <c r="J191" s="281"/>
      <c r="K191" s="281"/>
      <c r="L191" s="281"/>
      <c r="M191" s="281"/>
      <c r="N191" s="289"/>
      <c r="O191" s="281"/>
    </row>
    <row r="192" spans="1:16" s="293" customFormat="1" ht="15" hidden="1" customHeight="1">
      <c r="A192" s="299">
        <v>44697</v>
      </c>
      <c r="B192" s="281" t="s">
        <v>252</v>
      </c>
      <c r="C192" s="289" t="s">
        <v>76</v>
      </c>
      <c r="D192" s="361"/>
      <c r="E192" s="301">
        <v>20000</v>
      </c>
      <c r="F192" s="309"/>
      <c r="G192" s="294">
        <f t="shared" si="2"/>
        <v>31387341</v>
      </c>
      <c r="H192" s="281" t="s">
        <v>31</v>
      </c>
      <c r="I192" s="295"/>
      <c r="J192" s="281"/>
      <c r="K192" s="281"/>
      <c r="L192" s="281"/>
      <c r="N192" s="289"/>
      <c r="O192" s="281"/>
    </row>
    <row r="193" spans="1:16" s="293" customFormat="1" ht="15" hidden="1" customHeight="1">
      <c r="A193" s="299">
        <v>44697</v>
      </c>
      <c r="B193" s="293" t="s">
        <v>255</v>
      </c>
      <c r="C193" s="296" t="s">
        <v>76</v>
      </c>
      <c r="D193" s="296"/>
      <c r="E193" s="329">
        <v>83000</v>
      </c>
      <c r="F193" s="379"/>
      <c r="G193" s="294">
        <f t="shared" si="2"/>
        <v>31470341</v>
      </c>
      <c r="H193" s="293" t="s">
        <v>29</v>
      </c>
      <c r="I193" s="306"/>
      <c r="L193" s="281"/>
      <c r="N193" s="296"/>
      <c r="P193" s="335"/>
    </row>
    <row r="194" spans="1:16" s="293" customFormat="1" ht="15.75" hidden="1" customHeight="1">
      <c r="A194" s="299">
        <v>44697</v>
      </c>
      <c r="B194" s="293" t="s">
        <v>486</v>
      </c>
      <c r="C194" s="296" t="s">
        <v>157</v>
      </c>
      <c r="D194" s="289" t="s">
        <v>4</v>
      </c>
      <c r="E194" s="329"/>
      <c r="F194" s="379">
        <v>60000</v>
      </c>
      <c r="G194" s="294">
        <f t="shared" si="2"/>
        <v>31410341</v>
      </c>
      <c r="H194" s="293" t="s">
        <v>49</v>
      </c>
      <c r="I194" s="295" t="s">
        <v>231</v>
      </c>
      <c r="J194" s="293" t="s">
        <v>166</v>
      </c>
      <c r="K194" s="293" t="s">
        <v>215</v>
      </c>
      <c r="L194" s="281" t="s">
        <v>183</v>
      </c>
      <c r="M194" s="178" t="s">
        <v>561</v>
      </c>
      <c r="N194" s="296" t="s">
        <v>511</v>
      </c>
    </row>
    <row r="195" spans="1:16" s="293" customFormat="1" ht="15" hidden="1" customHeight="1">
      <c r="A195" s="288">
        <v>44698</v>
      </c>
      <c r="B195" s="281" t="s">
        <v>296</v>
      </c>
      <c r="C195" s="296" t="s">
        <v>182</v>
      </c>
      <c r="D195" s="303" t="s">
        <v>228</v>
      </c>
      <c r="E195" s="298"/>
      <c r="F195" s="289">
        <v>20000</v>
      </c>
      <c r="G195" s="294">
        <f t="shared" si="2"/>
        <v>31390341</v>
      </c>
      <c r="H195" s="281" t="s">
        <v>25</v>
      </c>
      <c r="I195" s="293" t="s">
        <v>229</v>
      </c>
      <c r="J195" s="281" t="s">
        <v>166</v>
      </c>
      <c r="K195" s="281" t="s">
        <v>215</v>
      </c>
      <c r="L195" s="281" t="s">
        <v>183</v>
      </c>
      <c r="M195" s="178" t="s">
        <v>562</v>
      </c>
      <c r="N195" s="289" t="s">
        <v>250</v>
      </c>
      <c r="O195" s="281"/>
    </row>
    <row r="196" spans="1:16" s="293" customFormat="1" ht="15" hidden="1" customHeight="1">
      <c r="A196" s="288">
        <v>44698</v>
      </c>
      <c r="B196" s="293" t="s">
        <v>297</v>
      </c>
      <c r="C196" s="296" t="s">
        <v>182</v>
      </c>
      <c r="D196" s="303" t="s">
        <v>164</v>
      </c>
      <c r="E196" s="318"/>
      <c r="F196" s="345">
        <v>5000</v>
      </c>
      <c r="G196" s="294">
        <f t="shared" si="2"/>
        <v>31385341</v>
      </c>
      <c r="H196" s="293" t="s">
        <v>25</v>
      </c>
      <c r="I196" s="293" t="s">
        <v>229</v>
      </c>
      <c r="J196" s="281" t="s">
        <v>166</v>
      </c>
      <c r="K196" s="281" t="s">
        <v>215</v>
      </c>
      <c r="L196" s="281" t="s">
        <v>183</v>
      </c>
      <c r="M196" s="178" t="s">
        <v>563</v>
      </c>
      <c r="N196" s="289" t="s">
        <v>250</v>
      </c>
    </row>
    <row r="197" spans="1:16" s="293" customFormat="1" ht="15" hidden="1" customHeight="1">
      <c r="A197" s="321">
        <v>44698</v>
      </c>
      <c r="B197" s="281" t="s">
        <v>298</v>
      </c>
      <c r="C197" s="296" t="s">
        <v>182</v>
      </c>
      <c r="D197" s="303" t="s">
        <v>164</v>
      </c>
      <c r="E197" s="319"/>
      <c r="F197" s="307">
        <v>15000</v>
      </c>
      <c r="G197" s="294">
        <f t="shared" si="2"/>
        <v>31370341</v>
      </c>
      <c r="H197" s="281" t="s">
        <v>25</v>
      </c>
      <c r="I197" s="293" t="s">
        <v>229</v>
      </c>
      <c r="J197" s="281" t="s">
        <v>166</v>
      </c>
      <c r="K197" s="281" t="s">
        <v>214</v>
      </c>
      <c r="L197" s="281" t="s">
        <v>183</v>
      </c>
      <c r="N197" s="289"/>
      <c r="O197" s="281"/>
    </row>
    <row r="198" spans="1:16" s="293" customFormat="1" ht="15" hidden="1" customHeight="1">
      <c r="A198" s="288">
        <v>44698</v>
      </c>
      <c r="B198" s="281" t="s">
        <v>299</v>
      </c>
      <c r="C198" s="296" t="s">
        <v>182</v>
      </c>
      <c r="D198" s="289" t="s">
        <v>4</v>
      </c>
      <c r="E198" s="290"/>
      <c r="F198" s="309">
        <v>10000</v>
      </c>
      <c r="G198" s="294">
        <f t="shared" si="2"/>
        <v>31360341</v>
      </c>
      <c r="H198" s="281" t="s">
        <v>25</v>
      </c>
      <c r="I198" s="293" t="s">
        <v>229</v>
      </c>
      <c r="J198" s="281" t="s">
        <v>166</v>
      </c>
      <c r="K198" s="281" t="s">
        <v>215</v>
      </c>
      <c r="L198" s="281" t="s">
        <v>183</v>
      </c>
      <c r="M198" s="178" t="s">
        <v>564</v>
      </c>
      <c r="N198" s="289" t="s">
        <v>250</v>
      </c>
      <c r="O198" s="281"/>
    </row>
    <row r="199" spans="1:16" s="293" customFormat="1" ht="15" hidden="1" customHeight="1">
      <c r="A199" s="288">
        <v>44698</v>
      </c>
      <c r="B199" s="281" t="s">
        <v>300</v>
      </c>
      <c r="C199" s="296" t="s">
        <v>182</v>
      </c>
      <c r="D199" s="289" t="s">
        <v>165</v>
      </c>
      <c r="E199" s="290"/>
      <c r="F199" s="309">
        <v>5000</v>
      </c>
      <c r="G199" s="294">
        <f t="shared" si="2"/>
        <v>31355341</v>
      </c>
      <c r="H199" s="281" t="s">
        <v>25</v>
      </c>
      <c r="I199" s="293" t="s">
        <v>229</v>
      </c>
      <c r="J199" s="281" t="s">
        <v>166</v>
      </c>
      <c r="K199" s="281" t="s">
        <v>215</v>
      </c>
      <c r="L199" s="281" t="s">
        <v>183</v>
      </c>
      <c r="M199" s="178" t="s">
        <v>565</v>
      </c>
      <c r="N199" s="289" t="s">
        <v>250</v>
      </c>
      <c r="O199" s="281"/>
    </row>
    <row r="200" spans="1:16" s="293" customFormat="1" ht="15" hidden="1" customHeight="1">
      <c r="A200" s="288">
        <v>44698</v>
      </c>
      <c r="B200" s="281" t="s">
        <v>301</v>
      </c>
      <c r="C200" s="296" t="s">
        <v>182</v>
      </c>
      <c r="D200" s="303" t="s">
        <v>228</v>
      </c>
      <c r="E200" s="298"/>
      <c r="F200" s="345">
        <v>10000</v>
      </c>
      <c r="G200" s="294">
        <f t="shared" si="2"/>
        <v>31345341</v>
      </c>
      <c r="H200" s="281" t="s">
        <v>25</v>
      </c>
      <c r="I200" s="293" t="s">
        <v>229</v>
      </c>
      <c r="J200" s="281" t="s">
        <v>166</v>
      </c>
      <c r="K200" s="281" t="s">
        <v>215</v>
      </c>
      <c r="L200" s="281" t="s">
        <v>183</v>
      </c>
      <c r="M200" s="178" t="s">
        <v>566</v>
      </c>
      <c r="N200" s="289" t="s">
        <v>250</v>
      </c>
      <c r="O200" s="281"/>
    </row>
    <row r="201" spans="1:16" s="293" customFormat="1" ht="15" hidden="1" customHeight="1">
      <c r="A201" s="288">
        <v>44698</v>
      </c>
      <c r="B201" s="306" t="s">
        <v>302</v>
      </c>
      <c r="C201" s="296" t="s">
        <v>182</v>
      </c>
      <c r="D201" s="289" t="s">
        <v>4</v>
      </c>
      <c r="E201" s="329"/>
      <c r="F201" s="309">
        <v>10000</v>
      </c>
      <c r="G201" s="294">
        <f t="shared" si="2"/>
        <v>31335341</v>
      </c>
      <c r="H201" s="281" t="s">
        <v>25</v>
      </c>
      <c r="I201" s="293" t="s">
        <v>229</v>
      </c>
      <c r="J201" s="281" t="s">
        <v>166</v>
      </c>
      <c r="K201" s="281" t="s">
        <v>215</v>
      </c>
      <c r="L201" s="281" t="s">
        <v>183</v>
      </c>
      <c r="M201" s="178" t="s">
        <v>567</v>
      </c>
      <c r="N201" s="289" t="s">
        <v>250</v>
      </c>
    </row>
    <row r="202" spans="1:16" s="293" customFormat="1" ht="15" hidden="1" customHeight="1">
      <c r="A202" s="299">
        <v>44698</v>
      </c>
      <c r="B202" s="300" t="s">
        <v>303</v>
      </c>
      <c r="C202" s="296" t="s">
        <v>35</v>
      </c>
      <c r="D202" s="303" t="s">
        <v>236</v>
      </c>
      <c r="E202" s="301"/>
      <c r="F202" s="361">
        <v>3750</v>
      </c>
      <c r="G202" s="294">
        <f t="shared" si="2"/>
        <v>31331591</v>
      </c>
      <c r="H202" s="302" t="s">
        <v>25</v>
      </c>
      <c r="I202" s="293" t="s">
        <v>229</v>
      </c>
      <c r="J202" s="281" t="s">
        <v>166</v>
      </c>
      <c r="K202" s="281" t="s">
        <v>215</v>
      </c>
      <c r="L202" s="281" t="s">
        <v>183</v>
      </c>
      <c r="M202" s="178" t="s">
        <v>568</v>
      </c>
      <c r="N202" s="289" t="s">
        <v>245</v>
      </c>
      <c r="O202" s="281"/>
    </row>
    <row r="203" spans="1:16" s="293" customFormat="1" ht="15" hidden="1" customHeight="1">
      <c r="A203" s="288">
        <v>44698</v>
      </c>
      <c r="B203" s="281" t="s">
        <v>304</v>
      </c>
      <c r="C203" s="296" t="s">
        <v>76</v>
      </c>
      <c r="D203" s="307"/>
      <c r="E203" s="298">
        <v>2000000</v>
      </c>
      <c r="F203" s="309"/>
      <c r="G203" s="294">
        <f t="shared" si="2"/>
        <v>33331591</v>
      </c>
      <c r="H203" s="281" t="s">
        <v>25</v>
      </c>
      <c r="J203" s="281"/>
      <c r="K203" s="281"/>
      <c r="L203" s="281"/>
      <c r="N203" s="289"/>
      <c r="O203" s="281"/>
    </row>
    <row r="204" spans="1:16" s="293" customFormat="1" ht="15" hidden="1" customHeight="1">
      <c r="A204" s="288">
        <v>44698</v>
      </c>
      <c r="B204" s="281" t="s">
        <v>335</v>
      </c>
      <c r="C204" s="307" t="s">
        <v>76</v>
      </c>
      <c r="D204" s="307"/>
      <c r="E204" s="281"/>
      <c r="F204" s="296">
        <v>2000000</v>
      </c>
      <c r="G204" s="294">
        <f t="shared" si="2"/>
        <v>31331591</v>
      </c>
      <c r="H204" s="293" t="s">
        <v>24</v>
      </c>
      <c r="I204" s="306">
        <v>3654482</v>
      </c>
      <c r="J204" s="281"/>
      <c r="L204" s="281"/>
      <c r="N204" s="296"/>
      <c r="O204" s="281"/>
    </row>
    <row r="205" spans="1:16" s="293" customFormat="1" ht="16.5" hidden="1" customHeight="1">
      <c r="A205" s="288">
        <v>44698</v>
      </c>
      <c r="B205" s="281" t="s">
        <v>436</v>
      </c>
      <c r="C205" s="289" t="s">
        <v>34</v>
      </c>
      <c r="D205" s="289" t="s">
        <v>164</v>
      </c>
      <c r="E205" s="290"/>
      <c r="F205" s="307">
        <v>7000</v>
      </c>
      <c r="G205" s="294">
        <f t="shared" si="2"/>
        <v>31324591</v>
      </c>
      <c r="H205" s="281" t="s">
        <v>213</v>
      </c>
      <c r="I205" s="293" t="s">
        <v>229</v>
      </c>
      <c r="J205" s="293" t="s">
        <v>166</v>
      </c>
      <c r="K205" s="293" t="s">
        <v>214</v>
      </c>
      <c r="L205" s="281" t="s">
        <v>183</v>
      </c>
      <c r="N205" s="289"/>
      <c r="O205" s="281"/>
    </row>
    <row r="206" spans="1:16" s="293" customFormat="1" ht="15" hidden="1" customHeight="1">
      <c r="A206" s="288">
        <v>44698</v>
      </c>
      <c r="B206" s="281" t="s">
        <v>437</v>
      </c>
      <c r="C206" s="296" t="s">
        <v>157</v>
      </c>
      <c r="D206" s="289" t="s">
        <v>164</v>
      </c>
      <c r="E206" s="290"/>
      <c r="F206" s="307">
        <v>70000</v>
      </c>
      <c r="G206" s="294">
        <f t="shared" ref="G206:G269" si="3">+G205+E206-F206</f>
        <v>31254591</v>
      </c>
      <c r="H206" s="281" t="s">
        <v>213</v>
      </c>
      <c r="I206" s="295" t="s">
        <v>231</v>
      </c>
      <c r="J206" s="281" t="s">
        <v>166</v>
      </c>
      <c r="K206" s="281" t="s">
        <v>214</v>
      </c>
      <c r="L206" s="281" t="s">
        <v>183</v>
      </c>
      <c r="M206" s="281"/>
      <c r="N206" s="289"/>
      <c r="O206" s="281"/>
    </row>
    <row r="207" spans="1:16" s="293" customFormat="1" ht="15" hidden="1" customHeight="1">
      <c r="A207" s="299">
        <v>44698</v>
      </c>
      <c r="B207" s="293" t="s">
        <v>465</v>
      </c>
      <c r="C207" s="296" t="s">
        <v>157</v>
      </c>
      <c r="D207" s="289" t="s">
        <v>4</v>
      </c>
      <c r="E207" s="329"/>
      <c r="F207" s="381">
        <v>40000</v>
      </c>
      <c r="G207" s="294">
        <f t="shared" si="3"/>
        <v>31214591</v>
      </c>
      <c r="H207" s="293" t="s">
        <v>29</v>
      </c>
      <c r="I207" s="295" t="s">
        <v>231</v>
      </c>
      <c r="J207" s="293" t="s">
        <v>103</v>
      </c>
      <c r="K207" s="300" t="s">
        <v>215</v>
      </c>
      <c r="L207" s="281" t="s">
        <v>183</v>
      </c>
      <c r="M207" s="178" t="s">
        <v>569</v>
      </c>
      <c r="N207" s="325" t="s">
        <v>511</v>
      </c>
    </row>
    <row r="208" spans="1:16" s="293" customFormat="1" ht="15" hidden="1" customHeight="1">
      <c r="A208" s="321">
        <v>44698</v>
      </c>
      <c r="B208" s="293" t="s">
        <v>638</v>
      </c>
      <c r="C208" s="297" t="s">
        <v>34</v>
      </c>
      <c r="D208" s="289" t="s">
        <v>4</v>
      </c>
      <c r="E208" s="322"/>
      <c r="F208" s="309">
        <v>4000</v>
      </c>
      <c r="G208" s="294">
        <f t="shared" si="3"/>
        <v>31210591</v>
      </c>
      <c r="H208" s="293" t="s">
        <v>29</v>
      </c>
      <c r="I208" s="293" t="s">
        <v>229</v>
      </c>
      <c r="J208" s="306" t="s">
        <v>166</v>
      </c>
      <c r="K208" s="293" t="s">
        <v>215</v>
      </c>
      <c r="L208" s="281" t="s">
        <v>183</v>
      </c>
      <c r="M208" s="178" t="s">
        <v>570</v>
      </c>
      <c r="N208" s="296" t="s">
        <v>251</v>
      </c>
    </row>
    <row r="209" spans="1:16" s="293" customFormat="1" ht="15" hidden="1" customHeight="1">
      <c r="A209" s="288">
        <v>44699</v>
      </c>
      <c r="B209" s="281" t="s">
        <v>212</v>
      </c>
      <c r="C209" s="296" t="s">
        <v>76</v>
      </c>
      <c r="D209" s="289"/>
      <c r="E209" s="298"/>
      <c r="F209" s="309">
        <v>15000</v>
      </c>
      <c r="G209" s="294">
        <f t="shared" si="3"/>
        <v>31195591</v>
      </c>
      <c r="H209" s="281" t="s">
        <v>25</v>
      </c>
      <c r="J209" s="281"/>
      <c r="L209" s="281"/>
      <c r="N209" s="330"/>
      <c r="O209" s="281"/>
    </row>
    <row r="210" spans="1:16" s="293" customFormat="1" ht="15" hidden="1" customHeight="1">
      <c r="A210" s="288">
        <v>44699</v>
      </c>
      <c r="B210" s="300" t="s">
        <v>30</v>
      </c>
      <c r="C210" s="296" t="s">
        <v>76</v>
      </c>
      <c r="D210" s="289"/>
      <c r="E210" s="298"/>
      <c r="F210" s="309">
        <v>57000</v>
      </c>
      <c r="G210" s="294">
        <f t="shared" si="3"/>
        <v>31138591</v>
      </c>
      <c r="H210" s="281" t="s">
        <v>25</v>
      </c>
      <c r="J210" s="281"/>
      <c r="L210" s="281"/>
      <c r="N210" s="296"/>
      <c r="O210" s="281"/>
    </row>
    <row r="211" spans="1:16" s="293" customFormat="1" ht="15" hidden="1" customHeight="1">
      <c r="A211" s="288">
        <v>44699</v>
      </c>
      <c r="B211" s="281" t="s">
        <v>232</v>
      </c>
      <c r="C211" s="296" t="s">
        <v>273</v>
      </c>
      <c r="D211" s="313" t="s">
        <v>230</v>
      </c>
      <c r="E211" s="298"/>
      <c r="F211" s="309">
        <v>1710</v>
      </c>
      <c r="G211" s="294">
        <f t="shared" si="3"/>
        <v>31136881</v>
      </c>
      <c r="H211" s="281" t="s">
        <v>25</v>
      </c>
      <c r="I211" s="293" t="s">
        <v>229</v>
      </c>
      <c r="J211" s="281" t="s">
        <v>103</v>
      </c>
      <c r="K211" s="281" t="s">
        <v>215</v>
      </c>
      <c r="L211" s="281" t="s">
        <v>183</v>
      </c>
      <c r="M211" s="178" t="s">
        <v>571</v>
      </c>
      <c r="N211" s="289" t="s">
        <v>239</v>
      </c>
      <c r="O211" s="281"/>
    </row>
    <row r="212" spans="1:16" s="293" customFormat="1" ht="15" hidden="1" customHeight="1">
      <c r="A212" s="288">
        <v>44699</v>
      </c>
      <c r="B212" s="281" t="s">
        <v>305</v>
      </c>
      <c r="C212" s="296" t="s">
        <v>35</v>
      </c>
      <c r="D212" s="313" t="s">
        <v>230</v>
      </c>
      <c r="E212" s="301"/>
      <c r="F212" s="289">
        <v>57000</v>
      </c>
      <c r="G212" s="294">
        <f t="shared" si="3"/>
        <v>31079881</v>
      </c>
      <c r="H212" s="281" t="s">
        <v>25</v>
      </c>
      <c r="I212" s="293" t="s">
        <v>229</v>
      </c>
      <c r="J212" s="281" t="s">
        <v>166</v>
      </c>
      <c r="K212" s="281" t="s">
        <v>215</v>
      </c>
      <c r="L212" s="281" t="s">
        <v>183</v>
      </c>
      <c r="M212" s="178" t="s">
        <v>573</v>
      </c>
      <c r="N212" s="289" t="s">
        <v>245</v>
      </c>
      <c r="O212" s="281"/>
    </row>
    <row r="213" spans="1:16" s="293" customFormat="1" ht="15" hidden="1" customHeight="1">
      <c r="A213" s="288">
        <v>44699</v>
      </c>
      <c r="B213" s="281" t="s">
        <v>271</v>
      </c>
      <c r="C213" s="296" t="s">
        <v>76</v>
      </c>
      <c r="D213" s="289"/>
      <c r="E213" s="298"/>
      <c r="F213" s="345">
        <v>10000</v>
      </c>
      <c r="G213" s="294">
        <f t="shared" si="3"/>
        <v>31069881</v>
      </c>
      <c r="H213" s="281" t="s">
        <v>25</v>
      </c>
      <c r="J213" s="281"/>
      <c r="L213" s="281"/>
      <c r="N213" s="330"/>
      <c r="O213" s="281"/>
    </row>
    <row r="214" spans="1:16" s="293" customFormat="1" ht="15" hidden="1" customHeight="1">
      <c r="A214" s="288">
        <v>44699</v>
      </c>
      <c r="B214" s="281" t="s">
        <v>256</v>
      </c>
      <c r="C214" s="289" t="s">
        <v>237</v>
      </c>
      <c r="D214" s="289"/>
      <c r="E214" s="290">
        <v>15000</v>
      </c>
      <c r="F214" s="309"/>
      <c r="G214" s="294">
        <f t="shared" si="3"/>
        <v>31084881</v>
      </c>
      <c r="H214" s="281" t="s">
        <v>212</v>
      </c>
      <c r="I214" s="295"/>
      <c r="J214" s="281"/>
      <c r="K214" s="281"/>
      <c r="L214" s="281"/>
      <c r="N214" s="289"/>
      <c r="O214" s="281"/>
    </row>
    <row r="215" spans="1:16" s="293" customFormat="1" ht="15" hidden="1" customHeight="1">
      <c r="A215" s="299">
        <v>44699</v>
      </c>
      <c r="B215" s="300" t="s">
        <v>415</v>
      </c>
      <c r="C215" s="296" t="s">
        <v>76</v>
      </c>
      <c r="D215" s="289"/>
      <c r="E215" s="301">
        <v>10000</v>
      </c>
      <c r="F215" s="303"/>
      <c r="G215" s="294">
        <f t="shared" si="3"/>
        <v>31094881</v>
      </c>
      <c r="H215" s="302" t="s">
        <v>271</v>
      </c>
      <c r="I215" s="295"/>
      <c r="J215" s="281"/>
      <c r="K215" s="281"/>
      <c r="L215" s="281"/>
      <c r="N215" s="289"/>
      <c r="O215" s="281"/>
    </row>
    <row r="216" spans="1:16" s="293" customFormat="1" ht="15" hidden="1" customHeight="1">
      <c r="A216" s="288">
        <v>44699</v>
      </c>
      <c r="B216" s="281" t="s">
        <v>438</v>
      </c>
      <c r="C216" s="296" t="s">
        <v>216</v>
      </c>
      <c r="D216" s="289" t="s">
        <v>164</v>
      </c>
      <c r="E216" s="290"/>
      <c r="F216" s="307">
        <v>20000</v>
      </c>
      <c r="G216" s="294">
        <f t="shared" si="3"/>
        <v>31074881</v>
      </c>
      <c r="H216" s="281" t="s">
        <v>213</v>
      </c>
      <c r="I216" s="293" t="s">
        <v>229</v>
      </c>
      <c r="J216" s="306" t="s">
        <v>166</v>
      </c>
      <c r="K216" s="293" t="s">
        <v>214</v>
      </c>
      <c r="L216" s="281" t="s">
        <v>183</v>
      </c>
      <c r="M216" s="281"/>
      <c r="N216" s="289"/>
      <c r="O216" s="281"/>
    </row>
    <row r="217" spans="1:16" s="293" customFormat="1" ht="15" hidden="1" customHeight="1">
      <c r="A217" s="288">
        <v>44699</v>
      </c>
      <c r="B217" s="293" t="s">
        <v>439</v>
      </c>
      <c r="C217" s="296" t="s">
        <v>34</v>
      </c>
      <c r="D217" s="313" t="s">
        <v>164</v>
      </c>
      <c r="E217" s="362"/>
      <c r="F217" s="309">
        <v>6000</v>
      </c>
      <c r="G217" s="294">
        <f t="shared" si="3"/>
        <v>31068881</v>
      </c>
      <c r="H217" s="293" t="s">
        <v>213</v>
      </c>
      <c r="I217" s="293" t="s">
        <v>229</v>
      </c>
      <c r="J217" s="293" t="s">
        <v>166</v>
      </c>
      <c r="K217" s="293" t="s">
        <v>214</v>
      </c>
      <c r="L217" s="281" t="s">
        <v>183</v>
      </c>
      <c r="N217" s="296"/>
    </row>
    <row r="218" spans="1:16" s="293" customFormat="1" ht="15" hidden="1" customHeight="1">
      <c r="A218" s="288">
        <v>44699</v>
      </c>
      <c r="B218" s="293" t="s">
        <v>440</v>
      </c>
      <c r="C218" s="296" t="s">
        <v>216</v>
      </c>
      <c r="D218" s="313" t="s">
        <v>164</v>
      </c>
      <c r="E218" s="318"/>
      <c r="F218" s="345">
        <v>49000</v>
      </c>
      <c r="G218" s="294">
        <f t="shared" si="3"/>
        <v>31019881</v>
      </c>
      <c r="H218" s="293" t="s">
        <v>213</v>
      </c>
      <c r="I218" s="293" t="s">
        <v>229</v>
      </c>
      <c r="J218" s="306" t="s">
        <v>166</v>
      </c>
      <c r="K218" s="293" t="s">
        <v>214</v>
      </c>
      <c r="L218" s="281" t="s">
        <v>183</v>
      </c>
      <c r="N218" s="296"/>
    </row>
    <row r="219" spans="1:16" s="293" customFormat="1" ht="15" hidden="1" customHeight="1">
      <c r="A219" s="288">
        <v>44699</v>
      </c>
      <c r="B219" s="293" t="s">
        <v>441</v>
      </c>
      <c r="C219" s="296" t="s">
        <v>216</v>
      </c>
      <c r="D219" s="296" t="s">
        <v>164</v>
      </c>
      <c r="E219" s="329"/>
      <c r="F219" s="379">
        <v>16575</v>
      </c>
      <c r="G219" s="294">
        <f t="shared" si="3"/>
        <v>31003306</v>
      </c>
      <c r="H219" s="293" t="s">
        <v>213</v>
      </c>
      <c r="I219" s="293" t="s">
        <v>229</v>
      </c>
      <c r="J219" s="306" t="s">
        <v>166</v>
      </c>
      <c r="K219" s="293" t="s">
        <v>214</v>
      </c>
      <c r="L219" s="281" t="s">
        <v>183</v>
      </c>
      <c r="N219" s="296"/>
    </row>
    <row r="220" spans="1:16" s="293" customFormat="1" ht="15" hidden="1" customHeight="1">
      <c r="A220" s="299">
        <v>44699</v>
      </c>
      <c r="B220" s="293" t="s">
        <v>483</v>
      </c>
      <c r="C220" s="296" t="s">
        <v>76</v>
      </c>
      <c r="D220" s="296"/>
      <c r="E220" s="329">
        <v>57000</v>
      </c>
      <c r="F220" s="379"/>
      <c r="G220" s="294">
        <f t="shared" si="3"/>
        <v>31060306</v>
      </c>
      <c r="H220" s="293" t="s">
        <v>49</v>
      </c>
      <c r="I220" s="306"/>
      <c r="J220" s="306"/>
      <c r="N220" s="296"/>
    </row>
    <row r="221" spans="1:16" s="293" customFormat="1" ht="15" hidden="1" customHeight="1">
      <c r="A221" s="288">
        <v>44700</v>
      </c>
      <c r="B221" s="295" t="s">
        <v>213</v>
      </c>
      <c r="C221" s="296" t="s">
        <v>76</v>
      </c>
      <c r="D221" s="289"/>
      <c r="E221" s="329"/>
      <c r="F221" s="309">
        <v>154000</v>
      </c>
      <c r="G221" s="294">
        <f t="shared" si="3"/>
        <v>30906306</v>
      </c>
      <c r="H221" s="281" t="s">
        <v>25</v>
      </c>
      <c r="J221" s="306"/>
      <c r="L221" s="281"/>
      <c r="N221" s="296"/>
      <c r="O221" s="281"/>
    </row>
    <row r="222" spans="1:16" s="293" customFormat="1" ht="15" hidden="1" customHeight="1">
      <c r="A222" s="288">
        <v>44700</v>
      </c>
      <c r="B222" s="281" t="s">
        <v>272</v>
      </c>
      <c r="C222" s="296" t="s">
        <v>273</v>
      </c>
      <c r="D222" s="289" t="s">
        <v>230</v>
      </c>
      <c r="E222" s="290"/>
      <c r="F222" s="309">
        <v>4620</v>
      </c>
      <c r="G222" s="294">
        <f t="shared" si="3"/>
        <v>30901686</v>
      </c>
      <c r="H222" s="281" t="s">
        <v>25</v>
      </c>
      <c r="I222" s="293" t="s">
        <v>229</v>
      </c>
      <c r="J222" s="281" t="s">
        <v>166</v>
      </c>
      <c r="K222" s="281" t="s">
        <v>214</v>
      </c>
      <c r="L222" s="281" t="s">
        <v>183</v>
      </c>
      <c r="N222" s="289"/>
      <c r="O222" s="281"/>
    </row>
    <row r="223" spans="1:16" s="293" customFormat="1" ht="15" hidden="1" customHeight="1">
      <c r="A223" s="288">
        <v>44700</v>
      </c>
      <c r="B223" s="293" t="s">
        <v>31</v>
      </c>
      <c r="C223" s="296" t="s">
        <v>76</v>
      </c>
      <c r="D223" s="289"/>
      <c r="E223" s="318"/>
      <c r="F223" s="289">
        <v>133000</v>
      </c>
      <c r="G223" s="294">
        <f t="shared" si="3"/>
        <v>30768686</v>
      </c>
      <c r="H223" s="293" t="s">
        <v>25</v>
      </c>
      <c r="J223" s="281"/>
      <c r="L223" s="281"/>
      <c r="N223" s="296"/>
      <c r="P223" s="323"/>
    </row>
    <row r="224" spans="1:16" s="293" customFormat="1" ht="15" hidden="1" customHeight="1">
      <c r="A224" s="288">
        <v>44700</v>
      </c>
      <c r="B224" s="293" t="s">
        <v>276</v>
      </c>
      <c r="C224" s="296" t="s">
        <v>76</v>
      </c>
      <c r="D224" s="303"/>
      <c r="E224" s="329"/>
      <c r="F224" s="381">
        <v>311000</v>
      </c>
      <c r="G224" s="294">
        <f t="shared" si="3"/>
        <v>30457686</v>
      </c>
      <c r="H224" s="293" t="s">
        <v>25</v>
      </c>
      <c r="J224" s="281"/>
      <c r="L224" s="281"/>
      <c r="N224" s="296"/>
    </row>
    <row r="225" spans="1:16" s="293" customFormat="1" ht="15" hidden="1" customHeight="1">
      <c r="A225" s="288">
        <v>44700</v>
      </c>
      <c r="B225" s="293" t="s">
        <v>114</v>
      </c>
      <c r="C225" s="296" t="s">
        <v>76</v>
      </c>
      <c r="D225" s="289"/>
      <c r="E225" s="318"/>
      <c r="F225" s="289">
        <v>79000</v>
      </c>
      <c r="G225" s="294">
        <f t="shared" si="3"/>
        <v>30378686</v>
      </c>
      <c r="H225" s="293" t="s">
        <v>25</v>
      </c>
      <c r="J225" s="281"/>
      <c r="L225" s="281"/>
      <c r="N225" s="296"/>
      <c r="P225" s="323"/>
    </row>
    <row r="226" spans="1:16" s="293" customFormat="1" ht="15" hidden="1" customHeight="1">
      <c r="A226" s="288">
        <v>44700</v>
      </c>
      <c r="B226" s="281" t="s">
        <v>94</v>
      </c>
      <c r="C226" s="296" t="s">
        <v>76</v>
      </c>
      <c r="D226" s="289"/>
      <c r="E226" s="298"/>
      <c r="F226" s="309">
        <v>120000</v>
      </c>
      <c r="G226" s="294">
        <f t="shared" si="3"/>
        <v>30258686</v>
      </c>
      <c r="H226" s="281" t="s">
        <v>25</v>
      </c>
      <c r="J226" s="281"/>
      <c r="K226" s="281"/>
      <c r="L226" s="281"/>
      <c r="N226" s="289"/>
      <c r="O226" s="281"/>
    </row>
    <row r="227" spans="1:16" s="293" customFormat="1" ht="15" hidden="1" customHeight="1">
      <c r="A227" s="288">
        <v>44700</v>
      </c>
      <c r="B227" s="281" t="s">
        <v>30</v>
      </c>
      <c r="C227" s="296" t="s">
        <v>76</v>
      </c>
      <c r="D227" s="313"/>
      <c r="E227" s="298"/>
      <c r="F227" s="309">
        <v>370000</v>
      </c>
      <c r="G227" s="294">
        <f t="shared" si="3"/>
        <v>29888686</v>
      </c>
      <c r="H227" s="281" t="s">
        <v>25</v>
      </c>
      <c r="J227" s="281"/>
      <c r="K227" s="281"/>
      <c r="L227" s="281"/>
      <c r="N227" s="289"/>
      <c r="O227" s="281"/>
    </row>
    <row r="228" spans="1:16" s="293" customFormat="1" ht="15" hidden="1" customHeight="1">
      <c r="A228" s="299">
        <v>44700</v>
      </c>
      <c r="B228" s="340" t="s">
        <v>29</v>
      </c>
      <c r="C228" s="296" t="s">
        <v>76</v>
      </c>
      <c r="D228" s="289"/>
      <c r="E228" s="312"/>
      <c r="F228" s="289">
        <v>60000</v>
      </c>
      <c r="G228" s="294">
        <f t="shared" si="3"/>
        <v>29828686</v>
      </c>
      <c r="H228" s="293" t="s">
        <v>25</v>
      </c>
      <c r="K228" s="281"/>
      <c r="L228" s="281"/>
      <c r="N228" s="296"/>
    </row>
    <row r="229" spans="1:16" s="293" customFormat="1" ht="15" hidden="1" customHeight="1">
      <c r="A229" s="288">
        <v>44700</v>
      </c>
      <c r="B229" s="340" t="s">
        <v>306</v>
      </c>
      <c r="C229" s="296" t="s">
        <v>273</v>
      </c>
      <c r="D229" s="296" t="s">
        <v>230</v>
      </c>
      <c r="E229" s="281"/>
      <c r="F229" s="289">
        <v>2100</v>
      </c>
      <c r="G229" s="294">
        <f t="shared" si="3"/>
        <v>29826586</v>
      </c>
      <c r="H229" s="293" t="s">
        <v>25</v>
      </c>
      <c r="I229" s="293" t="s">
        <v>229</v>
      </c>
      <c r="J229" s="281" t="s">
        <v>103</v>
      </c>
      <c r="K229" s="281" t="s">
        <v>215</v>
      </c>
      <c r="L229" s="281" t="s">
        <v>183</v>
      </c>
      <c r="M229" s="178" t="s">
        <v>574</v>
      </c>
      <c r="N229" s="289" t="s">
        <v>239</v>
      </c>
      <c r="O229" s="281"/>
    </row>
    <row r="230" spans="1:16" s="293" customFormat="1" ht="15" hidden="1" customHeight="1">
      <c r="A230" s="321">
        <v>44700</v>
      </c>
      <c r="B230" s="300" t="s">
        <v>307</v>
      </c>
      <c r="C230" s="296" t="s">
        <v>203</v>
      </c>
      <c r="D230" s="289" t="s">
        <v>165</v>
      </c>
      <c r="E230" s="301"/>
      <c r="F230" s="309">
        <v>29000</v>
      </c>
      <c r="G230" s="294">
        <f t="shared" si="3"/>
        <v>29797586</v>
      </c>
      <c r="H230" s="300" t="s">
        <v>25</v>
      </c>
      <c r="I230" s="295" t="s">
        <v>231</v>
      </c>
      <c r="J230" s="281" t="s">
        <v>166</v>
      </c>
      <c r="K230" s="293" t="s">
        <v>214</v>
      </c>
      <c r="L230" s="281" t="s">
        <v>183</v>
      </c>
      <c r="N230" s="289"/>
      <c r="O230" s="323"/>
    </row>
    <row r="231" spans="1:16" s="293" customFormat="1" ht="15" hidden="1" customHeight="1">
      <c r="A231" s="288">
        <v>44700</v>
      </c>
      <c r="B231" s="293" t="s">
        <v>308</v>
      </c>
      <c r="C231" s="296" t="s">
        <v>203</v>
      </c>
      <c r="D231" s="289" t="s">
        <v>165</v>
      </c>
      <c r="E231" s="320"/>
      <c r="F231" s="307">
        <v>29000</v>
      </c>
      <c r="G231" s="294">
        <f t="shared" si="3"/>
        <v>29768586</v>
      </c>
      <c r="H231" s="293" t="s">
        <v>25</v>
      </c>
      <c r="I231" s="295" t="s">
        <v>231</v>
      </c>
      <c r="J231" s="281" t="s">
        <v>166</v>
      </c>
      <c r="K231" s="293" t="s">
        <v>214</v>
      </c>
      <c r="L231" s="281" t="s">
        <v>183</v>
      </c>
      <c r="N231" s="296"/>
    </row>
    <row r="232" spans="1:16" s="293" customFormat="1" ht="15" hidden="1" customHeight="1">
      <c r="A232" s="299">
        <v>44700</v>
      </c>
      <c r="B232" s="295" t="s">
        <v>353</v>
      </c>
      <c r="C232" s="333" t="s">
        <v>280</v>
      </c>
      <c r="D232" s="309" t="s">
        <v>164</v>
      </c>
      <c r="F232" s="296">
        <v>300000</v>
      </c>
      <c r="G232" s="294">
        <f t="shared" si="3"/>
        <v>29468586</v>
      </c>
      <c r="H232" s="281" t="s">
        <v>158</v>
      </c>
      <c r="I232" s="306">
        <v>3643659</v>
      </c>
      <c r="J232" s="293" t="s">
        <v>103</v>
      </c>
      <c r="K232" s="293" t="s">
        <v>215</v>
      </c>
      <c r="L232" s="281" t="s">
        <v>183</v>
      </c>
      <c r="M232" s="178" t="s">
        <v>575</v>
      </c>
      <c r="N232" s="296" t="s">
        <v>244</v>
      </c>
    </row>
    <row r="233" spans="1:16" s="293" customFormat="1" ht="15" hidden="1" customHeight="1">
      <c r="A233" s="288">
        <v>44700</v>
      </c>
      <c r="B233" s="295" t="s">
        <v>354</v>
      </c>
      <c r="C233" s="296" t="s">
        <v>280</v>
      </c>
      <c r="D233" s="289" t="s">
        <v>164</v>
      </c>
      <c r="F233" s="296">
        <v>200000</v>
      </c>
      <c r="G233" s="294">
        <f t="shared" si="3"/>
        <v>29268586</v>
      </c>
      <c r="H233" s="281" t="s">
        <v>158</v>
      </c>
      <c r="I233" s="306">
        <v>3643660</v>
      </c>
      <c r="J233" s="293" t="s">
        <v>103</v>
      </c>
      <c r="K233" s="293" t="s">
        <v>215</v>
      </c>
      <c r="L233" s="281" t="s">
        <v>183</v>
      </c>
      <c r="M233" s="178" t="s">
        <v>576</v>
      </c>
      <c r="N233" s="296" t="s">
        <v>244</v>
      </c>
      <c r="P233" s="323"/>
    </row>
    <row r="234" spans="1:16" s="293" customFormat="1" ht="15" hidden="1" customHeight="1">
      <c r="A234" s="299">
        <v>44700</v>
      </c>
      <c r="B234" s="306" t="s">
        <v>238</v>
      </c>
      <c r="C234" s="296" t="s">
        <v>76</v>
      </c>
      <c r="D234" s="289"/>
      <c r="E234" s="329">
        <v>79000</v>
      </c>
      <c r="F234" s="289"/>
      <c r="G234" s="294">
        <f t="shared" si="3"/>
        <v>29347586</v>
      </c>
      <c r="H234" s="281" t="s">
        <v>114</v>
      </c>
      <c r="I234" s="306"/>
      <c r="J234" s="306"/>
      <c r="L234" s="281"/>
      <c r="N234" s="296"/>
    </row>
    <row r="235" spans="1:16" s="293" customFormat="1" ht="15" hidden="1" customHeight="1">
      <c r="A235" s="288">
        <v>44700</v>
      </c>
      <c r="B235" s="281" t="s">
        <v>365</v>
      </c>
      <c r="C235" s="296" t="s">
        <v>76</v>
      </c>
      <c r="D235" s="289"/>
      <c r="E235" s="298">
        <v>311000</v>
      </c>
      <c r="F235" s="309"/>
      <c r="G235" s="294">
        <f t="shared" si="3"/>
        <v>29658586</v>
      </c>
      <c r="H235" s="281" t="s">
        <v>48</v>
      </c>
      <c r="I235" s="306"/>
      <c r="J235" s="281"/>
      <c r="K235" s="281"/>
      <c r="L235" s="281"/>
      <c r="N235" s="289"/>
      <c r="O235" s="281"/>
    </row>
    <row r="236" spans="1:16" s="293" customFormat="1" ht="15" hidden="1" customHeight="1">
      <c r="A236" s="299">
        <v>44700</v>
      </c>
      <c r="B236" s="310" t="s">
        <v>373</v>
      </c>
      <c r="C236" s="296" t="s">
        <v>34</v>
      </c>
      <c r="D236" s="289" t="s">
        <v>2</v>
      </c>
      <c r="E236" s="311"/>
      <c r="F236" s="361">
        <v>7000</v>
      </c>
      <c r="G236" s="294">
        <f t="shared" si="3"/>
        <v>29651586</v>
      </c>
      <c r="H236" s="324" t="s">
        <v>48</v>
      </c>
      <c r="I236" s="293" t="s">
        <v>229</v>
      </c>
      <c r="J236" s="306" t="s">
        <v>166</v>
      </c>
      <c r="K236" s="293" t="s">
        <v>215</v>
      </c>
      <c r="L236" s="281" t="s">
        <v>183</v>
      </c>
      <c r="M236" s="178" t="s">
        <v>577</v>
      </c>
      <c r="N236" s="296" t="s">
        <v>251</v>
      </c>
    </row>
    <row r="237" spans="1:16" s="293" customFormat="1" ht="15" hidden="1" customHeight="1">
      <c r="A237" s="288">
        <v>44700</v>
      </c>
      <c r="B237" s="281" t="s">
        <v>254</v>
      </c>
      <c r="C237" s="296" t="s">
        <v>76</v>
      </c>
      <c r="D237" s="289"/>
      <c r="E237" s="298">
        <v>120000</v>
      </c>
      <c r="F237" s="345"/>
      <c r="G237" s="294">
        <f t="shared" si="3"/>
        <v>29771586</v>
      </c>
      <c r="H237" s="281" t="s">
        <v>94</v>
      </c>
      <c r="I237" s="306"/>
      <c r="J237" s="281"/>
      <c r="L237" s="281"/>
      <c r="N237" s="296"/>
      <c r="O237" s="281"/>
    </row>
    <row r="238" spans="1:16" s="293" customFormat="1" ht="15" hidden="1" customHeight="1">
      <c r="A238" s="288">
        <v>44700</v>
      </c>
      <c r="B238" s="293" t="s">
        <v>392</v>
      </c>
      <c r="C238" s="296" t="s">
        <v>34</v>
      </c>
      <c r="D238" s="289" t="s">
        <v>2</v>
      </c>
      <c r="E238" s="320"/>
      <c r="F238" s="309">
        <v>7000</v>
      </c>
      <c r="G238" s="294">
        <f t="shared" si="3"/>
        <v>29764586</v>
      </c>
      <c r="H238" s="293" t="s">
        <v>94</v>
      </c>
      <c r="I238" s="293" t="s">
        <v>229</v>
      </c>
      <c r="J238" s="306" t="s">
        <v>166</v>
      </c>
      <c r="K238" s="293" t="s">
        <v>215</v>
      </c>
      <c r="L238" s="281" t="s">
        <v>183</v>
      </c>
      <c r="M238" s="178" t="s">
        <v>578</v>
      </c>
      <c r="N238" s="296" t="s">
        <v>251</v>
      </c>
    </row>
    <row r="239" spans="1:16" s="293" customFormat="1" ht="15" hidden="1" customHeight="1">
      <c r="A239" s="299">
        <v>44700</v>
      </c>
      <c r="B239" s="310" t="s">
        <v>428</v>
      </c>
      <c r="C239" s="296" t="s">
        <v>237</v>
      </c>
      <c r="D239" s="297"/>
      <c r="E239" s="311">
        <v>154000</v>
      </c>
      <c r="F239" s="382"/>
      <c r="G239" s="294">
        <f t="shared" si="3"/>
        <v>29918586</v>
      </c>
      <c r="H239" s="312" t="s">
        <v>213</v>
      </c>
      <c r="I239" s="306"/>
      <c r="J239" s="281"/>
      <c r="K239" s="281"/>
      <c r="L239" s="281"/>
      <c r="N239" s="296"/>
    </row>
    <row r="240" spans="1:16" s="293" customFormat="1" ht="15" hidden="1" customHeight="1">
      <c r="A240" s="314">
        <v>44700</v>
      </c>
      <c r="B240" s="364" t="s">
        <v>442</v>
      </c>
      <c r="C240" s="296" t="s">
        <v>216</v>
      </c>
      <c r="D240" s="297" t="s">
        <v>164</v>
      </c>
      <c r="E240" s="316"/>
      <c r="F240" s="305">
        <v>15275</v>
      </c>
      <c r="G240" s="294">
        <f t="shared" si="3"/>
        <v>29903311</v>
      </c>
      <c r="H240" s="317" t="s">
        <v>213</v>
      </c>
      <c r="I240" s="293" t="s">
        <v>229</v>
      </c>
      <c r="J240" s="306" t="s">
        <v>166</v>
      </c>
      <c r="K240" s="293" t="s">
        <v>214</v>
      </c>
      <c r="L240" s="281" t="s">
        <v>183</v>
      </c>
      <c r="N240" s="296"/>
    </row>
    <row r="241" spans="1:16" s="293" customFormat="1" ht="15" hidden="1" customHeight="1">
      <c r="A241" s="288">
        <v>44700</v>
      </c>
      <c r="B241" s="281" t="s">
        <v>252</v>
      </c>
      <c r="C241" s="289" t="s">
        <v>76</v>
      </c>
      <c r="D241" s="289"/>
      <c r="E241" s="298">
        <v>133000</v>
      </c>
      <c r="F241" s="309"/>
      <c r="G241" s="294">
        <f t="shared" si="3"/>
        <v>30036311</v>
      </c>
      <c r="H241" s="281" t="s">
        <v>31</v>
      </c>
      <c r="I241" s="295"/>
      <c r="J241" s="281"/>
      <c r="K241" s="281"/>
      <c r="L241" s="281"/>
      <c r="N241" s="289"/>
      <c r="O241" s="281"/>
    </row>
    <row r="242" spans="1:16" s="293" customFormat="1" ht="15" hidden="1" customHeight="1">
      <c r="A242" s="299">
        <v>44700</v>
      </c>
      <c r="B242" s="310" t="s">
        <v>456</v>
      </c>
      <c r="C242" s="296" t="s">
        <v>34</v>
      </c>
      <c r="D242" s="296" t="s">
        <v>165</v>
      </c>
      <c r="E242" s="311"/>
      <c r="F242" s="361">
        <v>7000</v>
      </c>
      <c r="G242" s="294">
        <f t="shared" si="3"/>
        <v>30029311</v>
      </c>
      <c r="H242" s="312" t="s">
        <v>31</v>
      </c>
      <c r="I242" s="293" t="s">
        <v>229</v>
      </c>
      <c r="J242" s="306" t="s">
        <v>166</v>
      </c>
      <c r="K242" s="281" t="s">
        <v>215</v>
      </c>
      <c r="L242" s="281" t="s">
        <v>183</v>
      </c>
      <c r="M242" s="178" t="s">
        <v>579</v>
      </c>
      <c r="N242" s="296" t="s">
        <v>251</v>
      </c>
    </row>
    <row r="243" spans="1:16" s="293" customFormat="1" ht="15" hidden="1" customHeight="1">
      <c r="A243" s="299">
        <v>44700</v>
      </c>
      <c r="B243" s="293" t="s">
        <v>466</v>
      </c>
      <c r="C243" s="296" t="s">
        <v>34</v>
      </c>
      <c r="D243" s="289" t="s">
        <v>4</v>
      </c>
      <c r="E243" s="329"/>
      <c r="F243" s="379">
        <v>6000</v>
      </c>
      <c r="G243" s="294">
        <f t="shared" si="3"/>
        <v>30023311</v>
      </c>
      <c r="H243" s="293" t="s">
        <v>29</v>
      </c>
      <c r="I243" s="293" t="s">
        <v>229</v>
      </c>
      <c r="J243" s="306" t="s">
        <v>166</v>
      </c>
      <c r="K243" s="293" t="s">
        <v>215</v>
      </c>
      <c r="L243" s="281" t="s">
        <v>183</v>
      </c>
      <c r="M243" s="178" t="s">
        <v>580</v>
      </c>
      <c r="N243" s="296" t="s">
        <v>251</v>
      </c>
      <c r="P243" s="335"/>
    </row>
    <row r="244" spans="1:16" s="293" customFormat="1" ht="15" hidden="1" customHeight="1">
      <c r="A244" s="288">
        <v>44700</v>
      </c>
      <c r="B244" s="293" t="s">
        <v>467</v>
      </c>
      <c r="C244" s="296" t="s">
        <v>157</v>
      </c>
      <c r="D244" s="289" t="s">
        <v>4</v>
      </c>
      <c r="E244" s="318"/>
      <c r="F244" s="289">
        <v>30000</v>
      </c>
      <c r="G244" s="294">
        <f t="shared" si="3"/>
        <v>29993311</v>
      </c>
      <c r="H244" s="293" t="s">
        <v>29</v>
      </c>
      <c r="I244" s="293" t="s">
        <v>229</v>
      </c>
      <c r="J244" s="293" t="s">
        <v>166</v>
      </c>
      <c r="K244" s="300" t="s">
        <v>215</v>
      </c>
      <c r="L244" s="281" t="s">
        <v>183</v>
      </c>
      <c r="M244" s="178" t="s">
        <v>581</v>
      </c>
      <c r="N244" s="325" t="s">
        <v>511</v>
      </c>
    </row>
    <row r="245" spans="1:16" s="293" customFormat="1" ht="15" hidden="1" customHeight="1">
      <c r="A245" s="288">
        <v>44700</v>
      </c>
      <c r="B245" s="347" t="s">
        <v>255</v>
      </c>
      <c r="C245" s="296" t="s">
        <v>76</v>
      </c>
      <c r="D245" s="313"/>
      <c r="E245" s="318">
        <v>60000</v>
      </c>
      <c r="F245" s="309"/>
      <c r="G245" s="294">
        <f t="shared" si="3"/>
        <v>30053311</v>
      </c>
      <c r="H245" s="293" t="s">
        <v>29</v>
      </c>
      <c r="I245" s="306"/>
      <c r="L245" s="281"/>
      <c r="N245" s="296"/>
    </row>
    <row r="246" spans="1:16" s="293" customFormat="1" ht="15" hidden="1" customHeight="1">
      <c r="A246" s="288">
        <v>44700</v>
      </c>
      <c r="B246" s="293" t="s">
        <v>503</v>
      </c>
      <c r="C246" s="296" t="s">
        <v>76</v>
      </c>
      <c r="D246" s="296"/>
      <c r="E246" s="329">
        <v>370000</v>
      </c>
      <c r="F246" s="379"/>
      <c r="G246" s="294">
        <f t="shared" si="3"/>
        <v>30423311</v>
      </c>
      <c r="H246" s="293" t="s">
        <v>49</v>
      </c>
      <c r="I246" s="306"/>
      <c r="J246" s="306"/>
      <c r="N246" s="296"/>
    </row>
    <row r="247" spans="1:16" s="293" customFormat="1" ht="15" hidden="1" customHeight="1">
      <c r="A247" s="288">
        <v>44700</v>
      </c>
      <c r="B247" s="328" t="s">
        <v>356</v>
      </c>
      <c r="C247" s="296" t="s">
        <v>34</v>
      </c>
      <c r="D247" s="289" t="s">
        <v>2</v>
      </c>
      <c r="E247" s="329"/>
      <c r="F247" s="309">
        <v>7000</v>
      </c>
      <c r="G247" s="294">
        <f t="shared" si="3"/>
        <v>30416311</v>
      </c>
      <c r="H247" s="281" t="s">
        <v>114</v>
      </c>
      <c r="I247" s="293" t="s">
        <v>229</v>
      </c>
      <c r="J247" s="306" t="s">
        <v>103</v>
      </c>
      <c r="K247" s="293" t="s">
        <v>215</v>
      </c>
      <c r="L247" s="281" t="s">
        <v>183</v>
      </c>
      <c r="M247" s="178" t="s">
        <v>582</v>
      </c>
      <c r="N247" s="296" t="s">
        <v>251</v>
      </c>
      <c r="P247" s="335"/>
    </row>
    <row r="248" spans="1:16" s="293" customFormat="1" ht="15" hidden="1" customHeight="1">
      <c r="A248" s="299">
        <v>44701</v>
      </c>
      <c r="B248" s="295" t="s">
        <v>309</v>
      </c>
      <c r="C248" s="296" t="s">
        <v>203</v>
      </c>
      <c r="D248" s="305" t="s">
        <v>164</v>
      </c>
      <c r="E248" s="329"/>
      <c r="F248" s="289">
        <v>10000</v>
      </c>
      <c r="G248" s="294">
        <f t="shared" si="3"/>
        <v>30406311</v>
      </c>
      <c r="H248" s="317" t="s">
        <v>25</v>
      </c>
      <c r="I248" s="295" t="s">
        <v>231</v>
      </c>
      <c r="J248" s="281" t="s">
        <v>166</v>
      </c>
      <c r="K248" s="293" t="s">
        <v>214</v>
      </c>
      <c r="L248" s="281" t="s">
        <v>183</v>
      </c>
      <c r="N248" s="296"/>
    </row>
    <row r="249" spans="1:16" s="293" customFormat="1" ht="15" hidden="1" customHeight="1">
      <c r="A249" s="299">
        <v>44701</v>
      </c>
      <c r="B249" s="281" t="s">
        <v>271</v>
      </c>
      <c r="C249" s="296" t="s">
        <v>76</v>
      </c>
      <c r="D249" s="289"/>
      <c r="E249" s="346"/>
      <c r="F249" s="309">
        <v>10000</v>
      </c>
      <c r="G249" s="294">
        <f t="shared" si="3"/>
        <v>30396311</v>
      </c>
      <c r="H249" s="281" t="s">
        <v>25</v>
      </c>
      <c r="J249" s="281"/>
      <c r="K249" s="281"/>
      <c r="L249" s="281"/>
      <c r="N249" s="325"/>
      <c r="O249" s="323"/>
    </row>
    <row r="250" spans="1:16" s="293" customFormat="1" ht="15" hidden="1" customHeight="1">
      <c r="A250" s="288">
        <v>44701</v>
      </c>
      <c r="B250" s="293" t="s">
        <v>311</v>
      </c>
      <c r="C250" s="296" t="s">
        <v>280</v>
      </c>
      <c r="D250" s="289" t="s">
        <v>164</v>
      </c>
      <c r="E250" s="329"/>
      <c r="F250" s="379">
        <v>76000</v>
      </c>
      <c r="G250" s="294">
        <f t="shared" si="3"/>
        <v>30320311</v>
      </c>
      <c r="H250" s="293" t="s">
        <v>25</v>
      </c>
      <c r="I250" s="293" t="s">
        <v>229</v>
      </c>
      <c r="J250" s="281" t="s">
        <v>103</v>
      </c>
      <c r="K250" s="281" t="s">
        <v>215</v>
      </c>
      <c r="L250" s="281" t="s">
        <v>183</v>
      </c>
      <c r="M250" s="178" t="s">
        <v>572</v>
      </c>
      <c r="N250" s="296" t="s">
        <v>244</v>
      </c>
      <c r="P250" s="335"/>
    </row>
    <row r="251" spans="1:16" s="293" customFormat="1" ht="15" hidden="1" customHeight="1">
      <c r="A251" s="288">
        <v>44701</v>
      </c>
      <c r="B251" s="281" t="s">
        <v>312</v>
      </c>
      <c r="C251" s="296" t="s">
        <v>313</v>
      </c>
      <c r="D251" s="289" t="s">
        <v>230</v>
      </c>
      <c r="E251" s="290"/>
      <c r="F251" s="309">
        <v>10000</v>
      </c>
      <c r="G251" s="294">
        <f t="shared" si="3"/>
        <v>30310311</v>
      </c>
      <c r="H251" s="281" t="s">
        <v>25</v>
      </c>
      <c r="I251" s="293" t="s">
        <v>229</v>
      </c>
      <c r="J251" s="281" t="s">
        <v>166</v>
      </c>
      <c r="K251" s="281" t="s">
        <v>215</v>
      </c>
      <c r="L251" s="281" t="s">
        <v>183</v>
      </c>
      <c r="M251" s="178" t="s">
        <v>583</v>
      </c>
      <c r="N251" s="289" t="s">
        <v>241</v>
      </c>
      <c r="O251" s="281"/>
    </row>
    <row r="252" spans="1:16" s="293" customFormat="1" ht="15" hidden="1" customHeight="1">
      <c r="A252" s="299">
        <v>44701</v>
      </c>
      <c r="B252" s="281" t="s">
        <v>271</v>
      </c>
      <c r="C252" s="296" t="s">
        <v>76</v>
      </c>
      <c r="D252" s="289"/>
      <c r="E252" s="301"/>
      <c r="F252" s="309">
        <v>112000</v>
      </c>
      <c r="G252" s="294">
        <f t="shared" si="3"/>
        <v>30198311</v>
      </c>
      <c r="H252" s="300" t="s">
        <v>25</v>
      </c>
      <c r="J252" s="281"/>
      <c r="K252" s="281"/>
      <c r="L252" s="281"/>
      <c r="N252" s="289"/>
      <c r="O252" s="323"/>
    </row>
    <row r="253" spans="1:16" s="293" customFormat="1" ht="14.25" hidden="1" customHeight="1">
      <c r="A253" s="288">
        <v>44701</v>
      </c>
      <c r="B253" s="328" t="s">
        <v>357</v>
      </c>
      <c r="C253" s="296" t="s">
        <v>358</v>
      </c>
      <c r="D253" s="289" t="s">
        <v>2</v>
      </c>
      <c r="E253" s="329"/>
      <c r="F253" s="309">
        <v>20000</v>
      </c>
      <c r="G253" s="294">
        <f t="shared" si="3"/>
        <v>30178311</v>
      </c>
      <c r="H253" s="281" t="s">
        <v>114</v>
      </c>
      <c r="I253" s="295" t="s">
        <v>231</v>
      </c>
      <c r="J253" s="293" t="s">
        <v>103</v>
      </c>
      <c r="K253" s="293" t="s">
        <v>215</v>
      </c>
      <c r="L253" s="281" t="s">
        <v>183</v>
      </c>
      <c r="M253" s="178" t="s">
        <v>584</v>
      </c>
      <c r="N253" s="296" t="s">
        <v>511</v>
      </c>
    </row>
    <row r="254" spans="1:16" s="293" customFormat="1" ht="15" hidden="1" customHeight="1">
      <c r="A254" s="288">
        <v>44701</v>
      </c>
      <c r="B254" s="281" t="s">
        <v>387</v>
      </c>
      <c r="C254" s="296" t="s">
        <v>157</v>
      </c>
      <c r="D254" s="303" t="s">
        <v>2</v>
      </c>
      <c r="E254" s="298"/>
      <c r="F254" s="309">
        <v>80000</v>
      </c>
      <c r="G254" s="294">
        <f t="shared" si="3"/>
        <v>30098311</v>
      </c>
      <c r="H254" s="281" t="s">
        <v>48</v>
      </c>
      <c r="I254" s="295" t="s">
        <v>231</v>
      </c>
      <c r="J254" s="293" t="s">
        <v>166</v>
      </c>
      <c r="K254" s="293" t="s">
        <v>215</v>
      </c>
      <c r="L254" s="281" t="s">
        <v>183</v>
      </c>
      <c r="M254" s="178" t="s">
        <v>585</v>
      </c>
      <c r="N254" s="296" t="s">
        <v>511</v>
      </c>
      <c r="O254" s="281"/>
    </row>
    <row r="255" spans="1:16" s="293" customFormat="1" ht="15" hidden="1" customHeight="1">
      <c r="A255" s="299">
        <v>44701</v>
      </c>
      <c r="B255" s="293" t="s">
        <v>393</v>
      </c>
      <c r="C255" s="296" t="s">
        <v>157</v>
      </c>
      <c r="D255" s="296" t="s">
        <v>2</v>
      </c>
      <c r="E255" s="320"/>
      <c r="F255" s="307">
        <v>20000</v>
      </c>
      <c r="G255" s="294">
        <f t="shared" si="3"/>
        <v>30078311</v>
      </c>
      <c r="H255" s="293" t="s">
        <v>94</v>
      </c>
      <c r="I255" s="295" t="s">
        <v>231</v>
      </c>
      <c r="J255" s="293" t="s">
        <v>166</v>
      </c>
      <c r="K255" s="306" t="s">
        <v>215</v>
      </c>
      <c r="L255" s="281" t="s">
        <v>183</v>
      </c>
      <c r="M255" s="178" t="s">
        <v>586</v>
      </c>
      <c r="N255" s="296" t="s">
        <v>511</v>
      </c>
      <c r="P255" s="323"/>
    </row>
    <row r="256" spans="1:16" s="293" customFormat="1" ht="15" hidden="1" customHeight="1">
      <c r="A256" s="288">
        <v>44701</v>
      </c>
      <c r="B256" s="295" t="s">
        <v>504</v>
      </c>
      <c r="C256" s="296" t="s">
        <v>76</v>
      </c>
      <c r="D256" s="289"/>
      <c r="E256" s="329"/>
      <c r="F256" s="309">
        <v>6000</v>
      </c>
      <c r="G256" s="294">
        <f t="shared" si="3"/>
        <v>30072311</v>
      </c>
      <c r="H256" s="281" t="s">
        <v>114</v>
      </c>
      <c r="I256" s="365"/>
      <c r="J256" s="306"/>
      <c r="L256" s="281"/>
      <c r="N256" s="296"/>
      <c r="O256" s="281"/>
    </row>
    <row r="257" spans="1:15" s="293" customFormat="1" ht="15" hidden="1" customHeight="1">
      <c r="A257" s="321">
        <v>44701</v>
      </c>
      <c r="B257" s="295" t="s">
        <v>394</v>
      </c>
      <c r="C257" s="296" t="s">
        <v>157</v>
      </c>
      <c r="D257" s="303" t="s">
        <v>236</v>
      </c>
      <c r="E257" s="329"/>
      <c r="F257" s="309">
        <v>2000</v>
      </c>
      <c r="G257" s="294">
        <f t="shared" si="3"/>
        <v>30070311</v>
      </c>
      <c r="H257" s="281" t="s">
        <v>94</v>
      </c>
      <c r="I257" s="293" t="s">
        <v>229</v>
      </c>
      <c r="J257" s="306" t="s">
        <v>166</v>
      </c>
      <c r="K257" s="306" t="s">
        <v>214</v>
      </c>
      <c r="L257" s="281" t="s">
        <v>183</v>
      </c>
      <c r="N257" s="296"/>
      <c r="O257" s="323"/>
    </row>
    <row r="258" spans="1:15" s="293" customFormat="1" ht="15" hidden="1" customHeight="1">
      <c r="A258" s="299">
        <v>44701</v>
      </c>
      <c r="B258" s="281" t="s">
        <v>412</v>
      </c>
      <c r="C258" s="296" t="s">
        <v>157</v>
      </c>
      <c r="D258" s="289" t="s">
        <v>164</v>
      </c>
      <c r="E258" s="298"/>
      <c r="F258" s="309">
        <v>13000</v>
      </c>
      <c r="G258" s="294">
        <f t="shared" si="3"/>
        <v>30057311</v>
      </c>
      <c r="H258" s="281" t="s">
        <v>212</v>
      </c>
      <c r="I258" s="295" t="s">
        <v>231</v>
      </c>
      <c r="J258" s="281" t="s">
        <v>166</v>
      </c>
      <c r="K258" s="281" t="s">
        <v>214</v>
      </c>
      <c r="L258" s="281" t="s">
        <v>183</v>
      </c>
      <c r="N258" s="289"/>
      <c r="O258" s="281"/>
    </row>
    <row r="259" spans="1:15" s="293" customFormat="1" ht="15" hidden="1" customHeight="1">
      <c r="A259" s="288">
        <v>44701</v>
      </c>
      <c r="B259" s="281" t="s">
        <v>413</v>
      </c>
      <c r="C259" s="289" t="s">
        <v>34</v>
      </c>
      <c r="D259" s="289" t="s">
        <v>164</v>
      </c>
      <c r="E259" s="290"/>
      <c r="F259" s="307">
        <v>50000</v>
      </c>
      <c r="G259" s="294">
        <f t="shared" si="3"/>
        <v>30007311</v>
      </c>
      <c r="H259" s="281" t="s">
        <v>212</v>
      </c>
      <c r="I259" s="295" t="s">
        <v>231</v>
      </c>
      <c r="J259" s="293" t="s">
        <v>166</v>
      </c>
      <c r="K259" s="293" t="s">
        <v>214</v>
      </c>
      <c r="L259" s="281" t="s">
        <v>183</v>
      </c>
      <c r="M259" s="281"/>
      <c r="N259" s="289"/>
      <c r="O259" s="281"/>
    </row>
    <row r="260" spans="1:15" s="293" customFormat="1" ht="15" hidden="1" customHeight="1">
      <c r="A260" s="321">
        <v>44701</v>
      </c>
      <c r="B260" s="366" t="s">
        <v>505</v>
      </c>
      <c r="C260" s="296" t="s">
        <v>76</v>
      </c>
      <c r="D260" s="303"/>
      <c r="E260" s="329"/>
      <c r="F260" s="309">
        <v>10000</v>
      </c>
      <c r="G260" s="294">
        <f t="shared" si="3"/>
        <v>29997311</v>
      </c>
      <c r="H260" s="281" t="s">
        <v>94</v>
      </c>
      <c r="I260" s="366"/>
      <c r="J260" s="306"/>
      <c r="L260" s="281"/>
      <c r="N260" s="296"/>
      <c r="O260" s="323"/>
    </row>
    <row r="261" spans="1:15" s="293" customFormat="1" ht="15" hidden="1" customHeight="1">
      <c r="A261" s="321">
        <v>44701</v>
      </c>
      <c r="B261" s="281" t="s">
        <v>414</v>
      </c>
      <c r="C261" s="296" t="s">
        <v>237</v>
      </c>
      <c r="D261" s="367"/>
      <c r="E261" s="298"/>
      <c r="F261" s="309">
        <v>9500</v>
      </c>
      <c r="G261" s="294">
        <f t="shared" si="3"/>
        <v>29987811</v>
      </c>
      <c r="H261" s="281" t="s">
        <v>212</v>
      </c>
      <c r="I261" s="295"/>
      <c r="J261" s="281"/>
      <c r="K261" s="281"/>
      <c r="L261" s="281"/>
      <c r="N261" s="289"/>
      <c r="O261" s="281"/>
    </row>
    <row r="262" spans="1:15" s="293" customFormat="1" ht="15" hidden="1" customHeight="1">
      <c r="A262" s="288">
        <v>44701</v>
      </c>
      <c r="B262" s="293" t="s">
        <v>415</v>
      </c>
      <c r="C262" s="289" t="s">
        <v>76</v>
      </c>
      <c r="D262" s="296"/>
      <c r="E262" s="318">
        <v>10000</v>
      </c>
      <c r="F262" s="345"/>
      <c r="G262" s="294">
        <f t="shared" si="3"/>
        <v>29997811</v>
      </c>
      <c r="H262" s="293" t="s">
        <v>271</v>
      </c>
      <c r="I262" s="306"/>
      <c r="J262" s="281"/>
      <c r="K262" s="281"/>
      <c r="L262" s="281"/>
      <c r="N262" s="296"/>
    </row>
    <row r="263" spans="1:15" s="293" customFormat="1" ht="15" hidden="1" customHeight="1">
      <c r="A263" s="288">
        <v>44701</v>
      </c>
      <c r="B263" s="281" t="s">
        <v>416</v>
      </c>
      <c r="C263" s="289" t="s">
        <v>34</v>
      </c>
      <c r="D263" s="289" t="s">
        <v>164</v>
      </c>
      <c r="E263" s="290"/>
      <c r="F263" s="309">
        <v>10000</v>
      </c>
      <c r="G263" s="294">
        <f t="shared" si="3"/>
        <v>29987811</v>
      </c>
      <c r="H263" s="281" t="s">
        <v>271</v>
      </c>
      <c r="I263" s="293" t="s">
        <v>229</v>
      </c>
      <c r="J263" s="293" t="s">
        <v>166</v>
      </c>
      <c r="K263" s="293" t="s">
        <v>214</v>
      </c>
      <c r="L263" s="281" t="s">
        <v>183</v>
      </c>
      <c r="N263" s="289"/>
      <c r="O263" s="281"/>
    </row>
    <row r="264" spans="1:15" s="293" customFormat="1" ht="15" hidden="1" customHeight="1">
      <c r="A264" s="288">
        <v>44701</v>
      </c>
      <c r="B264" s="293" t="s">
        <v>443</v>
      </c>
      <c r="C264" s="289" t="s">
        <v>157</v>
      </c>
      <c r="D264" s="296" t="s">
        <v>164</v>
      </c>
      <c r="E264" s="320"/>
      <c r="F264" s="307">
        <v>45000</v>
      </c>
      <c r="G264" s="294">
        <f t="shared" si="3"/>
        <v>29942811</v>
      </c>
      <c r="H264" s="293" t="s">
        <v>213</v>
      </c>
      <c r="I264" s="293" t="s">
        <v>229</v>
      </c>
      <c r="J264" s="281" t="s">
        <v>166</v>
      </c>
      <c r="K264" s="281" t="s">
        <v>214</v>
      </c>
      <c r="L264" s="281" t="s">
        <v>183</v>
      </c>
      <c r="N264" s="296"/>
    </row>
    <row r="265" spans="1:15" s="293" customFormat="1" ht="15" hidden="1" customHeight="1">
      <c r="A265" s="288">
        <v>44701</v>
      </c>
      <c r="B265" s="293" t="s">
        <v>415</v>
      </c>
      <c r="C265" s="296" t="s">
        <v>76</v>
      </c>
      <c r="D265" s="313"/>
      <c r="E265" s="318">
        <v>112000</v>
      </c>
      <c r="F265" s="289"/>
      <c r="G265" s="294">
        <f t="shared" si="3"/>
        <v>30054811</v>
      </c>
      <c r="H265" s="281" t="s">
        <v>271</v>
      </c>
      <c r="I265" s="306"/>
      <c r="J265" s="306"/>
      <c r="L265" s="281"/>
      <c r="N265" s="296"/>
    </row>
    <row r="266" spans="1:15" s="293" customFormat="1" ht="15" hidden="1" customHeight="1">
      <c r="A266" s="288">
        <v>44701</v>
      </c>
      <c r="B266" s="293" t="s">
        <v>444</v>
      </c>
      <c r="C266" s="296" t="s">
        <v>237</v>
      </c>
      <c r="D266" s="296"/>
      <c r="E266" s="320">
        <v>10000</v>
      </c>
      <c r="F266" s="309"/>
      <c r="G266" s="294">
        <f t="shared" si="3"/>
        <v>30064811</v>
      </c>
      <c r="H266" s="293" t="s">
        <v>213</v>
      </c>
      <c r="I266" s="306"/>
      <c r="L266" s="281"/>
      <c r="N266" s="296"/>
    </row>
    <row r="267" spans="1:15" s="293" customFormat="1" ht="15" hidden="1" customHeight="1">
      <c r="A267" s="299">
        <v>44701</v>
      </c>
      <c r="B267" s="310" t="s">
        <v>446</v>
      </c>
      <c r="C267" s="296" t="s">
        <v>157</v>
      </c>
      <c r="D267" s="296" t="s">
        <v>164</v>
      </c>
      <c r="E267" s="311"/>
      <c r="F267" s="381">
        <v>12000</v>
      </c>
      <c r="G267" s="294">
        <f t="shared" si="3"/>
        <v>30052811</v>
      </c>
      <c r="H267" s="293" t="s">
        <v>213</v>
      </c>
      <c r="I267" s="293" t="s">
        <v>229</v>
      </c>
      <c r="J267" s="281" t="s">
        <v>166</v>
      </c>
      <c r="K267" s="281" t="s">
        <v>214</v>
      </c>
      <c r="L267" s="281" t="s">
        <v>183</v>
      </c>
      <c r="N267" s="296"/>
    </row>
    <row r="268" spans="1:15" s="293" customFormat="1" ht="15" hidden="1" customHeight="1">
      <c r="A268" s="288">
        <v>44701</v>
      </c>
      <c r="B268" s="281" t="s">
        <v>468</v>
      </c>
      <c r="C268" s="289" t="s">
        <v>469</v>
      </c>
      <c r="D268" s="289" t="s">
        <v>4</v>
      </c>
      <c r="E268" s="290"/>
      <c r="F268" s="309">
        <v>83500</v>
      </c>
      <c r="G268" s="294">
        <f t="shared" si="3"/>
        <v>29969311</v>
      </c>
      <c r="H268" s="281" t="s">
        <v>29</v>
      </c>
      <c r="I268" s="295" t="s">
        <v>231</v>
      </c>
      <c r="J268" s="281" t="s">
        <v>166</v>
      </c>
      <c r="K268" s="281" t="s">
        <v>214</v>
      </c>
      <c r="L268" s="281" t="s">
        <v>183</v>
      </c>
      <c r="N268" s="289"/>
      <c r="O268" s="281"/>
    </row>
    <row r="269" spans="1:15" s="293" customFormat="1" ht="15" hidden="1" customHeight="1">
      <c r="A269" s="288">
        <v>44701</v>
      </c>
      <c r="B269" s="335" t="s">
        <v>487</v>
      </c>
      <c r="C269" s="289" t="s">
        <v>157</v>
      </c>
      <c r="D269" s="289" t="s">
        <v>4</v>
      </c>
      <c r="E269" s="368"/>
      <c r="F269" s="307">
        <v>60000</v>
      </c>
      <c r="G269" s="294">
        <f t="shared" si="3"/>
        <v>29909311</v>
      </c>
      <c r="H269" s="335" t="s">
        <v>49</v>
      </c>
      <c r="I269" s="293" t="s">
        <v>229</v>
      </c>
      <c r="J269" s="293" t="s">
        <v>166</v>
      </c>
      <c r="K269" s="293" t="s">
        <v>215</v>
      </c>
      <c r="L269" s="281" t="s">
        <v>183</v>
      </c>
      <c r="M269" s="178" t="s">
        <v>587</v>
      </c>
      <c r="N269" s="296" t="s">
        <v>511</v>
      </c>
      <c r="O269" s="335"/>
    </row>
    <row r="270" spans="1:15" s="293" customFormat="1" ht="15" hidden="1" customHeight="1">
      <c r="A270" s="321">
        <v>44701</v>
      </c>
      <c r="B270" s="293" t="s">
        <v>445</v>
      </c>
      <c r="C270" s="297" t="s">
        <v>237</v>
      </c>
      <c r="D270" s="313"/>
      <c r="E270" s="322">
        <v>6000</v>
      </c>
      <c r="F270" s="309"/>
      <c r="G270" s="294">
        <f t="shared" ref="G270:G331" si="4">+G269+E270-F270</f>
        <v>29915311</v>
      </c>
      <c r="H270" s="293" t="s">
        <v>213</v>
      </c>
      <c r="I270" s="306"/>
      <c r="L270" s="281"/>
      <c r="N270" s="296"/>
    </row>
    <row r="271" spans="1:15" s="293" customFormat="1" ht="15" hidden="1" customHeight="1">
      <c r="A271" s="288">
        <v>44701</v>
      </c>
      <c r="B271" s="293" t="s">
        <v>488</v>
      </c>
      <c r="C271" s="296" t="s">
        <v>35</v>
      </c>
      <c r="D271" s="289" t="s">
        <v>230</v>
      </c>
      <c r="E271" s="318"/>
      <c r="F271" s="289">
        <v>500</v>
      </c>
      <c r="G271" s="294">
        <f t="shared" si="4"/>
        <v>29914811</v>
      </c>
      <c r="H271" s="293" t="s">
        <v>49</v>
      </c>
      <c r="I271" s="295" t="s">
        <v>231</v>
      </c>
      <c r="J271" s="281" t="s">
        <v>166</v>
      </c>
      <c r="K271" s="281" t="s">
        <v>214</v>
      </c>
      <c r="L271" s="281" t="s">
        <v>183</v>
      </c>
      <c r="N271" s="296"/>
    </row>
    <row r="272" spans="1:15" s="293" customFormat="1" ht="15" hidden="1" customHeight="1">
      <c r="A272" s="288">
        <v>44701</v>
      </c>
      <c r="B272" s="293" t="s">
        <v>489</v>
      </c>
      <c r="C272" s="296" t="s">
        <v>157</v>
      </c>
      <c r="D272" s="289" t="s">
        <v>4</v>
      </c>
      <c r="E272" s="318"/>
      <c r="F272" s="289">
        <v>30000</v>
      </c>
      <c r="G272" s="294">
        <f t="shared" si="4"/>
        <v>29884811</v>
      </c>
      <c r="H272" s="293" t="s">
        <v>49</v>
      </c>
      <c r="I272" s="293" t="s">
        <v>229</v>
      </c>
      <c r="J272" s="293" t="s">
        <v>166</v>
      </c>
      <c r="K272" s="293" t="s">
        <v>215</v>
      </c>
      <c r="L272" s="281" t="s">
        <v>183</v>
      </c>
      <c r="M272" s="178" t="s">
        <v>588</v>
      </c>
      <c r="N272" s="296" t="s">
        <v>511</v>
      </c>
    </row>
    <row r="273" spans="1:16" s="293" customFormat="1" ht="15.75" hidden="1" customHeight="1">
      <c r="A273" s="299">
        <v>44701</v>
      </c>
      <c r="B273" s="310" t="s">
        <v>310</v>
      </c>
      <c r="C273" s="296" t="s">
        <v>76</v>
      </c>
      <c r="D273" s="289"/>
      <c r="E273" s="311">
        <v>9500</v>
      </c>
      <c r="F273" s="303"/>
      <c r="G273" s="294">
        <f t="shared" si="4"/>
        <v>29894311</v>
      </c>
      <c r="H273" s="312" t="s">
        <v>25</v>
      </c>
      <c r="J273" s="281"/>
      <c r="K273" s="281"/>
      <c r="L273" s="281"/>
      <c r="N273" s="296"/>
    </row>
    <row r="274" spans="1:16" s="293" customFormat="1" ht="15.75" hidden="1" customHeight="1">
      <c r="A274" s="299">
        <v>44701</v>
      </c>
      <c r="B274" s="310" t="s">
        <v>460</v>
      </c>
      <c r="C274" s="289" t="s">
        <v>157</v>
      </c>
      <c r="D274" s="296" t="s">
        <v>165</v>
      </c>
      <c r="E274" s="311"/>
      <c r="F274" s="361">
        <v>40000</v>
      </c>
      <c r="G274" s="294">
        <f t="shared" si="4"/>
        <v>29854311</v>
      </c>
      <c r="H274" s="324" t="s">
        <v>31</v>
      </c>
      <c r="I274" s="295" t="s">
        <v>231</v>
      </c>
      <c r="J274" s="293" t="s">
        <v>166</v>
      </c>
      <c r="K274" s="293" t="s">
        <v>215</v>
      </c>
      <c r="L274" s="281" t="s">
        <v>183</v>
      </c>
      <c r="M274" s="178" t="s">
        <v>589</v>
      </c>
      <c r="N274" s="296" t="s">
        <v>511</v>
      </c>
    </row>
    <row r="275" spans="1:16" s="293" customFormat="1" ht="15.75" hidden="1" customHeight="1">
      <c r="A275" s="299">
        <v>44702</v>
      </c>
      <c r="B275" s="300" t="s">
        <v>359</v>
      </c>
      <c r="C275" s="296" t="s">
        <v>358</v>
      </c>
      <c r="D275" s="303" t="s">
        <v>236</v>
      </c>
      <c r="E275" s="301"/>
      <c r="F275" s="361">
        <v>10000</v>
      </c>
      <c r="G275" s="294">
        <f t="shared" si="4"/>
        <v>29844311</v>
      </c>
      <c r="H275" s="302" t="s">
        <v>114</v>
      </c>
      <c r="I275" s="293" t="s">
        <v>229</v>
      </c>
      <c r="J275" s="293" t="s">
        <v>103</v>
      </c>
      <c r="K275" s="293" t="s">
        <v>215</v>
      </c>
      <c r="L275" s="281" t="s">
        <v>183</v>
      </c>
      <c r="M275" s="178" t="s">
        <v>590</v>
      </c>
      <c r="N275" s="296" t="s">
        <v>511</v>
      </c>
      <c r="O275" s="281"/>
    </row>
    <row r="276" spans="1:16" s="293" customFormat="1" ht="15.75" hidden="1" customHeight="1">
      <c r="A276" s="288">
        <v>44702</v>
      </c>
      <c r="B276" s="281" t="s">
        <v>360</v>
      </c>
      <c r="C276" s="296" t="s">
        <v>34</v>
      </c>
      <c r="D276" s="289" t="s">
        <v>2</v>
      </c>
      <c r="E276" s="290"/>
      <c r="F276" s="309">
        <v>7000</v>
      </c>
      <c r="G276" s="294">
        <f t="shared" si="4"/>
        <v>29837311</v>
      </c>
      <c r="H276" s="281" t="s">
        <v>114</v>
      </c>
      <c r="I276" s="293" t="s">
        <v>229</v>
      </c>
      <c r="J276" s="306" t="s">
        <v>103</v>
      </c>
      <c r="K276" s="293" t="s">
        <v>215</v>
      </c>
      <c r="L276" s="281" t="s">
        <v>183</v>
      </c>
      <c r="M276" s="178" t="s">
        <v>591</v>
      </c>
      <c r="N276" s="296" t="s">
        <v>251</v>
      </c>
      <c r="O276" s="281"/>
    </row>
    <row r="277" spans="1:16" s="293" customFormat="1" ht="15.75" hidden="1" customHeight="1">
      <c r="A277" s="288">
        <v>44702</v>
      </c>
      <c r="B277" s="281" t="s">
        <v>374</v>
      </c>
      <c r="C277" s="296" t="s">
        <v>157</v>
      </c>
      <c r="D277" s="289" t="s">
        <v>2</v>
      </c>
      <c r="E277" s="298"/>
      <c r="F277" s="345">
        <v>6500</v>
      </c>
      <c r="G277" s="294">
        <f t="shared" si="4"/>
        <v>29830811</v>
      </c>
      <c r="H277" s="281" t="s">
        <v>48</v>
      </c>
      <c r="I277" s="295" t="s">
        <v>231</v>
      </c>
      <c r="J277" s="281" t="s">
        <v>166</v>
      </c>
      <c r="K277" s="293" t="s">
        <v>214</v>
      </c>
      <c r="L277" s="281" t="s">
        <v>183</v>
      </c>
      <c r="N277" s="289"/>
      <c r="O277" s="281"/>
    </row>
    <row r="278" spans="1:16" s="293" customFormat="1" ht="15.75" hidden="1" customHeight="1">
      <c r="A278" s="299">
        <v>44702</v>
      </c>
      <c r="B278" s="293" t="s">
        <v>516</v>
      </c>
      <c r="C278" s="296" t="s">
        <v>34</v>
      </c>
      <c r="D278" s="289" t="s">
        <v>236</v>
      </c>
      <c r="E278" s="301"/>
      <c r="F278" s="361">
        <v>8000</v>
      </c>
      <c r="G278" s="294">
        <f t="shared" si="4"/>
        <v>29822811</v>
      </c>
      <c r="H278" s="302" t="s">
        <v>48</v>
      </c>
      <c r="I278" s="293" t="s">
        <v>229</v>
      </c>
      <c r="J278" s="281" t="s">
        <v>166</v>
      </c>
      <c r="K278" s="293" t="s">
        <v>214</v>
      </c>
      <c r="L278" s="281" t="s">
        <v>183</v>
      </c>
      <c r="N278" s="330"/>
      <c r="O278" s="281"/>
    </row>
    <row r="279" spans="1:16" s="293" customFormat="1" ht="15.75" hidden="1" customHeight="1">
      <c r="A279" s="288">
        <v>44702</v>
      </c>
      <c r="B279" s="281" t="s">
        <v>517</v>
      </c>
      <c r="C279" s="296" t="s">
        <v>203</v>
      </c>
      <c r="D279" s="307" t="s">
        <v>2</v>
      </c>
      <c r="E279" s="329"/>
      <c r="F279" s="309">
        <v>180000</v>
      </c>
      <c r="G279" s="294">
        <f t="shared" si="4"/>
        <v>29642811</v>
      </c>
      <c r="H279" s="281" t="s">
        <v>48</v>
      </c>
      <c r="I279" s="293" t="s">
        <v>229</v>
      </c>
      <c r="J279" s="281" t="s">
        <v>166</v>
      </c>
      <c r="K279" s="293" t="s">
        <v>214</v>
      </c>
      <c r="L279" s="281" t="s">
        <v>183</v>
      </c>
      <c r="N279" s="289"/>
      <c r="O279" s="281"/>
    </row>
    <row r="280" spans="1:16" s="293" customFormat="1" ht="15.75" hidden="1" customHeight="1">
      <c r="A280" s="288">
        <v>44702</v>
      </c>
      <c r="B280" s="281" t="s">
        <v>375</v>
      </c>
      <c r="C280" s="296" t="s">
        <v>157</v>
      </c>
      <c r="D280" s="313" t="s">
        <v>2</v>
      </c>
      <c r="E280" s="298"/>
      <c r="F280" s="309">
        <v>18400</v>
      </c>
      <c r="G280" s="294">
        <f t="shared" si="4"/>
        <v>29624411</v>
      </c>
      <c r="H280" s="281" t="s">
        <v>48</v>
      </c>
      <c r="I280" s="293" t="s">
        <v>229</v>
      </c>
      <c r="J280" s="281" t="s">
        <v>166</v>
      </c>
      <c r="K280" s="293" t="s">
        <v>214</v>
      </c>
      <c r="L280" s="281" t="s">
        <v>183</v>
      </c>
      <c r="N280" s="289"/>
      <c r="O280" s="281"/>
    </row>
    <row r="281" spans="1:16" s="293" customFormat="1" ht="15.75" hidden="1" customHeight="1">
      <c r="A281" s="299">
        <v>44702</v>
      </c>
      <c r="B281" s="369" t="s">
        <v>395</v>
      </c>
      <c r="C281" s="297" t="s">
        <v>157</v>
      </c>
      <c r="D281" s="289" t="s">
        <v>2</v>
      </c>
      <c r="E281" s="346"/>
      <c r="F281" s="289">
        <v>15000</v>
      </c>
      <c r="G281" s="294">
        <f t="shared" si="4"/>
        <v>29609411</v>
      </c>
      <c r="H281" s="281" t="s">
        <v>94</v>
      </c>
      <c r="I281" s="293" t="s">
        <v>229</v>
      </c>
      <c r="J281" s="293" t="s">
        <v>166</v>
      </c>
      <c r="K281" s="306" t="s">
        <v>215</v>
      </c>
      <c r="L281" s="281" t="s">
        <v>183</v>
      </c>
      <c r="M281" s="178" t="s">
        <v>592</v>
      </c>
      <c r="N281" s="296" t="s">
        <v>511</v>
      </c>
      <c r="O281" s="323"/>
    </row>
    <row r="282" spans="1:16" s="293" customFormat="1" ht="15.75" hidden="1" customHeight="1">
      <c r="A282" s="288">
        <v>44702</v>
      </c>
      <c r="B282" s="281" t="s">
        <v>396</v>
      </c>
      <c r="C282" s="296" t="s">
        <v>34</v>
      </c>
      <c r="D282" s="303" t="s">
        <v>236</v>
      </c>
      <c r="E282" s="290"/>
      <c r="F282" s="309">
        <v>8000</v>
      </c>
      <c r="G282" s="294">
        <f t="shared" si="4"/>
        <v>29601411</v>
      </c>
      <c r="H282" s="281" t="s">
        <v>94</v>
      </c>
      <c r="I282" s="293" t="s">
        <v>229</v>
      </c>
      <c r="J282" s="281" t="s">
        <v>166</v>
      </c>
      <c r="K282" s="293" t="s">
        <v>214</v>
      </c>
      <c r="L282" s="281" t="s">
        <v>183</v>
      </c>
      <c r="N282" s="289"/>
      <c r="O282" s="281"/>
    </row>
    <row r="283" spans="1:16" s="293" customFormat="1" ht="15.75" hidden="1" customHeight="1">
      <c r="A283" s="288">
        <v>44702</v>
      </c>
      <c r="B283" s="335" t="s">
        <v>397</v>
      </c>
      <c r="C283" s="296" t="s">
        <v>34</v>
      </c>
      <c r="D283" s="303" t="s">
        <v>236</v>
      </c>
      <c r="E283" s="290"/>
      <c r="F283" s="309">
        <v>35000</v>
      </c>
      <c r="G283" s="294">
        <f t="shared" si="4"/>
        <v>29566411</v>
      </c>
      <c r="H283" s="335" t="s">
        <v>94</v>
      </c>
      <c r="I283" s="293" t="s">
        <v>229</v>
      </c>
      <c r="J283" s="281" t="s">
        <v>166</v>
      </c>
      <c r="K283" s="293" t="s">
        <v>214</v>
      </c>
      <c r="L283" s="281" t="s">
        <v>183</v>
      </c>
      <c r="N283" s="296"/>
      <c r="O283" s="335"/>
      <c r="P283" s="323"/>
    </row>
    <row r="284" spans="1:16" s="293" customFormat="1" ht="15.75" hidden="1" customHeight="1">
      <c r="A284" s="299">
        <v>44702</v>
      </c>
      <c r="B284" s="310" t="s">
        <v>447</v>
      </c>
      <c r="C284" s="296" t="s">
        <v>157</v>
      </c>
      <c r="D284" s="296" t="s">
        <v>164</v>
      </c>
      <c r="E284" s="311"/>
      <c r="F284" s="379">
        <v>15000</v>
      </c>
      <c r="G284" s="294">
        <f t="shared" si="4"/>
        <v>29551411</v>
      </c>
      <c r="H284" s="317" t="s">
        <v>213</v>
      </c>
      <c r="I284" s="293" t="s">
        <v>229</v>
      </c>
      <c r="J284" s="281" t="s">
        <v>166</v>
      </c>
      <c r="K284" s="281" t="s">
        <v>214</v>
      </c>
      <c r="L284" s="281" t="s">
        <v>183</v>
      </c>
      <c r="N284" s="296"/>
    </row>
    <row r="285" spans="1:16" s="293" customFormat="1" ht="15.75" hidden="1" customHeight="1">
      <c r="A285" s="288">
        <v>44702</v>
      </c>
      <c r="B285" s="293" t="s">
        <v>448</v>
      </c>
      <c r="C285" s="296" t="s">
        <v>216</v>
      </c>
      <c r="D285" s="313" t="s">
        <v>164</v>
      </c>
      <c r="E285" s="320"/>
      <c r="F285" s="307">
        <v>2000</v>
      </c>
      <c r="G285" s="294">
        <f t="shared" si="4"/>
        <v>29549411</v>
      </c>
      <c r="H285" s="293" t="s">
        <v>213</v>
      </c>
      <c r="I285" s="293" t="s">
        <v>229</v>
      </c>
      <c r="J285" s="306" t="s">
        <v>166</v>
      </c>
      <c r="K285" s="293" t="s">
        <v>214</v>
      </c>
      <c r="L285" s="281" t="s">
        <v>183</v>
      </c>
      <c r="N285" s="296"/>
    </row>
    <row r="286" spans="1:16" s="293" customFormat="1" ht="15.75" hidden="1" customHeight="1">
      <c r="A286" s="299">
        <v>44702</v>
      </c>
      <c r="B286" s="293" t="s">
        <v>457</v>
      </c>
      <c r="C286" s="296" t="s">
        <v>157</v>
      </c>
      <c r="D286" s="296" t="s">
        <v>165</v>
      </c>
      <c r="E286" s="320"/>
      <c r="F286" s="307">
        <v>9200</v>
      </c>
      <c r="G286" s="294">
        <f t="shared" si="4"/>
        <v>29540211</v>
      </c>
      <c r="H286" s="293" t="s">
        <v>31</v>
      </c>
      <c r="I286" s="293" t="s">
        <v>229</v>
      </c>
      <c r="J286" s="281" t="s">
        <v>166</v>
      </c>
      <c r="K286" s="281" t="s">
        <v>214</v>
      </c>
      <c r="L286" s="281" t="s">
        <v>183</v>
      </c>
      <c r="N286" s="296"/>
    </row>
    <row r="287" spans="1:16" s="293" customFormat="1" ht="15.75" hidden="1" customHeight="1">
      <c r="A287" s="288">
        <v>44702</v>
      </c>
      <c r="B287" s="281" t="s">
        <v>519</v>
      </c>
      <c r="C287" s="289" t="s">
        <v>157</v>
      </c>
      <c r="D287" s="289" t="s">
        <v>4</v>
      </c>
      <c r="E287" s="290"/>
      <c r="F287" s="309">
        <v>30000</v>
      </c>
      <c r="G287" s="294">
        <f t="shared" si="4"/>
        <v>29510211</v>
      </c>
      <c r="H287" s="281" t="s">
        <v>29</v>
      </c>
      <c r="I287" s="293" t="s">
        <v>229</v>
      </c>
      <c r="J287" s="293" t="s">
        <v>166</v>
      </c>
      <c r="K287" s="300" t="s">
        <v>215</v>
      </c>
      <c r="L287" s="281" t="s">
        <v>183</v>
      </c>
      <c r="M287" s="178" t="s">
        <v>593</v>
      </c>
      <c r="N287" s="325" t="s">
        <v>511</v>
      </c>
      <c r="O287" s="281"/>
    </row>
    <row r="288" spans="1:16" s="293" customFormat="1" ht="15.75" hidden="1" customHeight="1">
      <c r="A288" s="299">
        <v>44702</v>
      </c>
      <c r="B288" s="293" t="s">
        <v>458</v>
      </c>
      <c r="C288" s="296" t="s">
        <v>34</v>
      </c>
      <c r="D288" s="303" t="s">
        <v>236</v>
      </c>
      <c r="E288" s="320"/>
      <c r="F288" s="307">
        <v>36000</v>
      </c>
      <c r="G288" s="294">
        <f t="shared" si="4"/>
        <v>29474211</v>
      </c>
      <c r="H288" s="293" t="s">
        <v>31</v>
      </c>
      <c r="I288" s="293" t="s">
        <v>229</v>
      </c>
      <c r="J288" s="281" t="s">
        <v>166</v>
      </c>
      <c r="K288" s="281" t="s">
        <v>214</v>
      </c>
      <c r="L288" s="281" t="s">
        <v>183</v>
      </c>
      <c r="N288" s="296"/>
    </row>
    <row r="289" spans="1:16" s="293" customFormat="1" ht="15.75" hidden="1" customHeight="1">
      <c r="A289" s="288">
        <v>44703</v>
      </c>
      <c r="B289" s="281" t="s">
        <v>361</v>
      </c>
      <c r="C289" s="296" t="s">
        <v>358</v>
      </c>
      <c r="D289" s="303" t="s">
        <v>2</v>
      </c>
      <c r="E289" s="290"/>
      <c r="F289" s="307">
        <v>15000</v>
      </c>
      <c r="G289" s="294">
        <f t="shared" si="4"/>
        <v>29459211</v>
      </c>
      <c r="H289" s="281" t="s">
        <v>114</v>
      </c>
      <c r="I289" s="293" t="s">
        <v>229</v>
      </c>
      <c r="J289" s="293" t="s">
        <v>103</v>
      </c>
      <c r="K289" s="293" t="s">
        <v>215</v>
      </c>
      <c r="L289" s="281" t="s">
        <v>183</v>
      </c>
      <c r="M289" s="178" t="s">
        <v>594</v>
      </c>
      <c r="N289" s="296" t="s">
        <v>511</v>
      </c>
      <c r="O289" s="281"/>
    </row>
    <row r="290" spans="1:16" s="293" customFormat="1" ht="15.75" hidden="1" customHeight="1">
      <c r="A290" s="288">
        <v>44703</v>
      </c>
      <c r="B290" s="281" t="s">
        <v>376</v>
      </c>
      <c r="C290" s="296" t="s">
        <v>157</v>
      </c>
      <c r="D290" s="303" t="s">
        <v>2</v>
      </c>
      <c r="E290" s="290"/>
      <c r="F290" s="289">
        <v>24200</v>
      </c>
      <c r="G290" s="294">
        <f t="shared" si="4"/>
        <v>29435011</v>
      </c>
      <c r="H290" s="281" t="s">
        <v>48</v>
      </c>
      <c r="I290" s="293" t="s">
        <v>229</v>
      </c>
      <c r="J290" s="281" t="s">
        <v>166</v>
      </c>
      <c r="K290" s="293" t="s">
        <v>214</v>
      </c>
      <c r="L290" s="281" t="s">
        <v>183</v>
      </c>
      <c r="N290" s="289"/>
      <c r="O290" s="281"/>
    </row>
    <row r="291" spans="1:16" s="293" customFormat="1" ht="15.75" hidden="1" customHeight="1">
      <c r="A291" s="321">
        <v>44703</v>
      </c>
      <c r="B291" s="352" t="s">
        <v>398</v>
      </c>
      <c r="C291" s="296" t="s">
        <v>157</v>
      </c>
      <c r="D291" s="353" t="s">
        <v>2</v>
      </c>
      <c r="E291" s="370"/>
      <c r="F291" s="374">
        <v>15000</v>
      </c>
      <c r="G291" s="294">
        <f t="shared" si="4"/>
        <v>29420011</v>
      </c>
      <c r="H291" s="352" t="s">
        <v>94</v>
      </c>
      <c r="I291" s="293" t="s">
        <v>229</v>
      </c>
      <c r="J291" s="293" t="s">
        <v>166</v>
      </c>
      <c r="K291" s="306" t="s">
        <v>215</v>
      </c>
      <c r="L291" s="281" t="s">
        <v>183</v>
      </c>
      <c r="M291" s="178" t="s">
        <v>595</v>
      </c>
      <c r="N291" s="296" t="s">
        <v>511</v>
      </c>
      <c r="O291" s="323"/>
    </row>
    <row r="292" spans="1:16" s="293" customFormat="1" ht="15.75" hidden="1" customHeight="1">
      <c r="A292" s="288">
        <v>44703</v>
      </c>
      <c r="B292" s="310" t="s">
        <v>509</v>
      </c>
      <c r="C292" s="296" t="s">
        <v>34</v>
      </c>
      <c r="D292" s="296" t="s">
        <v>2</v>
      </c>
      <c r="F292" s="289">
        <v>6000</v>
      </c>
      <c r="G292" s="294">
        <f t="shared" si="4"/>
        <v>29414011</v>
      </c>
      <c r="H292" s="293" t="s">
        <v>94</v>
      </c>
      <c r="I292" s="293" t="s">
        <v>229</v>
      </c>
      <c r="J292" s="306" t="s">
        <v>166</v>
      </c>
      <c r="K292" s="293" t="s">
        <v>215</v>
      </c>
      <c r="L292" s="281" t="s">
        <v>183</v>
      </c>
      <c r="M292" s="178" t="s">
        <v>596</v>
      </c>
      <c r="N292" s="296" t="s">
        <v>251</v>
      </c>
    </row>
    <row r="293" spans="1:16" s="293" customFormat="1" ht="15.75" hidden="1" customHeight="1">
      <c r="A293" s="288">
        <v>44703</v>
      </c>
      <c r="B293" s="281" t="s">
        <v>421</v>
      </c>
      <c r="C293" s="289" t="s">
        <v>157</v>
      </c>
      <c r="D293" s="313" t="s">
        <v>164</v>
      </c>
      <c r="E293" s="298"/>
      <c r="F293" s="309">
        <v>20000</v>
      </c>
      <c r="G293" s="294">
        <f t="shared" si="4"/>
        <v>29394011</v>
      </c>
      <c r="H293" s="281" t="s">
        <v>271</v>
      </c>
      <c r="I293" s="295" t="s">
        <v>231</v>
      </c>
      <c r="J293" s="281" t="s">
        <v>166</v>
      </c>
      <c r="K293" s="281" t="s">
        <v>214</v>
      </c>
      <c r="L293" s="281" t="s">
        <v>183</v>
      </c>
      <c r="N293" s="289"/>
      <c r="O293" s="281"/>
    </row>
    <row r="294" spans="1:16" s="293" customFormat="1" ht="15.75" hidden="1" customHeight="1">
      <c r="A294" s="288">
        <v>44703</v>
      </c>
      <c r="B294" s="293" t="s">
        <v>490</v>
      </c>
      <c r="C294" s="296" t="s">
        <v>157</v>
      </c>
      <c r="D294" s="289" t="s">
        <v>4</v>
      </c>
      <c r="E294" s="320"/>
      <c r="F294" s="307">
        <v>15000</v>
      </c>
      <c r="G294" s="294">
        <f t="shared" si="4"/>
        <v>29379011</v>
      </c>
      <c r="H294" s="293" t="s">
        <v>49</v>
      </c>
      <c r="I294" s="293" t="s">
        <v>229</v>
      </c>
      <c r="J294" s="293" t="s">
        <v>166</v>
      </c>
      <c r="K294" s="293" t="s">
        <v>215</v>
      </c>
      <c r="L294" s="281" t="s">
        <v>183</v>
      </c>
      <c r="M294" s="178" t="s">
        <v>597</v>
      </c>
      <c r="N294" s="296" t="s">
        <v>511</v>
      </c>
    </row>
    <row r="295" spans="1:16" s="323" customFormat="1" ht="15.75" hidden="1" customHeight="1">
      <c r="A295" s="288">
        <v>44703</v>
      </c>
      <c r="B295" s="293" t="s">
        <v>491</v>
      </c>
      <c r="C295" s="296" t="s">
        <v>34</v>
      </c>
      <c r="D295" s="289" t="s">
        <v>4</v>
      </c>
      <c r="E295" s="320"/>
      <c r="F295" s="307">
        <v>6000</v>
      </c>
      <c r="G295" s="294">
        <f t="shared" si="4"/>
        <v>29373011</v>
      </c>
      <c r="H295" s="293" t="s">
        <v>49</v>
      </c>
      <c r="I295" s="293" t="s">
        <v>229</v>
      </c>
      <c r="J295" s="306" t="s">
        <v>166</v>
      </c>
      <c r="K295" s="293" t="s">
        <v>215</v>
      </c>
      <c r="L295" s="281" t="s">
        <v>183</v>
      </c>
      <c r="M295" s="178" t="s">
        <v>598</v>
      </c>
      <c r="N295" s="296" t="s">
        <v>251</v>
      </c>
      <c r="O295" s="293"/>
      <c r="P295" s="293"/>
    </row>
    <row r="296" spans="1:16" s="323" customFormat="1" ht="15.75" hidden="1" customHeight="1">
      <c r="A296" s="299">
        <v>44704</v>
      </c>
      <c r="B296" s="300" t="s">
        <v>276</v>
      </c>
      <c r="C296" s="296" t="s">
        <v>76</v>
      </c>
      <c r="D296" s="289"/>
      <c r="E296" s="301"/>
      <c r="F296" s="303">
        <v>518000</v>
      </c>
      <c r="G296" s="294">
        <f t="shared" si="4"/>
        <v>28855011</v>
      </c>
      <c r="H296" s="302" t="s">
        <v>25</v>
      </c>
      <c r="I296" s="293"/>
      <c r="J296" s="281"/>
      <c r="K296" s="281"/>
      <c r="L296" s="281"/>
      <c r="M296" s="293"/>
      <c r="N296" s="296"/>
      <c r="O296" s="281"/>
      <c r="P296" s="293"/>
    </row>
    <row r="297" spans="1:16" s="323" customFormat="1" ht="15.75" hidden="1" customHeight="1">
      <c r="A297" s="288">
        <v>44704</v>
      </c>
      <c r="B297" s="281" t="s">
        <v>314</v>
      </c>
      <c r="C297" s="296" t="s">
        <v>76</v>
      </c>
      <c r="D297" s="289"/>
      <c r="E297" s="290">
        <v>2000000</v>
      </c>
      <c r="F297" s="309"/>
      <c r="G297" s="294">
        <f t="shared" si="4"/>
        <v>30855011</v>
      </c>
      <c r="H297" s="281" t="s">
        <v>25</v>
      </c>
      <c r="I297" s="293"/>
      <c r="J297" s="281"/>
      <c r="K297" s="281"/>
      <c r="L297" s="281"/>
      <c r="M297" s="293"/>
      <c r="N297" s="296"/>
      <c r="O297" s="281"/>
      <c r="P297" s="293"/>
    </row>
    <row r="298" spans="1:16" s="323" customFormat="1" ht="15.75" hidden="1" customHeight="1">
      <c r="A298" s="288">
        <v>44704</v>
      </c>
      <c r="B298" s="293" t="s">
        <v>213</v>
      </c>
      <c r="C298" s="296" t="s">
        <v>76</v>
      </c>
      <c r="D298" s="303"/>
      <c r="E298" s="318"/>
      <c r="F298" s="345">
        <v>74000</v>
      </c>
      <c r="G298" s="294">
        <f t="shared" si="4"/>
        <v>30781011</v>
      </c>
      <c r="H298" s="293" t="s">
        <v>25</v>
      </c>
      <c r="I298" s="293"/>
      <c r="J298" s="281"/>
      <c r="K298" s="281"/>
      <c r="L298" s="281"/>
      <c r="M298" s="293"/>
      <c r="N298" s="296"/>
      <c r="O298" s="293"/>
      <c r="P298" s="335"/>
    </row>
    <row r="299" spans="1:16" s="323" customFormat="1" ht="15.75" hidden="1" customHeight="1">
      <c r="A299" s="299">
        <v>44704</v>
      </c>
      <c r="B299" s="300" t="s">
        <v>31</v>
      </c>
      <c r="C299" s="296" t="s">
        <v>76</v>
      </c>
      <c r="D299" s="289"/>
      <c r="E299" s="301"/>
      <c r="F299" s="303">
        <v>28000</v>
      </c>
      <c r="G299" s="294">
        <f t="shared" si="4"/>
        <v>30753011</v>
      </c>
      <c r="H299" s="302" t="s">
        <v>25</v>
      </c>
      <c r="I299" s="293"/>
      <c r="J299" s="281"/>
      <c r="K299" s="281"/>
      <c r="L299" s="281"/>
      <c r="M299" s="293"/>
      <c r="N299" s="296"/>
      <c r="O299" s="281"/>
      <c r="P299" s="293"/>
    </row>
    <row r="300" spans="1:16" s="323" customFormat="1" ht="15.75" hidden="1" customHeight="1">
      <c r="A300" s="288">
        <v>44704</v>
      </c>
      <c r="B300" s="281" t="s">
        <v>152</v>
      </c>
      <c r="C300" s="296" t="s">
        <v>76</v>
      </c>
      <c r="D300" s="289"/>
      <c r="E300" s="298"/>
      <c r="F300" s="309">
        <v>15000</v>
      </c>
      <c r="G300" s="294">
        <f t="shared" si="4"/>
        <v>30738011</v>
      </c>
      <c r="H300" s="281" t="s">
        <v>25</v>
      </c>
      <c r="I300" s="293"/>
      <c r="J300" s="281"/>
      <c r="K300" s="281"/>
      <c r="L300" s="281"/>
      <c r="M300" s="293"/>
      <c r="N300" s="296"/>
      <c r="O300" s="281"/>
      <c r="P300" s="293"/>
    </row>
    <row r="301" spans="1:16" s="323" customFormat="1" ht="15.75" hidden="1" customHeight="1">
      <c r="A301" s="288">
        <v>44704</v>
      </c>
      <c r="B301" s="281" t="s">
        <v>315</v>
      </c>
      <c r="C301" s="296" t="s">
        <v>182</v>
      </c>
      <c r="D301" s="289" t="s">
        <v>4</v>
      </c>
      <c r="E301" s="290"/>
      <c r="F301" s="309">
        <v>42000</v>
      </c>
      <c r="G301" s="294">
        <f t="shared" si="4"/>
        <v>30696011</v>
      </c>
      <c r="H301" s="281" t="s">
        <v>25</v>
      </c>
      <c r="I301" s="295" t="s">
        <v>231</v>
      </c>
      <c r="J301" s="281" t="s">
        <v>166</v>
      </c>
      <c r="K301" s="281" t="s">
        <v>214</v>
      </c>
      <c r="L301" s="281" t="s">
        <v>183</v>
      </c>
      <c r="M301" s="293"/>
      <c r="N301" s="296"/>
      <c r="O301" s="281"/>
      <c r="P301" s="293"/>
    </row>
    <row r="302" spans="1:16" s="323" customFormat="1" ht="15.75" hidden="1" customHeight="1">
      <c r="A302" s="299">
        <v>44704</v>
      </c>
      <c r="B302" s="281" t="s">
        <v>316</v>
      </c>
      <c r="C302" s="296" t="s">
        <v>313</v>
      </c>
      <c r="D302" s="303" t="s">
        <v>230</v>
      </c>
      <c r="E302" s="346"/>
      <c r="F302" s="289">
        <v>25000</v>
      </c>
      <c r="G302" s="294">
        <f t="shared" si="4"/>
        <v>30671011</v>
      </c>
      <c r="H302" s="281" t="s">
        <v>25</v>
      </c>
      <c r="I302" s="293" t="s">
        <v>229</v>
      </c>
      <c r="J302" s="281" t="s">
        <v>166</v>
      </c>
      <c r="K302" s="281" t="s">
        <v>215</v>
      </c>
      <c r="L302" s="281" t="s">
        <v>183</v>
      </c>
      <c r="M302" s="178" t="s">
        <v>599</v>
      </c>
      <c r="N302" s="296" t="s">
        <v>241</v>
      </c>
      <c r="P302" s="293"/>
    </row>
    <row r="303" spans="1:16" s="323" customFormat="1" ht="15.75" hidden="1" customHeight="1">
      <c r="A303" s="288">
        <v>44704</v>
      </c>
      <c r="B303" s="293" t="s">
        <v>506</v>
      </c>
      <c r="C303" s="296" t="s">
        <v>273</v>
      </c>
      <c r="D303" s="289" t="s">
        <v>230</v>
      </c>
      <c r="E303" s="293"/>
      <c r="F303" s="289">
        <v>18600</v>
      </c>
      <c r="G303" s="294">
        <f t="shared" si="4"/>
        <v>30652411</v>
      </c>
      <c r="H303" s="293" t="s">
        <v>25</v>
      </c>
      <c r="I303" s="293" t="s">
        <v>229</v>
      </c>
      <c r="J303" s="281" t="s">
        <v>103</v>
      </c>
      <c r="K303" s="281" t="s">
        <v>215</v>
      </c>
      <c r="L303" s="281" t="s">
        <v>183</v>
      </c>
      <c r="M303" s="178" t="s">
        <v>600</v>
      </c>
      <c r="N303" s="289" t="s">
        <v>239</v>
      </c>
      <c r="O303" s="293"/>
      <c r="P303" s="293"/>
    </row>
    <row r="304" spans="1:16" s="323" customFormat="1" ht="15.75" hidden="1" customHeight="1">
      <c r="A304" s="288">
        <v>44704</v>
      </c>
      <c r="B304" s="281" t="s">
        <v>317</v>
      </c>
      <c r="C304" s="296" t="s">
        <v>76</v>
      </c>
      <c r="D304" s="289"/>
      <c r="E304" s="298">
        <v>220000</v>
      </c>
      <c r="F304" s="289"/>
      <c r="G304" s="294">
        <f t="shared" si="4"/>
        <v>30872411</v>
      </c>
      <c r="H304" s="281" t="s">
        <v>25</v>
      </c>
      <c r="I304" s="293"/>
      <c r="J304" s="281"/>
      <c r="K304" s="293"/>
      <c r="L304" s="281"/>
      <c r="M304" s="293"/>
      <c r="N304" s="296"/>
      <c r="O304" s="281"/>
      <c r="P304" s="293"/>
    </row>
    <row r="305" spans="1:16" s="323" customFormat="1" ht="15.75" hidden="1" customHeight="1">
      <c r="A305" s="299">
        <v>44704</v>
      </c>
      <c r="B305" s="310" t="s">
        <v>114</v>
      </c>
      <c r="C305" s="296" t="s">
        <v>76</v>
      </c>
      <c r="D305" s="303"/>
      <c r="E305" s="311"/>
      <c r="F305" s="303">
        <v>50000</v>
      </c>
      <c r="G305" s="294">
        <f t="shared" si="4"/>
        <v>30822411</v>
      </c>
      <c r="H305" s="312" t="s">
        <v>25</v>
      </c>
      <c r="I305" s="293"/>
      <c r="J305" s="281"/>
      <c r="K305" s="293"/>
      <c r="L305" s="281"/>
      <c r="M305" s="293"/>
      <c r="N305" s="296"/>
      <c r="O305" s="293"/>
    </row>
    <row r="306" spans="1:16" s="323" customFormat="1" ht="15.75" hidden="1" customHeight="1">
      <c r="A306" s="288">
        <v>44704</v>
      </c>
      <c r="B306" s="293" t="s">
        <v>94</v>
      </c>
      <c r="C306" s="296" t="s">
        <v>76</v>
      </c>
      <c r="D306" s="303"/>
      <c r="E306" s="318"/>
      <c r="F306" s="345">
        <v>15000</v>
      </c>
      <c r="G306" s="294">
        <f t="shared" si="4"/>
        <v>30807411</v>
      </c>
      <c r="H306" s="293" t="s">
        <v>25</v>
      </c>
      <c r="I306" s="293"/>
      <c r="J306" s="281"/>
      <c r="K306" s="281"/>
      <c r="L306" s="281"/>
      <c r="M306" s="293"/>
      <c r="N306" s="289"/>
      <c r="O306" s="293"/>
      <c r="P306" s="293"/>
    </row>
    <row r="307" spans="1:16" s="323" customFormat="1" ht="15.75" hidden="1" customHeight="1">
      <c r="A307" s="288">
        <v>44704</v>
      </c>
      <c r="B307" s="293" t="s">
        <v>31</v>
      </c>
      <c r="C307" s="296" t="s">
        <v>76</v>
      </c>
      <c r="D307" s="303"/>
      <c r="E307" s="318"/>
      <c r="F307" s="289">
        <v>11000</v>
      </c>
      <c r="G307" s="294">
        <f t="shared" si="4"/>
        <v>30796411</v>
      </c>
      <c r="H307" s="293" t="s">
        <v>25</v>
      </c>
      <c r="I307" s="293"/>
      <c r="J307" s="281"/>
      <c r="K307" s="281"/>
      <c r="L307" s="281"/>
      <c r="M307" s="293"/>
      <c r="N307" s="289"/>
      <c r="O307" s="293"/>
    </row>
    <row r="308" spans="1:16" s="323" customFormat="1" ht="15.75" hidden="1" customHeight="1">
      <c r="A308" s="321">
        <v>44704</v>
      </c>
      <c r="B308" s="281" t="s">
        <v>336</v>
      </c>
      <c r="C308" s="361" t="s">
        <v>76</v>
      </c>
      <c r="D308" s="303"/>
      <c r="E308" s="300"/>
      <c r="F308" s="296">
        <v>2000000</v>
      </c>
      <c r="G308" s="294">
        <f t="shared" si="4"/>
        <v>28796411</v>
      </c>
      <c r="H308" s="293" t="s">
        <v>24</v>
      </c>
      <c r="I308" s="306">
        <v>3654483</v>
      </c>
      <c r="J308" s="281"/>
      <c r="K308" s="293"/>
      <c r="L308" s="281"/>
      <c r="M308" s="293"/>
      <c r="N308" s="296"/>
      <c r="P308" s="293"/>
    </row>
    <row r="309" spans="1:16" s="323" customFormat="1" ht="15.75" hidden="1" customHeight="1">
      <c r="A309" s="288">
        <v>44704</v>
      </c>
      <c r="B309" s="357" t="s">
        <v>351</v>
      </c>
      <c r="C309" s="358" t="s">
        <v>34</v>
      </c>
      <c r="D309" s="358" t="s">
        <v>2</v>
      </c>
      <c r="E309" s="357"/>
      <c r="F309" s="358">
        <v>20500</v>
      </c>
      <c r="G309" s="294">
        <f t="shared" si="4"/>
        <v>28775911</v>
      </c>
      <c r="H309" s="357" t="s">
        <v>152</v>
      </c>
      <c r="I309" s="295" t="s">
        <v>231</v>
      </c>
      <c r="J309" s="306" t="s">
        <v>166</v>
      </c>
      <c r="K309" s="293" t="s">
        <v>215</v>
      </c>
      <c r="L309" s="281" t="s">
        <v>183</v>
      </c>
      <c r="M309" s="178" t="s">
        <v>601</v>
      </c>
      <c r="N309" s="360" t="s">
        <v>251</v>
      </c>
      <c r="O309" s="356"/>
      <c r="P309" s="356"/>
    </row>
    <row r="310" spans="1:16" s="323" customFormat="1" ht="15.75" hidden="1" customHeight="1">
      <c r="A310" s="321">
        <v>44704</v>
      </c>
      <c r="B310" s="357" t="s">
        <v>350</v>
      </c>
      <c r="C310" s="358" t="s">
        <v>76</v>
      </c>
      <c r="D310" s="358"/>
      <c r="E310" s="357">
        <v>15000</v>
      </c>
      <c r="F310" s="358"/>
      <c r="G310" s="294">
        <f t="shared" si="4"/>
        <v>28790911</v>
      </c>
      <c r="H310" s="357" t="s">
        <v>152</v>
      </c>
      <c r="I310" s="295"/>
      <c r="J310" s="356"/>
      <c r="K310" s="356"/>
      <c r="L310" s="356"/>
      <c r="M310" s="356"/>
      <c r="N310" s="360"/>
      <c r="O310" s="356"/>
      <c r="P310" s="356"/>
    </row>
    <row r="311" spans="1:16" s="323" customFormat="1" ht="15.75" hidden="1" customHeight="1">
      <c r="A311" s="288">
        <v>44704</v>
      </c>
      <c r="B311" s="281" t="s">
        <v>362</v>
      </c>
      <c r="C311" s="296" t="s">
        <v>76</v>
      </c>
      <c r="D311" s="289"/>
      <c r="E311" s="290">
        <v>50000</v>
      </c>
      <c r="F311" s="307"/>
      <c r="G311" s="294">
        <f t="shared" si="4"/>
        <v>28840911</v>
      </c>
      <c r="H311" s="281" t="s">
        <v>114</v>
      </c>
      <c r="I311" s="295"/>
      <c r="J311" s="281"/>
      <c r="K311" s="293"/>
      <c r="L311" s="281"/>
      <c r="M311" s="293"/>
      <c r="N311" s="296"/>
      <c r="O311" s="281"/>
      <c r="P311" s="293"/>
    </row>
    <row r="312" spans="1:16" s="293" customFormat="1" ht="15" hidden="1" customHeight="1">
      <c r="A312" s="288">
        <v>44704</v>
      </c>
      <c r="B312" s="281" t="s">
        <v>365</v>
      </c>
      <c r="C312" s="296" t="s">
        <v>76</v>
      </c>
      <c r="D312" s="303"/>
      <c r="E312" s="290">
        <v>518000</v>
      </c>
      <c r="F312" s="289"/>
      <c r="G312" s="294">
        <f t="shared" si="4"/>
        <v>29358911</v>
      </c>
      <c r="H312" s="281" t="s">
        <v>48</v>
      </c>
      <c r="I312" s="295"/>
      <c r="J312" s="281"/>
      <c r="L312" s="281"/>
      <c r="N312" s="296"/>
      <c r="O312" s="281"/>
    </row>
    <row r="313" spans="1:16" s="293" customFormat="1" ht="15.75" hidden="1" customHeight="1">
      <c r="A313" s="288">
        <v>44704</v>
      </c>
      <c r="B313" s="281" t="s">
        <v>254</v>
      </c>
      <c r="C313" s="296" t="s">
        <v>76</v>
      </c>
      <c r="D313" s="289"/>
      <c r="E313" s="298">
        <v>15000</v>
      </c>
      <c r="F313" s="345"/>
      <c r="G313" s="294">
        <f t="shared" si="4"/>
        <v>29373911</v>
      </c>
      <c r="H313" s="281" t="s">
        <v>94</v>
      </c>
      <c r="I313" s="306"/>
      <c r="J313" s="281"/>
      <c r="L313" s="281"/>
      <c r="N313" s="296"/>
      <c r="O313" s="281"/>
    </row>
    <row r="314" spans="1:16" s="293" customFormat="1" ht="15.75" hidden="1" customHeight="1">
      <c r="A314" s="288">
        <v>44704</v>
      </c>
      <c r="B314" s="281" t="s">
        <v>377</v>
      </c>
      <c r="C314" s="296" t="s">
        <v>157</v>
      </c>
      <c r="D314" s="303" t="s">
        <v>2</v>
      </c>
      <c r="E314" s="298"/>
      <c r="F314" s="289">
        <v>27400</v>
      </c>
      <c r="G314" s="294">
        <f t="shared" si="4"/>
        <v>29346511</v>
      </c>
      <c r="H314" s="281" t="s">
        <v>48</v>
      </c>
      <c r="I314" s="293" t="s">
        <v>229</v>
      </c>
      <c r="J314" s="281" t="s">
        <v>166</v>
      </c>
      <c r="K314" s="293" t="s">
        <v>214</v>
      </c>
      <c r="L314" s="281" t="s">
        <v>183</v>
      </c>
      <c r="N314" s="289"/>
      <c r="O314" s="281"/>
    </row>
    <row r="315" spans="1:16" s="293" customFormat="1" ht="15.75" hidden="1" customHeight="1">
      <c r="A315" s="288">
        <v>44704</v>
      </c>
      <c r="B315" s="281" t="s">
        <v>422</v>
      </c>
      <c r="C315" s="289" t="s">
        <v>194</v>
      </c>
      <c r="D315" s="289" t="s">
        <v>164</v>
      </c>
      <c r="E315" s="298"/>
      <c r="F315" s="309">
        <v>30000</v>
      </c>
      <c r="G315" s="294">
        <f t="shared" si="4"/>
        <v>29316511</v>
      </c>
      <c r="H315" s="281" t="s">
        <v>271</v>
      </c>
      <c r="I315" s="293" t="s">
        <v>229</v>
      </c>
      <c r="J315" s="281" t="s">
        <v>166</v>
      </c>
      <c r="K315" s="281" t="s">
        <v>214</v>
      </c>
      <c r="L315" s="281" t="s">
        <v>183</v>
      </c>
      <c r="N315" s="289"/>
      <c r="O315" s="281"/>
    </row>
    <row r="316" spans="1:16" s="293" customFormat="1" ht="15.75" hidden="1" customHeight="1">
      <c r="A316" s="288">
        <v>44704</v>
      </c>
      <c r="B316" s="281" t="s">
        <v>423</v>
      </c>
      <c r="C316" s="289" t="s">
        <v>34</v>
      </c>
      <c r="D316" s="289" t="s">
        <v>164</v>
      </c>
      <c r="E316" s="290"/>
      <c r="F316" s="307">
        <v>10000</v>
      </c>
      <c r="G316" s="294">
        <f t="shared" si="4"/>
        <v>29306511</v>
      </c>
      <c r="H316" s="281" t="s">
        <v>271</v>
      </c>
      <c r="I316" s="293" t="s">
        <v>229</v>
      </c>
      <c r="J316" s="293" t="s">
        <v>166</v>
      </c>
      <c r="K316" s="293" t="s">
        <v>214</v>
      </c>
      <c r="L316" s="281" t="s">
        <v>183</v>
      </c>
      <c r="M316" s="281"/>
      <c r="N316" s="289"/>
      <c r="O316" s="281"/>
    </row>
    <row r="317" spans="1:16" s="293" customFormat="1" ht="15.75" hidden="1" customHeight="1">
      <c r="A317" s="299">
        <v>44704</v>
      </c>
      <c r="B317" s="281" t="s">
        <v>449</v>
      </c>
      <c r="C317" s="296" t="s">
        <v>216</v>
      </c>
      <c r="D317" s="289" t="s">
        <v>164</v>
      </c>
      <c r="E317" s="298"/>
      <c r="F317" s="289">
        <v>87000</v>
      </c>
      <c r="G317" s="294">
        <f t="shared" si="4"/>
        <v>29219511</v>
      </c>
      <c r="H317" s="281" t="s">
        <v>213</v>
      </c>
      <c r="I317" s="295" t="s">
        <v>231</v>
      </c>
      <c r="J317" s="306" t="s">
        <v>166</v>
      </c>
      <c r="K317" s="293" t="s">
        <v>214</v>
      </c>
      <c r="L317" s="281" t="s">
        <v>183</v>
      </c>
      <c r="N317" s="289"/>
      <c r="O317" s="281"/>
    </row>
    <row r="318" spans="1:16" s="293" customFormat="1" ht="15.75" hidden="1" customHeight="1">
      <c r="A318" s="288">
        <v>44704</v>
      </c>
      <c r="B318" s="281" t="s">
        <v>428</v>
      </c>
      <c r="C318" s="289" t="s">
        <v>237</v>
      </c>
      <c r="D318" s="289"/>
      <c r="E318" s="290">
        <v>74000</v>
      </c>
      <c r="F318" s="309"/>
      <c r="G318" s="294">
        <f t="shared" si="4"/>
        <v>29293511</v>
      </c>
      <c r="H318" s="281" t="s">
        <v>213</v>
      </c>
      <c r="I318" s="281"/>
      <c r="J318" s="281"/>
      <c r="K318" s="281"/>
      <c r="L318" s="281"/>
      <c r="N318" s="289"/>
      <c r="O318" s="281"/>
    </row>
    <row r="319" spans="1:16" s="293" customFormat="1" ht="15.75" hidden="1" customHeight="1">
      <c r="A319" s="299">
        <v>44704</v>
      </c>
      <c r="B319" s="293" t="s">
        <v>459</v>
      </c>
      <c r="C319" s="289" t="s">
        <v>34</v>
      </c>
      <c r="D319" s="296" t="s">
        <v>165</v>
      </c>
      <c r="E319" s="320"/>
      <c r="F319" s="307">
        <v>7000</v>
      </c>
      <c r="G319" s="294">
        <f t="shared" si="4"/>
        <v>29286511</v>
      </c>
      <c r="H319" s="293" t="s">
        <v>31</v>
      </c>
      <c r="I319" s="293" t="s">
        <v>229</v>
      </c>
      <c r="J319" s="306" t="s">
        <v>166</v>
      </c>
      <c r="K319" s="281" t="s">
        <v>215</v>
      </c>
      <c r="L319" s="281" t="s">
        <v>183</v>
      </c>
      <c r="M319" s="178" t="s">
        <v>602</v>
      </c>
      <c r="N319" s="296" t="s">
        <v>251</v>
      </c>
    </row>
    <row r="320" spans="1:16" s="293" customFormat="1" ht="15.75" hidden="1" customHeight="1">
      <c r="A320" s="288">
        <v>44704</v>
      </c>
      <c r="B320" s="293" t="s">
        <v>252</v>
      </c>
      <c r="C320" s="296" t="s">
        <v>76</v>
      </c>
      <c r="D320" s="297"/>
      <c r="E320" s="320">
        <v>28000</v>
      </c>
      <c r="F320" s="307"/>
      <c r="G320" s="294">
        <f t="shared" si="4"/>
        <v>29314511</v>
      </c>
      <c r="H320" s="293" t="s">
        <v>31</v>
      </c>
      <c r="I320" s="306"/>
      <c r="J320" s="281"/>
      <c r="K320" s="281"/>
      <c r="L320" s="281"/>
      <c r="N320" s="296"/>
    </row>
    <row r="321" spans="1:15" s="293" customFormat="1" ht="15.75" hidden="1" customHeight="1">
      <c r="A321" s="288">
        <v>44704</v>
      </c>
      <c r="B321" s="293" t="s">
        <v>252</v>
      </c>
      <c r="C321" s="296" t="s">
        <v>76</v>
      </c>
      <c r="D321" s="297"/>
      <c r="E321" s="320">
        <v>11000</v>
      </c>
      <c r="F321" s="307"/>
      <c r="G321" s="294">
        <f t="shared" si="4"/>
        <v>29325511</v>
      </c>
      <c r="H321" s="293" t="s">
        <v>31</v>
      </c>
      <c r="I321" s="306"/>
      <c r="J321" s="281"/>
      <c r="K321" s="281"/>
      <c r="L321" s="281"/>
      <c r="N321" s="296"/>
    </row>
    <row r="322" spans="1:15" s="293" customFormat="1" ht="15.75" hidden="1" customHeight="1">
      <c r="A322" s="288">
        <v>44704</v>
      </c>
      <c r="B322" s="293" t="s">
        <v>492</v>
      </c>
      <c r="C322" s="297" t="s">
        <v>76</v>
      </c>
      <c r="D322" s="296"/>
      <c r="E322" s="318"/>
      <c r="F322" s="289">
        <v>220000</v>
      </c>
      <c r="G322" s="294">
        <f t="shared" si="4"/>
        <v>29105511</v>
      </c>
      <c r="H322" s="293" t="s">
        <v>49</v>
      </c>
      <c r="I322" s="306"/>
      <c r="J322" s="306"/>
      <c r="N322" s="296"/>
    </row>
    <row r="323" spans="1:15" s="293" customFormat="1" ht="15.75" hidden="1" customHeight="1">
      <c r="A323" s="288">
        <v>44705</v>
      </c>
      <c r="B323" s="281" t="s">
        <v>30</v>
      </c>
      <c r="C323" s="296" t="s">
        <v>76</v>
      </c>
      <c r="D323" s="289"/>
      <c r="E323" s="298"/>
      <c r="F323" s="309">
        <v>189000</v>
      </c>
      <c r="G323" s="294">
        <f t="shared" si="4"/>
        <v>28916511</v>
      </c>
      <c r="H323" s="281" t="s">
        <v>25</v>
      </c>
      <c r="J323" s="281"/>
      <c r="L323" s="281"/>
      <c r="N323" s="296"/>
      <c r="O323" s="281"/>
    </row>
    <row r="324" spans="1:15" s="293" customFormat="1" ht="15.75" hidden="1" customHeight="1">
      <c r="A324" s="288">
        <v>44705</v>
      </c>
      <c r="B324" s="281" t="s">
        <v>29</v>
      </c>
      <c r="C324" s="296" t="s">
        <v>76</v>
      </c>
      <c r="D324" s="289"/>
      <c r="E324" s="298"/>
      <c r="F324" s="309">
        <v>173000</v>
      </c>
      <c r="G324" s="294">
        <f t="shared" si="4"/>
        <v>28743511</v>
      </c>
      <c r="H324" s="281" t="s">
        <v>25</v>
      </c>
      <c r="J324" s="281"/>
      <c r="K324" s="281"/>
      <c r="L324" s="281"/>
      <c r="N324" s="289"/>
      <c r="O324" s="281"/>
    </row>
    <row r="325" spans="1:15" s="293" customFormat="1" ht="15.75" hidden="1" customHeight="1">
      <c r="A325" s="288">
        <v>44705</v>
      </c>
      <c r="B325" s="340" t="s">
        <v>378</v>
      </c>
      <c r="C325" s="296" t="s">
        <v>157</v>
      </c>
      <c r="D325" s="289" t="s">
        <v>2</v>
      </c>
      <c r="E325" s="281"/>
      <c r="F325" s="289">
        <v>27100</v>
      </c>
      <c r="G325" s="294">
        <f t="shared" si="4"/>
        <v>28716411</v>
      </c>
      <c r="H325" s="293" t="s">
        <v>48</v>
      </c>
      <c r="I325" s="293" t="s">
        <v>229</v>
      </c>
      <c r="J325" s="281" t="s">
        <v>166</v>
      </c>
      <c r="K325" s="293" t="s">
        <v>214</v>
      </c>
      <c r="L325" s="281" t="s">
        <v>183</v>
      </c>
      <c r="N325" s="296"/>
      <c r="O325" s="281"/>
    </row>
    <row r="326" spans="1:15" s="293" customFormat="1" ht="15.75" hidden="1" customHeight="1">
      <c r="A326" s="288">
        <v>44705</v>
      </c>
      <c r="B326" s="281" t="s">
        <v>424</v>
      </c>
      <c r="C326" s="289" t="s">
        <v>157</v>
      </c>
      <c r="D326" s="313" t="s">
        <v>164</v>
      </c>
      <c r="E326" s="298"/>
      <c r="F326" s="309">
        <v>30000</v>
      </c>
      <c r="G326" s="294">
        <f t="shared" si="4"/>
        <v>28686411</v>
      </c>
      <c r="H326" s="281" t="s">
        <v>271</v>
      </c>
      <c r="I326" s="293" t="s">
        <v>229</v>
      </c>
      <c r="J326" s="281" t="s">
        <v>166</v>
      </c>
      <c r="K326" s="281" t="s">
        <v>214</v>
      </c>
      <c r="L326" s="281" t="s">
        <v>183</v>
      </c>
      <c r="N326" s="289"/>
      <c r="O326" s="281"/>
    </row>
    <row r="327" spans="1:15" s="293" customFormat="1" ht="15.75" hidden="1" customHeight="1">
      <c r="A327" s="288">
        <v>44705</v>
      </c>
      <c r="B327" s="281" t="s">
        <v>450</v>
      </c>
      <c r="C327" s="307" t="s">
        <v>157</v>
      </c>
      <c r="D327" s="307" t="s">
        <v>164</v>
      </c>
      <c r="E327" s="298"/>
      <c r="F327" s="289">
        <v>45000</v>
      </c>
      <c r="G327" s="294">
        <f t="shared" si="4"/>
        <v>28641411</v>
      </c>
      <c r="H327" s="281" t="s">
        <v>213</v>
      </c>
      <c r="I327" s="293" t="s">
        <v>229</v>
      </c>
      <c r="J327" s="281" t="s">
        <v>166</v>
      </c>
      <c r="K327" s="281" t="s">
        <v>214</v>
      </c>
      <c r="L327" s="281" t="s">
        <v>183</v>
      </c>
      <c r="M327" s="281"/>
      <c r="N327" s="289"/>
      <c r="O327" s="281"/>
    </row>
    <row r="328" spans="1:15" s="293" customFormat="1" ht="15.75" hidden="1" customHeight="1">
      <c r="A328" s="288">
        <v>44705</v>
      </c>
      <c r="B328" s="281" t="s">
        <v>451</v>
      </c>
      <c r="C328" s="289" t="s">
        <v>34</v>
      </c>
      <c r="D328" s="289" t="s">
        <v>164</v>
      </c>
      <c r="E328" s="290"/>
      <c r="F328" s="307">
        <v>7000</v>
      </c>
      <c r="G328" s="294">
        <f t="shared" si="4"/>
        <v>28634411</v>
      </c>
      <c r="H328" s="281" t="s">
        <v>213</v>
      </c>
      <c r="I328" s="293" t="s">
        <v>229</v>
      </c>
      <c r="J328" s="293" t="s">
        <v>166</v>
      </c>
      <c r="K328" s="293" t="s">
        <v>214</v>
      </c>
      <c r="L328" s="281" t="s">
        <v>183</v>
      </c>
      <c r="M328" s="281"/>
      <c r="N328" s="289"/>
      <c r="O328" s="281"/>
    </row>
    <row r="329" spans="1:15" s="293" customFormat="1" ht="15.75" hidden="1" customHeight="1">
      <c r="A329" s="288">
        <v>44705</v>
      </c>
      <c r="B329" s="293" t="s">
        <v>461</v>
      </c>
      <c r="C329" s="296" t="s">
        <v>157</v>
      </c>
      <c r="D329" s="297" t="s">
        <v>165</v>
      </c>
      <c r="E329" s="320"/>
      <c r="F329" s="307">
        <v>60000</v>
      </c>
      <c r="G329" s="294">
        <f t="shared" si="4"/>
        <v>28574411</v>
      </c>
      <c r="H329" s="293" t="s">
        <v>31</v>
      </c>
      <c r="I329" s="293" t="s">
        <v>229</v>
      </c>
      <c r="J329" s="293" t="s">
        <v>166</v>
      </c>
      <c r="K329" s="293" t="s">
        <v>215</v>
      </c>
      <c r="L329" s="281" t="s">
        <v>183</v>
      </c>
      <c r="M329" s="178" t="s">
        <v>603</v>
      </c>
      <c r="N329" s="296" t="s">
        <v>511</v>
      </c>
    </row>
    <row r="330" spans="1:15" s="293" customFormat="1" ht="15.75" hidden="1" customHeight="1">
      <c r="A330" s="299">
        <v>44705</v>
      </c>
      <c r="B330" s="300" t="s">
        <v>255</v>
      </c>
      <c r="C330" s="367" t="s">
        <v>76</v>
      </c>
      <c r="D330" s="289"/>
      <c r="E330" s="301">
        <v>173000</v>
      </c>
      <c r="F330" s="303"/>
      <c r="G330" s="294">
        <f t="shared" si="4"/>
        <v>28747411</v>
      </c>
      <c r="H330" s="371" t="s">
        <v>29</v>
      </c>
      <c r="I330" s="295"/>
      <c r="J330" s="281"/>
      <c r="K330" s="281"/>
      <c r="L330" s="281"/>
      <c r="N330" s="289"/>
      <c r="O330" s="281"/>
    </row>
    <row r="331" spans="1:15" s="293" customFormat="1" ht="15.75" hidden="1" customHeight="1">
      <c r="A331" s="288">
        <v>44705</v>
      </c>
      <c r="B331" s="293" t="s">
        <v>483</v>
      </c>
      <c r="C331" s="296" t="s">
        <v>76</v>
      </c>
      <c r="D331" s="296"/>
      <c r="E331" s="329">
        <v>189000</v>
      </c>
      <c r="F331" s="379"/>
      <c r="G331" s="294">
        <f t="shared" si="4"/>
        <v>28936411</v>
      </c>
      <c r="H331" s="293" t="s">
        <v>49</v>
      </c>
      <c r="I331" s="306"/>
      <c r="J331" s="306"/>
      <c r="N331" s="296"/>
    </row>
    <row r="332" spans="1:15" s="293" customFormat="1" ht="15.75" hidden="1" customHeight="1">
      <c r="A332" s="288">
        <v>44705</v>
      </c>
      <c r="B332" s="293" t="s">
        <v>493</v>
      </c>
      <c r="C332" s="296" t="s">
        <v>34</v>
      </c>
      <c r="D332" s="289" t="s">
        <v>4</v>
      </c>
      <c r="E332" s="318"/>
      <c r="F332" s="289">
        <v>10000</v>
      </c>
      <c r="G332" s="294">
        <f t="shared" ref="G332:G395" si="5">+G331+E332-F332</f>
        <v>28926411</v>
      </c>
      <c r="H332" s="293" t="s">
        <v>49</v>
      </c>
      <c r="I332" s="293" t="s">
        <v>229</v>
      </c>
      <c r="J332" s="306" t="s">
        <v>166</v>
      </c>
      <c r="K332" s="293" t="s">
        <v>215</v>
      </c>
      <c r="L332" s="281" t="s">
        <v>183</v>
      </c>
      <c r="M332" s="178" t="s">
        <v>604</v>
      </c>
      <c r="N332" s="296" t="s">
        <v>251</v>
      </c>
    </row>
    <row r="333" spans="1:15" s="293" customFormat="1" ht="15.75" hidden="1" customHeight="1">
      <c r="A333" s="288">
        <v>44706</v>
      </c>
      <c r="B333" s="340" t="s">
        <v>31</v>
      </c>
      <c r="C333" s="296" t="s">
        <v>76</v>
      </c>
      <c r="D333" s="289"/>
      <c r="E333" s="298"/>
      <c r="F333" s="309">
        <v>15000</v>
      </c>
      <c r="G333" s="294">
        <f t="shared" si="5"/>
        <v>28911411</v>
      </c>
      <c r="H333" s="281" t="s">
        <v>25</v>
      </c>
      <c r="J333" s="281"/>
      <c r="K333" s="281"/>
      <c r="L333" s="281"/>
      <c r="N333" s="325"/>
      <c r="O333" s="281"/>
    </row>
    <row r="334" spans="1:15" s="293" customFormat="1" ht="15.75" hidden="1" customHeight="1">
      <c r="A334" s="299">
        <v>44706</v>
      </c>
      <c r="B334" s="300" t="s">
        <v>318</v>
      </c>
      <c r="C334" s="296" t="s">
        <v>203</v>
      </c>
      <c r="D334" s="289" t="s">
        <v>165</v>
      </c>
      <c r="E334" s="301"/>
      <c r="F334" s="361">
        <v>150000</v>
      </c>
      <c r="G334" s="294">
        <f t="shared" si="5"/>
        <v>28761411</v>
      </c>
      <c r="H334" s="302" t="s">
        <v>25</v>
      </c>
      <c r="I334" s="295" t="s">
        <v>231</v>
      </c>
      <c r="J334" s="281" t="s">
        <v>166</v>
      </c>
      <c r="K334" s="293" t="s">
        <v>214</v>
      </c>
      <c r="L334" s="281" t="s">
        <v>183</v>
      </c>
      <c r="N334" s="289"/>
      <c r="O334" s="281"/>
    </row>
    <row r="335" spans="1:15" s="293" customFormat="1" ht="15.75" hidden="1" customHeight="1">
      <c r="A335" s="288">
        <v>44706</v>
      </c>
      <c r="B335" s="293" t="s">
        <v>319</v>
      </c>
      <c r="C335" s="296" t="s">
        <v>35</v>
      </c>
      <c r="D335" s="289" t="s">
        <v>230</v>
      </c>
      <c r="E335" s="320"/>
      <c r="F335" s="307">
        <v>25000</v>
      </c>
      <c r="G335" s="294">
        <f t="shared" si="5"/>
        <v>28736411</v>
      </c>
      <c r="H335" s="293" t="s">
        <v>25</v>
      </c>
      <c r="I335" s="293" t="s">
        <v>229</v>
      </c>
      <c r="J335" s="281" t="s">
        <v>166</v>
      </c>
      <c r="K335" s="281" t="s">
        <v>215</v>
      </c>
      <c r="L335" s="281" t="s">
        <v>183</v>
      </c>
      <c r="M335" s="178" t="s">
        <v>605</v>
      </c>
      <c r="N335" s="296" t="s">
        <v>240</v>
      </c>
    </row>
    <row r="336" spans="1:15" s="293" customFormat="1" ht="15.75" hidden="1" customHeight="1">
      <c r="A336" s="288">
        <v>44706</v>
      </c>
      <c r="B336" s="293" t="s">
        <v>320</v>
      </c>
      <c r="C336" s="296" t="s">
        <v>140</v>
      </c>
      <c r="D336" s="289" t="s">
        <v>230</v>
      </c>
      <c r="E336" s="320"/>
      <c r="F336" s="307">
        <v>89175</v>
      </c>
      <c r="G336" s="294">
        <f t="shared" si="5"/>
        <v>28647236</v>
      </c>
      <c r="H336" s="293" t="s">
        <v>25</v>
      </c>
      <c r="I336" s="293" t="s">
        <v>229</v>
      </c>
      <c r="J336" s="281" t="s">
        <v>103</v>
      </c>
      <c r="K336" s="281" t="s">
        <v>215</v>
      </c>
      <c r="L336" s="281" t="s">
        <v>183</v>
      </c>
      <c r="M336" s="178" t="s">
        <v>606</v>
      </c>
      <c r="N336" s="296" t="s">
        <v>242</v>
      </c>
    </row>
    <row r="337" spans="1:16" s="293" customFormat="1" ht="15.75" hidden="1" customHeight="1">
      <c r="A337" s="288">
        <v>44706</v>
      </c>
      <c r="B337" s="281" t="s">
        <v>277</v>
      </c>
      <c r="C337" s="296" t="s">
        <v>273</v>
      </c>
      <c r="D337" s="313" t="s">
        <v>230</v>
      </c>
      <c r="E337" s="318"/>
      <c r="F337" s="345">
        <v>9510</v>
      </c>
      <c r="G337" s="294">
        <f t="shared" si="5"/>
        <v>28637726</v>
      </c>
      <c r="H337" s="293" t="s">
        <v>25</v>
      </c>
      <c r="I337" s="293" t="s">
        <v>229</v>
      </c>
      <c r="J337" s="281" t="s">
        <v>103</v>
      </c>
      <c r="K337" s="281" t="s">
        <v>215</v>
      </c>
      <c r="L337" s="281" t="s">
        <v>183</v>
      </c>
      <c r="M337" s="178" t="s">
        <v>607</v>
      </c>
      <c r="N337" s="289" t="s">
        <v>239</v>
      </c>
    </row>
    <row r="338" spans="1:16" s="293" customFormat="1" ht="15.75" hidden="1" customHeight="1">
      <c r="A338" s="288">
        <v>44706</v>
      </c>
      <c r="B338" s="281" t="s">
        <v>276</v>
      </c>
      <c r="C338" s="296" t="s">
        <v>76</v>
      </c>
      <c r="D338" s="309"/>
      <c r="E338" s="316"/>
      <c r="F338" s="289">
        <v>280000</v>
      </c>
      <c r="G338" s="294">
        <f t="shared" si="5"/>
        <v>28357726</v>
      </c>
      <c r="H338" s="281" t="s">
        <v>25</v>
      </c>
      <c r="J338" s="281"/>
      <c r="K338" s="281"/>
      <c r="L338" s="281"/>
      <c r="N338" s="289"/>
      <c r="O338" s="281"/>
    </row>
    <row r="339" spans="1:16" s="293" customFormat="1" ht="15.75" hidden="1" customHeight="1">
      <c r="A339" s="314">
        <v>44706</v>
      </c>
      <c r="B339" s="281" t="s">
        <v>321</v>
      </c>
      <c r="C339" s="296" t="s">
        <v>280</v>
      </c>
      <c r="D339" s="372" t="s">
        <v>164</v>
      </c>
      <c r="E339" s="344"/>
      <c r="F339" s="305">
        <v>70000</v>
      </c>
      <c r="G339" s="294">
        <f t="shared" si="5"/>
        <v>28287726</v>
      </c>
      <c r="H339" s="373" t="s">
        <v>25</v>
      </c>
      <c r="I339" s="293" t="s">
        <v>229</v>
      </c>
      <c r="J339" s="281" t="s">
        <v>103</v>
      </c>
      <c r="K339" s="281" t="s">
        <v>215</v>
      </c>
      <c r="L339" s="281" t="s">
        <v>183</v>
      </c>
      <c r="M339" s="178" t="s">
        <v>608</v>
      </c>
      <c r="N339" s="289" t="s">
        <v>244</v>
      </c>
      <c r="O339" s="281"/>
    </row>
    <row r="340" spans="1:16" s="293" customFormat="1" ht="15.75" hidden="1" customHeight="1">
      <c r="A340" s="288">
        <v>44706</v>
      </c>
      <c r="B340" s="306" t="s">
        <v>344</v>
      </c>
      <c r="C340" s="327" t="s">
        <v>181</v>
      </c>
      <c r="D340" s="289" t="s">
        <v>2</v>
      </c>
      <c r="F340" s="296">
        <v>350000</v>
      </c>
      <c r="G340" s="294">
        <f t="shared" si="5"/>
        <v>27937726</v>
      </c>
      <c r="H340" s="281" t="s">
        <v>158</v>
      </c>
      <c r="I340" s="306">
        <v>3643661</v>
      </c>
      <c r="J340" s="293" t="s">
        <v>103</v>
      </c>
      <c r="K340" s="293" t="s">
        <v>215</v>
      </c>
      <c r="L340" s="281" t="s">
        <v>183</v>
      </c>
      <c r="M340" s="178" t="s">
        <v>609</v>
      </c>
      <c r="N340" s="289" t="s">
        <v>248</v>
      </c>
      <c r="O340" s="281"/>
    </row>
    <row r="341" spans="1:16" s="293" customFormat="1" ht="15.75" hidden="1" customHeight="1">
      <c r="A341" s="299">
        <v>44706</v>
      </c>
      <c r="B341" s="295" t="s">
        <v>345</v>
      </c>
      <c r="C341" s="361" t="s">
        <v>181</v>
      </c>
      <c r="D341" s="374" t="s">
        <v>2</v>
      </c>
      <c r="F341" s="296">
        <v>300000</v>
      </c>
      <c r="G341" s="294">
        <f t="shared" si="5"/>
        <v>27637726</v>
      </c>
      <c r="H341" s="281" t="s">
        <v>158</v>
      </c>
      <c r="I341" s="306">
        <v>3643662</v>
      </c>
      <c r="J341" s="293" t="s">
        <v>103</v>
      </c>
      <c r="K341" s="293" t="s">
        <v>215</v>
      </c>
      <c r="L341" s="281" t="s">
        <v>183</v>
      </c>
      <c r="M341" s="178" t="s">
        <v>610</v>
      </c>
      <c r="N341" s="325" t="s">
        <v>248</v>
      </c>
      <c r="O341" s="323"/>
    </row>
    <row r="342" spans="1:16" s="293" customFormat="1" ht="15.75" hidden="1" customHeight="1">
      <c r="A342" s="288">
        <v>44706</v>
      </c>
      <c r="B342" s="295" t="s">
        <v>346</v>
      </c>
      <c r="C342" s="307" t="s">
        <v>181</v>
      </c>
      <c r="D342" s="307" t="s">
        <v>164</v>
      </c>
      <c r="F342" s="296">
        <v>357982</v>
      </c>
      <c r="G342" s="294">
        <f t="shared" si="5"/>
        <v>27279744</v>
      </c>
      <c r="H342" s="281" t="s">
        <v>158</v>
      </c>
      <c r="I342" s="280">
        <v>3643663</v>
      </c>
      <c r="J342" s="293" t="s">
        <v>103</v>
      </c>
      <c r="K342" s="293" t="s">
        <v>215</v>
      </c>
      <c r="L342" s="281" t="s">
        <v>183</v>
      </c>
      <c r="M342" s="178" t="s">
        <v>611</v>
      </c>
      <c r="N342" s="296" t="s">
        <v>246</v>
      </c>
      <c r="O342" s="281"/>
    </row>
    <row r="343" spans="1:16" s="293" customFormat="1" ht="15.75" hidden="1" customHeight="1">
      <c r="A343" s="288">
        <v>44706</v>
      </c>
      <c r="B343" s="295" t="s">
        <v>347</v>
      </c>
      <c r="C343" s="307" t="s">
        <v>181</v>
      </c>
      <c r="D343" s="307" t="s">
        <v>165</v>
      </c>
      <c r="F343" s="289">
        <v>234309</v>
      </c>
      <c r="G343" s="294">
        <f t="shared" si="5"/>
        <v>27045435</v>
      </c>
      <c r="H343" s="281" t="s">
        <v>158</v>
      </c>
      <c r="I343" s="306">
        <v>3643664</v>
      </c>
      <c r="J343" s="293" t="s">
        <v>103</v>
      </c>
      <c r="K343" s="293" t="s">
        <v>215</v>
      </c>
      <c r="L343" s="281" t="s">
        <v>183</v>
      </c>
      <c r="M343" s="178" t="s">
        <v>612</v>
      </c>
      <c r="N343" s="289" t="s">
        <v>247</v>
      </c>
      <c r="O343" s="281"/>
    </row>
    <row r="344" spans="1:16" s="293" customFormat="1" ht="15.75" hidden="1" customHeight="1">
      <c r="A344" s="288">
        <v>44706</v>
      </c>
      <c r="B344" s="295" t="s">
        <v>348</v>
      </c>
      <c r="C344" s="307" t="s">
        <v>181</v>
      </c>
      <c r="D344" s="307" t="s">
        <v>2</v>
      </c>
      <c r="F344" s="289">
        <v>1311914</v>
      </c>
      <c r="G344" s="294">
        <f t="shared" si="5"/>
        <v>25733521</v>
      </c>
      <c r="H344" s="281" t="s">
        <v>158</v>
      </c>
      <c r="I344" s="306">
        <v>3643665</v>
      </c>
      <c r="J344" s="293" t="s">
        <v>103</v>
      </c>
      <c r="K344" s="293" t="s">
        <v>215</v>
      </c>
      <c r="L344" s="281" t="s">
        <v>183</v>
      </c>
      <c r="M344" s="178" t="s">
        <v>613</v>
      </c>
      <c r="N344" s="289" t="s">
        <v>249</v>
      </c>
      <c r="O344" s="281"/>
    </row>
    <row r="345" spans="1:16" s="293" customFormat="1" ht="15.75" hidden="1" customHeight="1">
      <c r="A345" s="288">
        <v>44706</v>
      </c>
      <c r="B345" s="281" t="s">
        <v>522</v>
      </c>
      <c r="C345" s="296" t="s">
        <v>35</v>
      </c>
      <c r="D345" s="289" t="s">
        <v>230</v>
      </c>
      <c r="E345" s="290"/>
      <c r="F345" s="390">
        <v>2500</v>
      </c>
      <c r="G345" s="294">
        <f t="shared" si="5"/>
        <v>25731021</v>
      </c>
      <c r="H345" s="281" t="s">
        <v>48</v>
      </c>
      <c r="I345" s="293" t="s">
        <v>229</v>
      </c>
      <c r="J345" s="281" t="s">
        <v>166</v>
      </c>
      <c r="K345" s="281" t="s">
        <v>214</v>
      </c>
      <c r="L345" s="281" t="s">
        <v>183</v>
      </c>
      <c r="N345" s="289"/>
      <c r="O345" s="281"/>
    </row>
    <row r="346" spans="1:16" s="293" customFormat="1" ht="15.75" hidden="1" customHeight="1">
      <c r="A346" s="288">
        <v>44706</v>
      </c>
      <c r="B346" s="293" t="s">
        <v>365</v>
      </c>
      <c r="C346" s="296" t="s">
        <v>76</v>
      </c>
      <c r="D346" s="289"/>
      <c r="E346" s="320">
        <v>280000</v>
      </c>
      <c r="F346" s="307"/>
      <c r="G346" s="294">
        <f t="shared" si="5"/>
        <v>26011021</v>
      </c>
      <c r="H346" s="293" t="s">
        <v>48</v>
      </c>
      <c r="I346" s="306"/>
      <c r="J346" s="281"/>
      <c r="K346" s="281"/>
      <c r="L346" s="281"/>
      <c r="N346" s="289"/>
    </row>
    <row r="347" spans="1:16" s="293" customFormat="1" ht="15.75" hidden="1" customHeight="1">
      <c r="A347" s="288">
        <v>44706</v>
      </c>
      <c r="B347" s="293" t="s">
        <v>379</v>
      </c>
      <c r="C347" s="296" t="s">
        <v>157</v>
      </c>
      <c r="D347" s="289" t="s">
        <v>2</v>
      </c>
      <c r="E347" s="320"/>
      <c r="F347" s="307">
        <v>27500</v>
      </c>
      <c r="G347" s="294">
        <f t="shared" si="5"/>
        <v>25983521</v>
      </c>
      <c r="H347" s="293" t="s">
        <v>48</v>
      </c>
      <c r="I347" s="293" t="s">
        <v>229</v>
      </c>
      <c r="J347" s="281" t="s">
        <v>166</v>
      </c>
      <c r="K347" s="293" t="s">
        <v>214</v>
      </c>
      <c r="L347" s="281" t="s">
        <v>183</v>
      </c>
      <c r="N347" s="296"/>
    </row>
    <row r="348" spans="1:16" s="293" customFormat="1" ht="15.75" hidden="1" customHeight="1">
      <c r="A348" s="321">
        <v>44706</v>
      </c>
      <c r="B348" s="293" t="s">
        <v>252</v>
      </c>
      <c r="C348" s="296" t="s">
        <v>76</v>
      </c>
      <c r="D348" s="297"/>
      <c r="E348" s="318">
        <v>15000</v>
      </c>
      <c r="F348" s="309"/>
      <c r="G348" s="294">
        <f t="shared" si="5"/>
        <v>25998521</v>
      </c>
      <c r="H348" s="293" t="s">
        <v>31</v>
      </c>
      <c r="I348" s="306"/>
      <c r="J348" s="281"/>
      <c r="K348" s="281"/>
      <c r="L348" s="281"/>
      <c r="N348" s="289"/>
    </row>
    <row r="349" spans="1:16" s="335" customFormat="1" ht="15.75" hidden="1" customHeight="1">
      <c r="A349" s="299">
        <v>44706</v>
      </c>
      <c r="B349" s="300" t="s">
        <v>470</v>
      </c>
      <c r="C349" s="289" t="s">
        <v>34</v>
      </c>
      <c r="D349" s="289" t="s">
        <v>4</v>
      </c>
      <c r="E349" s="301"/>
      <c r="F349" s="361">
        <v>10000</v>
      </c>
      <c r="G349" s="294">
        <f t="shared" si="5"/>
        <v>25988521</v>
      </c>
      <c r="H349" s="302" t="s">
        <v>29</v>
      </c>
      <c r="I349" s="293" t="s">
        <v>229</v>
      </c>
      <c r="J349" s="306" t="s">
        <v>166</v>
      </c>
      <c r="K349" s="293" t="s">
        <v>215</v>
      </c>
      <c r="L349" s="281" t="s">
        <v>183</v>
      </c>
      <c r="M349" s="178" t="s">
        <v>614</v>
      </c>
      <c r="N349" s="296" t="s">
        <v>251</v>
      </c>
      <c r="O349" s="281"/>
      <c r="P349" s="293"/>
    </row>
    <row r="350" spans="1:16" s="335" customFormat="1" ht="15.75" hidden="1" customHeight="1">
      <c r="A350" s="288">
        <v>44706</v>
      </c>
      <c r="B350" s="281" t="s">
        <v>471</v>
      </c>
      <c r="C350" s="289" t="s">
        <v>157</v>
      </c>
      <c r="D350" s="289" t="s">
        <v>4</v>
      </c>
      <c r="E350" s="298"/>
      <c r="F350" s="309">
        <v>50000</v>
      </c>
      <c r="G350" s="294">
        <f t="shared" si="5"/>
        <v>25938521</v>
      </c>
      <c r="H350" s="281" t="s">
        <v>29</v>
      </c>
      <c r="I350" s="295" t="s">
        <v>231</v>
      </c>
      <c r="J350" s="293" t="s">
        <v>166</v>
      </c>
      <c r="K350" s="300" t="s">
        <v>215</v>
      </c>
      <c r="L350" s="281" t="s">
        <v>183</v>
      </c>
      <c r="M350" s="178" t="s">
        <v>615</v>
      </c>
      <c r="N350" s="325" t="s">
        <v>511</v>
      </c>
      <c r="O350" s="281"/>
      <c r="P350" s="293"/>
    </row>
    <row r="351" spans="1:16" s="335" customFormat="1" ht="15.75" hidden="1" customHeight="1">
      <c r="A351" s="288">
        <v>44706</v>
      </c>
      <c r="B351" s="293" t="s">
        <v>494</v>
      </c>
      <c r="C351" s="296" t="s">
        <v>157</v>
      </c>
      <c r="D351" s="289" t="s">
        <v>4</v>
      </c>
      <c r="E351" s="318"/>
      <c r="F351" s="289">
        <v>50000</v>
      </c>
      <c r="G351" s="294">
        <f t="shared" si="5"/>
        <v>25888521</v>
      </c>
      <c r="H351" s="293" t="s">
        <v>49</v>
      </c>
      <c r="I351" s="295" t="s">
        <v>231</v>
      </c>
      <c r="J351" s="293" t="s">
        <v>166</v>
      </c>
      <c r="K351" s="293" t="s">
        <v>215</v>
      </c>
      <c r="L351" s="281" t="s">
        <v>183</v>
      </c>
      <c r="M351" s="178" t="s">
        <v>616</v>
      </c>
      <c r="N351" s="296" t="s">
        <v>511</v>
      </c>
      <c r="O351" s="293"/>
      <c r="P351" s="293"/>
    </row>
    <row r="352" spans="1:16" s="335" customFormat="1" ht="15.75" hidden="1" customHeight="1">
      <c r="A352" s="288">
        <v>44707</v>
      </c>
      <c r="B352" s="281" t="s">
        <v>363</v>
      </c>
      <c r="C352" s="296" t="s">
        <v>34</v>
      </c>
      <c r="D352" s="289" t="s">
        <v>2</v>
      </c>
      <c r="E352" s="290"/>
      <c r="F352" s="307">
        <v>34500</v>
      </c>
      <c r="G352" s="294">
        <f t="shared" si="5"/>
        <v>25854021</v>
      </c>
      <c r="H352" s="281" t="s">
        <v>114</v>
      </c>
      <c r="I352" s="295" t="s">
        <v>231</v>
      </c>
      <c r="J352" s="306" t="s">
        <v>103</v>
      </c>
      <c r="K352" s="293" t="s">
        <v>215</v>
      </c>
      <c r="L352" s="281" t="s">
        <v>183</v>
      </c>
      <c r="M352" s="178" t="s">
        <v>617</v>
      </c>
      <c r="N352" s="296" t="s">
        <v>251</v>
      </c>
      <c r="O352" s="281"/>
      <c r="P352" s="293"/>
    </row>
    <row r="353" spans="1:16" s="335" customFormat="1" ht="15.75" hidden="1" customHeight="1">
      <c r="A353" s="288">
        <v>44707</v>
      </c>
      <c r="B353" s="340" t="s">
        <v>380</v>
      </c>
      <c r="C353" s="296" t="s">
        <v>157</v>
      </c>
      <c r="D353" s="289" t="s">
        <v>2</v>
      </c>
      <c r="E353" s="298"/>
      <c r="F353" s="309">
        <v>28000</v>
      </c>
      <c r="G353" s="294">
        <f t="shared" si="5"/>
        <v>25826021</v>
      </c>
      <c r="H353" s="281" t="s">
        <v>48</v>
      </c>
      <c r="I353" s="293" t="s">
        <v>229</v>
      </c>
      <c r="J353" s="281" t="s">
        <v>166</v>
      </c>
      <c r="K353" s="293" t="s">
        <v>214</v>
      </c>
      <c r="L353" s="281" t="s">
        <v>183</v>
      </c>
      <c r="M353" s="293"/>
      <c r="N353" s="289"/>
      <c r="O353" s="281"/>
      <c r="P353" s="293"/>
    </row>
    <row r="354" spans="1:16" s="335" customFormat="1" ht="15.75" hidden="1" customHeight="1">
      <c r="A354" s="288">
        <v>44708</v>
      </c>
      <c r="B354" s="293" t="s">
        <v>381</v>
      </c>
      <c r="C354" s="296" t="s">
        <v>216</v>
      </c>
      <c r="D354" s="289" t="s">
        <v>164</v>
      </c>
      <c r="E354" s="329"/>
      <c r="F354" s="379">
        <v>61000</v>
      </c>
      <c r="G354" s="294">
        <f t="shared" si="5"/>
        <v>25765021</v>
      </c>
      <c r="H354" s="293" t="s">
        <v>48</v>
      </c>
      <c r="I354" s="295" t="s">
        <v>231</v>
      </c>
      <c r="J354" s="306" t="s">
        <v>166</v>
      </c>
      <c r="K354" s="293" t="s">
        <v>214</v>
      </c>
      <c r="L354" s="281" t="s">
        <v>183</v>
      </c>
      <c r="M354" s="293"/>
      <c r="N354" s="296"/>
      <c r="O354" s="293"/>
      <c r="P354" s="293"/>
    </row>
    <row r="355" spans="1:16" s="335" customFormat="1" ht="15.75" hidden="1" customHeight="1">
      <c r="A355" s="288">
        <v>44708</v>
      </c>
      <c r="B355" s="293" t="s">
        <v>382</v>
      </c>
      <c r="C355" s="296" t="s">
        <v>35</v>
      </c>
      <c r="D355" s="289" t="s">
        <v>230</v>
      </c>
      <c r="E355" s="329"/>
      <c r="F355" s="379">
        <v>8850</v>
      </c>
      <c r="G355" s="294">
        <f t="shared" si="5"/>
        <v>25756171</v>
      </c>
      <c r="H355" s="293" t="s">
        <v>48</v>
      </c>
      <c r="I355" s="293" t="s">
        <v>229</v>
      </c>
      <c r="J355" s="281" t="s">
        <v>166</v>
      </c>
      <c r="K355" s="281" t="s">
        <v>214</v>
      </c>
      <c r="L355" s="281" t="s">
        <v>183</v>
      </c>
      <c r="M355" s="293"/>
      <c r="N355" s="296"/>
      <c r="O355" s="293"/>
      <c r="P355" s="293"/>
    </row>
    <row r="356" spans="1:16" s="335" customFormat="1" ht="15.75" hidden="1" customHeight="1">
      <c r="A356" s="288">
        <v>44708</v>
      </c>
      <c r="B356" s="293" t="s">
        <v>383</v>
      </c>
      <c r="C356" s="296" t="s">
        <v>35</v>
      </c>
      <c r="D356" s="303" t="s">
        <v>230</v>
      </c>
      <c r="E356" s="318"/>
      <c r="F356" s="309">
        <v>37850</v>
      </c>
      <c r="G356" s="294">
        <f t="shared" si="5"/>
        <v>25718321</v>
      </c>
      <c r="H356" s="293" t="s">
        <v>48</v>
      </c>
      <c r="I356" s="293" t="s">
        <v>229</v>
      </c>
      <c r="J356" s="281" t="s">
        <v>166</v>
      </c>
      <c r="K356" s="281" t="s">
        <v>214</v>
      </c>
      <c r="L356" s="281" t="s">
        <v>183</v>
      </c>
      <c r="M356" s="293"/>
      <c r="N356" s="296"/>
      <c r="O356" s="293"/>
      <c r="P356" s="293"/>
    </row>
    <row r="357" spans="1:16" s="335" customFormat="1" ht="15.75" hidden="1" customHeight="1">
      <c r="A357" s="288">
        <v>44708</v>
      </c>
      <c r="B357" s="293" t="s">
        <v>384</v>
      </c>
      <c r="C357" s="296" t="s">
        <v>157</v>
      </c>
      <c r="D357" s="303" t="s">
        <v>2</v>
      </c>
      <c r="E357" s="318"/>
      <c r="F357" s="345">
        <v>28000</v>
      </c>
      <c r="G357" s="294">
        <f t="shared" si="5"/>
        <v>25690321</v>
      </c>
      <c r="H357" s="293" t="s">
        <v>48</v>
      </c>
      <c r="I357" s="293" t="s">
        <v>229</v>
      </c>
      <c r="J357" s="281" t="s">
        <v>166</v>
      </c>
      <c r="K357" s="293" t="s">
        <v>214</v>
      </c>
      <c r="L357" s="281" t="s">
        <v>183</v>
      </c>
      <c r="M357" s="293"/>
      <c r="N357" s="296"/>
      <c r="O357" s="293"/>
      <c r="P357" s="293"/>
    </row>
    <row r="358" spans="1:16" s="335" customFormat="1" ht="15.75" hidden="1" customHeight="1">
      <c r="A358" s="288">
        <v>44708</v>
      </c>
      <c r="B358" s="293" t="s">
        <v>495</v>
      </c>
      <c r="C358" s="296" t="s">
        <v>157</v>
      </c>
      <c r="D358" s="289" t="s">
        <v>4</v>
      </c>
      <c r="E358" s="318"/>
      <c r="F358" s="289">
        <v>30000</v>
      </c>
      <c r="G358" s="294">
        <f t="shared" si="5"/>
        <v>25660321</v>
      </c>
      <c r="H358" s="293" t="s">
        <v>49</v>
      </c>
      <c r="I358" s="293" t="s">
        <v>229</v>
      </c>
      <c r="J358" s="293" t="s">
        <v>166</v>
      </c>
      <c r="K358" s="293" t="s">
        <v>215</v>
      </c>
      <c r="L358" s="281" t="s">
        <v>183</v>
      </c>
      <c r="M358" s="178" t="s">
        <v>618</v>
      </c>
      <c r="N358" s="296" t="s">
        <v>511</v>
      </c>
      <c r="O358" s="293"/>
      <c r="P358" s="293"/>
    </row>
    <row r="359" spans="1:16" s="335" customFormat="1" ht="15.75" hidden="1" customHeight="1">
      <c r="A359" s="288">
        <v>44708</v>
      </c>
      <c r="B359" s="293" t="s">
        <v>496</v>
      </c>
      <c r="C359" s="296" t="s">
        <v>34</v>
      </c>
      <c r="D359" s="289" t="s">
        <v>4</v>
      </c>
      <c r="E359" s="320"/>
      <c r="F359" s="307">
        <v>5000</v>
      </c>
      <c r="G359" s="294">
        <f t="shared" si="5"/>
        <v>25655321</v>
      </c>
      <c r="H359" s="293" t="s">
        <v>49</v>
      </c>
      <c r="I359" s="293" t="s">
        <v>229</v>
      </c>
      <c r="J359" s="306" t="s">
        <v>166</v>
      </c>
      <c r="K359" s="293" t="s">
        <v>215</v>
      </c>
      <c r="L359" s="281" t="s">
        <v>183</v>
      </c>
      <c r="M359" s="178" t="s">
        <v>619</v>
      </c>
      <c r="N359" s="296" t="s">
        <v>251</v>
      </c>
      <c r="O359" s="293"/>
      <c r="P359" s="293"/>
    </row>
    <row r="360" spans="1:16" s="335" customFormat="1" ht="15.75" hidden="1" customHeight="1">
      <c r="A360" s="288">
        <v>44709</v>
      </c>
      <c r="B360" s="281" t="s">
        <v>510</v>
      </c>
      <c r="C360" s="296" t="s">
        <v>157</v>
      </c>
      <c r="D360" s="303" t="s">
        <v>2</v>
      </c>
      <c r="E360" s="298"/>
      <c r="F360" s="309">
        <v>420000</v>
      </c>
      <c r="G360" s="294">
        <f t="shared" si="5"/>
        <v>25235321</v>
      </c>
      <c r="H360" s="281" t="s">
        <v>48</v>
      </c>
      <c r="I360" s="293" t="s">
        <v>229</v>
      </c>
      <c r="J360" s="281" t="s">
        <v>166</v>
      </c>
      <c r="K360" s="293" t="s">
        <v>214</v>
      </c>
      <c r="L360" s="281" t="s">
        <v>183</v>
      </c>
      <c r="M360" s="293"/>
      <c r="N360" s="289"/>
      <c r="O360" s="281"/>
      <c r="P360" s="293"/>
    </row>
    <row r="361" spans="1:16" s="335" customFormat="1" ht="15.75" hidden="1" customHeight="1">
      <c r="A361" s="288">
        <v>44709</v>
      </c>
      <c r="B361" s="281" t="s">
        <v>385</v>
      </c>
      <c r="C361" s="296" t="s">
        <v>34</v>
      </c>
      <c r="D361" s="289" t="s">
        <v>236</v>
      </c>
      <c r="E361" s="281"/>
      <c r="F361" s="289">
        <v>20000</v>
      </c>
      <c r="G361" s="294">
        <f t="shared" si="5"/>
        <v>25215321</v>
      </c>
      <c r="H361" s="293" t="s">
        <v>48</v>
      </c>
      <c r="I361" s="293" t="s">
        <v>229</v>
      </c>
      <c r="J361" s="281" t="s">
        <v>166</v>
      </c>
      <c r="K361" s="293" t="s">
        <v>214</v>
      </c>
      <c r="L361" s="281" t="s">
        <v>183</v>
      </c>
      <c r="M361" s="293"/>
      <c r="N361" s="296"/>
      <c r="O361" s="281"/>
      <c r="P361" s="293"/>
    </row>
    <row r="362" spans="1:16" s="335" customFormat="1" ht="15.75" hidden="1" customHeight="1">
      <c r="A362" s="288">
        <v>44709</v>
      </c>
      <c r="B362" s="293" t="s">
        <v>386</v>
      </c>
      <c r="C362" s="296" t="s">
        <v>157</v>
      </c>
      <c r="D362" s="296" t="s">
        <v>2</v>
      </c>
      <c r="E362" s="320"/>
      <c r="F362" s="307">
        <v>120000</v>
      </c>
      <c r="G362" s="294">
        <f t="shared" si="5"/>
        <v>25095321</v>
      </c>
      <c r="H362" s="293" t="s">
        <v>48</v>
      </c>
      <c r="I362" s="293" t="s">
        <v>229</v>
      </c>
      <c r="J362" s="293" t="s">
        <v>166</v>
      </c>
      <c r="K362" s="293" t="s">
        <v>215</v>
      </c>
      <c r="L362" s="281" t="s">
        <v>183</v>
      </c>
      <c r="M362" s="178" t="s">
        <v>620</v>
      </c>
      <c r="N362" s="296" t="s">
        <v>511</v>
      </c>
      <c r="O362" s="293">
        <f>3320-3430</f>
        <v>-110</v>
      </c>
      <c r="P362" s="293"/>
    </row>
    <row r="363" spans="1:16" s="335" customFormat="1" ht="15.75" hidden="1" customHeight="1">
      <c r="A363" s="288">
        <v>44709</v>
      </c>
      <c r="B363" s="340" t="s">
        <v>388</v>
      </c>
      <c r="C363" s="296" t="s">
        <v>34</v>
      </c>
      <c r="D363" s="303" t="s">
        <v>2</v>
      </c>
      <c r="E363" s="298"/>
      <c r="F363" s="309">
        <v>7000</v>
      </c>
      <c r="G363" s="294">
        <f t="shared" si="5"/>
        <v>25088321</v>
      </c>
      <c r="H363" s="281" t="s">
        <v>48</v>
      </c>
      <c r="I363" s="293" t="s">
        <v>229</v>
      </c>
      <c r="J363" s="306" t="s">
        <v>166</v>
      </c>
      <c r="K363" s="293" t="s">
        <v>215</v>
      </c>
      <c r="L363" s="281" t="s">
        <v>183</v>
      </c>
      <c r="M363" s="178" t="s">
        <v>621</v>
      </c>
      <c r="N363" s="296" t="s">
        <v>251</v>
      </c>
      <c r="O363" s="281"/>
      <c r="P363" s="293"/>
    </row>
    <row r="364" spans="1:16" s="335" customFormat="1" ht="15.75" hidden="1" customHeight="1">
      <c r="A364" s="288">
        <v>44709</v>
      </c>
      <c r="B364" s="293" t="s">
        <v>389</v>
      </c>
      <c r="C364" s="296" t="s">
        <v>34</v>
      </c>
      <c r="D364" s="303" t="s">
        <v>2</v>
      </c>
      <c r="E364" s="318"/>
      <c r="F364" s="309">
        <v>53500</v>
      </c>
      <c r="G364" s="294">
        <f t="shared" si="5"/>
        <v>25034821</v>
      </c>
      <c r="H364" s="293" t="s">
        <v>48</v>
      </c>
      <c r="I364" s="295" t="s">
        <v>231</v>
      </c>
      <c r="J364" s="306" t="s">
        <v>166</v>
      </c>
      <c r="K364" s="293" t="s">
        <v>215</v>
      </c>
      <c r="L364" s="281" t="s">
        <v>183</v>
      </c>
      <c r="M364" s="178" t="s">
        <v>622</v>
      </c>
      <c r="N364" s="296" t="s">
        <v>251</v>
      </c>
      <c r="O364" s="293"/>
      <c r="P364" s="323"/>
    </row>
    <row r="365" spans="1:16" s="293" customFormat="1" ht="15.75" hidden="1" customHeight="1">
      <c r="A365" s="288">
        <v>44710</v>
      </c>
      <c r="B365" s="293" t="s">
        <v>497</v>
      </c>
      <c r="C365" s="296" t="s">
        <v>469</v>
      </c>
      <c r="D365" s="289" t="s">
        <v>4</v>
      </c>
      <c r="E365" s="320"/>
      <c r="F365" s="307">
        <v>101000</v>
      </c>
      <c r="G365" s="294">
        <f t="shared" si="5"/>
        <v>24933821</v>
      </c>
      <c r="H365" s="293" t="s">
        <v>49</v>
      </c>
      <c r="I365" s="295" t="s">
        <v>231</v>
      </c>
      <c r="J365" s="306" t="s">
        <v>166</v>
      </c>
      <c r="K365" s="293" t="s">
        <v>214</v>
      </c>
      <c r="L365" s="293" t="s">
        <v>183</v>
      </c>
      <c r="N365" s="296"/>
    </row>
    <row r="366" spans="1:16" s="293" customFormat="1" ht="15.75" hidden="1" customHeight="1">
      <c r="A366" s="299">
        <v>44710</v>
      </c>
      <c r="B366" s="293" t="s">
        <v>498</v>
      </c>
      <c r="C366" s="296" t="s">
        <v>34</v>
      </c>
      <c r="D366" s="289" t="s">
        <v>4</v>
      </c>
      <c r="E366" s="329"/>
      <c r="F366" s="379">
        <v>15000</v>
      </c>
      <c r="G366" s="294">
        <f t="shared" si="5"/>
        <v>24918821</v>
      </c>
      <c r="H366" s="293" t="s">
        <v>49</v>
      </c>
      <c r="I366" s="293" t="s">
        <v>229</v>
      </c>
      <c r="J366" s="306" t="s">
        <v>166</v>
      </c>
      <c r="K366" s="293" t="s">
        <v>215</v>
      </c>
      <c r="L366" s="281" t="s">
        <v>183</v>
      </c>
      <c r="M366" s="178" t="s">
        <v>623</v>
      </c>
      <c r="N366" s="296" t="s">
        <v>251</v>
      </c>
    </row>
    <row r="367" spans="1:16" s="293" customFormat="1" ht="15.75" hidden="1" customHeight="1">
      <c r="A367" s="314">
        <v>44711</v>
      </c>
      <c r="B367" s="347" t="s">
        <v>322</v>
      </c>
      <c r="C367" s="296" t="s">
        <v>3</v>
      </c>
      <c r="D367" s="303" t="s">
        <v>230</v>
      </c>
      <c r="E367" s="316"/>
      <c r="F367" s="305">
        <v>20000</v>
      </c>
      <c r="G367" s="294">
        <f t="shared" si="5"/>
        <v>24898821</v>
      </c>
      <c r="H367" s="317" t="s">
        <v>25</v>
      </c>
      <c r="I367" s="293" t="s">
        <v>229</v>
      </c>
      <c r="J367" s="281" t="s">
        <v>166</v>
      </c>
      <c r="K367" s="281" t="s">
        <v>214</v>
      </c>
      <c r="L367" s="281" t="s">
        <v>183</v>
      </c>
      <c r="N367" s="289"/>
      <c r="P367" s="323"/>
    </row>
    <row r="368" spans="1:16" s="293" customFormat="1" ht="15.75" hidden="1" customHeight="1">
      <c r="A368" s="314">
        <v>44711</v>
      </c>
      <c r="B368" s="351" t="s">
        <v>276</v>
      </c>
      <c r="C368" s="296" t="s">
        <v>76</v>
      </c>
      <c r="D368" s="303"/>
      <c r="E368" s="298"/>
      <c r="F368" s="309">
        <v>25000</v>
      </c>
      <c r="G368" s="294">
        <f t="shared" si="5"/>
        <v>24873821</v>
      </c>
      <c r="H368" s="373" t="s">
        <v>25</v>
      </c>
      <c r="J368" s="281"/>
      <c r="L368" s="281"/>
      <c r="N368" s="296"/>
      <c r="O368" s="281"/>
    </row>
    <row r="369" spans="1:16" s="293" customFormat="1" ht="15.75" hidden="1" customHeight="1">
      <c r="A369" s="299">
        <v>44711</v>
      </c>
      <c r="B369" s="293" t="s">
        <v>271</v>
      </c>
      <c r="C369" s="296" t="s">
        <v>76</v>
      </c>
      <c r="D369" s="313"/>
      <c r="E369" s="320"/>
      <c r="F369" s="309">
        <v>15000</v>
      </c>
      <c r="G369" s="294">
        <f t="shared" si="5"/>
        <v>24858821</v>
      </c>
      <c r="H369" s="293" t="s">
        <v>25</v>
      </c>
      <c r="L369" s="281"/>
      <c r="N369" s="296"/>
      <c r="P369" s="323"/>
    </row>
    <row r="370" spans="1:16" s="293" customFormat="1" ht="15.75" hidden="1" customHeight="1">
      <c r="A370" s="288">
        <v>44711</v>
      </c>
      <c r="B370" s="281" t="s">
        <v>323</v>
      </c>
      <c r="C370" s="296" t="s">
        <v>203</v>
      </c>
      <c r="D370" s="289" t="s">
        <v>165</v>
      </c>
      <c r="E370" s="290"/>
      <c r="F370" s="307">
        <v>35000</v>
      </c>
      <c r="G370" s="294">
        <f t="shared" si="5"/>
        <v>24823821</v>
      </c>
      <c r="H370" s="281" t="s">
        <v>25</v>
      </c>
      <c r="I370" s="295" t="s">
        <v>231</v>
      </c>
      <c r="J370" s="281" t="s">
        <v>166</v>
      </c>
      <c r="K370" s="293" t="s">
        <v>214</v>
      </c>
      <c r="L370" s="281" t="s">
        <v>183</v>
      </c>
      <c r="N370" s="289"/>
      <c r="O370" s="281"/>
    </row>
    <row r="371" spans="1:16" s="293" customFormat="1" ht="15.75" hidden="1" customHeight="1">
      <c r="A371" s="299">
        <v>44711</v>
      </c>
      <c r="B371" s="300" t="s">
        <v>324</v>
      </c>
      <c r="C371" s="296" t="s">
        <v>203</v>
      </c>
      <c r="D371" s="289" t="s">
        <v>165</v>
      </c>
      <c r="E371" s="301"/>
      <c r="F371" s="361">
        <v>16000</v>
      </c>
      <c r="G371" s="294">
        <f t="shared" si="5"/>
        <v>24807821</v>
      </c>
      <c r="H371" s="302" t="s">
        <v>25</v>
      </c>
      <c r="I371" s="295" t="s">
        <v>231</v>
      </c>
      <c r="J371" s="281" t="s">
        <v>166</v>
      </c>
      <c r="K371" s="293" t="s">
        <v>214</v>
      </c>
      <c r="L371" s="281" t="s">
        <v>183</v>
      </c>
      <c r="N371" s="289"/>
      <c r="O371" s="281"/>
    </row>
    <row r="372" spans="1:16" s="293" customFormat="1" ht="15.75" hidden="1" customHeight="1">
      <c r="A372" s="288">
        <v>44711</v>
      </c>
      <c r="B372" s="281" t="s">
        <v>325</v>
      </c>
      <c r="C372" s="296" t="s">
        <v>203</v>
      </c>
      <c r="D372" s="289" t="s">
        <v>165</v>
      </c>
      <c r="E372" s="298"/>
      <c r="F372" s="289">
        <v>16000</v>
      </c>
      <c r="G372" s="294">
        <f t="shared" si="5"/>
        <v>24791821</v>
      </c>
      <c r="H372" s="281" t="s">
        <v>25</v>
      </c>
      <c r="I372" s="295" t="s">
        <v>231</v>
      </c>
      <c r="J372" s="281" t="s">
        <v>166</v>
      </c>
      <c r="K372" s="293" t="s">
        <v>214</v>
      </c>
      <c r="L372" s="281" t="s">
        <v>183</v>
      </c>
      <c r="N372" s="289"/>
      <c r="O372" s="281"/>
    </row>
    <row r="373" spans="1:16" s="293" customFormat="1" ht="15.75" hidden="1" customHeight="1">
      <c r="A373" s="299">
        <v>44711</v>
      </c>
      <c r="B373" s="310" t="s">
        <v>326</v>
      </c>
      <c r="C373" s="296" t="s">
        <v>3</v>
      </c>
      <c r="D373" s="289" t="s">
        <v>230</v>
      </c>
      <c r="E373" s="311"/>
      <c r="F373" s="361">
        <v>75625</v>
      </c>
      <c r="G373" s="294">
        <f t="shared" si="5"/>
        <v>24716196</v>
      </c>
      <c r="H373" s="324" t="s">
        <v>25</v>
      </c>
      <c r="I373" s="293" t="s">
        <v>229</v>
      </c>
      <c r="J373" s="281" t="s">
        <v>166</v>
      </c>
      <c r="K373" s="281" t="s">
        <v>214</v>
      </c>
      <c r="L373" s="281" t="s">
        <v>183</v>
      </c>
      <c r="N373" s="296"/>
    </row>
    <row r="374" spans="1:16" s="293" customFormat="1" ht="15.75" hidden="1" customHeight="1">
      <c r="A374" s="288">
        <v>44711</v>
      </c>
      <c r="B374" s="281" t="s">
        <v>271</v>
      </c>
      <c r="C374" s="296" t="s">
        <v>76</v>
      </c>
      <c r="D374" s="296"/>
      <c r="E374" s="320"/>
      <c r="F374" s="309">
        <v>10000</v>
      </c>
      <c r="G374" s="294">
        <f t="shared" si="5"/>
        <v>24706196</v>
      </c>
      <c r="H374" s="293" t="s">
        <v>25</v>
      </c>
      <c r="J374" s="306"/>
      <c r="L374" s="281"/>
      <c r="N374" s="296"/>
    </row>
    <row r="375" spans="1:16" s="293" customFormat="1" ht="15.75" hidden="1" customHeight="1">
      <c r="A375" s="288">
        <v>44711</v>
      </c>
      <c r="B375" s="340" t="s">
        <v>365</v>
      </c>
      <c r="C375" s="296" t="s">
        <v>76</v>
      </c>
      <c r="D375" s="303"/>
      <c r="E375" s="298">
        <v>25000</v>
      </c>
      <c r="F375" s="309"/>
      <c r="G375" s="294">
        <f t="shared" si="5"/>
        <v>24731196</v>
      </c>
      <c r="H375" s="281" t="s">
        <v>48</v>
      </c>
      <c r="I375" s="295"/>
      <c r="J375" s="281"/>
      <c r="L375" s="281"/>
      <c r="N375" s="296"/>
      <c r="O375" s="281"/>
    </row>
    <row r="376" spans="1:16" s="293" customFormat="1" ht="15.75" hidden="1" customHeight="1">
      <c r="A376" s="288">
        <v>44711</v>
      </c>
      <c r="B376" s="281" t="s">
        <v>415</v>
      </c>
      <c r="C376" s="289" t="s">
        <v>76</v>
      </c>
      <c r="D376" s="289"/>
      <c r="E376" s="291">
        <v>10000</v>
      </c>
      <c r="F376" s="381"/>
      <c r="G376" s="294">
        <f t="shared" si="5"/>
        <v>24741196</v>
      </c>
      <c r="H376" s="281" t="s">
        <v>271</v>
      </c>
      <c r="J376" s="281"/>
      <c r="K376" s="281"/>
      <c r="L376" s="281"/>
      <c r="N376" s="289"/>
      <c r="O376" s="281"/>
    </row>
    <row r="377" spans="1:16" s="293" customFormat="1" ht="15.75" hidden="1" customHeight="1">
      <c r="A377" s="288">
        <v>44711</v>
      </c>
      <c r="B377" s="281" t="s">
        <v>515</v>
      </c>
      <c r="C377" s="296" t="s">
        <v>216</v>
      </c>
      <c r="D377" s="289" t="s">
        <v>164</v>
      </c>
      <c r="E377" s="298"/>
      <c r="F377" s="289">
        <v>22000</v>
      </c>
      <c r="G377" s="294">
        <f t="shared" si="5"/>
        <v>24719196</v>
      </c>
      <c r="H377" s="281" t="s">
        <v>271</v>
      </c>
      <c r="I377" s="295" t="s">
        <v>231</v>
      </c>
      <c r="J377" s="306" t="s">
        <v>166</v>
      </c>
      <c r="K377" s="293" t="s">
        <v>214</v>
      </c>
      <c r="L377" s="281" t="s">
        <v>183</v>
      </c>
      <c r="M377" s="281"/>
      <c r="N377" s="289"/>
      <c r="O377" s="281"/>
    </row>
    <row r="378" spans="1:16" s="293" customFormat="1" ht="15.75" hidden="1" customHeight="1">
      <c r="A378" s="288">
        <v>44711</v>
      </c>
      <c r="B378" s="281" t="s">
        <v>415</v>
      </c>
      <c r="C378" s="289" t="s">
        <v>76</v>
      </c>
      <c r="D378" s="289"/>
      <c r="E378" s="290">
        <v>15000</v>
      </c>
      <c r="F378" s="307"/>
      <c r="G378" s="294">
        <f t="shared" si="5"/>
        <v>24734196</v>
      </c>
      <c r="H378" s="281" t="s">
        <v>271</v>
      </c>
      <c r="I378" s="295"/>
      <c r="J378" s="281"/>
      <c r="K378" s="281"/>
      <c r="L378" s="281"/>
      <c r="M378" s="281"/>
      <c r="N378" s="289"/>
      <c r="O378" s="281"/>
    </row>
    <row r="379" spans="1:16" s="293" customFormat="1" ht="15.75" hidden="1" customHeight="1">
      <c r="A379" s="288">
        <v>44711</v>
      </c>
      <c r="B379" s="281" t="s">
        <v>452</v>
      </c>
      <c r="C379" s="289" t="s">
        <v>157</v>
      </c>
      <c r="D379" s="289" t="s">
        <v>164</v>
      </c>
      <c r="E379" s="290"/>
      <c r="F379" s="309">
        <v>7000</v>
      </c>
      <c r="G379" s="294">
        <f t="shared" si="5"/>
        <v>24727196</v>
      </c>
      <c r="H379" s="281" t="s">
        <v>213</v>
      </c>
      <c r="I379" s="295" t="s">
        <v>231</v>
      </c>
      <c r="J379" s="281" t="s">
        <v>166</v>
      </c>
      <c r="K379" s="281" t="s">
        <v>214</v>
      </c>
      <c r="L379" s="281" t="s">
        <v>183</v>
      </c>
      <c r="N379" s="289"/>
      <c r="O379" s="281"/>
    </row>
    <row r="380" spans="1:16" s="293" customFormat="1" ht="15.75" hidden="1" customHeight="1">
      <c r="A380" s="288">
        <v>44711</v>
      </c>
      <c r="B380" s="281" t="s">
        <v>453</v>
      </c>
      <c r="C380" s="289" t="s">
        <v>34</v>
      </c>
      <c r="D380" s="367" t="s">
        <v>164</v>
      </c>
      <c r="E380" s="290"/>
      <c r="F380" s="309">
        <v>69500</v>
      </c>
      <c r="G380" s="294">
        <f t="shared" si="5"/>
        <v>24657696</v>
      </c>
      <c r="H380" s="281" t="s">
        <v>213</v>
      </c>
      <c r="I380" s="295" t="s">
        <v>231</v>
      </c>
      <c r="J380" s="293" t="s">
        <v>166</v>
      </c>
      <c r="K380" s="293" t="s">
        <v>214</v>
      </c>
      <c r="L380" s="281" t="s">
        <v>183</v>
      </c>
      <c r="N380" s="289"/>
      <c r="O380" s="281"/>
    </row>
    <row r="381" spans="1:16" s="293" customFormat="1" ht="15.75" hidden="1" customHeight="1">
      <c r="A381" s="288">
        <v>44711</v>
      </c>
      <c r="B381" s="293" t="s">
        <v>462</v>
      </c>
      <c r="C381" s="296" t="s">
        <v>34</v>
      </c>
      <c r="D381" s="296" t="s">
        <v>165</v>
      </c>
      <c r="E381" s="320"/>
      <c r="F381" s="307">
        <v>72000</v>
      </c>
      <c r="G381" s="294">
        <f t="shared" si="5"/>
        <v>24585696</v>
      </c>
      <c r="H381" s="293" t="s">
        <v>31</v>
      </c>
      <c r="I381" s="295" t="s">
        <v>231</v>
      </c>
      <c r="J381" s="306" t="s">
        <v>166</v>
      </c>
      <c r="K381" s="281" t="s">
        <v>215</v>
      </c>
      <c r="L381" s="281" t="s">
        <v>183</v>
      </c>
      <c r="M381" s="178" t="s">
        <v>624</v>
      </c>
      <c r="N381" s="296" t="s">
        <v>251</v>
      </c>
    </row>
    <row r="382" spans="1:16" s="293" customFormat="1" ht="15.75" hidden="1" customHeight="1">
      <c r="A382" s="288">
        <v>44711</v>
      </c>
      <c r="B382" s="293" t="s">
        <v>472</v>
      </c>
      <c r="C382" s="296" t="s">
        <v>34</v>
      </c>
      <c r="D382" s="289" t="s">
        <v>4</v>
      </c>
      <c r="E382" s="318"/>
      <c r="F382" s="289">
        <v>74500</v>
      </c>
      <c r="G382" s="294">
        <f t="shared" si="5"/>
        <v>24511196</v>
      </c>
      <c r="H382" s="293" t="s">
        <v>29</v>
      </c>
      <c r="I382" s="295" t="s">
        <v>231</v>
      </c>
      <c r="J382" s="306" t="s">
        <v>166</v>
      </c>
      <c r="K382" s="293" t="s">
        <v>215</v>
      </c>
      <c r="L382" s="281" t="s">
        <v>183</v>
      </c>
      <c r="M382" s="178" t="s">
        <v>625</v>
      </c>
      <c r="N382" s="296" t="s">
        <v>251</v>
      </c>
    </row>
    <row r="383" spans="1:16" s="293" customFormat="1" ht="15.75" hidden="1" customHeight="1">
      <c r="A383" s="299">
        <v>44711</v>
      </c>
      <c r="B383" s="310" t="s">
        <v>473</v>
      </c>
      <c r="C383" s="297" t="s">
        <v>34</v>
      </c>
      <c r="D383" s="289" t="s">
        <v>4</v>
      </c>
      <c r="E383" s="311"/>
      <c r="F383" s="303">
        <v>10000</v>
      </c>
      <c r="G383" s="294">
        <f t="shared" si="5"/>
        <v>24501196</v>
      </c>
      <c r="H383" s="324" t="s">
        <v>29</v>
      </c>
      <c r="I383" s="293" t="s">
        <v>229</v>
      </c>
      <c r="J383" s="306" t="s">
        <v>166</v>
      </c>
      <c r="K383" s="293" t="s">
        <v>215</v>
      </c>
      <c r="L383" s="281" t="s">
        <v>183</v>
      </c>
      <c r="M383" s="178" t="s">
        <v>626</v>
      </c>
      <c r="N383" s="296" t="s">
        <v>251</v>
      </c>
    </row>
    <row r="384" spans="1:16" s="293" customFormat="1" ht="15.75" hidden="1" customHeight="1">
      <c r="A384" s="288">
        <v>44711</v>
      </c>
      <c r="B384" s="293" t="s">
        <v>474</v>
      </c>
      <c r="C384" s="296" t="s">
        <v>157</v>
      </c>
      <c r="D384" s="289" t="s">
        <v>4</v>
      </c>
      <c r="E384" s="320"/>
      <c r="F384" s="309">
        <v>75000</v>
      </c>
      <c r="G384" s="294">
        <f t="shared" si="5"/>
        <v>24426196</v>
      </c>
      <c r="H384" s="293" t="s">
        <v>29</v>
      </c>
      <c r="I384" s="293" t="s">
        <v>229</v>
      </c>
      <c r="J384" s="293" t="s">
        <v>166</v>
      </c>
      <c r="K384" s="300" t="s">
        <v>215</v>
      </c>
      <c r="L384" s="281" t="s">
        <v>183</v>
      </c>
      <c r="M384" s="178" t="s">
        <v>627</v>
      </c>
      <c r="N384" s="325" t="s">
        <v>511</v>
      </c>
    </row>
    <row r="385" spans="1:15" s="293" customFormat="1" ht="15.75" hidden="1" customHeight="1">
      <c r="A385" s="288">
        <v>44711</v>
      </c>
      <c r="B385" s="293" t="s">
        <v>499</v>
      </c>
      <c r="C385" s="296" t="s">
        <v>157</v>
      </c>
      <c r="D385" s="289" t="s">
        <v>4</v>
      </c>
      <c r="F385" s="289">
        <v>45000</v>
      </c>
      <c r="G385" s="294">
        <f t="shared" si="5"/>
        <v>24381196</v>
      </c>
      <c r="H385" s="281" t="s">
        <v>49</v>
      </c>
      <c r="I385" s="293" t="s">
        <v>229</v>
      </c>
      <c r="J385" s="293" t="s">
        <v>166</v>
      </c>
      <c r="K385" s="293" t="s">
        <v>215</v>
      </c>
      <c r="L385" s="281" t="s">
        <v>183</v>
      </c>
      <c r="M385" s="178" t="s">
        <v>628</v>
      </c>
      <c r="N385" s="296" t="s">
        <v>511</v>
      </c>
    </row>
    <row r="386" spans="1:15" s="293" customFormat="1" ht="15.75" hidden="1" customHeight="1">
      <c r="A386" s="288">
        <v>44711</v>
      </c>
      <c r="B386" s="293" t="s">
        <v>500</v>
      </c>
      <c r="C386" s="296" t="s">
        <v>34</v>
      </c>
      <c r="D386" s="289" t="s">
        <v>4</v>
      </c>
      <c r="F386" s="289">
        <v>109000</v>
      </c>
      <c r="G386" s="294">
        <f t="shared" si="5"/>
        <v>24272196</v>
      </c>
      <c r="H386" s="281" t="s">
        <v>49</v>
      </c>
      <c r="I386" s="295" t="s">
        <v>231</v>
      </c>
      <c r="J386" s="306" t="s">
        <v>166</v>
      </c>
      <c r="K386" s="293" t="s">
        <v>215</v>
      </c>
      <c r="L386" s="281" t="s">
        <v>183</v>
      </c>
      <c r="M386" s="178" t="s">
        <v>632</v>
      </c>
      <c r="N386" s="296" t="s">
        <v>251</v>
      </c>
    </row>
    <row r="387" spans="1:15" s="293" customFormat="1" ht="15.75" hidden="1" customHeight="1">
      <c r="A387" s="299">
        <v>44712</v>
      </c>
      <c r="B387" s="300" t="s">
        <v>327</v>
      </c>
      <c r="C387" s="296" t="s">
        <v>35</v>
      </c>
      <c r="D387" s="289" t="s">
        <v>230</v>
      </c>
      <c r="E387" s="363"/>
      <c r="F387" s="309">
        <v>35250</v>
      </c>
      <c r="G387" s="294">
        <f t="shared" si="5"/>
        <v>24236946</v>
      </c>
      <c r="H387" s="281" t="s">
        <v>25</v>
      </c>
      <c r="I387" s="293" t="s">
        <v>229</v>
      </c>
      <c r="J387" s="281" t="s">
        <v>166</v>
      </c>
      <c r="K387" s="281" t="s">
        <v>215</v>
      </c>
      <c r="L387" s="281" t="s">
        <v>183</v>
      </c>
      <c r="M387" s="178" t="s">
        <v>633</v>
      </c>
      <c r="N387" s="296" t="s">
        <v>245</v>
      </c>
      <c r="O387" s="281"/>
    </row>
    <row r="388" spans="1:15" s="293" customFormat="1" ht="15.75" hidden="1" customHeight="1">
      <c r="A388" s="288">
        <v>44712</v>
      </c>
      <c r="B388" s="293" t="s">
        <v>520</v>
      </c>
      <c r="C388" s="296" t="s">
        <v>182</v>
      </c>
      <c r="D388" s="296" t="s">
        <v>164</v>
      </c>
      <c r="E388" s="318"/>
      <c r="F388" s="289">
        <v>5000</v>
      </c>
      <c r="G388" s="294">
        <f t="shared" si="5"/>
        <v>24231946</v>
      </c>
      <c r="H388" s="293" t="s">
        <v>25</v>
      </c>
      <c r="I388" s="293" t="s">
        <v>229</v>
      </c>
      <c r="J388" s="281" t="s">
        <v>166</v>
      </c>
      <c r="K388" s="281" t="s">
        <v>214</v>
      </c>
      <c r="L388" s="281" t="s">
        <v>183</v>
      </c>
      <c r="N388" s="296"/>
    </row>
    <row r="389" spans="1:15" s="293" customFormat="1" ht="15.75" hidden="1" customHeight="1">
      <c r="A389" s="288">
        <v>44712</v>
      </c>
      <c r="B389" s="281" t="s">
        <v>328</v>
      </c>
      <c r="C389" s="333" t="s">
        <v>76</v>
      </c>
      <c r="D389" s="289"/>
      <c r="E389" s="281">
        <v>1000000</v>
      </c>
      <c r="F389" s="289"/>
      <c r="G389" s="294">
        <f t="shared" si="5"/>
        <v>25231946</v>
      </c>
      <c r="H389" s="293" t="s">
        <v>25</v>
      </c>
      <c r="J389" s="306"/>
      <c r="L389" s="281"/>
      <c r="N389" s="296"/>
      <c r="O389" s="281"/>
    </row>
    <row r="390" spans="1:15" s="293" customFormat="1" ht="15.75" hidden="1" customHeight="1">
      <c r="A390" s="288">
        <v>44712</v>
      </c>
      <c r="B390" s="340" t="s">
        <v>337</v>
      </c>
      <c r="C390" s="307" t="s">
        <v>3</v>
      </c>
      <c r="D390" s="309" t="s">
        <v>230</v>
      </c>
      <c r="E390" s="281"/>
      <c r="F390" s="296">
        <v>260000</v>
      </c>
      <c r="G390" s="294">
        <f t="shared" si="5"/>
        <v>24971946</v>
      </c>
      <c r="H390" s="293" t="s">
        <v>24</v>
      </c>
      <c r="I390" s="306">
        <v>3654484</v>
      </c>
      <c r="J390" s="281" t="s">
        <v>166</v>
      </c>
      <c r="K390" s="293" t="s">
        <v>214</v>
      </c>
      <c r="L390" s="281" t="s">
        <v>183</v>
      </c>
      <c r="N390" s="289"/>
      <c r="O390" s="281"/>
    </row>
    <row r="391" spans="1:15" s="293" customFormat="1" ht="15.75" hidden="1" customHeight="1">
      <c r="A391" s="288">
        <v>44712</v>
      </c>
      <c r="B391" s="304" t="s">
        <v>338</v>
      </c>
      <c r="C391" s="289" t="s">
        <v>76</v>
      </c>
      <c r="D391" s="345"/>
      <c r="E391" s="281"/>
      <c r="F391" s="289">
        <v>1000000</v>
      </c>
      <c r="G391" s="294">
        <f t="shared" si="5"/>
        <v>23971946</v>
      </c>
      <c r="H391" s="293" t="s">
        <v>24</v>
      </c>
      <c r="I391" s="306">
        <v>3654485</v>
      </c>
      <c r="J391" s="281"/>
      <c r="L391" s="281"/>
      <c r="N391" s="289"/>
      <c r="O391" s="281"/>
    </row>
    <row r="392" spans="1:15" s="293" customFormat="1" ht="15.75" customHeight="1">
      <c r="A392" s="288">
        <v>44712</v>
      </c>
      <c r="B392" s="295" t="s">
        <v>349</v>
      </c>
      <c r="C392" s="333" t="s">
        <v>186</v>
      </c>
      <c r="D392" s="307" t="s">
        <v>230</v>
      </c>
      <c r="F392" s="296">
        <v>500000</v>
      </c>
      <c r="G392" s="294">
        <f t="shared" si="5"/>
        <v>23471946</v>
      </c>
      <c r="H392" s="281" t="s">
        <v>158</v>
      </c>
      <c r="I392" s="306">
        <v>3643666</v>
      </c>
      <c r="J392" s="293" t="s">
        <v>103</v>
      </c>
      <c r="K392" s="293" t="s">
        <v>215</v>
      </c>
      <c r="L392" s="281" t="s">
        <v>183</v>
      </c>
      <c r="M392" s="178" t="s">
        <v>634</v>
      </c>
      <c r="N392" s="296" t="s">
        <v>352</v>
      </c>
    </row>
    <row r="393" spans="1:15" s="293" customFormat="1" ht="15.75" hidden="1" customHeight="1">
      <c r="A393" s="321">
        <v>44712</v>
      </c>
      <c r="B393" s="294" t="s">
        <v>399</v>
      </c>
      <c r="C393" s="341" t="s">
        <v>34</v>
      </c>
      <c r="D393" s="334" t="s">
        <v>2</v>
      </c>
      <c r="F393" s="289">
        <v>43500</v>
      </c>
      <c r="G393" s="294">
        <f t="shared" si="5"/>
        <v>23428446</v>
      </c>
      <c r="H393" s="293" t="s">
        <v>94</v>
      </c>
      <c r="I393" s="295" t="s">
        <v>231</v>
      </c>
      <c r="J393" s="306" t="s">
        <v>166</v>
      </c>
      <c r="K393" s="293" t="s">
        <v>215</v>
      </c>
      <c r="L393" s="281" t="s">
        <v>183</v>
      </c>
      <c r="M393" s="178" t="s">
        <v>635</v>
      </c>
      <c r="N393" s="296" t="s">
        <v>251</v>
      </c>
    </row>
    <row r="394" spans="1:15" s="293" customFormat="1" ht="15.75" hidden="1" customHeight="1">
      <c r="A394" s="288">
        <v>44712</v>
      </c>
      <c r="B394" s="281" t="s">
        <v>425</v>
      </c>
      <c r="C394" s="296" t="s">
        <v>157</v>
      </c>
      <c r="D394" s="289" t="s">
        <v>164</v>
      </c>
      <c r="E394" s="298"/>
      <c r="F394" s="309">
        <v>15000</v>
      </c>
      <c r="G394" s="294">
        <f t="shared" si="5"/>
        <v>23413446</v>
      </c>
      <c r="H394" s="281" t="s">
        <v>271</v>
      </c>
      <c r="I394" s="295" t="s">
        <v>231</v>
      </c>
      <c r="J394" s="281" t="s">
        <v>166</v>
      </c>
      <c r="K394" s="281" t="s">
        <v>214</v>
      </c>
      <c r="L394" s="281" t="s">
        <v>183</v>
      </c>
      <c r="N394" s="289"/>
      <c r="O394" s="281"/>
    </row>
    <row r="395" spans="1:15" s="293" customFormat="1" ht="15.75" hidden="1" customHeight="1">
      <c r="A395" s="288">
        <v>44712</v>
      </c>
      <c r="B395" s="281" t="s">
        <v>426</v>
      </c>
      <c r="C395" s="296" t="s">
        <v>34</v>
      </c>
      <c r="D395" s="289" t="s">
        <v>164</v>
      </c>
      <c r="E395" s="298"/>
      <c r="F395" s="289">
        <v>61500</v>
      </c>
      <c r="G395" s="294">
        <f t="shared" si="5"/>
        <v>23351946</v>
      </c>
      <c r="H395" s="281" t="s">
        <v>271</v>
      </c>
      <c r="I395" s="295" t="s">
        <v>231</v>
      </c>
      <c r="J395" s="293" t="s">
        <v>166</v>
      </c>
      <c r="K395" s="293" t="s">
        <v>214</v>
      </c>
      <c r="L395" s="281" t="s">
        <v>183</v>
      </c>
      <c r="M395" s="281"/>
      <c r="N395" s="289"/>
      <c r="O395" s="281"/>
    </row>
    <row r="396" spans="1:15" s="293" customFormat="1" ht="15.75" hidden="1" customHeight="1">
      <c r="A396" s="288"/>
      <c r="C396" s="296"/>
      <c r="D396" s="313"/>
      <c r="F396" s="345"/>
      <c r="G396" s="336"/>
      <c r="I396" s="306"/>
      <c r="N396" s="296"/>
    </row>
    <row r="397" spans="1:15" s="293" customFormat="1" ht="15.75" hidden="1" customHeight="1">
      <c r="A397" s="299"/>
      <c r="B397" s="310"/>
      <c r="C397" s="296"/>
      <c r="D397" s="297"/>
      <c r="E397" s="311"/>
      <c r="F397" s="361"/>
      <c r="G397" s="336"/>
      <c r="H397" s="312"/>
      <c r="I397" s="306"/>
      <c r="J397" s="375"/>
      <c r="K397" s="312"/>
      <c r="N397" s="296"/>
    </row>
    <row r="398" spans="1:15" s="293" customFormat="1" ht="15.75" hidden="1" customHeight="1">
      <c r="A398" s="288"/>
      <c r="C398" s="296"/>
      <c r="D398" s="297"/>
      <c r="E398" s="320"/>
      <c r="F398" s="307"/>
      <c r="G398" s="336"/>
      <c r="I398" s="306"/>
      <c r="N398" s="296"/>
    </row>
    <row r="399" spans="1:15" s="293" customFormat="1" ht="15.75" hidden="1" customHeight="1">
      <c r="A399" s="288"/>
      <c r="C399" s="296"/>
      <c r="D399" s="289"/>
      <c r="E399" s="320"/>
      <c r="F399" s="307"/>
      <c r="G399" s="336"/>
      <c r="I399" s="306"/>
      <c r="J399" s="306"/>
      <c r="N399" s="296"/>
    </row>
    <row r="400" spans="1:15" s="293" customFormat="1" ht="15.75" hidden="1" customHeight="1">
      <c r="A400" s="288"/>
      <c r="C400" s="296"/>
      <c r="D400" s="297"/>
      <c r="E400" s="320"/>
      <c r="F400" s="307"/>
      <c r="G400" s="336"/>
      <c r="I400" s="306"/>
      <c r="J400" s="306"/>
      <c r="N400" s="296"/>
    </row>
    <row r="401" spans="1:15" s="293" customFormat="1" ht="15.75" hidden="1" customHeight="1">
      <c r="A401" s="288"/>
      <c r="C401" s="296"/>
      <c r="D401" s="296"/>
      <c r="E401" s="320"/>
      <c r="F401" s="307"/>
      <c r="G401" s="336"/>
      <c r="I401" s="306"/>
      <c r="J401" s="306"/>
      <c r="N401" s="296"/>
    </row>
    <row r="402" spans="1:15" s="293" customFormat="1" ht="15.75" hidden="1" customHeight="1">
      <c r="A402" s="321"/>
      <c r="B402" s="310"/>
      <c r="C402" s="296"/>
      <c r="D402" s="296"/>
      <c r="E402" s="337"/>
      <c r="F402" s="361"/>
      <c r="G402" s="336"/>
      <c r="H402" s="310"/>
      <c r="I402" s="306"/>
      <c r="J402" s="306"/>
      <c r="N402" s="296"/>
    </row>
    <row r="403" spans="1:15" s="293" customFormat="1" ht="15.75" hidden="1" customHeight="1">
      <c r="A403" s="288"/>
      <c r="C403" s="296"/>
      <c r="D403" s="313"/>
      <c r="E403" s="320"/>
      <c r="F403" s="307"/>
      <c r="G403" s="336"/>
      <c r="I403" s="306"/>
      <c r="J403" s="306"/>
      <c r="K403" s="306"/>
      <c r="N403" s="296"/>
    </row>
    <row r="404" spans="1:15" s="293" customFormat="1" ht="15.75" hidden="1" customHeight="1">
      <c r="A404" s="288"/>
      <c r="C404" s="296"/>
      <c r="D404" s="313"/>
      <c r="E404" s="320"/>
      <c r="F404" s="307"/>
      <c r="G404" s="336"/>
      <c r="I404" s="306"/>
      <c r="J404" s="306"/>
      <c r="N404" s="296"/>
    </row>
    <row r="405" spans="1:15" s="293" customFormat="1" ht="15.75" hidden="1" customHeight="1">
      <c r="A405" s="288"/>
      <c r="C405" s="296"/>
      <c r="D405" s="296"/>
      <c r="E405" s="320"/>
      <c r="F405" s="307"/>
      <c r="G405" s="336"/>
      <c r="I405" s="306"/>
      <c r="J405" s="306"/>
      <c r="N405" s="296"/>
    </row>
    <row r="406" spans="1:15" s="293" customFormat="1" ht="15.75" hidden="1" customHeight="1">
      <c r="A406" s="299"/>
      <c r="C406" s="296"/>
      <c r="D406" s="296"/>
      <c r="E406" s="329"/>
      <c r="F406" s="379"/>
      <c r="G406" s="336"/>
      <c r="I406" s="306"/>
      <c r="J406" s="306"/>
      <c r="N406" s="296"/>
    </row>
    <row r="407" spans="1:15" s="293" customFormat="1" ht="15.75" hidden="1" customHeight="1">
      <c r="A407" s="299"/>
      <c r="C407" s="296"/>
      <c r="D407" s="296"/>
      <c r="E407" s="329"/>
      <c r="F407" s="379"/>
      <c r="G407" s="336"/>
      <c r="I407" s="306"/>
      <c r="J407" s="306"/>
      <c r="N407" s="296"/>
    </row>
    <row r="408" spans="1:15" s="293" customFormat="1" ht="15.75" hidden="1" customHeight="1">
      <c r="A408" s="288"/>
      <c r="B408" s="335"/>
      <c r="C408" s="289"/>
      <c r="D408" s="289"/>
      <c r="E408" s="368"/>
      <c r="F408" s="307"/>
      <c r="G408" s="336"/>
      <c r="H408" s="335"/>
      <c r="I408" s="306"/>
      <c r="J408" s="335"/>
      <c r="K408" s="335"/>
      <c r="N408" s="289"/>
      <c r="O408" s="335"/>
    </row>
    <row r="409" spans="1:15" s="293" customFormat="1" ht="15.75" hidden="1" customHeight="1">
      <c r="A409" s="288"/>
      <c r="C409" s="296"/>
      <c r="D409" s="296"/>
      <c r="E409" s="318"/>
      <c r="F409" s="289"/>
      <c r="G409" s="336"/>
      <c r="I409" s="306"/>
      <c r="J409" s="306"/>
      <c r="M409" s="296"/>
      <c r="N409" s="296"/>
    </row>
    <row r="410" spans="1:15" s="293" customFormat="1" ht="15.75" hidden="1" customHeight="1">
      <c r="A410" s="288"/>
      <c r="C410" s="296"/>
      <c r="D410" s="296"/>
      <c r="E410" s="320"/>
      <c r="F410" s="307"/>
      <c r="G410" s="336"/>
      <c r="I410" s="306"/>
      <c r="J410" s="306"/>
      <c r="N410" s="296"/>
    </row>
    <row r="411" spans="1:15" s="293" customFormat="1" ht="15.75" hidden="1" customHeight="1">
      <c r="A411" s="288"/>
      <c r="C411" s="296"/>
      <c r="D411" s="296"/>
      <c r="E411" s="320"/>
      <c r="F411" s="307"/>
      <c r="G411" s="336"/>
      <c r="I411" s="306"/>
      <c r="J411" s="306"/>
      <c r="N411" s="296"/>
    </row>
    <row r="412" spans="1:15" ht="15.75" hidden="1" customHeight="1">
      <c r="E412" s="205"/>
      <c r="F412" s="383"/>
      <c r="G412" s="197"/>
      <c r="O412" s="178"/>
    </row>
    <row r="413" spans="1:15" ht="15.75" hidden="1" customHeight="1">
      <c r="C413" s="285"/>
      <c r="E413" s="205"/>
      <c r="F413" s="383"/>
      <c r="G413" s="197"/>
      <c r="O413" s="178"/>
    </row>
    <row r="414" spans="1:15" ht="15.75" hidden="1" customHeight="1">
      <c r="C414" s="285"/>
      <c r="D414" s="208"/>
      <c r="E414" s="205"/>
      <c r="F414" s="383"/>
      <c r="G414" s="197"/>
      <c r="O414" s="178"/>
    </row>
    <row r="415" spans="1:15" ht="15.75" hidden="1" customHeight="1">
      <c r="C415" s="285"/>
      <c r="D415" s="229"/>
      <c r="E415" s="205"/>
      <c r="F415" s="383"/>
      <c r="G415" s="197"/>
    </row>
    <row r="416" spans="1:15" ht="15.75" hidden="1" customHeight="1">
      <c r="E416" s="205"/>
      <c r="F416" s="383"/>
      <c r="G416" s="197"/>
      <c r="O416" s="178"/>
    </row>
    <row r="417" spans="1:15" ht="15.75" hidden="1" customHeight="1">
      <c r="A417" s="226"/>
      <c r="B417" s="184"/>
      <c r="D417" s="285"/>
      <c r="E417" s="206"/>
      <c r="F417" s="384"/>
      <c r="G417" s="197"/>
      <c r="H417" s="201"/>
      <c r="J417" s="202"/>
      <c r="O417" s="178"/>
    </row>
    <row r="418" spans="1:15" ht="15.75" hidden="1" customHeight="1">
      <c r="A418" s="225"/>
      <c r="B418" s="184"/>
      <c r="D418" s="287"/>
      <c r="E418" s="206"/>
      <c r="F418" s="385"/>
      <c r="G418" s="197"/>
      <c r="H418" s="184"/>
      <c r="O418" s="178"/>
    </row>
    <row r="419" spans="1:15" s="211" customFormat="1" ht="15.75" hidden="1" customHeight="1">
      <c r="A419" s="228"/>
      <c r="C419" s="215"/>
      <c r="D419" s="215"/>
      <c r="E419" s="216"/>
      <c r="F419" s="386"/>
      <c r="G419" s="213"/>
      <c r="I419" s="214"/>
      <c r="N419" s="215"/>
    </row>
    <row r="420" spans="1:15" ht="15.75" hidden="1" customHeight="1">
      <c r="A420" s="226"/>
      <c r="F420" s="387"/>
      <c r="G420" s="197"/>
      <c r="O420" s="178"/>
    </row>
    <row r="421" spans="1:15" ht="15.75" hidden="1" customHeight="1">
      <c r="A421" s="226"/>
      <c r="F421" s="387"/>
      <c r="G421" s="197"/>
      <c r="O421" s="178"/>
    </row>
    <row r="424" spans="1:15">
      <c r="F424" s="388"/>
    </row>
  </sheetData>
  <autoFilter ref="A11:P421">
    <filterColumn colId="2">
      <filters>
        <filter val="Rent &amp; Utilities"/>
      </filters>
    </filterColumn>
    <filterColumn colId="7"/>
    <filterColumn colId="10"/>
    <sortState ref="A12:P424">
      <sortCondition ref="A11:A424"/>
    </sortState>
  </autoFilter>
  <sortState ref="A12:P196">
    <sortCondition ref="M18"/>
  </sortState>
  <mergeCells count="1">
    <mergeCell ref="A1:O1"/>
  </mergeCells>
  <dataValidations count="1">
    <dataValidation type="list" allowBlank="1" showInputMessage="1" showErrorMessage="1" sqref="O365:O402">
      <formula1>"typeDD"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Feuil3</vt:lpstr>
      <vt:lpstr>Donateur</vt:lpstr>
      <vt:lpstr>DATA MAI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2022-07-06T08:43:21Z</dcterms:modified>
</cp:coreProperties>
</file>