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-105" yWindow="-105" windowWidth="19425" windowHeight="10425" activeTab="3"/>
  </bookViews>
  <sheets>
    <sheet name="Récapitulatif" sheetId="16" r:id="rId1"/>
    <sheet name="Feuil1" sheetId="78" r:id="rId2"/>
    <sheet name="Donateurs" sheetId="85" r:id="rId3"/>
    <sheet name="DATA  JANV" sheetId="77" r:id="rId4"/>
    <sheet name="Compte Principal 34 BCI" sheetId="79" r:id="rId5"/>
    <sheet name="Rapprochement Bancaire Cpte 34" sheetId="80" r:id="rId6"/>
    <sheet name="Sous-Compte 34 BCI" sheetId="81" r:id="rId7"/>
    <sheet name="Rapprochement Bancaire Cpte 56" sheetId="82" r:id="rId8"/>
    <sheet name="CAISSE JANV 21" sheetId="8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8" hidden="1">'CAISSE JANV 21'!$A$11:$L$96</definedName>
    <definedName name="_xlnm._FilterDatabase" localSheetId="3" hidden="1">'DATA  JANV'!$A$11:$GT$302</definedName>
    <definedName name="Départements">[1]Feuil6!$G$6:$G$14</definedName>
    <definedName name="Dépenses">[1]Feuil6!$A$6:$A$25</definedName>
  </definedNames>
  <calcPr calcId="124519"/>
  <pivotCaches>
    <pivotCache cacheId="0" r:id="rId38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3" i="78"/>
  <c r="AX18"/>
  <c r="AW23"/>
  <c r="AW7"/>
  <c r="AX7" s="1"/>
  <c r="AW8"/>
  <c r="AX8" s="1"/>
  <c r="AW9"/>
  <c r="AX9" s="1"/>
  <c r="AW10"/>
  <c r="AX10" s="1"/>
  <c r="AW11"/>
  <c r="AX11" s="1"/>
  <c r="AW12"/>
  <c r="AX12" s="1"/>
  <c r="AW13"/>
  <c r="AX13" s="1"/>
  <c r="AW14"/>
  <c r="AX14" s="1"/>
  <c r="AW15"/>
  <c r="AX15" s="1"/>
  <c r="AW16"/>
  <c r="AX16" s="1"/>
  <c r="AW17"/>
  <c r="AX17" s="1"/>
  <c r="AW18"/>
  <c r="AW19"/>
  <c r="AX19" s="1"/>
  <c r="AW20"/>
  <c r="AX20" s="1"/>
  <c r="AW21"/>
  <c r="AX21" s="1"/>
  <c r="AW22"/>
  <c r="AX22" s="1"/>
  <c r="AW6"/>
  <c r="AX6" s="1"/>
  <c r="AV23"/>
  <c r="AV7"/>
  <c r="AV8"/>
  <c r="AV9"/>
  <c r="AV10"/>
  <c r="AV11"/>
  <c r="AV12"/>
  <c r="AV13"/>
  <c r="AV14"/>
  <c r="AV15"/>
  <c r="AV16"/>
  <c r="AV17"/>
  <c r="AV18"/>
  <c r="AV19"/>
  <c r="AV20"/>
  <c r="AV21"/>
  <c r="AV22"/>
  <c r="AV6"/>
  <c r="J63" i="16" l="1"/>
  <c r="F17" l="1"/>
  <c r="C50"/>
  <c r="C23"/>
  <c r="B23"/>
  <c r="E23"/>
  <c r="I20"/>
  <c r="H18"/>
  <c r="H19" l="1"/>
  <c r="H17" l="1"/>
  <c r="H16" l="1"/>
  <c r="H15" l="1"/>
  <c r="H14" l="1"/>
  <c r="H11" l="1"/>
  <c r="H9" l="1"/>
  <c r="H8" l="1"/>
  <c r="H7" l="1"/>
  <c r="H6" l="1"/>
  <c r="O112" i="83" l="1"/>
  <c r="F95"/>
  <c r="C6" s="1"/>
  <c r="E12"/>
  <c r="E95" s="1"/>
  <c r="C5" l="1"/>
  <c r="C7" s="1"/>
  <c r="G95"/>
  <c r="H5" i="16" s="1"/>
  <c r="G12" i="83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E26" i="82" l="1"/>
  <c r="E27" s="1"/>
  <c r="J24"/>
  <c r="F24"/>
  <c r="A24"/>
  <c r="J19"/>
  <c r="F19"/>
  <c r="D19"/>
  <c r="J24" i="80"/>
  <c r="F24"/>
  <c r="D24"/>
  <c r="A24"/>
  <c r="J19"/>
  <c r="F19"/>
  <c r="D19"/>
  <c r="E26" l="1"/>
  <c r="I35" i="81"/>
  <c r="H10"/>
  <c r="H34" s="1"/>
  <c r="H36" s="1"/>
  <c r="H4" i="16" s="1"/>
  <c r="J10" i="81" l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I21" i="79" l="1"/>
  <c r="I22" s="1"/>
  <c r="H10"/>
  <c r="H21" s="1"/>
  <c r="H23" l="1"/>
  <c r="H3" i="16" s="1"/>
  <c r="J10" i="79"/>
  <c r="J11" s="1"/>
  <c r="J12" s="1"/>
  <c r="J13" s="1"/>
  <c r="J14" s="1"/>
  <c r="J15" s="1"/>
  <c r="J16" s="1"/>
  <c r="J17" s="1"/>
  <c r="J18" s="1"/>
  <c r="J19" s="1"/>
  <c r="J20" s="1"/>
  <c r="C44" i="16" l="1"/>
  <c r="J44" s="1"/>
  <c r="C36"/>
  <c r="C40"/>
  <c r="J40" s="1"/>
  <c r="C32"/>
  <c r="J32" s="1"/>
  <c r="C19"/>
  <c r="C18"/>
  <c r="C43" s="1"/>
  <c r="J43" s="1"/>
  <c r="J50" s="1"/>
  <c r="C17"/>
  <c r="C42" s="1"/>
  <c r="J42" s="1"/>
  <c r="C16"/>
  <c r="C41" s="1"/>
  <c r="J41" s="1"/>
  <c r="C15"/>
  <c r="C14"/>
  <c r="C39" s="1"/>
  <c r="J39" s="1"/>
  <c r="C13"/>
  <c r="C38" s="1"/>
  <c r="J38" s="1"/>
  <c r="C12"/>
  <c r="C37" s="1"/>
  <c r="J37" s="1"/>
  <c r="C11"/>
  <c r="C10"/>
  <c r="C35" s="1"/>
  <c r="J35" s="1"/>
  <c r="C9"/>
  <c r="C34" s="1"/>
  <c r="J34" s="1"/>
  <c r="C8"/>
  <c r="C33" s="1"/>
  <c r="J33" s="1"/>
  <c r="C7"/>
  <c r="C6"/>
  <c r="C31" s="1"/>
  <c r="J31" s="1"/>
  <c r="C5"/>
  <c r="C46" s="1"/>
  <c r="J46" s="1"/>
  <c r="C4"/>
  <c r="C49" s="1"/>
  <c r="J49" s="1"/>
  <c r="C3"/>
  <c r="C48" s="1"/>
  <c r="J48" s="1"/>
  <c r="I50"/>
  <c r="J36"/>
  <c r="F298" i="77" l="1"/>
  <c r="F97" l="1"/>
  <c r="F96"/>
  <c r="F95"/>
  <c r="F94"/>
  <c r="F93"/>
  <c r="F92"/>
  <c r="F91"/>
  <c r="F90"/>
  <c r="F89"/>
  <c r="F225"/>
  <c r="F223"/>
  <c r="F222"/>
  <c r="F221"/>
  <c r="F219"/>
  <c r="F218"/>
  <c r="F297" l="1"/>
  <c r="C2" l="1"/>
  <c r="C6" l="1"/>
  <c r="C5"/>
  <c r="G12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I78" i="16"/>
  <c r="C7" i="77" l="1"/>
  <c r="D7" s="1"/>
  <c r="J71" i="16"/>
  <c r="J68" l="1"/>
  <c r="J64"/>
  <c r="J60"/>
  <c r="J74"/>
  <c r="J76"/>
  <c r="J77"/>
  <c r="J70"/>
  <c r="J78" s="1"/>
  <c r="K78" s="1"/>
  <c r="J69"/>
  <c r="J67"/>
  <c r="J66"/>
  <c r="J65"/>
  <c r="J62"/>
  <c r="J61"/>
  <c r="J59"/>
  <c r="G16"/>
  <c r="G17"/>
  <c r="G18"/>
  <c r="F18" s="1"/>
  <c r="D18" s="1"/>
  <c r="G19"/>
  <c r="F19"/>
  <c r="D19" s="1"/>
  <c r="A18"/>
  <c r="A11"/>
  <c r="J72" l="1"/>
  <c r="C20"/>
  <c r="J95" l="1"/>
  <c r="F16" l="1"/>
  <c r="D16"/>
  <c r="D17"/>
  <c r="J96"/>
  <c r="A17"/>
  <c r="J94"/>
  <c r="J93"/>
  <c r="J92"/>
  <c r="J91"/>
  <c r="J90"/>
  <c r="J89"/>
  <c r="J88"/>
  <c r="J87"/>
  <c r="J86"/>
  <c r="J100"/>
  <c r="J103"/>
  <c r="J102"/>
  <c r="J98" l="1"/>
  <c r="J97"/>
  <c r="A19"/>
  <c r="A16"/>
  <c r="J104" l="1"/>
  <c r="J122" l="1"/>
  <c r="F112" l="1"/>
  <c r="J146"/>
  <c r="J149"/>
  <c r="J130"/>
  <c r="J129"/>
  <c r="J128"/>
  <c r="C121" l="1"/>
  <c r="J121" s="1"/>
  <c r="C120"/>
  <c r="J120" s="1"/>
  <c r="C119"/>
  <c r="J119" s="1"/>
  <c r="C118"/>
  <c r="J118" s="1"/>
  <c r="C117"/>
  <c r="J117" s="1"/>
  <c r="C116"/>
  <c r="J116" s="1"/>
  <c r="C115"/>
  <c r="J115" s="1"/>
  <c r="C114"/>
  <c r="J114" s="1"/>
  <c r="C113"/>
  <c r="J113" s="1"/>
  <c r="C112"/>
  <c r="J112" s="1"/>
  <c r="C124"/>
  <c r="J124" s="1"/>
  <c r="C127"/>
  <c r="J127" s="1"/>
  <c r="C126" l="1"/>
  <c r="J126" s="1"/>
  <c r="J131" s="1"/>
  <c r="A23" l="1"/>
  <c r="H20" l="1"/>
  <c r="J157" l="1"/>
  <c r="J156"/>
  <c r="J155"/>
  <c r="J208"/>
  <c r="J181"/>
  <c r="J180"/>
  <c r="J178"/>
  <c r="E176"/>
  <c r="J176" s="1"/>
  <c r="E175"/>
  <c r="J175" s="1"/>
  <c r="E173"/>
  <c r="J173" s="1"/>
  <c r="H172"/>
  <c r="E172"/>
  <c r="F171"/>
  <c r="E171"/>
  <c r="E170"/>
  <c r="J170" s="1"/>
  <c r="I169"/>
  <c r="H169"/>
  <c r="E169"/>
  <c r="I168"/>
  <c r="E168"/>
  <c r="H167"/>
  <c r="E167"/>
  <c r="I166"/>
  <c r="J158"/>
  <c r="J142"/>
  <c r="G15"/>
  <c r="A15"/>
  <c r="G14"/>
  <c r="A14"/>
  <c r="G13"/>
  <c r="A13"/>
  <c r="G12"/>
  <c r="A12"/>
  <c r="G11"/>
  <c r="G10"/>
  <c r="A10"/>
  <c r="G9"/>
  <c r="A9"/>
  <c r="G8"/>
  <c r="A8"/>
  <c r="G7"/>
  <c r="A7"/>
  <c r="G6"/>
  <c r="A6"/>
  <c r="G5"/>
  <c r="F5" s="1"/>
  <c r="D5" s="1"/>
  <c r="A5"/>
  <c r="G4"/>
  <c r="F4" s="1"/>
  <c r="D4" s="1"/>
  <c r="J154"/>
  <c r="A4"/>
  <c r="G3"/>
  <c r="F3" s="1"/>
  <c r="D3" s="1"/>
  <c r="A3"/>
  <c r="F7" l="1"/>
  <c r="D7" s="1"/>
  <c r="F13"/>
  <c r="D13" s="1"/>
  <c r="F15"/>
  <c r="D15" s="1"/>
  <c r="F6"/>
  <c r="D6" s="1"/>
  <c r="F8"/>
  <c r="D8" s="1"/>
  <c r="F10"/>
  <c r="D10" s="1"/>
  <c r="F9"/>
  <c r="D9" s="1"/>
  <c r="F11"/>
  <c r="D11" s="1"/>
  <c r="F12"/>
  <c r="D12" s="1"/>
  <c r="F14"/>
  <c r="D14" s="1"/>
  <c r="G20"/>
  <c r="B142"/>
  <c r="B146"/>
  <c r="B147"/>
  <c r="B140"/>
  <c r="B143"/>
  <c r="B144"/>
  <c r="B141"/>
  <c r="B145"/>
  <c r="J141"/>
  <c r="I183"/>
  <c r="J168"/>
  <c r="J151"/>
  <c r="J167"/>
  <c r="J139"/>
  <c r="J145"/>
  <c r="J140"/>
  <c r="J153"/>
  <c r="J148"/>
  <c r="J171"/>
  <c r="J169"/>
  <c r="J172"/>
  <c r="J166"/>
  <c r="D20" l="1"/>
  <c r="F20"/>
  <c r="J144"/>
  <c r="J143"/>
  <c r="J147"/>
  <c r="C174"/>
  <c r="G22" l="1"/>
  <c r="J159"/>
  <c r="C183"/>
  <c r="J174"/>
  <c r="J183" s="1"/>
  <c r="E7"/>
  <c r="I7" s="1"/>
  <c r="K32" s="1"/>
  <c r="E14"/>
  <c r="I14" s="1"/>
  <c r="E18"/>
  <c r="I18" s="1"/>
  <c r="K43" s="1"/>
  <c r="E8"/>
  <c r="I8" s="1"/>
  <c r="K33" s="1"/>
  <c r="E10"/>
  <c r="I10" s="1"/>
  <c r="K35" s="1"/>
  <c r="E15"/>
  <c r="I15" s="1"/>
  <c r="K40" s="1"/>
  <c r="E11"/>
  <c r="I11" s="1"/>
  <c r="K36" s="1"/>
  <c r="E16"/>
  <c r="I16" s="1"/>
  <c r="K41" s="1"/>
  <c r="E4"/>
  <c r="I4" s="1"/>
  <c r="K49" s="1"/>
  <c r="E9"/>
  <c r="I9" s="1"/>
  <c r="K34" s="1"/>
  <c r="E12"/>
  <c r="I12" s="1"/>
  <c r="K37" s="1"/>
  <c r="E3"/>
  <c r="I3" s="1"/>
  <c r="K48" s="1"/>
  <c r="E19"/>
  <c r="I19" s="1"/>
  <c r="E17"/>
  <c r="I17" s="1"/>
  <c r="K42" s="1"/>
  <c r="E13"/>
  <c r="I13" s="1"/>
  <c r="K38" s="1"/>
  <c r="E6"/>
  <c r="I6" s="1"/>
  <c r="K31" s="1"/>
  <c r="E5"/>
  <c r="J14" l="1"/>
  <c r="K39"/>
  <c r="K44"/>
  <c r="I5"/>
  <c r="J12"/>
  <c r="J17"/>
  <c r="J16"/>
  <c r="J8"/>
  <c r="J7"/>
  <c r="J13"/>
  <c r="J3"/>
  <c r="J4"/>
  <c r="J10"/>
  <c r="J6"/>
  <c r="J9"/>
  <c r="J15"/>
  <c r="J11"/>
  <c r="J18"/>
  <c r="E20"/>
  <c r="D23" s="1"/>
  <c r="J19"/>
  <c r="J5" l="1"/>
  <c r="K46"/>
  <c r="I21" l="1"/>
  <c r="J51"/>
  <c r="K131"/>
  <c r="E6" i="77"/>
  <c r="J20" i="16"/>
</calcChain>
</file>

<file path=xl/sharedStrings.xml><?xml version="1.0" encoding="utf-8"?>
<sst xmlns="http://schemas.openxmlformats.org/spreadsheetml/2006/main" count="3138" uniqueCount="605">
  <si>
    <t>Visa Compta</t>
  </si>
  <si>
    <t>Banque: BANQUE COMMERCIALE INTERNATIONALE</t>
  </si>
  <si>
    <t>Compte: 01100-37107255251-56</t>
  </si>
  <si>
    <t>Intitulé du compte: Projet PALF</t>
  </si>
  <si>
    <t>Date</t>
  </si>
  <si>
    <t>N°     pièce</t>
  </si>
  <si>
    <t>References</t>
  </si>
  <si>
    <t>Libellé</t>
  </si>
  <si>
    <t>Type depenses</t>
  </si>
  <si>
    <t>Département</t>
  </si>
  <si>
    <t>Code  budgétaire</t>
  </si>
  <si>
    <t>Débit</t>
  </si>
  <si>
    <t>Crédit</t>
  </si>
  <si>
    <t>Solde progressif</t>
  </si>
  <si>
    <t>Donateur</t>
  </si>
  <si>
    <t>Personnel</t>
  </si>
  <si>
    <t>Légal</t>
  </si>
  <si>
    <t>Rent &amp; Utilities</t>
  </si>
  <si>
    <t>office</t>
  </si>
  <si>
    <t>Management</t>
  </si>
  <si>
    <t>Telephone</t>
  </si>
  <si>
    <t>Office</t>
  </si>
  <si>
    <t>Total sorties</t>
  </si>
  <si>
    <t xml:space="preserve">Solde </t>
  </si>
  <si>
    <t>Compte: 01100-37107202652-34</t>
  </si>
  <si>
    <t xml:space="preserve"> Crédit </t>
  </si>
  <si>
    <t>Bonus</t>
  </si>
  <si>
    <t>Total Entrées</t>
  </si>
  <si>
    <t>Bank fees</t>
  </si>
  <si>
    <t>Relevé</t>
  </si>
  <si>
    <t>Services</t>
  </si>
  <si>
    <t>Investigation</t>
  </si>
  <si>
    <t>EAGLE NETWORK</t>
  </si>
  <si>
    <t xml:space="preserve">PROJET: </t>
  </si>
  <si>
    <t>Projet d'Appui à l'Application de la Loi sur la Faune sauvage-PALF</t>
  </si>
  <si>
    <t>BANQUE</t>
  </si>
  <si>
    <t>Etat de rapprochement bancaire</t>
  </si>
  <si>
    <t>Intitulé du compte:</t>
  </si>
  <si>
    <t>PALF</t>
  </si>
  <si>
    <t>en FCFA au</t>
  </si>
  <si>
    <t>COMPTABILITE</t>
  </si>
  <si>
    <t xml:space="preserve"> </t>
  </si>
  <si>
    <t xml:space="preserve">n° </t>
  </si>
  <si>
    <t>Solde du journal de banque</t>
  </si>
  <si>
    <t>Solde de l'extrait de compte</t>
  </si>
  <si>
    <t xml:space="preserve">Solde Ajusté  </t>
  </si>
  <si>
    <t xml:space="preserve">La Coordinatrice </t>
  </si>
  <si>
    <t>Perrine ODIER</t>
  </si>
  <si>
    <t>Date__________  Signature _____________________</t>
  </si>
  <si>
    <t>Chèques en attente</t>
  </si>
  <si>
    <t>CIDT</t>
  </si>
  <si>
    <t>Chef Comptable</t>
  </si>
  <si>
    <t>Ted Gesay KOUEMITOUKA</t>
  </si>
  <si>
    <t>Ted Gessay KOUEMITOUKA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</si>
  <si>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</si>
  <si>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</si>
  <si>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</si>
  <si>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</si>
  <si>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</si>
  <si>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</si>
  <si>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</si>
  <si>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</si>
  <si>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</si>
  <si>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</si>
  <si>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</si>
  <si>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</si>
  <si>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</si>
  <si>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</si>
  <si>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</si>
  <si>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</si>
  <si>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</si>
  <si>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</si>
  <si>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</si>
  <si>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Congo</t>
  </si>
  <si>
    <t>BCI Sous-Compte</t>
  </si>
  <si>
    <t>RALFF</t>
  </si>
  <si>
    <t>Lawyer fees</t>
  </si>
  <si>
    <t>Media</t>
  </si>
  <si>
    <t>Caisse</t>
  </si>
  <si>
    <t>OUI</t>
  </si>
  <si>
    <t>Transfer fees</t>
  </si>
  <si>
    <t>Herick</t>
  </si>
  <si>
    <t>Jospin</t>
  </si>
  <si>
    <t>Dalia</t>
  </si>
  <si>
    <t>P29</t>
  </si>
  <si>
    <t>5.2.2</t>
  </si>
  <si>
    <t>I23C</t>
  </si>
  <si>
    <t>Evariste</t>
  </si>
  <si>
    <t>Ted</t>
  </si>
  <si>
    <t>Shely</t>
  </si>
  <si>
    <t>Crepin</t>
  </si>
  <si>
    <t>Transport</t>
  </si>
  <si>
    <t>Jail visits</t>
  </si>
  <si>
    <t>Office Materials</t>
  </si>
  <si>
    <t>Oui</t>
  </si>
  <si>
    <t>Trust building</t>
  </si>
  <si>
    <t>Jack-Bénisson</t>
  </si>
  <si>
    <t>oui</t>
  </si>
  <si>
    <t>Recu de caisse/P29</t>
  </si>
  <si>
    <t>1.1.1.7</t>
  </si>
  <si>
    <t>1.1.1.4</t>
  </si>
  <si>
    <t>1.1.2.1</t>
  </si>
  <si>
    <t>1.1.1.9</t>
  </si>
  <si>
    <t>Wildcat</t>
  </si>
  <si>
    <t>1.3.2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</si>
  <si>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</si>
  <si>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</si>
  <si>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</si>
  <si>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</si>
  <si>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</si>
  <si>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</si>
  <si>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</si>
  <si>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</si>
  <si>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</si>
  <si>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</si>
  <si>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</si>
  <si>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</si>
  <si>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</si>
  <si>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</si>
  <si>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</si>
  <si>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</si>
  <si>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</si>
  <si>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</si>
  <si>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</si>
  <si>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</si>
  <si>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</si>
  <si>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</si>
  <si>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</si>
  <si>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</si>
  <si>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</si>
  <si>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</si>
  <si>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</si>
  <si>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</si>
  <si>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</si>
  <si>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</si>
  <si>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</si>
  <si>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Fichier comptable-Caisse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</si>
  <si>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</si>
  <si>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</si>
  <si>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</si>
  <si>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</si>
  <si>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</si>
  <si>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</si>
  <si>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</si>
  <si>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</si>
  <si>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</si>
  <si>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</si>
  <si>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</si>
  <si>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Legal</t>
  </si>
  <si>
    <t>Christian</t>
  </si>
  <si>
    <t>Geisner</t>
  </si>
  <si>
    <t>1.1.1.1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</si>
  <si>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</si>
  <si>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</si>
  <si>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</si>
  <si>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</si>
  <si>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</si>
  <si>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</si>
  <si>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</si>
  <si>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</si>
  <si>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</si>
  <si>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Virement</t>
  </si>
  <si>
    <t>Décharge</t>
  </si>
  <si>
    <t>Travel Subsistence</t>
  </si>
  <si>
    <t>Decharge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</si>
  <si>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</si>
  <si>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</si>
  <si>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</si>
  <si>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</si>
  <si>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</si>
  <si>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2.2</t>
  </si>
  <si>
    <t>4.3</t>
  </si>
  <si>
    <t>5.6</t>
  </si>
  <si>
    <t>4.6</t>
  </si>
  <si>
    <t>Remarque</t>
  </si>
  <si>
    <t>Naftali</t>
  </si>
  <si>
    <t>Transfert</t>
  </si>
  <si>
    <t>Merveille</t>
  </si>
  <si>
    <t>4.2</t>
  </si>
  <si>
    <t>4.4</t>
  </si>
  <si>
    <t>investigation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</si>
  <si>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</si>
  <si>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médias</t>
  </si>
  <si>
    <t>Somme de Spent</t>
  </si>
  <si>
    <t>Reçu caisse/I73X</t>
  </si>
  <si>
    <t>Reçu caisse/I55S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</si>
  <si>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</si>
  <si>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</si>
  <si>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</si>
  <si>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</si>
  <si>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</si>
  <si>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</si>
  <si>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</si>
  <si>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Étiquettes de lignes</t>
  </si>
  <si>
    <t>Total général</t>
  </si>
  <si>
    <t>Étiquettes de colonnes</t>
  </si>
  <si>
    <t>Internet</t>
  </si>
  <si>
    <t>I23c</t>
  </si>
  <si>
    <t xml:space="preserve">Frais de transfert Charden Farell/Geisner </t>
  </si>
  <si>
    <t>Entretien général du jardin bureau PALF</t>
  </si>
  <si>
    <t>T44</t>
  </si>
  <si>
    <t>4.5</t>
  </si>
  <si>
    <t>Achat Billet Dolisie-Brazzaville/Geis</t>
  </si>
  <si>
    <t>Travel subsistence</t>
  </si>
  <si>
    <t>Achat Billet Oyo-Brazzaville/Christian</t>
  </si>
  <si>
    <t>Investigations</t>
  </si>
  <si>
    <t>Reçu caisse/Merveille</t>
  </si>
  <si>
    <t>UE</t>
  </si>
  <si>
    <t>Total Somme de Received</t>
  </si>
  <si>
    <t>Somme de Received</t>
  </si>
  <si>
    <t>Total Somme de Spent</t>
  </si>
  <si>
    <t>DECEMBRE</t>
  </si>
  <si>
    <t>Balance au          01 Décembre 2020</t>
  </si>
  <si>
    <t>Balance au 31 Décembre 2020</t>
  </si>
  <si>
    <t>BALANCE CAISSES ET BANQUE AU 31 Décembre 2020</t>
  </si>
  <si>
    <t>Montant en FCFA Centrale</t>
  </si>
  <si>
    <t>Média</t>
  </si>
  <si>
    <t>Supplément paiement Prime de fin d'année</t>
  </si>
  <si>
    <t>Laywers fees</t>
  </si>
  <si>
    <t>Hérick/Geisner</t>
  </si>
  <si>
    <t>ECF</t>
  </si>
  <si>
    <t>NO WILDLIFE CRIME</t>
  </si>
  <si>
    <t>RAPPORT FINANCIER JANVIER 2021</t>
  </si>
  <si>
    <t>Solde au 31/12/2020</t>
  </si>
  <si>
    <t>Solde au 01/01/2021</t>
  </si>
  <si>
    <t>Retrait especes/appro caisse/bord n°3654417</t>
  </si>
  <si>
    <t>Retrait especes/appro caisse/bord n°3654418</t>
  </si>
  <si>
    <t>Retrait especes/appro caisse/bord n°3654419</t>
  </si>
  <si>
    <t>Bonus medias/evariste/bord 3654420</t>
  </si>
  <si>
    <t>Bonus medias/evariste/bord 3654425</t>
  </si>
  <si>
    <t>Cumul frais bancaire mois de Janvier compte 34/BCI</t>
  </si>
  <si>
    <t xml:space="preserve">Retrait especes/appro caisse/bord n°3654422 </t>
  </si>
  <si>
    <t>Retrait especes/appro caisse/bord  n°3654423</t>
  </si>
  <si>
    <t>Reglement fact Agence pluriel solutions/ loyer PALF Janvier 2021</t>
  </si>
  <si>
    <t xml:space="preserve">Acompte honoraires contrat n°29/Madingou/maitre Séverin </t>
  </si>
  <si>
    <t>Acompte honoraires contrat n°29/maitre NANITELAMIO</t>
  </si>
  <si>
    <t xml:space="preserve">Fond Reçu de USFW </t>
  </si>
  <si>
    <t>Fond Reçu de CIDT</t>
  </si>
  <si>
    <t>Paiement salaire du mois de Janvier 2020/Perrine ODIER/chq n°3643400</t>
  </si>
  <si>
    <t xml:space="preserve">Acompte honoraires contrat n°28/Dolisie/maitre Séverin </t>
  </si>
  <si>
    <t>Paiement salaire du mois de Janvier 2021/P29 NZEBELE/chq n°3643404</t>
  </si>
  <si>
    <t>Paiement salaire du mois de Janvier 2021/ MALONGA MERSY/chq n°3643405</t>
  </si>
  <si>
    <t>Paiement salaire du mois de Janvier 2020/MATOKO Geisner/chq n°3643407</t>
  </si>
  <si>
    <t>Paiement salaire du mois de Janvier  2021/MININGOU Christian/chq n°3643407</t>
  </si>
  <si>
    <t>Paiement salaire du mois de Janvier 2021/IBOUILI CREPIN/chq n°3643408</t>
  </si>
  <si>
    <t>Reglement salaire du mois de Janvier 2021/ KOUENITOUKA TED/chq n°3643409</t>
  </si>
  <si>
    <t>Paiement salaire du mois de Déc 2020/MAHANGA Merveille/chq n°3643410</t>
  </si>
  <si>
    <t>Virement salaire mois Janvier 2021/ TCHICAYA Hérick</t>
  </si>
  <si>
    <t>Virement salaire mois Novembre  2020/ LELOUSSI Evariste</t>
  </si>
  <si>
    <t>Cumul frais bancaire mois de Janvier compte 56/BCI</t>
  </si>
  <si>
    <t>Donation</t>
  </si>
  <si>
    <t>EAGLE-USFWS</t>
  </si>
  <si>
    <t>MTN/Achat carte de recharge Février 2021/Staff PALF/Enqueteures</t>
  </si>
  <si>
    <t>MTN/Achat carte de recharge Février 2021/Staff PALF/Juristes</t>
  </si>
  <si>
    <t>MTN/Achat carte de recharge Février 2021/Staff PALF/Chargé de communication</t>
  </si>
  <si>
    <t>MTN/Achat carte de recharge Février2021/Staff PALF/Managements</t>
  </si>
  <si>
    <t>Airtel/Achat carte de recharge Février 2021/Staff PALF/Enqueteures</t>
  </si>
  <si>
    <t>Airtel/Achat carte de recharge  Février 2021/Staff PALF/Juristes</t>
  </si>
  <si>
    <t>Airtel/Achat carte de recharge  Février 2021/Staff PALF/Chargé de Communication</t>
  </si>
  <si>
    <t>Airtel/Achat carte de recharge  Février 2021/Staff PALF/Managements</t>
  </si>
  <si>
    <t>Reglt CNSS Oct-Nov-Déc20/PALF/Chq n°3643397/P29</t>
  </si>
  <si>
    <t>Reglt CNSS Oct-Nov-Déc  20/PALF/Chq n°3643397/Evariste</t>
  </si>
  <si>
    <t>Reglt CNSS Oct-Nov-Déc20/PALF/Chq n°3643397/Hérick</t>
  </si>
  <si>
    <t>Reglt CNSS Oct-Nov-Déc20/PALF/Chq n°3643397/Jack</t>
  </si>
  <si>
    <t>Reglt CNSS Oct-Nov-Déc20/PALF/Chq n°3643397/Crépin</t>
  </si>
  <si>
    <t>Reglt CNSS Oct-Nov-Déc20/PALF/Chq n°3643397/Ted</t>
  </si>
  <si>
    <t>Reglt CNSS Nov-Déc20/PALF/Chq n°3643397/Merveille</t>
  </si>
  <si>
    <t>Reglt CNSS Déc 20/PALF/Chq n°3643397/Geisner</t>
  </si>
  <si>
    <t>Reglt CNSS Déc 20/PALF/Chq n°3643397/Christian</t>
  </si>
  <si>
    <t>Reglement Facture Internet/mois de Janvier 21/congo telecom</t>
  </si>
  <si>
    <t>Prestation de service/Boucher le trou du portail/bureau/soudeur</t>
  </si>
  <si>
    <t>Crépin/Bonus operation à Brazzaville</t>
  </si>
  <si>
    <t>T44/Bonus operation à Brazzaville</t>
  </si>
  <si>
    <t>I23C/Opération à Brazzaville</t>
  </si>
  <si>
    <t>P29/Opération à Brazzaville</t>
  </si>
  <si>
    <t>Crépin/Opération à Brazzaville</t>
  </si>
  <si>
    <t>Hérick/Opération à Brazzaville</t>
  </si>
  <si>
    <t>Christian/Opération à Brazzaville</t>
  </si>
  <si>
    <t>Frais de mission Maitre severin/Dolisie du 07 au 09/01/21/cais IBONGA Fabrice</t>
  </si>
  <si>
    <t>Frais de transfert Charden Farell/Geisner,I23C,P29 et T44</t>
  </si>
  <si>
    <t>Crepin/Bonus décembre 2020</t>
  </si>
  <si>
    <t>Reglement facture E²C/Novembre-Décembre 2020/bureau PALF</t>
  </si>
  <si>
    <t>Frais de transfert Charden Farell/Hérick</t>
  </si>
  <si>
    <t>Geisner/Bonus décembre 2020</t>
  </si>
  <si>
    <t>Achat 02 cartouches sp311/imprimante RICOH</t>
  </si>
  <si>
    <t>Achat 01 paquets élactiques</t>
  </si>
  <si>
    <t>Hérick/bonus Décembre 2020</t>
  </si>
  <si>
    <t>P29/Bonus décembre 2020</t>
  </si>
  <si>
    <t>Achat lunette de toilette/Bureau PALF</t>
  </si>
  <si>
    <t>Prestation de service/Changement Lunette de toilette</t>
  </si>
  <si>
    <t>Frais de transfert Charden Farell/T44,i23c,P29 et Crépin</t>
  </si>
  <si>
    <t>Frais de mission Maitre severin/Dolisie du 28 au 30/01/21/cas IBONGA Fabrice</t>
  </si>
  <si>
    <t>Reglement prestation Technicienne de Surface mois de Janvier 2021/MFIELO</t>
  </si>
  <si>
    <t>Vidange groupe electrogène(achat filtre à gazoil,achat filtre à huile achat huile moteur+MOD)</t>
  </si>
  <si>
    <t>Achat fournitures de bureau(agrafes,marqueurs,trombone,classeurs)</t>
  </si>
  <si>
    <t xml:space="preserve">Travel expenses </t>
  </si>
  <si>
    <t>Frais  Certificat d'Hebergement de Mme Tiffany</t>
  </si>
  <si>
    <t>Frais Certificat d'Hebergement Mr CHARRON Nicolas</t>
  </si>
  <si>
    <t>Achat 05 cartons RAME papier A4/Bureau</t>
  </si>
  <si>
    <t>Cumul frais transport  local mois de janvier 2021/Jack</t>
  </si>
  <si>
    <t>Achat billet avion Brazzaville-PN/JB</t>
  </si>
  <si>
    <t>Reçu Caisse/Jack-Bénisson</t>
  </si>
  <si>
    <t>Achat billet BZ- Ouesso /Hérick</t>
  </si>
  <si>
    <t>Frais d'hôtel à Ouesso du 11 au 14 janvier/Hérick</t>
  </si>
  <si>
    <t xml:space="preserve">Frais d'établissement de la grosse cas AKOUANGO à Owando </t>
  </si>
  <si>
    <t>Court fees</t>
  </si>
  <si>
    <t>Frais d'hôtel à Owando du 14 au 15 janvier/Hérick</t>
  </si>
  <si>
    <t xml:space="preserve">Frais de transport Owando - Oyo/Hérick </t>
  </si>
  <si>
    <t>Achat Billet Oyo - BZ /Hérick</t>
  </si>
  <si>
    <t>Frais d'hôtel à Oyo du 15 au 17/01/Hérick</t>
  </si>
  <si>
    <t>Food allowance à Ouesso, Owando et Oyo du 11 au 17 janvier/Hérick</t>
  </si>
  <si>
    <t>Cumul frais transport mois de janvier 2021</t>
  </si>
  <si>
    <t>Frais trust building</t>
  </si>
  <si>
    <t>Achat Billet Ouesso - Owando /Hérick</t>
  </si>
  <si>
    <t>Versement à Christian/Hérick</t>
  </si>
  <si>
    <t>Reçu de caisse  Crépin /Hérick</t>
  </si>
  <si>
    <t>Reçu caisse/Hérick</t>
  </si>
  <si>
    <t>Reçu de caisse/Hérick</t>
  </si>
  <si>
    <t>Food allowance mission Djambala-Lekana du 05 au 15 jan/P29</t>
  </si>
  <si>
    <t>Achat billet,Ngo-Djambala/P29</t>
  </si>
  <si>
    <t>Frais de transport Djambala- Ngo/P29</t>
  </si>
  <si>
    <t>Frais de transport Ngo-Brazza,retour mission/P29</t>
  </si>
  <si>
    <t>Achat billet Brazza-Makoua/P19</t>
  </si>
  <si>
    <t>Food allowance mission Makoua-Etoumbi du 20 au 28 jan/P29</t>
  </si>
  <si>
    <t>Frais transport Makoua-Etoumbi/P29</t>
  </si>
  <si>
    <t>Frais transport Etoumbi-Makoua/P29</t>
  </si>
  <si>
    <t>Achat billet Makoua-Brazzaville/P29</t>
  </si>
  <si>
    <t>Cumul frais transport local du 05 au 29/01/2021/P29</t>
  </si>
  <si>
    <t>Cumul frais trust building du 06 au 26 janvier 2021/P29</t>
  </si>
  <si>
    <t>Frais d'hôtel  Ms Lékana/du 11 au 14/01/P29</t>
  </si>
  <si>
    <t xml:space="preserve"> Frais d'hôtel Ms Djambala du 05 au 11/01 et du 14 au 15/01/P29</t>
  </si>
  <si>
    <t xml:space="preserve"> Frais d'hôtel  Ms Etoumbi du 25 au 27/01/P29</t>
  </si>
  <si>
    <t>Frais d'hôtel du 20 au 25/01 et du 27 au 28/01/P29</t>
  </si>
  <si>
    <t>Food allowance mission PN du 5 au 15 janvier 2021/23C</t>
  </si>
  <si>
    <t>Frais de taxi  Ngoyo -Nzassi-Ngoyo péage (Alez et retour )/I23C</t>
  </si>
  <si>
    <t>Food allowance mission Dol-PN du 20 au 28/01/I23C</t>
  </si>
  <si>
    <t>Frais d'impression + scannage documents avenant de contrat/I23C</t>
  </si>
  <si>
    <t>Cumul frais transport local du 01 au 28 Janvier 2021/I23C</t>
  </si>
  <si>
    <t>Cumul frais trust building du 06 au 27 Janvier 2021/I23C</t>
  </si>
  <si>
    <t>Récu de caisse/I23C</t>
  </si>
  <si>
    <t>Frais  d'hôtel Ms P/N du 5 au 15 Janvier 2020/I23C</t>
  </si>
  <si>
    <t>Frais d'Hôtel Ms Dolisie du 20 au 25/I23C</t>
  </si>
  <si>
    <t>Frais d'Hôtel Ms P/N du 25 au 28/01  (Hôtel Delta)/I23C</t>
  </si>
  <si>
    <t>Achat billet brazzaville-ouesso/Christian</t>
  </si>
  <si>
    <t>Food allowance mission du 11 au 17/01/21 à Ouesso,Owando et Oyo/Christian</t>
  </si>
  <si>
    <t>Frais d'hôtel à Ouesso du 11 au 14/01/Christian</t>
  </si>
  <si>
    <t>Frais d'hôtel à Owando du 14 au 15/01/Christian</t>
  </si>
  <si>
    <t>Frais d'hotel à Oyo du 15 au 17/01/21/Christian</t>
  </si>
  <si>
    <t>Achat Billet Ouesso-Owando/Christian</t>
  </si>
  <si>
    <t>Frais de transport Owando-Oyo/Chrostian</t>
  </si>
  <si>
    <t>Achat Billet Brazzaville-Dolisie/Christian</t>
  </si>
  <si>
    <t>Frais d'hôtel mission du 28 au 30/01/2021/Dolisie/Christian</t>
  </si>
  <si>
    <t>Food Allowance mission du 28 au 30/01/21/Dolisie</t>
  </si>
  <si>
    <t>Achat Billet Dolisie-Brazzaville/Christian</t>
  </si>
  <si>
    <t>Cumul frais transport mois de janvier 2021/Christian</t>
  </si>
  <si>
    <t>Cumul frais Jail visits du 04 au 16 Janvier /Christian</t>
  </si>
  <si>
    <t>Recu caisse/Christian</t>
  </si>
  <si>
    <t>Recu caisse Hérick /Christian</t>
  </si>
  <si>
    <t>Achat Billet Brazzaville-Pointe-Noire/Geis</t>
  </si>
  <si>
    <t>Achat Billet Pointe-Noire-Dolisie/Geis</t>
  </si>
  <si>
    <t>Frais d'Hôtel Ms Pointe-Noire du 04 au 07 Janv/Geis</t>
  </si>
  <si>
    <t>Frais d'Hôtel Ms Dolisie du 07 au 10 Janv/Geis</t>
  </si>
  <si>
    <t>Food allowance Mission P/N &amp; Dolisie du 04 au 10 Janv/Geis</t>
  </si>
  <si>
    <t>Frais d'Hôtel Mission Dolisie du 14 au 16 Janv/Geis</t>
  </si>
  <si>
    <t>Food allowance Mission Dolisie du 14 au 16 Janv/Geis</t>
  </si>
  <si>
    <t>Achat billet Brazzavile - Dolisie/Geis</t>
  </si>
  <si>
    <t>Achat billet Dolisie - Brazzaville/Geis</t>
  </si>
  <si>
    <t>Achat Billet Brazzaville-Loudima/Geis</t>
  </si>
  <si>
    <t>Frais de transport Loudima-Sibiti/Geis</t>
  </si>
  <si>
    <t>Frais de transport Sibiti-Loudima-Nkayi/Geis</t>
  </si>
  <si>
    <t>Achat Billet Nkayi-Brazzaville/Geis</t>
  </si>
  <si>
    <t>Frais d'Hôtel Mission Sibiti du 21 au 23 Janv/Geis</t>
  </si>
  <si>
    <t>food allowance Mission Sibiti du 21 au 23 Janv/Geis</t>
  </si>
  <si>
    <t>Food Allowance Mission P/N du 28 Janv au 03 Fev 21/Geis</t>
  </si>
  <si>
    <t>Cumul frais Visite Géôle du 09 au 31/Geis</t>
  </si>
  <si>
    <t>Cumul frais transport local mois de Janvier 21/Geis</t>
  </si>
  <si>
    <t>Récu caisse/Geis</t>
  </si>
  <si>
    <t>Achat billet mission P/Noire (Billet Bzv-PNR)/T44</t>
  </si>
  <si>
    <t>Food allowance mission PN du 5 Jan au 15 jan/T44</t>
  </si>
  <si>
    <t>Frais d'hôtel à P/N du 05 jan au 15 jan /T44</t>
  </si>
  <si>
    <t>Achat billet mission P/Noire (Billet PNR-Bzv)/T44</t>
  </si>
  <si>
    <t>Achat billet mission Owando (Billet Bzv-Owando)/T44</t>
  </si>
  <si>
    <t>Food allowance mission Bzv-Owando-Oyo du 20 Jan au 30 jan/T44</t>
  </si>
  <si>
    <t>Frais d'hôtel du 20 jan au 25 jan à Owando/T44</t>
  </si>
  <si>
    <t>Achat billet Owando-Oyo/T44</t>
  </si>
  <si>
    <t>Frais d'hôtel du 25 jan au 28 jan à Oyo/T44</t>
  </si>
  <si>
    <t>Achat billet Oyo-Brazzaville/T44</t>
  </si>
  <si>
    <t>Cumul frais transport mois de Janvier 2021/T44</t>
  </si>
  <si>
    <t>Cumul frais Ration du 04 au 29 Janvier 21/T44</t>
  </si>
  <si>
    <t>Cumul frais trust building du 08 au 26 Janvier 2021/T44</t>
  </si>
  <si>
    <t>Recu de caisse/T44</t>
  </si>
  <si>
    <t xml:space="preserve">Achat billet airfrance fin de mission </t>
  </si>
  <si>
    <t>Travel Expenses</t>
  </si>
  <si>
    <t xml:space="preserve">Management </t>
  </si>
  <si>
    <t>Achat bagages fin de mission air France</t>
  </si>
  <si>
    <t>Taxi bureau_UE_bureau</t>
  </si>
  <si>
    <t xml:space="preserve">Transport </t>
  </si>
  <si>
    <t>Cumul frais transport local mois de Janvier 21/Merveille</t>
  </si>
  <si>
    <t>Reçu de la caisse</t>
  </si>
  <si>
    <t>Achat Billet Brazzaville-Ouesso/Crépin</t>
  </si>
  <si>
    <t>Frais d'hôtel Mission à Oyo du 19 au 20/01/2021/Crépin</t>
  </si>
  <si>
    <t>Food Allowance Ms Ouesso-Owando &amp; Oyo du 19 au 26/01/21/Crépin</t>
  </si>
  <si>
    <t>Achat Billet Ouesso-Owando/Crépin</t>
  </si>
  <si>
    <t>Frais d'hôtel à Ouesso du 20 au 22/01/2021/Crépin</t>
  </si>
  <si>
    <t>Frais d'hôtel à Owando du 22 au 23/01/2021/Crépin</t>
  </si>
  <si>
    <t>Achat Billet Owando-Oyo/Crépin</t>
  </si>
  <si>
    <t>Frais d'hôtel à Oyo du 23 au 25/01/2021/Crépin</t>
  </si>
  <si>
    <t>Achat Billet Owando-Brazzaville/Crépin</t>
  </si>
  <si>
    <t>Frais d'hôtel à Owando du 25 au 26/01/2021/Crépin</t>
  </si>
  <si>
    <t>Cumul frais Jail visits du 23 au 24 Janvier 2021/Crépin</t>
  </si>
  <si>
    <t>Reçu de la caisse/Crépin</t>
  </si>
  <si>
    <t>Versement  à Hérick</t>
  </si>
  <si>
    <t>Achat papier toilette pour le bureau</t>
  </si>
  <si>
    <t>Cumul frais transport local mois de janvier 21/Evariste</t>
  </si>
  <si>
    <t>Cumul frais transport local mois de Janvier 2021/Ted</t>
  </si>
  <si>
    <t>JANVIER</t>
  </si>
  <si>
    <t>BALANCE CAISSES ET BANQUE AU 31 JANVIER 2021</t>
  </si>
  <si>
    <t>Balance au          01 Janvier 2021</t>
  </si>
  <si>
    <t>Balance au 31 Janvier 2021</t>
  </si>
  <si>
    <t>BALANCE 1 Janvier 2021</t>
  </si>
  <si>
    <t>TOTAL RECU EN Janv</t>
  </si>
  <si>
    <t>TOTAL DEPENSE EN Janv</t>
  </si>
  <si>
    <t>BALANCE 31 Janvier 2021</t>
  </si>
  <si>
    <t>Journal n°01/21</t>
  </si>
  <si>
    <t xml:space="preserve">Report de solde du 01/01/2021 </t>
  </si>
  <si>
    <t>Agios du 31/11/20 au 31/12/2020</t>
  </si>
  <si>
    <t>R</t>
  </si>
  <si>
    <t>Frais bancaire chq N°3654417</t>
  </si>
  <si>
    <t>3654422/3654423</t>
  </si>
  <si>
    <t>Retrait especes/appro caisse/bord n°3654422 et n°3654423</t>
  </si>
  <si>
    <t>Frais bancaire cotisation Web Bank</t>
  </si>
  <si>
    <t>Report de solde du 01/01/2021</t>
  </si>
  <si>
    <t>Agios du 30/11 au 31/12</t>
  </si>
  <si>
    <t>Paiement CNSS Octobre Novembre et Décembre 2020/agent PALF</t>
  </si>
  <si>
    <t>Frais S/VIRT EMIS</t>
  </si>
  <si>
    <t>Achat carte de recharge MTN mois de Février 2021/Staff PALF</t>
  </si>
  <si>
    <t>Achat carte de recharge AIRTEL mois de Février 2021/Staff PALF</t>
  </si>
  <si>
    <t>Total entrée</t>
  </si>
  <si>
    <t>Honoraire I23c Janvier 2021/Chèque N°3643411</t>
  </si>
  <si>
    <t>Report au 01/01/21</t>
  </si>
  <si>
    <t>Frais des certificats médicaux pour 05 agents PALF</t>
  </si>
  <si>
    <t>Paiement Certificat d'Hebergement de mme Tiffany</t>
  </si>
  <si>
    <t>Paiement Certificat d'HebergemenTt monsieur CHARRON Nicolas</t>
  </si>
  <si>
    <t>achat 05 cartons RAME papier A4/Bureau</t>
  </si>
  <si>
    <t>Bonus Décembre 2020/Christian</t>
  </si>
  <si>
    <t>Hérick/Crépin</t>
  </si>
  <si>
    <t>Food allowance Mission P/N du 30 Janv au 6 Février/Jack</t>
  </si>
  <si>
    <t>Cumul frais transport local mois de janvier 2021/Crépin</t>
  </si>
  <si>
    <t xml:space="preserve">4.3 </t>
  </si>
  <si>
    <t xml:space="preserve">Acompte honoraires contrat n°30/Madingou/maitre Séverin </t>
  </si>
  <si>
    <t xml:space="preserve"> Frais d'Hôtel 2 nuitées du 03 au 05/01/P29 A Brazzaville</t>
  </si>
  <si>
    <t>Frais de transport Oyo-Owando/Crépin</t>
  </si>
  <si>
    <t>Frais d'impression + scannage Avenant au contract/I23C</t>
  </si>
  <si>
    <t>Taxi Pointe-Noire -Hinda- Pointe-Noire</t>
  </si>
  <si>
    <t>Achat billet Pointe-Noire Brazzaville)Ms du 05 au 15 Janv/I23C</t>
  </si>
  <si>
    <t>Achat billet BZ-PN /Ms du 05 au 15 Janvier/23C</t>
  </si>
  <si>
    <t>Achat billet BZ-Dolisie / Ms du  20 au 30 Janv /23C</t>
  </si>
  <si>
    <t>Achat billet Dol-PN / Ms  du 20 au 30 Janv/23C</t>
  </si>
  <si>
    <t>Achat billet PN-BZ /Ms du 20 au 30/I23C</t>
  </si>
  <si>
    <t>RALFF-CO1725</t>
  </si>
  <si>
    <t>RALFF-CO1726</t>
  </si>
  <si>
    <t>RALFF-CO1727</t>
  </si>
  <si>
    <t>RALFF-CO1728</t>
  </si>
  <si>
    <t>RALFF-CO1729</t>
  </si>
  <si>
    <t>RALFF-CO1739</t>
  </si>
  <si>
    <t>RALFF-CO1730</t>
  </si>
  <si>
    <t>RALFF-CO1731</t>
  </si>
  <si>
    <t>RALFF-CO1732</t>
  </si>
  <si>
    <t>RALFF-CO1733</t>
  </si>
  <si>
    <t>RALFF-CO1734</t>
  </si>
  <si>
    <t>RALFF-CO1735</t>
  </si>
  <si>
    <t>RALFF-CO1736</t>
  </si>
  <si>
    <t>RALFF-CO1737</t>
  </si>
  <si>
    <t>RALFF-CO1738</t>
  </si>
  <si>
    <t>RALFF-CO1740</t>
  </si>
  <si>
    <t>RALFF-CO1741</t>
  </si>
  <si>
    <t>RALFF-CO1742</t>
  </si>
  <si>
    <t>RALFF-CO1743</t>
  </si>
  <si>
    <t>RALFF-CO1744</t>
  </si>
  <si>
    <t>RALFF-CO1745</t>
  </si>
  <si>
    <t>RALFF-CO1746</t>
  </si>
  <si>
    <t>RALFF-CO1747</t>
  </si>
  <si>
    <t>RALFF-CO1748</t>
  </si>
  <si>
    <t>RALFF-CO1749</t>
  </si>
  <si>
    <t>RALFF-CO1750</t>
  </si>
  <si>
    <t>RALFF-CO1751</t>
  </si>
  <si>
    <t>RALFF-CO1752</t>
  </si>
  <si>
    <t>RALFF-CO1753</t>
  </si>
  <si>
    <t>RALFF-CO1754</t>
  </si>
  <si>
    <t>RALFF-CO1755</t>
  </si>
  <si>
    <t>RALFF-CO1756</t>
  </si>
  <si>
    <t>RALFF-CO1757</t>
  </si>
  <si>
    <t>RALFF-CO1758</t>
  </si>
  <si>
    <t>RALFF-CO1759</t>
  </si>
  <si>
    <t>RALFF-CO1760</t>
  </si>
  <si>
    <t>RALFF-CO1761</t>
  </si>
  <si>
    <t>RALFF-CO1762</t>
  </si>
  <si>
    <t>RALFF-CO1763</t>
  </si>
  <si>
    <t>RALFF-CO1764</t>
  </si>
  <si>
    <t>RALFF-CO1765</t>
  </si>
  <si>
    <t>RALFF-CO1766</t>
  </si>
  <si>
    <t>RALFF-CO1767</t>
  </si>
  <si>
    <t>RALFF-CO1768</t>
  </si>
  <si>
    <t>RALFF-CO1769</t>
  </si>
  <si>
    <t>RALFF-CO1770</t>
  </si>
  <si>
    <t>RALFF-CO1771</t>
  </si>
  <si>
    <t>RALFF-CO1772</t>
  </si>
  <si>
    <t>RALFF-CO1773</t>
  </si>
  <si>
    <t>RALFF-CO1774</t>
  </si>
  <si>
    <t>RALFF-CO1775</t>
  </si>
  <si>
    <t>RALFF-CO1776</t>
  </si>
  <si>
    <t>RALFF-CO1777</t>
  </si>
  <si>
    <t>RALFF-CO1778</t>
  </si>
  <si>
    <t>RALFF-CO1779</t>
  </si>
  <si>
    <t>RALFF-CO1780</t>
  </si>
  <si>
    <t>RALFF-CO1781</t>
  </si>
  <si>
    <t>RALFF-CO1782</t>
  </si>
  <si>
    <t>RALFF-CO1783</t>
  </si>
  <si>
    <t>RALFF-CO1784</t>
  </si>
  <si>
    <t>RALFF-CO1785</t>
  </si>
  <si>
    <t>RALFF-CO1788</t>
  </si>
  <si>
    <t>RALFF-CO1789</t>
  </si>
  <si>
    <t>RALFF-CO1790</t>
  </si>
  <si>
    <t>RALFF-CO1791</t>
  </si>
  <si>
    <t>RALFF-CO1792</t>
  </si>
  <si>
    <t>RALFF-CO1793</t>
  </si>
  <si>
    <t>RALFF-CO1794</t>
  </si>
  <si>
    <t>RALFF-CO1795</t>
  </si>
  <si>
    <t>RALFF-CO1796</t>
  </si>
  <si>
    <t>RALFF-CO1797</t>
  </si>
  <si>
    <t>RALFF-CO1798</t>
  </si>
  <si>
    <t>RALFF-CO1799</t>
  </si>
  <si>
    <t>RALFF-CO1800</t>
  </si>
  <si>
    <t>RALFF-CO1801</t>
  </si>
  <si>
    <t>RALFF-CO1802</t>
  </si>
  <si>
    <t>RALFF-CO1803</t>
  </si>
  <si>
    <t>RALFF-CO1804</t>
  </si>
  <si>
    <t>RALFF-CO1805</t>
  </si>
  <si>
    <t>RALFF-CO1806</t>
  </si>
  <si>
    <t>RALFF-CO1807</t>
  </si>
  <si>
    <t>RALFF-CO1808</t>
  </si>
  <si>
    <t>RALFF-CO1809</t>
  </si>
  <si>
    <t>RALFF-CO1810</t>
  </si>
  <si>
    <t>RALFF-CO1811</t>
  </si>
  <si>
    <t>RALFF-CO1812</t>
  </si>
  <si>
    <t>RALFF-CO1813</t>
  </si>
  <si>
    <t>RALFF-CO1814</t>
  </si>
  <si>
    <t>RALFF-CO1815</t>
  </si>
  <si>
    <t>RALFF-CO1816</t>
  </si>
  <si>
    <t>RALFF-CO1817</t>
  </si>
  <si>
    <t>RALFF-CO1818</t>
  </si>
  <si>
    <t>RALFF-CO1820</t>
  </si>
  <si>
    <t>RALFF-CO1821</t>
  </si>
  <si>
    <t>RALFF-CO1822</t>
  </si>
  <si>
    <t>RALFF-CO1823</t>
  </si>
  <si>
    <t>RALFF-CO1824</t>
  </si>
  <si>
    <t>RALFF-CO1819</t>
  </si>
  <si>
    <t>RALFF-CO1825</t>
  </si>
  <si>
    <t>RALFF-CO1826</t>
  </si>
  <si>
    <t>RALFF-CO1827</t>
  </si>
  <si>
    <t>RALFF-CO1828</t>
  </si>
  <si>
    <t>RALFF-CO1829</t>
  </si>
  <si>
    <t>RALFF-CO1830</t>
  </si>
  <si>
    <t>RALFF-CO1833</t>
  </si>
  <si>
    <t>RALFF-CO1834</t>
  </si>
  <si>
    <t>RALFF-CO1835</t>
  </si>
  <si>
    <t>RALFF-CO1836</t>
  </si>
  <si>
    <t>RALFF-CO1837</t>
  </si>
  <si>
    <t>RALFF-CO1838</t>
  </si>
  <si>
    <t>RALFF-CO1839</t>
  </si>
  <si>
    <t>RALFF-CO1840</t>
  </si>
  <si>
    <t>RALFF-CO1841</t>
  </si>
  <si>
    <t>RALFF-CO1842</t>
  </si>
  <si>
    <t>RALFF-CO1843</t>
  </si>
  <si>
    <t>RALFF-CO1844</t>
  </si>
  <si>
    <t>RALFF-CO1845</t>
  </si>
  <si>
    <t>RALFF-CO1846</t>
  </si>
  <si>
    <t>RALFF-CO1847</t>
  </si>
  <si>
    <t>RALFF-CO1848</t>
  </si>
  <si>
    <t>RALFF-CO1849</t>
  </si>
  <si>
    <t>RALFF-CO1850</t>
  </si>
  <si>
    <t>RALFF-CO1851</t>
  </si>
  <si>
    <t>RALFF-CO1852</t>
  </si>
  <si>
    <t>RALFF-CO1853</t>
  </si>
  <si>
    <t>RALFF-CO1854</t>
  </si>
  <si>
    <t>RALFF-CO1855</t>
  </si>
  <si>
    <t>RALFF-CO1856</t>
  </si>
  <si>
    <t>RALFF-CO1857</t>
  </si>
  <si>
    <t>RALFF-CO1858</t>
  </si>
  <si>
    <t>RALFF-CO1859</t>
  </si>
  <si>
    <t>RALFF-CO1860</t>
  </si>
  <si>
    <t>RALFF-CO1861</t>
  </si>
  <si>
    <t>Paiement salaire du mois de Janvier 2021/NZEBELE Bourgeois/chq n°3643404</t>
  </si>
  <si>
    <t>RALFF-CO1831</t>
  </si>
  <si>
    <t>RALFF-CO1832</t>
  </si>
  <si>
    <t>Operations</t>
  </si>
  <si>
    <t>Frais de mission Maitre severin/Madingou du 13 au 16/01/21/Cas KIGNOUMBA Rufin et Autres</t>
  </si>
  <si>
    <t>Frais de mission Maitre severin/Dolisie du 28 au 30/01/21/cas IBONGA Fabrice Et Autres</t>
  </si>
  <si>
    <t>Flight</t>
  </si>
  <si>
    <t>CCU</t>
  </si>
  <si>
    <t>ONEMO: frais de visite pour 1 certfificats medicaux (Bourgeois)</t>
  </si>
  <si>
    <t>ONEMO: frais de visite pour 2 certfificats medicaux (Ted, Merveille)</t>
  </si>
  <si>
    <t>ONEMO: frais de visite pour 2 certfificats medicaux (Christian et Geisner)</t>
  </si>
  <si>
    <t>carburant gendarmerie  (opération Evariste et Arsène à BZ)</t>
  </si>
  <si>
    <t>Bonus 12 gendarmes (opération Evariste et Arsène à BZ)</t>
  </si>
</sst>
</file>

<file path=xl/styles.xml><?xml version="1.0" encoding="utf-8"?>
<styleSheet xmlns="http://schemas.openxmlformats.org/spreadsheetml/2006/main">
  <numFmts count="11">
    <numFmt numFmtId="43" formatCode="_-* #,##0.00\ _€_-;\-* #,##0.00\ _€_-;_-* &quot;-&quot;??\ _€_-;_-@_-"/>
    <numFmt numFmtId="164" formatCode="_-* #,##0\ _F_C_F_A_-;\-* #,##0\ _F_C_F_A_-;_-* &quot;-&quot;\ _F_C_F_A_-;_-@_-"/>
    <numFmt numFmtId="165" formatCode="d/m/yy;@"/>
    <numFmt numFmtId="166" formatCode="_-* #,##0\ _€_-;\-* #,##0\ _€_-;_-* &quot;-&quot;??\ _€_-;_-@_-"/>
    <numFmt numFmtId="167" formatCode="#,##0\ &quot;F&quot;;[Red]#,##0\ &quot;F&quot;"/>
    <numFmt numFmtId="168" formatCode="[$-40C]d\-mmm;@"/>
    <numFmt numFmtId="169" formatCode="_-* #,##0\ _€_-;\-* #,##0\ _€_-;_-* &quot;-&quot;??\ _€_-;_-@"/>
    <numFmt numFmtId="170" formatCode="[$-409]d\-mmm\-yy;@"/>
    <numFmt numFmtId="171" formatCode="_-* #,##0.0\ _€_-;\-* #,##0.0\ _€_-;_-* &quot;-&quot;??\ _€_-;_-@_-"/>
    <numFmt numFmtId="172" formatCode="#,##0\ &quot;€&quot;"/>
    <numFmt numFmtId="173" formatCode="#,##0_ ;\-#,##0\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rgb="FF92D050"/>
      <name val="Arial Narrow"/>
      <family val="2"/>
    </font>
    <font>
      <b/>
      <sz val="9"/>
      <name val="Arial Narrow"/>
      <family val="2"/>
    </font>
    <font>
      <b/>
      <sz val="9"/>
      <color rgb="FF92D050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i/>
      <u/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1"/>
      <color rgb="FF000000"/>
      <name val="Arial"/>
      <family val="2"/>
    </font>
    <font>
      <i/>
      <sz val="11"/>
      <color indexed="10"/>
      <name val="Arial"/>
      <family val="2"/>
    </font>
    <font>
      <sz val="11"/>
      <name val="Times New Roman"/>
      <family val="1"/>
    </font>
    <font>
      <sz val="10"/>
      <color rgb="FFFF0000"/>
      <name val="Arial Narrow"/>
      <family val="2"/>
    </font>
    <font>
      <b/>
      <sz val="11"/>
      <color rgb="FFFF0000"/>
      <name val="Arial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b/>
      <sz val="10"/>
      <color indexed="8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92D050"/>
      <name val="Arial Narrow"/>
      <family val="2"/>
    </font>
    <font>
      <b/>
      <sz val="10"/>
      <color rgb="FF92D050"/>
      <name val="Arial Narrow"/>
      <family val="2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9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8" tint="-0.249977111117893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8" fillId="0" borderId="0"/>
    <xf numFmtId="164" fontId="1" fillId="0" borderId="0" applyFont="0" applyFill="0" applyBorder="0" applyAlignment="0" applyProtection="0"/>
  </cellStyleXfs>
  <cellXfs count="695">
    <xf numFmtId="0" fontId="0" fillId="0" borderId="0" xfId="0"/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0" fontId="3" fillId="0" borderId="0" xfId="0" applyFont="1"/>
    <xf numFmtId="166" fontId="4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167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66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/>
    <xf numFmtId="166" fontId="0" fillId="0" borderId="0" xfId="0" applyNumberFormat="1" applyBorder="1"/>
    <xf numFmtId="0" fontId="0" fillId="0" borderId="1" xfId="0" applyBorder="1"/>
    <xf numFmtId="0" fontId="0" fillId="0" borderId="0" xfId="0" applyFill="1" applyBorder="1"/>
    <xf numFmtId="0" fontId="3" fillId="0" borderId="3" xfId="0" applyFont="1" applyBorder="1"/>
    <xf numFmtId="0" fontId="5" fillId="2" borderId="3" xfId="0" applyFont="1" applyFill="1" applyBorder="1"/>
    <xf numFmtId="0" fontId="3" fillId="0" borderId="1" xfId="0" applyFont="1" applyBorder="1"/>
    <xf numFmtId="0" fontId="5" fillId="2" borderId="1" xfId="0" applyFont="1" applyFill="1" applyBorder="1"/>
    <xf numFmtId="166" fontId="5" fillId="2" borderId="1" xfId="1" applyNumberFormat="1" applyFont="1" applyFill="1" applyBorder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6" fontId="0" fillId="0" borderId="0" xfId="0" applyNumberFormat="1"/>
    <xf numFmtId="168" fontId="11" fillId="0" borderId="1" xfId="2" applyNumberFormat="1" applyFont="1" applyBorder="1"/>
    <xf numFmtId="0" fontId="3" fillId="0" borderId="1" xfId="0" applyFont="1" applyFill="1" applyBorder="1"/>
    <xf numFmtId="166" fontId="3" fillId="0" borderId="1" xfId="1" applyNumberFormat="1" applyFont="1" applyFill="1" applyBorder="1"/>
    <xf numFmtId="166" fontId="6" fillId="0" borderId="0" xfId="1" applyNumberFormat="1" applyFont="1" applyFill="1"/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15" fillId="0" borderId="0" xfId="0" applyNumberFormat="1" applyFont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7" fillId="0" borderId="0" xfId="0" applyFont="1"/>
    <xf numFmtId="0" fontId="14" fillId="4" borderId="2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166" fontId="0" fillId="0" borderId="0" xfId="1" applyNumberFormat="1" applyFont="1"/>
    <xf numFmtId="14" fontId="14" fillId="5" borderId="31" xfId="0" applyNumberFormat="1" applyFont="1" applyFill="1" applyBorder="1" applyAlignment="1">
      <alignment horizontal="center" vertical="center"/>
    </xf>
    <xf numFmtId="166" fontId="14" fillId="5" borderId="4" xfId="1" applyNumberFormat="1" applyFont="1" applyFill="1" applyBorder="1" applyAlignment="1">
      <alignment vertical="center"/>
    </xf>
    <xf numFmtId="14" fontId="14" fillId="4" borderId="2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3" fontId="17" fillId="4" borderId="4" xfId="0" applyNumberFormat="1" applyFont="1" applyFill="1" applyBorder="1" applyAlignment="1">
      <alignment vertical="center"/>
    </xf>
    <xf numFmtId="3" fontId="14" fillId="4" borderId="21" xfId="0" applyNumberFormat="1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3" fontId="14" fillId="5" borderId="4" xfId="0" applyNumberFormat="1" applyFont="1" applyFill="1" applyBorder="1" applyAlignment="1">
      <alignment vertical="center"/>
    </xf>
    <xf numFmtId="3" fontId="17" fillId="5" borderId="23" xfId="0" applyNumberFormat="1" applyFont="1" applyFill="1" applyBorder="1" applyAlignment="1">
      <alignment vertical="center"/>
    </xf>
    <xf numFmtId="14" fontId="19" fillId="5" borderId="11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3" fontId="19" fillId="5" borderId="11" xfId="0" applyNumberFormat="1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3" fontId="19" fillId="5" borderId="4" xfId="0" applyNumberFormat="1" applyFont="1" applyFill="1" applyBorder="1" applyAlignment="1">
      <alignment vertical="center"/>
    </xf>
    <xf numFmtId="14" fontId="14" fillId="5" borderId="11" xfId="0" applyNumberFormat="1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3" fontId="21" fillId="4" borderId="32" xfId="0" applyNumberFormat="1" applyFont="1" applyFill="1" applyBorder="1" applyAlignment="1">
      <alignment vertical="center"/>
    </xf>
    <xf numFmtId="14" fontId="15" fillId="5" borderId="31" xfId="0" applyNumberFormat="1" applyFont="1" applyFill="1" applyBorder="1" applyAlignment="1">
      <alignment horizontal="center" vertical="center"/>
    </xf>
    <xf numFmtId="3" fontId="21" fillId="5" borderId="32" xfId="0" applyNumberFormat="1" applyFont="1" applyFill="1" applyBorder="1" applyAlignment="1">
      <alignment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vertical="center"/>
    </xf>
    <xf numFmtId="0" fontId="18" fillId="5" borderId="35" xfId="0" applyFont="1" applyFill="1" applyBorder="1" applyAlignment="1">
      <alignment vertical="center"/>
    </xf>
    <xf numFmtId="3" fontId="14" fillId="5" borderId="34" xfId="0" applyNumberFormat="1" applyFont="1" applyFill="1" applyBorder="1" applyAlignment="1">
      <alignment vertical="center"/>
    </xf>
    <xf numFmtId="0" fontId="14" fillId="5" borderId="38" xfId="0" applyFont="1" applyFill="1" applyBorder="1" applyAlignment="1">
      <alignment vertical="center"/>
    </xf>
    <xf numFmtId="3" fontId="17" fillId="3" borderId="39" xfId="0" applyNumberFormat="1" applyFont="1" applyFill="1" applyBorder="1" applyAlignment="1">
      <alignment horizontal="center" vertical="center"/>
    </xf>
    <xf numFmtId="3" fontId="17" fillId="3" borderId="4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NumberFormat="1" applyFont="1" applyBorder="1"/>
    <xf numFmtId="0" fontId="12" fillId="0" borderId="0" xfId="0" applyFont="1"/>
    <xf numFmtId="0" fontId="14" fillId="4" borderId="0" xfId="0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 vertical="center"/>
    </xf>
    <xf numFmtId="3" fontId="14" fillId="5" borderId="0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166" fontId="26" fillId="0" borderId="1" xfId="1" applyNumberFormat="1" applyFont="1" applyBorder="1"/>
    <xf numFmtId="0" fontId="0" fillId="0" borderId="0" xfId="0" applyFill="1" applyAlignment="1"/>
    <xf numFmtId="166" fontId="0" fillId="0" borderId="0" xfId="1" applyNumberFormat="1" applyFont="1" applyFill="1" applyProtection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166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9" fillId="7" borderId="1" xfId="3" applyNumberFormat="1" applyFont="1" applyFill="1" applyBorder="1"/>
    <xf numFmtId="0" fontId="29" fillId="7" borderId="1" xfId="3" applyFont="1" applyFill="1" applyBorder="1"/>
    <xf numFmtId="0" fontId="30" fillId="0" borderId="1" xfId="0" applyFont="1" applyFill="1" applyBorder="1" applyAlignment="1"/>
    <xf numFmtId="166" fontId="0" fillId="0" borderId="0" xfId="0" applyNumberFormat="1" applyAlignment="1">
      <alignment vertical="center"/>
    </xf>
    <xf numFmtId="0" fontId="30" fillId="0" borderId="0" xfId="0" applyFont="1" applyFill="1" applyBorder="1" applyAlignment="1"/>
    <xf numFmtId="0" fontId="31" fillId="0" borderId="0" xfId="0" applyFont="1" applyBorder="1" applyAlignment="1">
      <alignment vertical="center"/>
    </xf>
    <xf numFmtId="166" fontId="32" fillId="0" borderId="0" xfId="1" applyNumberFormat="1" applyFont="1" applyBorder="1" applyProtection="1">
      <protection locked="0"/>
    </xf>
    <xf numFmtId="166" fontId="33" fillId="0" borderId="0" xfId="1" applyNumberFormat="1" applyFont="1" applyBorder="1" applyProtection="1">
      <protection locked="0"/>
    </xf>
    <xf numFmtId="166" fontId="30" fillId="0" borderId="0" xfId="0" applyNumberFormat="1" applyFont="1" applyFill="1" applyBorder="1" applyAlignment="1"/>
    <xf numFmtId="166" fontId="31" fillId="0" borderId="0" xfId="0" applyNumberFormat="1" applyFont="1" applyBorder="1" applyAlignment="1">
      <alignment vertical="center"/>
    </xf>
    <xf numFmtId="0" fontId="34" fillId="0" borderId="0" xfId="0" applyFont="1" applyAlignment="1"/>
    <xf numFmtId="0" fontId="8" fillId="0" borderId="0" xfId="0" applyFont="1" applyAlignment="1"/>
    <xf numFmtId="0" fontId="9" fillId="8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Alignment="1"/>
    <xf numFmtId="166" fontId="8" fillId="0" borderId="0" xfId="1" applyNumberFormat="1" applyFont="1" applyFill="1" applyProtection="1"/>
    <xf numFmtId="166" fontId="9" fillId="0" borderId="3" xfId="1" applyNumberFormat="1" applyFont="1" applyFill="1" applyBorder="1" applyAlignment="1" applyProtection="1">
      <alignment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8" fillId="11" borderId="5" xfId="1" applyNumberFormat="1" applyFont="1" applyFill="1" applyBorder="1" applyAlignment="1" applyProtection="1">
      <alignment horizontal="center" vertical="center"/>
    </xf>
    <xf numFmtId="0" fontId="36" fillId="11" borderId="6" xfId="0" applyFont="1" applyFill="1" applyBorder="1" applyAlignment="1"/>
    <xf numFmtId="166" fontId="8" fillId="11" borderId="6" xfId="1" applyNumberFormat="1" applyFont="1" applyFill="1" applyBorder="1" applyProtection="1"/>
    <xf numFmtId="166" fontId="8" fillId="11" borderId="6" xfId="0" applyNumberFormat="1" applyFont="1" applyFill="1" applyBorder="1" applyAlignment="1"/>
    <xf numFmtId="166" fontId="8" fillId="0" borderId="3" xfId="1" applyNumberFormat="1" applyFont="1" applyBorder="1" applyProtection="1"/>
    <xf numFmtId="166" fontId="0" fillId="0" borderId="1" xfId="1" applyNumberFormat="1" applyFont="1" applyFill="1" applyBorder="1" applyProtection="1"/>
    <xf numFmtId="166" fontId="8" fillId="0" borderId="7" xfId="1" applyNumberFormat="1" applyFont="1" applyFill="1" applyBorder="1" applyProtection="1"/>
    <xf numFmtId="166" fontId="8" fillId="0" borderId="1" xfId="0" applyNumberFormat="1" applyFont="1" applyFill="1" applyBorder="1" applyAlignment="1"/>
    <xf numFmtId="166" fontId="8" fillId="0" borderId="1" xfId="1" applyNumberFormat="1" applyFont="1" applyFill="1" applyBorder="1" applyProtection="1"/>
    <xf numFmtId="166" fontId="37" fillId="0" borderId="1" xfId="1" applyNumberFormat="1" applyFont="1" applyFill="1" applyBorder="1" applyProtection="1"/>
    <xf numFmtId="166" fontId="1" fillId="0" borderId="1" xfId="1" applyNumberFormat="1" applyFont="1" applyFill="1" applyBorder="1" applyProtection="1"/>
    <xf numFmtId="166" fontId="9" fillId="11" borderId="5" xfId="1" applyNumberFormat="1" applyFont="1" applyFill="1" applyBorder="1" applyAlignment="1" applyProtection="1">
      <alignment horizontal="left"/>
    </xf>
    <xf numFmtId="166" fontId="9" fillId="11" borderId="6" xfId="1" applyNumberFormat="1" applyFont="1" applyFill="1" applyBorder="1" applyAlignment="1" applyProtection="1">
      <alignment horizontal="left"/>
    </xf>
    <xf numFmtId="166" fontId="8" fillId="11" borderId="1" xfId="0" applyNumberFormat="1" applyFont="1" applyFill="1" applyBorder="1" applyAlignment="1"/>
    <xf numFmtId="0" fontId="9" fillId="0" borderId="5" xfId="0" applyFont="1" applyFill="1" applyBorder="1" applyAlignment="1"/>
    <xf numFmtId="166" fontId="8" fillId="0" borderId="1" xfId="1" applyNumberFormat="1" applyFont="1" applyFill="1" applyBorder="1" applyAlignment="1" applyProtection="1"/>
    <xf numFmtId="166" fontId="8" fillId="0" borderId="7" xfId="1" applyNumberFormat="1" applyFont="1" applyBorder="1" applyProtection="1"/>
    <xf numFmtId="166" fontId="38" fillId="0" borderId="1" xfId="1" applyNumberFormat="1" applyFont="1" applyBorder="1" applyProtection="1"/>
    <xf numFmtId="166" fontId="38" fillId="0" borderId="0" xfId="1" applyNumberFormat="1" applyFont="1" applyProtection="1"/>
    <xf numFmtId="166" fontId="28" fillId="0" borderId="1" xfId="0" applyNumberFormat="1" applyFont="1" applyBorder="1" applyAlignment="1"/>
    <xf numFmtId="0" fontId="36" fillId="11" borderId="5" xfId="0" applyFont="1" applyFill="1" applyBorder="1" applyAlignment="1"/>
    <xf numFmtId="166" fontId="0" fillId="0" borderId="1" xfId="1" applyNumberFormat="1" applyFont="1" applyBorder="1" applyProtection="1"/>
    <xf numFmtId="166" fontId="8" fillId="0" borderId="1" xfId="0" applyNumberFormat="1" applyFont="1" applyBorder="1" applyAlignment="1"/>
    <xf numFmtId="0" fontId="2" fillId="12" borderId="1" xfId="0" applyFont="1" applyFill="1" applyBorder="1"/>
    <xf numFmtId="166" fontId="2" fillId="12" borderId="1" xfId="1" applyNumberFormat="1" applyFont="1" applyFill="1" applyBorder="1"/>
    <xf numFmtId="0" fontId="0" fillId="6" borderId="1" xfId="0" applyFill="1" applyBorder="1"/>
    <xf numFmtId="166" fontId="0" fillId="6" borderId="1" xfId="1" applyNumberFormat="1" applyFont="1" applyFill="1" applyBorder="1"/>
    <xf numFmtId="0" fontId="0" fillId="6" borderId="0" xfId="0" applyFill="1"/>
    <xf numFmtId="0" fontId="2" fillId="0" borderId="1" xfId="0" applyFont="1" applyFill="1" applyBorder="1"/>
    <xf numFmtId="166" fontId="41" fillId="0" borderId="0" xfId="0" applyNumberFormat="1" applyFont="1"/>
    <xf numFmtId="0" fontId="41" fillId="0" borderId="0" xfId="0" applyFont="1"/>
    <xf numFmtId="166" fontId="12" fillId="0" borderId="0" xfId="0" applyNumberFormat="1" applyFont="1"/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6" fontId="34" fillId="0" borderId="7" xfId="1" applyNumberFormat="1" applyFont="1" applyBorder="1" applyProtection="1"/>
    <xf numFmtId="166" fontId="37" fillId="0" borderId="7" xfId="1" applyNumberFormat="1" applyFont="1" applyBorder="1" applyProtection="1"/>
    <xf numFmtId="166" fontId="37" fillId="0" borderId="1" xfId="1" applyNumberFormat="1" applyFont="1" applyBorder="1" applyAlignment="1" applyProtection="1">
      <alignment vertical="center"/>
    </xf>
    <xf numFmtId="166" fontId="37" fillId="6" borderId="1" xfId="1" applyNumberFormat="1" applyFont="1" applyFill="1" applyBorder="1" applyProtection="1"/>
    <xf numFmtId="166" fontId="26" fillId="0" borderId="3" xfId="1" applyNumberFormat="1" applyFont="1" applyFill="1" applyBorder="1" applyProtection="1"/>
    <xf numFmtId="166" fontId="37" fillId="6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Protection="1"/>
    <xf numFmtId="166" fontId="37" fillId="0" borderId="1" xfId="1" applyNumberFormat="1" applyFont="1" applyFill="1" applyBorder="1" applyAlignment="1" applyProtection="1">
      <alignment horizontal="center" vertical="center"/>
    </xf>
    <xf numFmtId="166" fontId="24" fillId="0" borderId="7" xfId="1" applyNumberFormat="1" applyFont="1" applyFill="1" applyBorder="1" applyProtection="1"/>
    <xf numFmtId="166" fontId="42" fillId="0" borderId="0" xfId="1" applyNumberFormat="1" applyFont="1" applyBorder="1" applyProtection="1">
      <protection locked="0"/>
    </xf>
    <xf numFmtId="0" fontId="10" fillId="0" borderId="1" xfId="0" applyFont="1" applyFill="1" applyBorder="1" applyAlignment="1"/>
    <xf numFmtId="0" fontId="43" fillId="0" borderId="1" xfId="0" applyFont="1" applyBorder="1" applyAlignment="1">
      <alignment vertical="center"/>
    </xf>
    <xf numFmtId="166" fontId="44" fillId="0" borderId="1" xfId="1" applyNumberFormat="1" applyFont="1" applyBorder="1" applyProtection="1">
      <protection locked="0"/>
    </xf>
    <xf numFmtId="166" fontId="45" fillId="0" borderId="1" xfId="1" applyNumberFormat="1" applyFont="1" applyBorder="1" applyProtection="1">
      <protection locked="0"/>
    </xf>
    <xf numFmtId="0" fontId="12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1" borderId="1" xfId="0" applyFill="1" applyBorder="1" applyAlignment="1">
      <alignment vertical="center"/>
    </xf>
    <xf numFmtId="3" fontId="0" fillId="11" borderId="1" xfId="0" applyNumberForma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6" fillId="0" borderId="0" xfId="0" applyFont="1" applyFill="1" applyBorder="1" applyAlignment="1"/>
    <xf numFmtId="0" fontId="48" fillId="0" borderId="0" xfId="0" applyFont="1" applyAlignment="1">
      <alignment vertic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3" fillId="0" borderId="3" xfId="1" applyNumberFormat="1" applyFont="1" applyFill="1" applyBorder="1"/>
    <xf numFmtId="0" fontId="26" fillId="0" borderId="1" xfId="0" applyFont="1" applyBorder="1"/>
    <xf numFmtId="166" fontId="3" fillId="0" borderId="2" xfId="1" applyNumberFormat="1" applyFont="1" applyFill="1" applyBorder="1"/>
    <xf numFmtId="0" fontId="15" fillId="4" borderId="41" xfId="0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vertical="center"/>
    </xf>
    <xf numFmtId="14" fontId="14" fillId="5" borderId="4" xfId="0" applyNumberFormat="1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left"/>
    </xf>
    <xf numFmtId="14" fontId="25" fillId="5" borderId="4" xfId="0" applyNumberFormat="1" applyFont="1" applyFill="1" applyBorder="1" applyAlignment="1">
      <alignment horizontal="center" vertical="center"/>
    </xf>
    <xf numFmtId="0" fontId="9" fillId="14" borderId="4" xfId="0" applyFont="1" applyFill="1" applyBorder="1"/>
    <xf numFmtId="3" fontId="25" fillId="14" borderId="4" xfId="0" applyNumberFormat="1" applyFont="1" applyFill="1" applyBorder="1" applyAlignment="1">
      <alignment vertical="center"/>
    </xf>
    <xf numFmtId="3" fontId="17" fillId="4" borderId="3" xfId="0" applyNumberFormat="1" applyFont="1" applyFill="1" applyBorder="1" applyAlignment="1">
      <alignment vertical="center"/>
    </xf>
    <xf numFmtId="3" fontId="21" fillId="4" borderId="43" xfId="0" applyNumberFormat="1" applyFont="1" applyFill="1" applyBorder="1" applyAlignment="1">
      <alignment vertical="center"/>
    </xf>
    <xf numFmtId="14" fontId="15" fillId="5" borderId="4" xfId="0" applyNumberFormat="1" applyFont="1" applyFill="1" applyBorder="1" applyAlignment="1">
      <alignment horizontal="center" vertical="center"/>
    </xf>
    <xf numFmtId="3" fontId="21" fillId="5" borderId="44" xfId="0" applyNumberFormat="1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/>
    <xf numFmtId="14" fontId="39" fillId="0" borderId="0" xfId="0" applyNumberFormat="1" applyFont="1" applyFill="1" applyBorder="1"/>
    <xf numFmtId="0" fontId="16" fillId="0" borderId="1" xfId="0" applyFont="1" applyBorder="1"/>
    <xf numFmtId="166" fontId="2" fillId="0" borderId="1" xfId="1" applyNumberFormat="1" applyFont="1" applyFill="1" applyBorder="1"/>
    <xf numFmtId="166" fontId="16" fillId="0" borderId="1" xfId="1" applyNumberFormat="1" applyFont="1" applyFill="1" applyBorder="1"/>
    <xf numFmtId="0" fontId="2" fillId="0" borderId="1" xfId="0" applyFont="1" applyBorder="1"/>
    <xf numFmtId="0" fontId="40" fillId="0" borderId="1" xfId="0" applyFont="1" applyFill="1" applyBorder="1"/>
    <xf numFmtId="0" fontId="0" fillId="0" borderId="1" xfId="0" applyFill="1" applyBorder="1"/>
    <xf numFmtId="166" fontId="0" fillId="0" borderId="1" xfId="1" applyNumberFormat="1" applyFont="1" applyFill="1" applyBorder="1"/>
    <xf numFmtId="166" fontId="40" fillId="0" borderId="1" xfId="1" applyNumberFormat="1" applyFont="1" applyFill="1" applyBorder="1"/>
    <xf numFmtId="166" fontId="0" fillId="0" borderId="0" xfId="0" applyNumberFormat="1" applyFill="1"/>
    <xf numFmtId="0" fontId="0" fillId="0" borderId="1" xfId="0" applyFont="1" applyFill="1" applyBorder="1"/>
    <xf numFmtId="0" fontId="40" fillId="0" borderId="1" xfId="0" applyFont="1" applyBorder="1"/>
    <xf numFmtId="166" fontId="2" fillId="0" borderId="0" xfId="0" applyNumberFormat="1" applyFont="1" applyFill="1"/>
    <xf numFmtId="166" fontId="40" fillId="0" borderId="3" xfId="1" applyNumberFormat="1" applyFont="1" applyFill="1" applyBorder="1"/>
    <xf numFmtId="0" fontId="0" fillId="0" borderId="3" xfId="0" applyFill="1" applyBorder="1"/>
    <xf numFmtId="0" fontId="0" fillId="6" borderId="1" xfId="0" applyFont="1" applyFill="1" applyBorder="1"/>
    <xf numFmtId="0" fontId="2" fillId="12" borderId="0" xfId="0" applyFont="1" applyFill="1"/>
    <xf numFmtId="14" fontId="39" fillId="14" borderId="1" xfId="0" applyNumberFormat="1" applyFont="1" applyFill="1" applyBorder="1"/>
    <xf numFmtId="0" fontId="0" fillId="12" borderId="1" xfId="0" applyFill="1" applyBorder="1"/>
    <xf numFmtId="14" fontId="46" fillId="0" borderId="0" xfId="0" applyNumberFormat="1" applyFont="1" applyFill="1" applyBorder="1"/>
    <xf numFmtId="0" fontId="12" fillId="0" borderId="0" xfId="0" applyFont="1" applyFill="1" applyAlignment="1"/>
    <xf numFmtId="0" fontId="9" fillId="16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5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6" fontId="8" fillId="0" borderId="0" xfId="1" applyNumberFormat="1" applyFont="1" applyFill="1" applyBorder="1" applyProtection="1"/>
    <xf numFmtId="166" fontId="8" fillId="20" borderId="5" xfId="1" applyNumberFormat="1" applyFont="1" applyFill="1" applyBorder="1" applyAlignment="1" applyProtection="1">
      <alignment horizontal="center" vertical="center"/>
    </xf>
    <xf numFmtId="0" fontId="36" fillId="20" borderId="6" xfId="0" applyFont="1" applyFill="1" applyBorder="1" applyAlignment="1"/>
    <xf numFmtId="166" fontId="8" fillId="20" borderId="6" xfId="1" applyNumberFormat="1" applyFont="1" applyFill="1" applyBorder="1" applyProtection="1"/>
    <xf numFmtId="166" fontId="8" fillId="20" borderId="6" xfId="0" applyNumberFormat="1" applyFont="1" applyFill="1" applyBorder="1" applyAlignment="1"/>
    <xf numFmtId="166" fontId="8" fillId="0" borderId="3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51" fillId="0" borderId="1" xfId="1" applyNumberFormat="1" applyFont="1" applyFill="1" applyBorder="1" applyAlignment="1" applyProtection="1">
      <alignment horizontal="center" vertical="center"/>
    </xf>
    <xf numFmtId="166" fontId="44" fillId="0" borderId="1" xfId="1" applyNumberFormat="1" applyFont="1" applyFill="1" applyBorder="1" applyProtection="1"/>
    <xf numFmtId="166" fontId="51" fillId="0" borderId="1" xfId="1" applyNumberFormat="1" applyFont="1" applyFill="1" applyBorder="1" applyProtection="1"/>
    <xf numFmtId="166" fontId="44" fillId="0" borderId="0" xfId="1" applyNumberFormat="1" applyFont="1" applyFill="1" applyBorder="1" applyProtection="1"/>
    <xf numFmtId="166" fontId="9" fillId="20" borderId="5" xfId="1" applyNumberFormat="1" applyFont="1" applyFill="1" applyBorder="1" applyAlignment="1" applyProtection="1">
      <alignment horizontal="left"/>
    </xf>
    <xf numFmtId="166" fontId="9" fillId="20" borderId="6" xfId="1" applyNumberFormat="1" applyFont="1" applyFill="1" applyBorder="1" applyAlignment="1" applyProtection="1">
      <alignment horizontal="left"/>
    </xf>
    <xf numFmtId="166" fontId="8" fillId="20" borderId="1" xfId="0" applyNumberFormat="1" applyFont="1" applyFill="1" applyBorder="1" applyAlignment="1"/>
    <xf numFmtId="166" fontId="52" fillId="0" borderId="1" xfId="1" applyNumberFormat="1" applyFont="1" applyFill="1" applyBorder="1" applyProtection="1"/>
    <xf numFmtId="3" fontId="45" fillId="0" borderId="1" xfId="0" applyNumberFormat="1" applyFont="1" applyFill="1" applyBorder="1" applyAlignment="1">
      <alignment vertical="center"/>
    </xf>
    <xf numFmtId="166" fontId="52" fillId="0" borderId="0" xfId="1" applyNumberFormat="1" applyFont="1" applyFill="1" applyBorder="1" applyProtection="1"/>
    <xf numFmtId="166" fontId="28" fillId="0" borderId="1" xfId="0" applyNumberFormat="1" applyFont="1" applyFill="1" applyBorder="1" applyAlignment="1"/>
    <xf numFmtId="0" fontId="36" fillId="20" borderId="5" xfId="0" applyFont="1" applyFill="1" applyBorder="1" applyAlignment="1"/>
    <xf numFmtId="166" fontId="53" fillId="0" borderId="3" xfId="1" applyNumberFormat="1" applyFont="1" applyFill="1" applyBorder="1" applyProtection="1"/>
    <xf numFmtId="166" fontId="51" fillId="0" borderId="7" xfId="1" applyNumberFormat="1" applyFont="1" applyFill="1" applyBorder="1" applyProtection="1"/>
    <xf numFmtId="166" fontId="51" fillId="21" borderId="1" xfId="1" applyNumberFormat="1" applyFont="1" applyFill="1" applyBorder="1" applyProtection="1"/>
    <xf numFmtId="166" fontId="51" fillId="21" borderId="1" xfId="1" applyNumberFormat="1" applyFont="1" applyFill="1" applyBorder="1" applyAlignment="1" applyProtection="1">
      <alignment vertical="center"/>
    </xf>
    <xf numFmtId="166" fontId="54" fillId="0" borderId="7" xfId="1" applyNumberFormat="1" applyFont="1" applyFill="1" applyBorder="1" applyProtection="1"/>
    <xf numFmtId="166" fontId="54" fillId="0" borderId="1" xfId="1" applyNumberFormat="1" applyFont="1" applyFill="1" applyBorder="1" applyProtection="1"/>
    <xf numFmtId="166" fontId="51" fillId="0" borderId="1" xfId="1" applyNumberFormat="1" applyFont="1" applyFill="1" applyBorder="1" applyAlignment="1" applyProtection="1">
      <alignment vertical="center"/>
    </xf>
    <xf numFmtId="166" fontId="45" fillId="0" borderId="0" xfId="0" applyNumberFormat="1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7" fillId="0" borderId="1" xfId="0" applyFont="1" applyFill="1" applyBorder="1" applyAlignment="1"/>
    <xf numFmtId="166" fontId="37" fillId="0" borderId="7" xfId="1" applyNumberFormat="1" applyFont="1" applyFill="1" applyBorder="1" applyProtection="1"/>
    <xf numFmtId="166" fontId="37" fillId="0" borderId="1" xfId="0" applyNumberFormat="1" applyFont="1" applyFill="1" applyBorder="1" applyAlignment="1"/>
    <xf numFmtId="166" fontId="12" fillId="0" borderId="0" xfId="0" applyNumberFormat="1" applyFont="1" applyAlignment="1">
      <alignment vertical="center"/>
    </xf>
    <xf numFmtId="0" fontId="55" fillId="15" borderId="0" xfId="0" applyFont="1" applyFill="1" applyAlignment="1"/>
    <xf numFmtId="0" fontId="0" fillId="0" borderId="0" xfId="0" applyFont="1" applyFill="1" applyAlignment="1"/>
    <xf numFmtId="0" fontId="12" fillId="0" borderId="1" xfId="0" applyFont="1" applyBorder="1" applyAlignment="1">
      <alignment vertical="center"/>
    </xf>
    <xf numFmtId="0" fontId="56" fillId="0" borderId="5" xfId="0" applyFont="1" applyFill="1" applyBorder="1" applyAlignment="1"/>
    <xf numFmtId="166" fontId="12" fillId="0" borderId="1" xfId="1" applyNumberFormat="1" applyFont="1" applyBorder="1" applyProtection="1"/>
    <xf numFmtId="166" fontId="24" fillId="0" borderId="1" xfId="0" applyNumberFormat="1" applyFont="1" applyBorder="1" applyAlignment="1"/>
    <xf numFmtId="166" fontId="24" fillId="0" borderId="7" xfId="1" applyNumberFormat="1" applyFont="1" applyBorder="1" applyProtection="1"/>
    <xf numFmtId="166" fontId="24" fillId="0" borderId="1" xfId="1" applyNumberFormat="1" applyFont="1" applyFill="1" applyBorder="1" applyProtection="1"/>
    <xf numFmtId="166" fontId="24" fillId="0" borderId="1" xfId="1" applyNumberFormat="1" applyFont="1" applyBorder="1" applyAlignment="1" applyProtection="1">
      <alignment vertical="center"/>
    </xf>
    <xf numFmtId="0" fontId="56" fillId="0" borderId="0" xfId="0" applyFont="1" applyFill="1" applyBorder="1" applyAlignment="1"/>
    <xf numFmtId="0" fontId="56" fillId="0" borderId="1" xfId="0" applyFont="1" applyFill="1" applyBorder="1" applyAlignment="1"/>
    <xf numFmtId="166" fontId="55" fillId="0" borderId="0" xfId="0" applyNumberFormat="1" applyFont="1" applyAlignment="1">
      <alignment vertical="center"/>
    </xf>
    <xf numFmtId="3" fontId="3" fillId="0" borderId="4" xfId="0" applyNumberFormat="1" applyFont="1" applyFill="1" applyBorder="1"/>
    <xf numFmtId="0" fontId="37" fillId="0" borderId="0" xfId="0" applyFont="1"/>
    <xf numFmtId="0" fontId="37" fillId="0" borderId="0" xfId="0" applyFont="1" applyFill="1"/>
    <xf numFmtId="165" fontId="8" fillId="0" borderId="0" xfId="0" applyNumberFormat="1" applyFont="1" applyFill="1" applyAlignment="1">
      <alignment horizontal="left"/>
    </xf>
    <xf numFmtId="0" fontId="8" fillId="0" borderId="0" xfId="0" applyFont="1"/>
    <xf numFmtId="166" fontId="57" fillId="0" borderId="0" xfId="1" applyNumberFormat="1" applyFont="1" applyFill="1"/>
    <xf numFmtId="165" fontId="8" fillId="0" borderId="0" xfId="0" applyNumberFormat="1" applyFont="1" applyFill="1" applyAlignment="1">
      <alignment horizontal="center"/>
    </xf>
    <xf numFmtId="167" fontId="9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166" fontId="57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8" fillId="0" borderId="0" xfId="0" applyNumberFormat="1" applyFont="1" applyFill="1"/>
    <xf numFmtId="0" fontId="9" fillId="0" borderId="0" xfId="0" applyFont="1" applyFill="1" applyAlignment="1">
      <alignment horizontal="center"/>
    </xf>
    <xf numFmtId="166" fontId="58" fillId="0" borderId="0" xfId="1" applyNumberFormat="1" applyFont="1" applyFill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8" fontId="49" fillId="4" borderId="1" xfId="2" applyNumberFormat="1" applyFont="1" applyFill="1" applyBorder="1"/>
    <xf numFmtId="0" fontId="9" fillId="4" borderId="0" xfId="0" applyFont="1" applyFill="1" applyBorder="1"/>
    <xf numFmtId="0" fontId="8" fillId="4" borderId="0" xfId="0" applyFont="1" applyFill="1" applyBorder="1" applyAlignment="1">
      <alignment horizontal="left"/>
    </xf>
    <xf numFmtId="3" fontId="25" fillId="4" borderId="4" xfId="0" applyNumberFormat="1" applyFont="1" applyFill="1" applyBorder="1" applyAlignment="1">
      <alignment vertical="center"/>
    </xf>
    <xf numFmtId="3" fontId="25" fillId="4" borderId="0" xfId="0" applyNumberFormat="1" applyFont="1" applyFill="1" applyBorder="1" applyAlignment="1">
      <alignment vertical="center"/>
    </xf>
    <xf numFmtId="3" fontId="0" fillId="0" borderId="0" xfId="0" applyNumberFormat="1" applyFill="1"/>
    <xf numFmtId="3" fontId="2" fillId="0" borderId="0" xfId="0" applyNumberFormat="1" applyFont="1" applyFill="1"/>
    <xf numFmtId="0" fontId="12" fillId="0" borderId="1" xfId="0" applyFont="1" applyFill="1" applyBorder="1"/>
    <xf numFmtId="0" fontId="12" fillId="0" borderId="0" xfId="0" applyFont="1" applyFill="1"/>
    <xf numFmtId="3" fontId="12" fillId="0" borderId="0" xfId="0" applyNumberFormat="1" applyFont="1" applyFill="1"/>
    <xf numFmtId="166" fontId="40" fillId="6" borderId="1" xfId="1" applyNumberFormat="1" applyFont="1" applyFill="1" applyBorder="1"/>
    <xf numFmtId="3" fontId="0" fillId="6" borderId="0" xfId="0" applyNumberFormat="1" applyFill="1"/>
    <xf numFmtId="166" fontId="2" fillId="14" borderId="1" xfId="1" applyNumberFormat="1" applyFont="1" applyFill="1" applyBorder="1"/>
    <xf numFmtId="166" fontId="26" fillId="0" borderId="3" xfId="1" applyNumberFormat="1" applyFont="1" applyBorder="1"/>
    <xf numFmtId="14" fontId="55" fillId="15" borderId="1" xfId="0" applyNumberFormat="1" applyFont="1" applyFill="1" applyBorder="1" applyAlignment="1"/>
    <xf numFmtId="0" fontId="55" fillId="15" borderId="1" xfId="0" applyFont="1" applyFill="1" applyBorder="1" applyAlignment="1"/>
    <xf numFmtId="166" fontId="55" fillId="15" borderId="1" xfId="1" applyNumberFormat="1" applyFont="1" applyFill="1" applyBorder="1" applyProtection="1"/>
    <xf numFmtId="0" fontId="26" fillId="0" borderId="1" xfId="0" applyFont="1" applyFill="1" applyBorder="1" applyAlignment="1">
      <alignment horizontal="left"/>
    </xf>
    <xf numFmtId="0" fontId="0" fillId="22" borderId="0" xfId="0" applyFill="1" applyAlignment="1"/>
    <xf numFmtId="0" fontId="0" fillId="6" borderId="0" xfId="0" applyFill="1" applyAlignment="1"/>
    <xf numFmtId="0" fontId="10" fillId="23" borderId="0" xfId="0" applyFont="1" applyFill="1"/>
    <xf numFmtId="0" fontId="10" fillId="24" borderId="0" xfId="0" applyFont="1" applyFill="1"/>
    <xf numFmtId="166" fontId="10" fillId="24" borderId="0" xfId="1" applyNumberFormat="1" applyFont="1" applyFill="1"/>
    <xf numFmtId="0" fontId="10" fillId="24" borderId="0" xfId="0" applyFont="1" applyFill="1" applyAlignment="1">
      <alignment horizontal="left"/>
    </xf>
    <xf numFmtId="0" fontId="60" fillId="25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10" fillId="24" borderId="0" xfId="1" applyNumberFormat="1" applyFont="1" applyFill="1" applyAlignment="1">
      <alignment horizontal="right"/>
    </xf>
    <xf numFmtId="3" fontId="55" fillId="15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55" fillId="15" borderId="1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24" fillId="26" borderId="1" xfId="0" applyNumberFormat="1" applyFont="1" applyFill="1" applyBorder="1" applyAlignment="1"/>
    <xf numFmtId="166" fontId="12" fillId="26" borderId="0" xfId="0" applyNumberFormat="1" applyFont="1" applyFill="1" applyAlignment="1">
      <alignment vertical="center"/>
    </xf>
    <xf numFmtId="0" fontId="55" fillId="15" borderId="0" xfId="0" applyFont="1" applyFill="1" applyBorder="1" applyAlignment="1"/>
    <xf numFmtId="166" fontId="33" fillId="0" borderId="1" xfId="1" applyNumberFormat="1" applyFont="1" applyBorder="1" applyProtection="1">
      <protection locked="0"/>
    </xf>
    <xf numFmtId="166" fontId="8" fillId="3" borderId="3" xfId="1" applyNumberFormat="1" applyFont="1" applyFill="1" applyBorder="1" applyProtection="1"/>
    <xf numFmtId="0" fontId="30" fillId="3" borderId="1" xfId="0" applyFont="1" applyFill="1" applyBorder="1" applyAlignment="1"/>
    <xf numFmtId="166" fontId="0" fillId="3" borderId="1" xfId="1" applyNumberFormat="1" applyFont="1" applyFill="1" applyBorder="1" applyProtection="1"/>
    <xf numFmtId="166" fontId="8" fillId="3" borderId="1" xfId="1" applyNumberFormat="1" applyFont="1" applyFill="1" applyBorder="1" applyProtection="1"/>
    <xf numFmtId="166" fontId="8" fillId="3" borderId="7" xfId="1" applyNumberFormat="1" applyFont="1" applyFill="1" applyBorder="1" applyProtection="1"/>
    <xf numFmtId="0" fontId="0" fillId="3" borderId="0" xfId="0" applyFill="1" applyAlignment="1">
      <alignment vertical="center"/>
    </xf>
    <xf numFmtId="166" fontId="1" fillId="3" borderId="1" xfId="1" applyNumberFormat="1" applyFont="1" applyFill="1" applyBorder="1" applyProtection="1"/>
    <xf numFmtId="166" fontId="8" fillId="3" borderId="1" xfId="0" applyNumberFormat="1" applyFont="1" applyFill="1" applyBorder="1" applyAlignment="1"/>
    <xf numFmtId="0" fontId="0" fillId="27" borderId="1" xfId="0" applyFill="1" applyBorder="1" applyAlignment="1"/>
    <xf numFmtId="164" fontId="0" fillId="27" borderId="1" xfId="4" applyFont="1" applyFill="1" applyBorder="1" applyAlignment="1"/>
    <xf numFmtId="166" fontId="37" fillId="0" borderId="1" xfId="1" applyNumberFormat="1" applyFont="1" applyBorder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26" fillId="0" borderId="41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14" fontId="39" fillId="6" borderId="0" xfId="0" applyNumberFormat="1" applyFont="1" applyFill="1" applyBorder="1"/>
    <xf numFmtId="14" fontId="61" fillId="0" borderId="0" xfId="0" applyNumberFormat="1" applyFont="1" applyFill="1" applyBorder="1"/>
    <xf numFmtId="169" fontId="8" fillId="0" borderId="3" xfId="0" applyNumberFormat="1" applyFont="1" applyFill="1" applyBorder="1"/>
    <xf numFmtId="168" fontId="49" fillId="0" borderId="1" xfId="2" applyNumberFormat="1" applyFont="1" applyBorder="1"/>
    <xf numFmtId="0" fontId="9" fillId="0" borderId="1" xfId="0" applyFont="1" applyBorder="1"/>
    <xf numFmtId="0" fontId="9" fillId="0" borderId="1" xfId="0" applyFont="1" applyFill="1" applyBorder="1"/>
    <xf numFmtId="166" fontId="9" fillId="0" borderId="2" xfId="1" applyNumberFormat="1" applyFont="1" applyFill="1" applyBorder="1"/>
    <xf numFmtId="3" fontId="8" fillId="0" borderId="1" xfId="0" applyNumberFormat="1" applyFont="1" applyFill="1" applyBorder="1"/>
    <xf numFmtId="0" fontId="9" fillId="0" borderId="3" xfId="0" applyFont="1" applyBorder="1"/>
    <xf numFmtId="0" fontId="8" fillId="0" borderId="1" xfId="0" applyFont="1" applyFill="1" applyBorder="1" applyAlignment="1">
      <alignment horizontal="left"/>
    </xf>
    <xf numFmtId="166" fontId="8" fillId="0" borderId="3" xfId="0" applyNumberFormat="1" applyFont="1" applyFill="1" applyBorder="1" applyAlignment="1">
      <alignment vertical="center"/>
    </xf>
    <xf numFmtId="169" fontId="37" fillId="0" borderId="3" xfId="0" applyNumberFormat="1" applyFont="1" applyFill="1" applyBorder="1"/>
    <xf numFmtId="166" fontId="37" fillId="0" borderId="3" xfId="1" applyNumberFormat="1" applyFont="1" applyBorder="1"/>
    <xf numFmtId="0" fontId="8" fillId="0" borderId="1" xfId="0" applyFont="1" applyBorder="1"/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0" fillId="6" borderId="1" xfId="0" applyFont="1" applyFill="1" applyBorder="1" applyAlignment="1"/>
    <xf numFmtId="0" fontId="43" fillId="6" borderId="1" xfId="0" applyFont="1" applyFill="1" applyBorder="1" applyAlignment="1">
      <alignment vertical="center"/>
    </xf>
    <xf numFmtId="166" fontId="44" fillId="6" borderId="1" xfId="1" applyNumberFormat="1" applyFont="1" applyFill="1" applyBorder="1" applyProtection="1">
      <protection locked="0"/>
    </xf>
    <xf numFmtId="0" fontId="10" fillId="25" borderId="1" xfId="0" applyFont="1" applyFill="1" applyBorder="1" applyAlignment="1"/>
    <xf numFmtId="0" fontId="43" fillId="25" borderId="1" xfId="0" applyFont="1" applyFill="1" applyBorder="1" applyAlignment="1">
      <alignment vertical="center"/>
    </xf>
    <xf numFmtId="166" fontId="44" fillId="25" borderId="1" xfId="1" applyNumberFormat="1" applyFont="1" applyFill="1" applyBorder="1" applyProtection="1">
      <protection locked="0"/>
    </xf>
    <xf numFmtId="166" fontId="45" fillId="25" borderId="1" xfId="1" applyNumberFormat="1" applyFont="1" applyFill="1" applyBorder="1" applyProtection="1">
      <protection locked="0"/>
    </xf>
    <xf numFmtId="166" fontId="8" fillId="6" borderId="1" xfId="1" applyNumberFormat="1" applyFont="1" applyFill="1" applyBorder="1" applyProtection="1"/>
    <xf numFmtId="166" fontId="37" fillId="25" borderId="1" xfId="1" applyNumberFormat="1" applyFont="1" applyFill="1" applyBorder="1" applyProtection="1"/>
    <xf numFmtId="166" fontId="8" fillId="25" borderId="1" xfId="0" applyNumberFormat="1" applyFont="1" applyFill="1" applyBorder="1" applyAlignment="1"/>
    <xf numFmtId="166" fontId="8" fillId="0" borderId="1" xfId="1" applyNumberFormat="1" applyFont="1" applyBorder="1" applyProtection="1"/>
    <xf numFmtId="166" fontId="8" fillId="25" borderId="1" xfId="1" applyNumberFormat="1" applyFont="1" applyFill="1" applyBorder="1" applyProtection="1"/>
    <xf numFmtId="166" fontId="37" fillId="6" borderId="1" xfId="0" applyNumberFormat="1" applyFont="1" applyFill="1" applyBorder="1" applyAlignment="1"/>
    <xf numFmtId="166" fontId="37" fillId="0" borderId="1" xfId="1" applyNumberFormat="1" applyFont="1" applyBorder="1" applyProtection="1"/>
    <xf numFmtId="166" fontId="37" fillId="0" borderId="0" xfId="1" applyNumberFormat="1" applyFont="1" applyProtection="1"/>
    <xf numFmtId="0" fontId="9" fillId="0" borderId="1" xfId="0" applyFont="1" applyFill="1" applyBorder="1" applyAlignment="1"/>
    <xf numFmtId="0" fontId="9" fillId="6" borderId="1" xfId="0" applyFont="1" applyFill="1" applyBorder="1" applyAlignment="1"/>
    <xf numFmtId="0" fontId="9" fillId="25" borderId="1" xfId="0" applyFont="1" applyFill="1" applyBorder="1" applyAlignment="1"/>
    <xf numFmtId="0" fontId="37" fillId="6" borderId="1" xfId="0" applyFont="1" applyFill="1" applyBorder="1" applyAlignment="1">
      <alignment vertical="center"/>
    </xf>
    <xf numFmtId="3" fontId="37" fillId="0" borderId="1" xfId="0" applyNumberFormat="1" applyFont="1" applyBorder="1" applyAlignment="1">
      <alignment vertical="center"/>
    </xf>
    <xf numFmtId="166" fontId="37" fillId="0" borderId="3" xfId="1" applyNumberFormat="1" applyFont="1" applyFill="1" applyBorder="1" applyProtection="1"/>
    <xf numFmtId="0" fontId="62" fillId="0" borderId="0" xfId="0" applyFont="1" applyAlignment="1">
      <alignment vertical="center"/>
    </xf>
    <xf numFmtId="3" fontId="2" fillId="28" borderId="0" xfId="1" applyNumberFormat="1" applyFont="1" applyFill="1" applyAlignment="1" applyProtection="1">
      <alignment horizontal="right"/>
    </xf>
    <xf numFmtId="14" fontId="26" fillId="0" borderId="41" xfId="0" applyNumberFormat="1" applyFont="1" applyFill="1" applyBorder="1" applyAlignment="1"/>
    <xf numFmtId="171" fontId="45" fillId="0" borderId="1" xfId="1" applyNumberFormat="1" applyFont="1" applyBorder="1" applyProtection="1">
      <protection locked="0"/>
    </xf>
    <xf numFmtId="171" fontId="45" fillId="25" borderId="1" xfId="1" applyNumberFormat="1" applyFont="1" applyFill="1" applyBorder="1" applyProtection="1">
      <protection locked="0"/>
    </xf>
    <xf numFmtId="171" fontId="45" fillId="6" borderId="1" xfId="1" applyNumberFormat="1" applyFont="1" applyFill="1" applyBorder="1" applyProtection="1">
      <protection locked="0"/>
    </xf>
    <xf numFmtId="0" fontId="63" fillId="0" borderId="0" xfId="0" applyFont="1" applyFill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64" fillId="0" borderId="3" xfId="0" applyFont="1" applyBorder="1"/>
    <xf numFmtId="0" fontId="0" fillId="0" borderId="0" xfId="0" applyFont="1"/>
    <xf numFmtId="14" fontId="0" fillId="0" borderId="0" xfId="0" applyNumberFormat="1" applyFont="1" applyFill="1"/>
    <xf numFmtId="0" fontId="0" fillId="0" borderId="4" xfId="0" applyFont="1" applyFill="1" applyBorder="1"/>
    <xf numFmtId="0" fontId="0" fillId="0" borderId="0" xfId="0" applyFont="1" applyFill="1"/>
    <xf numFmtId="166" fontId="40" fillId="6" borderId="4" xfId="1" applyNumberFormat="1" applyFont="1" applyFill="1" applyBorder="1"/>
    <xf numFmtId="0" fontId="37" fillId="0" borderId="0" xfId="0" applyFont="1" applyBorder="1"/>
    <xf numFmtId="0" fontId="0" fillId="0" borderId="0" xfId="0" applyFont="1" applyBorder="1"/>
    <xf numFmtId="166" fontId="37" fillId="0" borderId="0" xfId="0" applyNumberFormat="1" applyFont="1" applyBorder="1"/>
    <xf numFmtId="166" fontId="0" fillId="0" borderId="0" xfId="0" applyNumberFormat="1" applyFont="1" applyBorder="1"/>
    <xf numFmtId="0" fontId="8" fillId="0" borderId="3" xfId="0" applyFont="1" applyFill="1" applyBorder="1" applyAlignment="1">
      <alignment horizontal="left"/>
    </xf>
    <xf numFmtId="166" fontId="37" fillId="0" borderId="0" xfId="0" applyNumberFormat="1" applyFont="1"/>
    <xf numFmtId="0" fontId="2" fillId="0" borderId="0" xfId="0" applyFont="1" applyBorder="1"/>
    <xf numFmtId="166" fontId="0" fillId="0" borderId="0" xfId="0" applyNumberFormat="1" applyFont="1"/>
    <xf numFmtId="166" fontId="66" fillId="0" borderId="0" xfId="1" applyNumberFormat="1" applyFont="1" applyBorder="1" applyProtection="1">
      <protection locked="0"/>
    </xf>
    <xf numFmtId="166" fontId="24" fillId="0" borderId="1" xfId="1" applyNumberFormat="1" applyFont="1" applyFill="1" applyBorder="1" applyAlignment="1" applyProtection="1">
      <alignment horizontal="center" vertical="center"/>
    </xf>
    <xf numFmtId="166" fontId="24" fillId="6" borderId="1" xfId="1" applyNumberFormat="1" applyFont="1" applyFill="1" applyBorder="1" applyProtection="1"/>
    <xf numFmtId="166" fontId="24" fillId="25" borderId="1" xfId="1" applyNumberFormat="1" applyFont="1" applyFill="1" applyBorder="1" applyProtection="1"/>
    <xf numFmtId="0" fontId="24" fillId="6" borderId="1" xfId="0" applyFont="1" applyFill="1" applyBorder="1" applyAlignment="1">
      <alignment vertical="center"/>
    </xf>
    <xf numFmtId="166" fontId="24" fillId="0" borderId="1" xfId="1" applyNumberFormat="1" applyFont="1" applyBorder="1" applyProtection="1"/>
    <xf numFmtId="0" fontId="26" fillId="6" borderId="0" xfId="0" applyFont="1" applyFill="1" applyBorder="1" applyAlignment="1">
      <alignment vertical="center"/>
    </xf>
    <xf numFmtId="166" fontId="65" fillId="0" borderId="0" xfId="0" applyNumberFormat="1" applyFont="1" applyAlignment="1">
      <alignment vertical="center"/>
    </xf>
    <xf numFmtId="0" fontId="64" fillId="0" borderId="1" xfId="0" applyFont="1" applyFill="1" applyBorder="1" applyAlignment="1"/>
    <xf numFmtId="0" fontId="55" fillId="6" borderId="0" xfId="0" applyFont="1" applyFill="1" applyAlignment="1"/>
    <xf numFmtId="0" fontId="55" fillId="6" borderId="0" xfId="0" applyFont="1" applyFill="1" applyBorder="1" applyAlignment="1"/>
    <xf numFmtId="0" fontId="50" fillId="6" borderId="1" xfId="0" applyFont="1" applyFill="1" applyBorder="1" applyAlignment="1"/>
    <xf numFmtId="3" fontId="50" fillId="6" borderId="1" xfId="1" applyNumberFormat="1" applyFont="1" applyFill="1" applyBorder="1" applyAlignment="1" applyProtection="1">
      <alignment horizontal="center"/>
    </xf>
    <xf numFmtId="3" fontId="50" fillId="6" borderId="3" xfId="1" applyNumberFormat="1" applyFont="1" applyFill="1" applyBorder="1" applyAlignment="1" applyProtection="1">
      <alignment horizontal="center"/>
    </xf>
    <xf numFmtId="166" fontId="50" fillId="6" borderId="1" xfId="1" applyNumberFormat="1" applyFont="1" applyFill="1" applyBorder="1" applyProtection="1"/>
    <xf numFmtId="0" fontId="50" fillId="6" borderId="1" xfId="0" applyFont="1" applyFill="1" applyBorder="1" applyAlignment="1">
      <alignment horizontal="center"/>
    </xf>
    <xf numFmtId="0" fontId="64" fillId="0" borderId="0" xfId="0" applyFont="1" applyFill="1" applyBorder="1" applyAlignment="1"/>
    <xf numFmtId="0" fontId="12" fillId="6" borderId="0" xfId="0" applyFont="1" applyFill="1" applyAlignment="1"/>
    <xf numFmtId="0" fontId="63" fillId="3" borderId="0" xfId="0" applyFont="1" applyFill="1" applyAlignment="1"/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/>
    <xf numFmtId="0" fontId="63" fillId="6" borderId="0" xfId="0" applyFont="1" applyFill="1" applyAlignment="1"/>
    <xf numFmtId="3" fontId="3" fillId="0" borderId="1" xfId="0" applyNumberFormat="1" applyFont="1" applyFill="1" applyBorder="1" applyAlignment="1">
      <alignment vertical="center"/>
    </xf>
    <xf numFmtId="3" fontId="3" fillId="0" borderId="1" xfId="1" applyNumberFormat="1" applyFont="1" applyFill="1" applyBorder="1"/>
    <xf numFmtId="3" fontId="3" fillId="0" borderId="3" xfId="1" applyNumberFormat="1" applyFont="1" applyFill="1" applyBorder="1"/>
    <xf numFmtId="3" fontId="3" fillId="6" borderId="1" xfId="1" applyNumberFormat="1" applyFont="1" applyFill="1" applyBorder="1"/>
    <xf numFmtId="0" fontId="3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166" fontId="8" fillId="0" borderId="3" xfId="1" applyNumberFormat="1" applyFont="1" applyFill="1" applyBorder="1"/>
    <xf numFmtId="0" fontId="9" fillId="0" borderId="3" xfId="0" applyFont="1" applyFill="1" applyBorder="1"/>
    <xf numFmtId="0" fontId="8" fillId="0" borderId="3" xfId="0" applyFont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left"/>
    </xf>
    <xf numFmtId="166" fontId="9" fillId="2" borderId="3" xfId="1" applyNumberFormat="1" applyFont="1" applyFill="1" applyBorder="1"/>
    <xf numFmtId="166" fontId="58" fillId="2" borderId="3" xfId="1" applyNumberFormat="1" applyFont="1" applyFill="1" applyBorder="1"/>
    <xf numFmtId="166" fontId="9" fillId="0" borderId="3" xfId="1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166" fontId="9" fillId="2" borderId="1" xfId="1" applyNumberFormat="1" applyFont="1" applyFill="1" applyBorder="1"/>
    <xf numFmtId="0" fontId="9" fillId="2" borderId="1" xfId="0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58" fillId="2" borderId="0" xfId="1" applyNumberFormat="1" applyFont="1" applyFill="1"/>
    <xf numFmtId="0" fontId="8" fillId="0" borderId="0" xfId="0" applyFont="1" applyFill="1" applyAlignment="1">
      <alignment horizontal="left"/>
    </xf>
    <xf numFmtId="0" fontId="40" fillId="0" borderId="0" xfId="0" applyFont="1" applyFill="1" applyBorder="1"/>
    <xf numFmtId="168" fontId="49" fillId="3" borderId="1" xfId="2" applyNumberFormat="1" applyFont="1" applyFill="1" applyBorder="1"/>
    <xf numFmtId="0" fontId="9" fillId="3" borderId="0" xfId="0" applyFont="1" applyFill="1" applyBorder="1"/>
    <xf numFmtId="0" fontId="18" fillId="3" borderId="0" xfId="0" applyFont="1" applyFill="1" applyBorder="1" applyAlignment="1">
      <alignment vertical="center"/>
    </xf>
    <xf numFmtId="3" fontId="25" fillId="3" borderId="4" xfId="0" applyNumberFormat="1" applyFont="1" applyFill="1" applyBorder="1" applyAlignment="1">
      <alignment vertical="center"/>
    </xf>
    <xf numFmtId="0" fontId="40" fillId="0" borderId="0" xfId="0" applyFont="1" applyFill="1" applyAlignment="1"/>
    <xf numFmtId="0" fontId="3" fillId="0" borderId="41" xfId="0" applyFont="1" applyFill="1" applyBorder="1"/>
    <xf numFmtId="3" fontId="3" fillId="0" borderId="41" xfId="1" applyNumberFormat="1" applyFont="1" applyFill="1" applyBorder="1"/>
    <xf numFmtId="3" fontId="3" fillId="6" borderId="3" xfId="1" applyNumberFormat="1" applyFont="1" applyFill="1" applyBorder="1"/>
    <xf numFmtId="3" fontId="3" fillId="6" borderId="41" xfId="1" applyNumberFormat="1" applyFont="1" applyFill="1" applyBorder="1"/>
    <xf numFmtId="166" fontId="3" fillId="0" borderId="4" xfId="1" applyNumberFormat="1" applyFont="1" applyFill="1" applyBorder="1"/>
    <xf numFmtId="166" fontId="2" fillId="0" borderId="0" xfId="0" applyNumberFormat="1" applyFont="1" applyAlignment="1">
      <alignment vertical="center"/>
    </xf>
    <xf numFmtId="0" fontId="3" fillId="6" borderId="1" xfId="0" applyFont="1" applyFill="1" applyBorder="1"/>
    <xf numFmtId="14" fontId="3" fillId="0" borderId="4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/>
    <xf numFmtId="3" fontId="3" fillId="0" borderId="1" xfId="1" applyNumberFormat="1" applyFont="1" applyFill="1" applyBorder="1" applyAlignment="1" applyProtection="1">
      <alignment vertical="center"/>
    </xf>
    <xf numFmtId="166" fontId="3" fillId="6" borderId="1" xfId="1" applyNumberFormat="1" applyFont="1" applyFill="1" applyBorder="1" applyProtection="1"/>
    <xf numFmtId="0" fontId="3" fillId="6" borderId="1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68" fillId="0" borderId="0" xfId="0" applyFont="1" applyFill="1" applyAlignment="1"/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/>
    <xf numFmtId="0" fontId="3" fillId="6" borderId="1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6" fontId="3" fillId="0" borderId="1" xfId="1" applyNumberFormat="1" applyFont="1" applyFill="1" applyBorder="1" applyAlignment="1">
      <alignment vertical="center" wrapText="1"/>
    </xf>
    <xf numFmtId="3" fontId="3" fillId="0" borderId="3" xfId="0" applyNumberFormat="1" applyFont="1" applyFill="1" applyBorder="1"/>
    <xf numFmtId="172" fontId="3" fillId="0" borderId="1" xfId="0" applyNumberFormat="1" applyFont="1" applyFill="1" applyBorder="1"/>
    <xf numFmtId="0" fontId="3" fillId="6" borderId="3" xfId="0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/>
    <xf numFmtId="0" fontId="3" fillId="6" borderId="3" xfId="0" applyFont="1" applyFill="1" applyBorder="1"/>
    <xf numFmtId="3" fontId="3" fillId="0" borderId="3" xfId="1" applyNumberFormat="1" applyFont="1" applyFill="1" applyBorder="1" applyAlignment="1" applyProtection="1">
      <alignment vertical="center"/>
    </xf>
    <xf numFmtId="173" fontId="3" fillId="0" borderId="1" xfId="1" applyNumberFormat="1" applyFont="1" applyFill="1" applyBorder="1" applyAlignment="1" applyProtection="1"/>
    <xf numFmtId="14" fontId="3" fillId="0" borderId="4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3" fillId="0" borderId="1" xfId="0" applyNumberFormat="1" applyFont="1" applyFill="1" applyBorder="1" applyAlignment="1"/>
    <xf numFmtId="0" fontId="3" fillId="6" borderId="0" xfId="0" applyFont="1" applyFill="1" applyBorder="1" applyAlignment="1">
      <alignment vertical="center"/>
    </xf>
    <xf numFmtId="0" fontId="3" fillId="6" borderId="41" xfId="0" applyFont="1" applyFill="1" applyBorder="1" applyAlignment="1">
      <alignment vertical="center"/>
    </xf>
    <xf numFmtId="0" fontId="40" fillId="6" borderId="0" xfId="0" applyFont="1" applyFill="1" applyAlignment="1"/>
    <xf numFmtId="0" fontId="40" fillId="0" borderId="0" xfId="0" applyFont="1" applyFill="1" applyBorder="1" applyAlignment="1"/>
    <xf numFmtId="0" fontId="3" fillId="0" borderId="4" xfId="0" applyFont="1" applyFill="1" applyBorder="1"/>
    <xf numFmtId="166" fontId="3" fillId="0" borderId="0" xfId="1" applyNumberFormat="1" applyFont="1" applyFill="1" applyBorder="1"/>
    <xf numFmtId="0" fontId="3" fillId="0" borderId="41" xfId="0" applyFont="1" applyBorder="1"/>
    <xf numFmtId="166" fontId="3" fillId="0" borderId="41" xfId="1" applyNumberFormat="1" applyFont="1" applyFill="1" applyBorder="1"/>
    <xf numFmtId="0" fontId="3" fillId="0" borderId="41" xfId="0" applyFont="1" applyFill="1" applyBorder="1" applyAlignment="1"/>
    <xf numFmtId="3" fontId="3" fillId="0" borderId="41" xfId="0" applyNumberFormat="1" applyFont="1" applyFill="1" applyBorder="1"/>
    <xf numFmtId="172" fontId="3" fillId="0" borderId="41" xfId="0" applyNumberFormat="1" applyFont="1" applyFill="1" applyBorder="1"/>
    <xf numFmtId="0" fontId="3" fillId="0" borderId="4" xfId="0" applyFont="1" applyFill="1" applyBorder="1" applyAlignment="1"/>
    <xf numFmtId="14" fontId="3" fillId="0" borderId="41" xfId="0" applyNumberFormat="1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7" xfId="0" applyFont="1" applyBorder="1"/>
    <xf numFmtId="166" fontId="3" fillId="0" borderId="1" xfId="1" applyNumberFormat="1" applyFont="1" applyBorder="1"/>
    <xf numFmtId="0" fontId="40" fillId="0" borderId="41" xfId="0" applyFont="1" applyFill="1" applyBorder="1" applyAlignment="1"/>
    <xf numFmtId="14" fontId="3" fillId="0" borderId="1" xfId="0" applyNumberFormat="1" applyFont="1" applyBorder="1"/>
    <xf numFmtId="14" fontId="3" fillId="6" borderId="1" xfId="0" applyNumberFormat="1" applyFont="1" applyFill="1" applyBorder="1"/>
    <xf numFmtId="0" fontId="9" fillId="10" borderId="4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0" fontId="9" fillId="0" borderId="41" xfId="0" applyNumberFormat="1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9" fillId="0" borderId="41" xfId="1" applyNumberFormat="1" applyFont="1" applyFill="1" applyBorder="1" applyAlignment="1" applyProtection="1">
      <alignment horizontal="center"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9" borderId="4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8" borderId="41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9" borderId="41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59" fillId="24" borderId="0" xfId="0" applyFont="1" applyFill="1" applyAlignment="1">
      <alignment horizontal="center"/>
    </xf>
    <xf numFmtId="0" fontId="67" fillId="24" borderId="0" xfId="0" applyFont="1" applyFill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1" xfId="0" applyFont="1" applyFill="1" applyBorder="1" applyAlignment="1">
      <alignment vertical="center"/>
    </xf>
    <xf numFmtId="0" fontId="26" fillId="0" borderId="3" xfId="0" applyFont="1" applyFill="1" applyBorder="1" applyAlignment="1"/>
    <xf numFmtId="3" fontId="26" fillId="0" borderId="1" xfId="1" applyNumberFormat="1" applyFont="1" applyFill="1" applyBorder="1" applyAlignment="1" applyProtection="1">
      <alignment vertical="center"/>
    </xf>
    <xf numFmtId="173" fontId="26" fillId="0" borderId="3" xfId="1" applyNumberFormat="1" applyFont="1" applyFill="1" applyBorder="1" applyAlignment="1" applyProtection="1"/>
    <xf numFmtId="166" fontId="26" fillId="6" borderId="1" xfId="1" applyNumberFormat="1" applyFont="1" applyFill="1" applyBorder="1" applyProtection="1"/>
    <xf numFmtId="0" fontId="26" fillId="6" borderId="1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26" fillId="0" borderId="3" xfId="0" applyFont="1" applyBorder="1" applyAlignment="1"/>
    <xf numFmtId="166" fontId="26" fillId="0" borderId="1" xfId="1" applyNumberFormat="1" applyFont="1" applyBorder="1" applyAlignment="1"/>
    <xf numFmtId="166" fontId="26" fillId="0" borderId="3" xfId="1" applyNumberFormat="1" applyFont="1" applyBorder="1" applyAlignment="1"/>
    <xf numFmtId="0" fontId="26" fillId="0" borderId="1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6" fillId="0" borderId="3" xfId="0" applyFont="1" applyFill="1" applyBorder="1"/>
    <xf numFmtId="0" fontId="26" fillId="0" borderId="3" xfId="0" applyFont="1" applyFill="1" applyBorder="1" applyAlignment="1">
      <alignment vertical="center"/>
    </xf>
    <xf numFmtId="0" fontId="26" fillId="0" borderId="1" xfId="0" applyFont="1" applyFill="1" applyBorder="1"/>
    <xf numFmtId="3" fontId="26" fillId="0" borderId="1" xfId="1" applyNumberFormat="1" applyFont="1" applyFill="1" applyBorder="1"/>
    <xf numFmtId="3" fontId="26" fillId="6" borderId="1" xfId="1" applyNumberFormat="1" applyFont="1" applyFill="1" applyBorder="1"/>
    <xf numFmtId="0" fontId="26" fillId="0" borderId="3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3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46" fillId="0" borderId="1" xfId="0" applyFont="1" applyFill="1" applyBorder="1"/>
    <xf numFmtId="0" fontId="26" fillId="0" borderId="3" xfId="0" applyFont="1" applyBorder="1" applyAlignment="1">
      <alignment horizontal="center" vertical="center"/>
    </xf>
    <xf numFmtId="166" fontId="26" fillId="0" borderId="1" xfId="1" applyNumberFormat="1" applyFont="1" applyFill="1" applyBorder="1" applyAlignment="1">
      <alignment vertical="center" wrapText="1"/>
    </xf>
    <xf numFmtId="3" fontId="26" fillId="0" borderId="3" xfId="1" applyNumberFormat="1" applyFont="1" applyFill="1" applyBorder="1"/>
    <xf numFmtId="3" fontId="26" fillId="0" borderId="3" xfId="0" applyNumberFormat="1" applyFont="1" applyFill="1" applyBorder="1"/>
    <xf numFmtId="3" fontId="26" fillId="0" borderId="1" xfId="0" applyNumberFormat="1" applyFont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166" fontId="26" fillId="6" borderId="1" xfId="1" applyNumberFormat="1" applyFont="1" applyFill="1" applyBorder="1" applyAlignment="1">
      <alignment vertical="center" wrapText="1"/>
    </xf>
    <xf numFmtId="14" fontId="26" fillId="6" borderId="41" xfId="0" applyNumberFormat="1" applyFont="1" applyFill="1" applyBorder="1" applyAlignment="1"/>
    <xf numFmtId="166" fontId="26" fillId="6" borderId="1" xfId="0" applyNumberFormat="1" applyFont="1" applyFill="1" applyBorder="1" applyAlignment="1">
      <alignment vertical="center"/>
    </xf>
    <xf numFmtId="3" fontId="26" fillId="0" borderId="3" xfId="0" applyNumberFormat="1" applyFont="1" applyFill="1" applyBorder="1" applyAlignment="1">
      <alignment vertical="center"/>
    </xf>
    <xf numFmtId="173" fontId="26" fillId="0" borderId="1" xfId="0" applyNumberFormat="1" applyFont="1" applyFill="1" applyBorder="1" applyAlignment="1">
      <alignment vertical="center"/>
    </xf>
    <xf numFmtId="166" fontId="26" fillId="0" borderId="3" xfId="1" applyNumberFormat="1" applyFont="1" applyFill="1" applyBorder="1"/>
    <xf numFmtId="166" fontId="26" fillId="0" borderId="1" xfId="1" applyNumberFormat="1" applyFont="1" applyFill="1" applyBorder="1"/>
    <xf numFmtId="0" fontId="26" fillId="6" borderId="1" xfId="0" applyFont="1" applyFill="1" applyBorder="1"/>
    <xf numFmtId="0" fontId="26" fillId="6" borderId="3" xfId="0" applyFont="1" applyFill="1" applyBorder="1"/>
    <xf numFmtId="14" fontId="26" fillId="0" borderId="1" xfId="0" applyNumberFormat="1" applyFont="1" applyFill="1" applyBorder="1" applyAlignment="1"/>
    <xf numFmtId="3" fontId="26" fillId="0" borderId="1" xfId="0" applyNumberFormat="1" applyFont="1" applyFill="1" applyBorder="1" applyAlignment="1">
      <alignment vertical="center"/>
    </xf>
    <xf numFmtId="173" fontId="26" fillId="0" borderId="1" xfId="1" applyNumberFormat="1" applyFont="1" applyFill="1" applyBorder="1" applyAlignment="1" applyProtection="1"/>
    <xf numFmtId="0" fontId="26" fillId="6" borderId="0" xfId="0" applyFont="1" applyFill="1" applyBorder="1" applyAlignment="1"/>
    <xf numFmtId="3" fontId="26" fillId="0" borderId="1" xfId="0" applyNumberFormat="1" applyFont="1" applyFill="1" applyBorder="1"/>
    <xf numFmtId="172" fontId="26" fillId="0" borderId="1" xfId="0" applyNumberFormat="1" applyFont="1" applyFill="1" applyBorder="1"/>
    <xf numFmtId="0" fontId="26" fillId="6" borderId="0" xfId="0" applyFont="1" applyFill="1" applyAlignment="1">
      <alignment vertical="center"/>
    </xf>
    <xf numFmtId="3" fontId="26" fillId="0" borderId="1" xfId="0" applyNumberFormat="1" applyFont="1" applyFill="1" applyBorder="1" applyAlignment="1">
      <alignment horizontal="left"/>
    </xf>
    <xf numFmtId="0" fontId="26" fillId="6" borderId="41" xfId="0" applyFont="1" applyFill="1" applyBorder="1" applyAlignment="1">
      <alignment vertical="center"/>
    </xf>
    <xf numFmtId="3" fontId="26" fillId="0" borderId="1" xfId="1" applyNumberFormat="1" applyFont="1" applyBorder="1"/>
    <xf numFmtId="3" fontId="26" fillId="6" borderId="3" xfId="1" applyNumberFormat="1" applyFont="1" applyFill="1" applyBorder="1"/>
    <xf numFmtId="0" fontId="26" fillId="6" borderId="1" xfId="0" applyFont="1" applyFill="1" applyBorder="1" applyAlignment="1">
      <alignment horizontal="left"/>
    </xf>
    <xf numFmtId="3" fontId="26" fillId="6" borderId="1" xfId="0" applyNumberFormat="1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41" xfId="0" applyFont="1" applyFill="1" applyBorder="1"/>
    <xf numFmtId="3" fontId="26" fillId="0" borderId="41" xfId="0" applyNumberFormat="1" applyFont="1" applyFill="1" applyBorder="1" applyAlignment="1">
      <alignment vertical="center"/>
    </xf>
    <xf numFmtId="173" fontId="26" fillId="0" borderId="41" xfId="0" applyNumberFormat="1" applyFont="1" applyFill="1" applyBorder="1" applyAlignment="1">
      <alignment vertical="center"/>
    </xf>
    <xf numFmtId="166" fontId="26" fillId="6" borderId="41" xfId="1" applyNumberFormat="1" applyFont="1" applyFill="1" applyBorder="1" applyAlignment="1">
      <alignment vertical="center" wrapText="1"/>
    </xf>
    <xf numFmtId="0" fontId="26" fillId="0" borderId="41" xfId="0" applyFont="1" applyBorder="1"/>
    <xf numFmtId="166" fontId="26" fillId="0" borderId="41" xfId="1" applyNumberFormat="1" applyFont="1" applyFill="1" applyBorder="1"/>
    <xf numFmtId="3" fontId="26" fillId="0" borderId="41" xfId="1" applyNumberFormat="1" applyFont="1" applyFill="1" applyBorder="1" applyAlignment="1" applyProtection="1">
      <alignment vertical="center"/>
    </xf>
    <xf numFmtId="173" fontId="26" fillId="0" borderId="41" xfId="1" applyNumberFormat="1" applyFont="1" applyFill="1" applyBorder="1" applyAlignment="1" applyProtection="1"/>
    <xf numFmtId="0" fontId="26" fillId="0" borderId="1" xfId="0" applyFont="1" applyFill="1" applyBorder="1" applyAlignment="1">
      <alignment horizontal="center" vertical="center"/>
    </xf>
    <xf numFmtId="3" fontId="26" fillId="0" borderId="41" xfId="0" applyNumberFormat="1" applyFont="1" applyFill="1" applyBorder="1"/>
    <xf numFmtId="3" fontId="26" fillId="0" borderId="41" xfId="0" applyNumberFormat="1" applyFont="1" applyBorder="1" applyAlignment="1">
      <alignment vertical="center"/>
    </xf>
    <xf numFmtId="0" fontId="26" fillId="6" borderId="41" xfId="0" applyFont="1" applyFill="1" applyBorder="1" applyAlignment="1">
      <alignment horizontal="left"/>
    </xf>
    <xf numFmtId="0" fontId="26" fillId="6" borderId="41" xfId="0" applyFont="1" applyFill="1" applyBorder="1"/>
    <xf numFmtId="3" fontId="26" fillId="6" borderId="41" xfId="0" applyNumberFormat="1" applyFont="1" applyFill="1" applyBorder="1" applyAlignment="1">
      <alignment vertical="center"/>
    </xf>
    <xf numFmtId="3" fontId="26" fillId="6" borderId="41" xfId="1" applyNumberFormat="1" applyFont="1" applyFill="1" applyBorder="1"/>
    <xf numFmtId="0" fontId="26" fillId="0" borderId="41" xfId="0" applyFont="1" applyFill="1" applyBorder="1" applyAlignment="1">
      <alignment horizontal="left"/>
    </xf>
    <xf numFmtId="166" fontId="26" fillId="0" borderId="41" xfId="0" applyNumberFormat="1" applyFont="1" applyFill="1" applyBorder="1" applyAlignment="1">
      <alignment vertical="center"/>
    </xf>
    <xf numFmtId="3" fontId="26" fillId="0" borderId="41" xfId="1" applyNumberFormat="1" applyFont="1" applyBorder="1"/>
    <xf numFmtId="3" fontId="26" fillId="0" borderId="41" xfId="1" applyNumberFormat="1" applyFont="1" applyFill="1" applyBorder="1"/>
    <xf numFmtId="14" fontId="26" fillId="0" borderId="41" xfId="0" applyNumberFormat="1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4" xfId="0" applyFont="1" applyFill="1" applyBorder="1"/>
    <xf numFmtId="0" fontId="26" fillId="0" borderId="4" xfId="0" applyFont="1" applyFill="1" applyBorder="1" applyAlignment="1"/>
    <xf numFmtId="14" fontId="26" fillId="0" borderId="41" xfId="0" applyNumberFormat="1" applyFont="1" applyBorder="1"/>
    <xf numFmtId="3" fontId="26" fillId="0" borderId="1" xfId="1" applyNumberFormat="1" applyFont="1" applyFill="1" applyBorder="1" applyAlignment="1" applyProtection="1">
      <alignment horizontal="right"/>
    </xf>
    <xf numFmtId="0" fontId="26" fillId="0" borderId="7" xfId="0" applyFont="1" applyFill="1" applyBorder="1"/>
    <xf numFmtId="0" fontId="26" fillId="0" borderId="7" xfId="0" applyFont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26" fillId="0" borderId="41" xfId="0" applyFont="1" applyBorder="1" applyAlignment="1"/>
    <xf numFmtId="166" fontId="26" fillId="6" borderId="1" xfId="1" applyNumberFormat="1" applyFont="1" applyFill="1" applyBorder="1" applyAlignment="1"/>
    <xf numFmtId="0" fontId="0" fillId="0" borderId="1" xfId="0" applyFont="1" applyFill="1" applyBorder="1" applyAlignment="1"/>
    <xf numFmtId="0" fontId="26" fillId="0" borderId="41" xfId="2" applyFont="1" applyFill="1" applyBorder="1" applyAlignment="1" applyProtection="1"/>
    <xf numFmtId="0" fontId="26" fillId="0" borderId="1" xfId="2" applyFont="1" applyFill="1" applyBorder="1" applyAlignment="1" applyProtection="1"/>
    <xf numFmtId="166" fontId="26" fillId="6" borderId="1" xfId="1" applyNumberFormat="1" applyFont="1" applyFill="1" applyBorder="1"/>
    <xf numFmtId="14" fontId="26" fillId="0" borderId="1" xfId="0" applyNumberFormat="1" applyFont="1" applyBorder="1"/>
    <xf numFmtId="0" fontId="0" fillId="6" borderId="1" xfId="0" applyFont="1" applyFill="1" applyBorder="1" applyAlignment="1"/>
    <xf numFmtId="0" fontId="26" fillId="29" borderId="1" xfId="0" applyFont="1" applyFill="1" applyBorder="1" applyAlignment="1">
      <alignment vertical="center"/>
    </xf>
  </cellXfs>
  <cellStyles count="5">
    <cellStyle name="Excel Built-in Normal" xfId="2"/>
    <cellStyle name="Milliers" xfId="1" builtinId="3"/>
    <cellStyle name="Milliers [0]" xfId="4" builtinId="6"/>
    <cellStyle name="Normal" xfId="0" builtinId="0"/>
    <cellStyle name="Normal_Total expenses by date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21995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9145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4" name="Image 2" descr="Description : Logo mefe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289560</xdr:colOff>
      <xdr:row>0</xdr:row>
      <xdr:rowOff>190500</xdr:rowOff>
    </xdr:from>
    <xdr:to>
      <xdr:col>5</xdr:col>
      <xdr:colOff>861060</xdr:colOff>
      <xdr:row>4</xdr:row>
      <xdr:rowOff>15240</xdr:rowOff>
    </xdr:to>
    <xdr:pic>
      <xdr:nvPicPr>
        <xdr:cNvPr id="5" name="Image 5" descr="Description : téléchargement.png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4956810" y="190500"/>
          <a:ext cx="13906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</xdr:colOff>
      <xdr:row>1</xdr:row>
      <xdr:rowOff>0</xdr:rowOff>
    </xdr:from>
    <xdr:to>
      <xdr:col>4</xdr:col>
      <xdr:colOff>22860</xdr:colOff>
      <xdr:row>4</xdr:row>
      <xdr:rowOff>7620</xdr:rowOff>
    </xdr:to>
    <xdr:pic>
      <xdr:nvPicPr>
        <xdr:cNvPr id="6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490" y="190500"/>
          <a:ext cx="7696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281941</xdr:colOff>
      <xdr:row>1</xdr:row>
      <xdr:rowOff>1</xdr:rowOff>
    </xdr:from>
    <xdr:ext cx="1120139" cy="716279"/>
    <xdr:pic>
      <xdr:nvPicPr>
        <xdr:cNvPr id="7" name="Image 6" descr="eaglelogo.jpg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5591" y="190501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4</xdr:row>
      <xdr:rowOff>30480</xdr:rowOff>
    </xdr:to>
    <xdr:pic>
      <xdr:nvPicPr>
        <xdr:cNvPr id="8" name="Image 6" descr="E:\PALF_logo_new_1.jpg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6096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114300</xdr:colOff>
      <xdr:row>25</xdr:row>
      <xdr:rowOff>0</xdr:rowOff>
    </xdr:from>
    <xdr:ext cx="76200" cy="228600"/>
    <xdr:sp macro="" textlink="">
      <xdr:nvSpPr>
        <xdr:cNvPr id="9" name="Text Box 32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219950" y="4838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25</xdr:row>
      <xdr:rowOff>0</xdr:rowOff>
    </xdr:from>
    <xdr:ext cx="19050" cy="209550"/>
    <xdr:sp macro="" textlink="">
      <xdr:nvSpPr>
        <xdr:cNvPr id="10" name="Text Box 34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791450" y="48387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11" name="Image 2" descr="Description : Logo mefe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289560</xdr:colOff>
      <xdr:row>0</xdr:row>
      <xdr:rowOff>190500</xdr:rowOff>
    </xdr:from>
    <xdr:to>
      <xdr:col>5</xdr:col>
      <xdr:colOff>861060</xdr:colOff>
      <xdr:row>4</xdr:row>
      <xdr:rowOff>15240</xdr:rowOff>
    </xdr:to>
    <xdr:pic>
      <xdr:nvPicPr>
        <xdr:cNvPr id="12" name="Image 5" descr="Description : téléchargement.png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4956810" y="190500"/>
          <a:ext cx="13906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</xdr:colOff>
      <xdr:row>1</xdr:row>
      <xdr:rowOff>0</xdr:rowOff>
    </xdr:from>
    <xdr:to>
      <xdr:col>4</xdr:col>
      <xdr:colOff>22860</xdr:colOff>
      <xdr:row>4</xdr:row>
      <xdr:rowOff>7620</xdr:rowOff>
    </xdr:to>
    <xdr:pic>
      <xdr:nvPicPr>
        <xdr:cNvPr id="13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490" y="190500"/>
          <a:ext cx="7696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281941</xdr:colOff>
      <xdr:row>1</xdr:row>
      <xdr:rowOff>1</xdr:rowOff>
    </xdr:from>
    <xdr:ext cx="1120139" cy="716279"/>
    <xdr:pic>
      <xdr:nvPicPr>
        <xdr:cNvPr id="14" name="Image 13" descr="eaglelogo.jpg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5591" y="190501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4</xdr:row>
      <xdr:rowOff>30480</xdr:rowOff>
    </xdr:to>
    <xdr:pic>
      <xdr:nvPicPr>
        <xdr:cNvPr id="15" name="Image 6" descr="E:\PALF_logo_new_1.jpg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6096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467600" y="5029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039100" y="50292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220980</xdr:colOff>
      <xdr:row>0</xdr:row>
      <xdr:rowOff>152400</xdr:rowOff>
    </xdr:from>
    <xdr:to>
      <xdr:col>1</xdr:col>
      <xdr:colOff>228600</xdr:colOff>
      <xdr:row>3</xdr:row>
      <xdr:rowOff>175260</xdr:rowOff>
    </xdr:to>
    <xdr:pic>
      <xdr:nvPicPr>
        <xdr:cNvPr id="4" name="Image 2" descr="Description : Logo mefe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52400"/>
          <a:ext cx="7696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289560</xdr:colOff>
      <xdr:row>0</xdr:row>
      <xdr:rowOff>190500</xdr:rowOff>
    </xdr:from>
    <xdr:to>
      <xdr:col>5</xdr:col>
      <xdr:colOff>861060</xdr:colOff>
      <xdr:row>4</xdr:row>
      <xdr:rowOff>15240</xdr:rowOff>
    </xdr:to>
    <xdr:pic>
      <xdr:nvPicPr>
        <xdr:cNvPr id="5" name="Image 5" descr="Description : téléchargement.png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0728"/>
        <a:stretch>
          <a:fillRect/>
        </a:stretch>
      </xdr:blipFill>
      <xdr:spPr bwMode="auto">
        <a:xfrm>
          <a:off x="5433060" y="190500"/>
          <a:ext cx="123825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</xdr:colOff>
      <xdr:row>1</xdr:row>
      <xdr:rowOff>0</xdr:rowOff>
    </xdr:from>
    <xdr:to>
      <xdr:col>4</xdr:col>
      <xdr:colOff>22860</xdr:colOff>
      <xdr:row>4</xdr:row>
      <xdr:rowOff>7620</xdr:rowOff>
    </xdr:to>
    <xdr:pic>
      <xdr:nvPicPr>
        <xdr:cNvPr id="6" name="Image 6" descr="Description : téléchargement (1).png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190500"/>
          <a:ext cx="7696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281941</xdr:colOff>
      <xdr:row>1</xdr:row>
      <xdr:rowOff>1</xdr:rowOff>
    </xdr:from>
    <xdr:ext cx="1120139" cy="716279"/>
    <xdr:pic>
      <xdr:nvPicPr>
        <xdr:cNvPr id="7" name="Image 6" descr="eaglelogo.jpg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49441" y="190501"/>
          <a:ext cx="1120139" cy="716279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762000</xdr:colOff>
      <xdr:row>4</xdr:row>
      <xdr:rowOff>30480</xdr:rowOff>
    </xdr:to>
    <xdr:pic>
      <xdr:nvPicPr>
        <xdr:cNvPr id="8" name="Image 6" descr="E:\PALF_logo_new_1.jp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7620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septembre\compta%2030%20SPTE\Compta_Perrine_3009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P29-Comptabilit&#233;%20(13)VF%20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_Perrine_020221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LFF/Compta%20janvier%202021/Nouveau%20dossier/Compta%20T44%20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Fichier%20comptable-ted%20%2030_0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_CREPIN%20du%2031-08-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_comptable_Dalia_au_21_Aout_2020%20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bilit&#233;%20Evariste%20du%2021%20ao&#251;t%202020%20vf%20OK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_21_08_20_%20Herick%20_Harmonis&#233;e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bilit&#233;%20i23c%20au%2019%20Ao&#251;t%202020%20corrig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COMPTA%20PALF%20JB%20actualis&#233;e%20ce%2021.08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Rapport%20Fin\RAF\RF\Rapport_20\RALFF%2020\2020\PALF%20Rapport%20Financier%20D&#233;cembre%20%202020_HB_VF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_%20comptable_%20Jospin%20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P29-Comptabilit&#233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%20comptable-Shely%20A%20(1)%20(1)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AO&#220;T\compta%20ok\Fichier%20comptable-ted%20(1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lff\AppData\Local\Microsoft\Windows\INetCache\Content.Outlook\BTO9MOI8\RAPPORT%20FINANCIER%20JUILLET%20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Rapprochement%20bancaire\Mois%20de%20Janvier%202021\Mois%20de%20Janvier%202021\CAISSE%20BANQUE\CPTE%20principal%203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ois%20de%20Janvier%202021/Rapprochement%20bancaire%20Janvier%20202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Rapprochement%20bancaire\Mois%20de%20Janvier%202021\Mois%20de%20Janvier%202021\CAISSE%20BANQUE\Sous-compte%2056%20palf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ois%20de%20Janvier%202021/CAISSE%20BANQUE/Caisse-PALF%20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%20Christian%20actuais&#233;e%20le%20(6)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_CREPIN%20du%2029-01-2021%20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bilit&#233;%20Evariste%2029%20janvier%202021%20vf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%20matoko%20Geisner%20du%2031-%2001-2021_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bilit&#233;%20i23c%20au%201%20F&#233;vrier%202021%20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COMPTA%20PALF%20JB%20actualis&#233;e%20ce%2031.01.2021%20V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FF\Compta%20janvier%202021\Nouveau%20dossier\Fichier%20comptable-Merveille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frais transport"/>
      <sheetName val="Cumul frais trust build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83">
          <cell r="G583">
            <v>44200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</sheetNames>
    <sheetDataSet>
      <sheetData sheetId="0">
        <row r="949">
          <cell r="G949">
            <v>-851709.00072999997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 RINES"/>
      <sheetName val="Feuil2"/>
      <sheetName val="Feuil1"/>
      <sheetName val="Compta RINES (2)"/>
      <sheetName val="Cumul fras transport"/>
      <sheetName val="Cumul frais Ration"/>
      <sheetName val="Cumul frais trust building"/>
    </sheetNames>
    <sheetDataSet>
      <sheetData sheetId="0" refreshError="1"/>
      <sheetData sheetId="1" refreshError="1">
        <row r="80">
          <cell r="G80">
            <v>90300</v>
          </cell>
        </row>
      </sheetData>
      <sheetData sheetId="2" refreshError="1"/>
      <sheetData sheetId="3" refreshError="1"/>
      <sheetData sheetId="4">
        <row r="42">
          <cell r="G42">
            <v>93300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  <sheetName val="Feuil3"/>
    </sheetNames>
    <sheetDataSet>
      <sheetData sheetId="0" refreshError="1"/>
      <sheetData sheetId="1">
        <row r="21">
          <cell r="G21">
            <v>300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"/>
      <sheetName val="Donateurs"/>
      <sheetName val="Feuil1"/>
      <sheetName val="DATA  "/>
      <sheetName val="COMPTE PRINCIPAL 34"/>
      <sheetName val="Rapprochement Bancaire Cpte 34"/>
      <sheetName val="SOUS-COMPTE 56"/>
      <sheetName val="Rapprochement Bancaire Cpte 56"/>
      <sheetName val="CAISSE DEC 20"/>
    </sheetNames>
    <sheetDataSet>
      <sheetData sheetId="0">
        <row r="3">
          <cell r="I3">
            <v>11284555</v>
          </cell>
        </row>
        <row r="4">
          <cell r="I4">
            <v>2158645</v>
          </cell>
        </row>
        <row r="5">
          <cell r="I5">
            <v>62150</v>
          </cell>
        </row>
        <row r="6">
          <cell r="I6">
            <v>-11330</v>
          </cell>
        </row>
        <row r="7">
          <cell r="I7">
            <v>8260</v>
          </cell>
        </row>
        <row r="8">
          <cell r="I8">
            <v>3795</v>
          </cell>
        </row>
        <row r="9">
          <cell r="I9">
            <v>-83100</v>
          </cell>
        </row>
        <row r="10">
          <cell r="I10">
            <v>1784</v>
          </cell>
        </row>
        <row r="11">
          <cell r="I11">
            <v>88800</v>
          </cell>
        </row>
        <row r="12">
          <cell r="I12">
            <v>233614</v>
          </cell>
        </row>
        <row r="13">
          <cell r="I13">
            <v>249769</v>
          </cell>
        </row>
        <row r="14">
          <cell r="I14">
            <v>7890</v>
          </cell>
        </row>
        <row r="15">
          <cell r="I15">
            <v>5000</v>
          </cell>
        </row>
        <row r="16">
          <cell r="I16">
            <v>57700</v>
          </cell>
        </row>
        <row r="17">
          <cell r="I17">
            <v>-32081.000729999971</v>
          </cell>
        </row>
        <row r="18">
          <cell r="I18">
            <v>62000</v>
          </cell>
        </row>
        <row r="19">
          <cell r="I19">
            <v>4300</v>
          </cell>
        </row>
        <row r="20">
          <cell r="I20">
            <v>14101750.99927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juin"/>
      <sheetName val="juil"/>
      <sheetName val="Aout"/>
      <sheetName val="septembre"/>
      <sheetName val="Octobre"/>
      <sheetName val="Novembre"/>
      <sheetName val="Décembre "/>
      <sheetName val="Janvier 2021"/>
      <sheetName val="Février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H21">
            <v>11284555</v>
          </cell>
        </row>
      </sheetData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MPTE PRINCIPAL 34"/>
      <sheetName val="Rapprochement cpte principal 34"/>
      <sheetName val="SOUS COMPTE BCI 56"/>
      <sheetName val="Rapprochment sous-Cpte 56"/>
    </sheetNames>
    <sheetDataSet>
      <sheetData sheetId="0">
        <row r="10">
          <cell r="H10">
            <v>11284555</v>
          </cell>
        </row>
        <row r="20">
          <cell r="H20">
            <v>5510674</v>
          </cell>
        </row>
      </sheetData>
      <sheetData sheetId="1" refreshError="1"/>
      <sheetData sheetId="2">
        <row r="10">
          <cell r="H10">
            <v>2158645</v>
          </cell>
        </row>
        <row r="33">
          <cell r="H33">
            <v>11193664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juin"/>
      <sheetName val="juil"/>
      <sheetName val="Aout"/>
      <sheetName val="septembre"/>
      <sheetName val="Octobre"/>
      <sheetName val="Novembre"/>
      <sheetName val="Décembre 2020"/>
      <sheetName val="Janvier 2021"/>
      <sheetName val="Février 20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6">
          <cell r="H36">
            <v>2158645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isse PALF"/>
      <sheetName val="Caisse avril 20"/>
      <sheetName val=" Caisse mai 20"/>
      <sheetName val="JUIN 20"/>
      <sheetName val="juil 20"/>
      <sheetName val="aout"/>
      <sheetName val="caisse sept 20"/>
      <sheetName val="caisse oCT 20 (2)"/>
      <sheetName val="caisse NOV 20 "/>
      <sheetName val="caisse Décembre 2020"/>
      <sheetName val="caisse Janvier 2021"/>
      <sheetName val="caisse Février 2021  "/>
      <sheetName val="Feuil1"/>
      <sheetName val="Feuil2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C7">
            <v>62150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compta shely (2)"/>
      <sheetName val="Cumul frais transport"/>
      <sheetName val="Cumul Jail visits"/>
    </sheetNames>
    <sheetDataSet>
      <sheetData sheetId="0"/>
      <sheetData sheetId="1"/>
      <sheetData sheetId="2">
        <row r="364">
          <cell r="G364">
            <v>3670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Cumul frais transport"/>
      <sheetName val="Cumul jail visits"/>
    </sheetNames>
    <sheetDataSet>
      <sheetData sheetId="0" refreshError="1"/>
      <sheetData sheetId="1" refreshError="1"/>
      <sheetData sheetId="2" refreshError="1"/>
      <sheetData sheetId="3">
        <row r="3262">
          <cell r="G3262">
            <v>-540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Cumul frais transport local"/>
    </sheetNames>
    <sheetDataSet>
      <sheetData sheetId="0" refreshError="1"/>
      <sheetData sheetId="1" refreshError="1"/>
      <sheetData sheetId="2" refreshError="1"/>
      <sheetData sheetId="3">
        <row r="2662">
          <cell r="G2662">
            <v>2395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"/>
      <sheetName val="COMPTA (2)"/>
      <sheetName val="Cumul Jails Visit"/>
      <sheetName val="Cumul frais transport (2)"/>
    </sheetNames>
    <sheetDataSet>
      <sheetData sheetId="0" refreshError="1"/>
      <sheetData sheetId="1" refreshError="1"/>
      <sheetData sheetId="2">
        <row r="277">
          <cell r="G277">
            <v>96100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frais transport"/>
      <sheetName val="Frais trust build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571">
          <cell r="G4571">
            <v>72400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ompta"/>
      <sheetName val="Cumul frais transport local"/>
    </sheetNames>
    <sheetDataSet>
      <sheetData sheetId="0">
        <row r="2995">
          <cell r="G2995">
            <v>18490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Merveille"/>
      <sheetName val="compta Merveille (2)"/>
      <sheetName val="Cumul frais de transport"/>
    </sheetNames>
    <sheetDataSet>
      <sheetData sheetId="0" refreshError="1"/>
      <sheetData sheetId="1" refreshError="1"/>
      <sheetData sheetId="2">
        <row r="39">
          <cell r="G39">
            <v>4500</v>
          </cell>
        </row>
      </sheetData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250.649405208336" createdVersion="3" refreshedVersion="3" minRefreshableVersion="3" recordCount="290">
  <cacheSource type="worksheet">
    <worksheetSource ref="A11:O301" sheet="DATA  JANV"/>
  </cacheSource>
  <cacheFields count="15">
    <cacheField name="Date" numFmtId="14">
      <sharedItems containsSemiMixedTypes="0" containsNonDate="0" containsDate="1" containsString="0" minDate="2021-01-01T00:00:00" maxDate="2021-02-01T00:00:00"/>
    </cacheField>
    <cacheField name="Details" numFmtId="0">
      <sharedItems/>
    </cacheField>
    <cacheField name="Type de dépenses" numFmtId="0">
      <sharedItems containsBlank="1" count="22">
        <m/>
        <s v="Transport"/>
        <s v="Flight"/>
        <s v="Versement"/>
        <s v="Internet"/>
        <s v="Rent &amp; Utilities"/>
        <s v="Bonus"/>
        <s v="Trust building"/>
        <s v="Travel Subsistence"/>
        <s v="Lawyer fees"/>
        <s v="Transfer fees"/>
        <s v="Personnel"/>
        <s v="Travel expenses "/>
        <s v="Travel Expenses"/>
        <s v="Office Materials"/>
        <s v="Court fees"/>
        <s v="Jail visits"/>
        <s v="Donation"/>
        <s v="Services"/>
        <s v="Telephone"/>
        <s v="Transport "/>
        <s v="Bank fees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5000" maxValue="12940063"/>
    </cacheField>
    <cacheField name="Spent" numFmtId="0">
      <sharedItems containsString="0" containsBlank="1" containsNumber="1" containsInteger="1" minValue="1000" maxValue="1500000"/>
    </cacheField>
    <cacheField name="Balance" numFmtId="166">
      <sharedItems containsSemiMixedTypes="0" containsString="0" containsNumber="1" minValue="8557943.9992699996" maxValue="23993923.99927"/>
    </cacheField>
    <cacheField name="Name" numFmtId="0">
      <sharedItems containsBlank="1" count="18">
        <m/>
        <s v="T44"/>
        <s v="Perrine Odier"/>
        <s v="I23c"/>
        <s v="BCI"/>
        <s v="Caisse"/>
        <s v="Herick"/>
        <s v="P29"/>
        <s v="Christian"/>
        <s v="Geisner"/>
        <s v="Crépin"/>
        <s v="Merveille"/>
        <s v="BCI Sous-Compte"/>
        <s v="Ted"/>
        <s v="Evariste"/>
        <s v="Jack-Bénisson"/>
        <s v="I73X"/>
        <s v="I55S"/>
      </sharedItems>
    </cacheField>
    <cacheField name="Receipt" numFmtId="0">
      <sharedItems containsBlank="1" containsMixedTypes="1" containsNumber="1" containsInteger="1" minValue="3643397" maxValue="3654425"/>
    </cacheField>
    <cacheField name="Donor" numFmtId="0">
      <sharedItems containsBlank="1" count="8">
        <m/>
        <s v="ECF"/>
        <s v="UE"/>
        <s v="NO WILDLIFE CRIME"/>
        <s v="Wildcat"/>
        <s v="EAGLE-USFWS"/>
        <s v="CIDT"/>
        <s v="EU" u="1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d v="2021-01-01T00:00:00"/>
    <s v="Solde au 01/01/2021"/>
    <x v="0"/>
    <m/>
    <m/>
    <m/>
    <n v="14101750.99927"/>
    <x v="0"/>
    <m/>
    <x v="0"/>
    <m/>
    <m/>
    <m/>
    <m/>
    <m/>
  </r>
  <r>
    <d v="2021-01-01T00:00:00"/>
    <s v="Achat billet mission P/Noire (Billet Bzv-PNR)/T44"/>
    <x v="1"/>
    <s v="Investigation"/>
    <m/>
    <n v="15000"/>
    <n v="14086750.99927"/>
    <x v="1"/>
    <s v="Oui"/>
    <x v="1"/>
    <s v="PALF"/>
    <s v="Congo"/>
    <m/>
    <m/>
    <m/>
  </r>
  <r>
    <d v="2021-01-01T00:00:00"/>
    <s v="Achat billet airfrance fin de mission "/>
    <x v="2"/>
    <s v="Management "/>
    <m/>
    <n v="643428"/>
    <n v="13443322.99927"/>
    <x v="2"/>
    <s v="Oui"/>
    <x v="1"/>
    <s v="PALF"/>
    <s v="Congo"/>
    <m/>
    <m/>
    <m/>
  </r>
  <r>
    <d v="2021-01-01T00:00:00"/>
    <s v="Achat billet BZ-PN /Ms du 05 au 15 Janvier/23C"/>
    <x v="1"/>
    <s v="Investigation"/>
    <m/>
    <n v="15000"/>
    <n v="13428322.99927"/>
    <x v="3"/>
    <s v="Oui"/>
    <x v="1"/>
    <s v="RALFF"/>
    <s v="Congo"/>
    <s v="RALFF-CO1725"/>
    <s v="2.2"/>
    <m/>
  </r>
  <r>
    <d v="2021-01-04T00:00:00"/>
    <s v="Retrait especes/appro caisse/bord n°3654417"/>
    <x v="3"/>
    <m/>
    <m/>
    <n v="1000000"/>
    <n v="12428322.99927"/>
    <x v="4"/>
    <n v="3654417"/>
    <x v="0"/>
    <m/>
    <m/>
    <m/>
    <m/>
    <m/>
  </r>
  <r>
    <d v="2021-01-04T00:00:00"/>
    <s v="BCI"/>
    <x v="3"/>
    <m/>
    <n v="1000000"/>
    <m/>
    <n v="13428322.99927"/>
    <x v="5"/>
    <m/>
    <x v="0"/>
    <m/>
    <m/>
    <m/>
    <m/>
    <m/>
  </r>
  <r>
    <d v="2021-01-04T00:00:00"/>
    <s v="Crépin"/>
    <x v="3"/>
    <m/>
    <m/>
    <n v="20000"/>
    <n v="13408322.99927"/>
    <x v="5"/>
    <m/>
    <x v="0"/>
    <m/>
    <m/>
    <m/>
    <m/>
    <m/>
  </r>
  <r>
    <d v="2021-01-04T00:00:00"/>
    <s v="Christian"/>
    <x v="3"/>
    <m/>
    <m/>
    <n v="20000"/>
    <n v="13388322.99927"/>
    <x v="5"/>
    <m/>
    <x v="0"/>
    <m/>
    <m/>
    <m/>
    <m/>
    <m/>
  </r>
  <r>
    <d v="2021-01-04T00:00:00"/>
    <s v="Hérick"/>
    <x v="3"/>
    <m/>
    <m/>
    <n v="100000"/>
    <n v="13288322.99927"/>
    <x v="5"/>
    <m/>
    <x v="0"/>
    <m/>
    <m/>
    <m/>
    <m/>
    <m/>
  </r>
  <r>
    <d v="2021-01-04T00:00:00"/>
    <s v="Geisner"/>
    <x v="3"/>
    <m/>
    <m/>
    <n v="65000"/>
    <n v="13223322.99927"/>
    <x v="5"/>
    <m/>
    <x v="0"/>
    <m/>
    <m/>
    <m/>
    <m/>
    <m/>
  </r>
  <r>
    <d v="2021-01-04T00:00:00"/>
    <s v="P29"/>
    <x v="3"/>
    <m/>
    <m/>
    <n v="20000"/>
    <n v="13203322.99927"/>
    <x v="5"/>
    <m/>
    <x v="0"/>
    <m/>
    <m/>
    <m/>
    <m/>
    <m/>
  </r>
  <r>
    <d v="2021-01-04T00:00:00"/>
    <s v="P29"/>
    <x v="3"/>
    <m/>
    <m/>
    <n v="100000"/>
    <n v="13103322.99927"/>
    <x v="5"/>
    <m/>
    <x v="0"/>
    <m/>
    <m/>
    <m/>
    <m/>
    <m/>
  </r>
  <r>
    <d v="2021-01-04T00:00:00"/>
    <s v="Reglement Facture Internet/mois de Janvier 21/congo telecom"/>
    <x v="4"/>
    <s v="Office"/>
    <m/>
    <n v="89175"/>
    <n v="13014147.99927"/>
    <x v="5"/>
    <s v="Oui"/>
    <x v="2"/>
    <s v="RALFF"/>
    <s v="Congo"/>
    <s v="RALFF-CO1726"/>
    <s v="4.5"/>
    <m/>
  </r>
  <r>
    <d v="2021-01-04T00:00:00"/>
    <s v="Prestation de service/Boucher le trou du portail/bureau/soudeur"/>
    <x v="5"/>
    <s v="Office"/>
    <m/>
    <n v="13000"/>
    <n v="13001147.99927"/>
    <x v="5"/>
    <s v="Oui"/>
    <x v="1"/>
    <s v="PALF"/>
    <s v="Congo"/>
    <m/>
    <m/>
    <m/>
  </r>
  <r>
    <d v="2021-01-04T00:00:00"/>
    <s v="Crépin"/>
    <x v="3"/>
    <m/>
    <m/>
    <n v="50000"/>
    <n v="12951147.99927"/>
    <x v="5"/>
    <m/>
    <x v="0"/>
    <m/>
    <m/>
    <m/>
    <m/>
    <m/>
  </r>
  <r>
    <d v="2021-01-04T00:00:00"/>
    <s v="T44/Bonus operation à Brazzaville"/>
    <x v="6"/>
    <s v="Operations"/>
    <m/>
    <n v="10000"/>
    <n v="12941147.99927"/>
    <x v="5"/>
    <s v="Décharge"/>
    <x v="3"/>
    <s v="PALF"/>
    <s v="Congo"/>
    <m/>
    <m/>
    <m/>
  </r>
  <r>
    <d v="2021-01-04T00:00:00"/>
    <s v="T44"/>
    <x v="3"/>
    <m/>
    <m/>
    <n v="45000"/>
    <n v="12896147.99927"/>
    <x v="5"/>
    <m/>
    <x v="0"/>
    <m/>
    <m/>
    <m/>
    <m/>
    <m/>
  </r>
  <r>
    <d v="2021-01-04T00:00:00"/>
    <s v="I23C"/>
    <x v="3"/>
    <m/>
    <m/>
    <n v="55000"/>
    <n v="12841147.99927"/>
    <x v="5"/>
    <m/>
    <x v="0"/>
    <m/>
    <m/>
    <m/>
    <m/>
    <m/>
  </r>
  <r>
    <d v="2021-01-04T00:00:00"/>
    <s v="I23C/Opération à Brazzaville"/>
    <x v="6"/>
    <s v="Operations"/>
    <m/>
    <n v="30000"/>
    <n v="12811147.99927"/>
    <x v="5"/>
    <s v="Décharge"/>
    <x v="3"/>
    <s v="PALF"/>
    <s v="Congo"/>
    <m/>
    <m/>
    <m/>
  </r>
  <r>
    <d v="2021-01-04T00:00:00"/>
    <s v="P29/Opération à Brazzaville"/>
    <x v="6"/>
    <s v="Operations"/>
    <m/>
    <n v="25000"/>
    <n v="12786147.99927"/>
    <x v="5"/>
    <s v="Décharge"/>
    <x v="3"/>
    <s v="PALF"/>
    <s v="Congo"/>
    <m/>
    <m/>
    <m/>
  </r>
  <r>
    <d v="2021-01-04T00:00:00"/>
    <s v="Crépin/Opération à Brazzaville"/>
    <x v="6"/>
    <s v="Operations"/>
    <m/>
    <n v="10000"/>
    <n v="12776147.99927"/>
    <x v="5"/>
    <s v="Décharge"/>
    <x v="3"/>
    <s v="PALF"/>
    <s v="Congo"/>
    <m/>
    <m/>
    <m/>
  </r>
  <r>
    <d v="2021-01-04T00:00:00"/>
    <s v="Hérick/Opération à Brazzaville"/>
    <x v="6"/>
    <s v="Operations"/>
    <m/>
    <n v="30000"/>
    <n v="12746147.99927"/>
    <x v="5"/>
    <s v="Décharge"/>
    <x v="3"/>
    <s v="PALF"/>
    <s v="Congo"/>
    <m/>
    <m/>
    <m/>
  </r>
  <r>
    <d v="2021-01-04T00:00:00"/>
    <s v="Christian/Opération à Brazzaville"/>
    <x v="6"/>
    <s v="Operations"/>
    <m/>
    <n v="10000"/>
    <n v="12736147.99927"/>
    <x v="5"/>
    <s v="Décharge"/>
    <x v="3"/>
    <s v="PALF"/>
    <s v="Congo"/>
    <m/>
    <m/>
    <m/>
  </r>
  <r>
    <d v="2021-01-04T00:00:00"/>
    <s v="Christian"/>
    <x v="3"/>
    <m/>
    <m/>
    <n v="20000"/>
    <n v="12716147.99927"/>
    <x v="5"/>
    <m/>
    <x v="0"/>
    <m/>
    <m/>
    <m/>
    <m/>
    <m/>
  </r>
  <r>
    <d v="2021-01-04T00:00:00"/>
    <s v="Reçu caisse/Hérick"/>
    <x v="3"/>
    <m/>
    <n v="100000"/>
    <m/>
    <n v="12816147.99927"/>
    <x v="6"/>
    <m/>
    <x v="0"/>
    <m/>
    <m/>
    <m/>
    <m/>
    <m/>
  </r>
  <r>
    <d v="2021-01-04T00:00:00"/>
    <s v="Reçu de caisse  Crépin /Hérick"/>
    <x v="3"/>
    <m/>
    <n v="50000"/>
    <m/>
    <n v="12866147.99927"/>
    <x v="6"/>
    <m/>
    <x v="0"/>
    <m/>
    <m/>
    <m/>
    <m/>
    <m/>
  </r>
  <r>
    <d v="2021-01-04T00:00:00"/>
    <s v="Frais trust building"/>
    <x v="7"/>
    <s v="Legal"/>
    <m/>
    <n v="3200"/>
    <n v="12862947.99927"/>
    <x v="6"/>
    <s v="Décharge"/>
    <x v="4"/>
    <s v="PALF"/>
    <s v="Congo"/>
    <m/>
    <m/>
    <m/>
  </r>
  <r>
    <d v="2021-01-04T00:00:00"/>
    <s v=" Frais d'Hôtel 2 nuitées du 03 au 05/01/P29 A Brazzaville"/>
    <x v="8"/>
    <s v="Investigations"/>
    <m/>
    <n v="60000"/>
    <n v="12802947.99927"/>
    <x v="7"/>
    <s v="Oui"/>
    <x v="1"/>
    <s v="RALFF"/>
    <s v="Congo"/>
    <s v="RALFF-CO1727"/>
    <s v="1.3.2"/>
    <m/>
  </r>
  <r>
    <d v="2021-01-04T00:00:00"/>
    <s v="Recu de caisse/P29"/>
    <x v="3"/>
    <m/>
    <n v="20000"/>
    <m/>
    <n v="12822947.99927"/>
    <x v="7"/>
    <m/>
    <x v="0"/>
    <m/>
    <m/>
    <m/>
    <m/>
    <m/>
  </r>
  <r>
    <d v="2021-01-04T00:00:00"/>
    <s v="Recu de caisse/P29"/>
    <x v="3"/>
    <m/>
    <n v="100000"/>
    <m/>
    <n v="12922947.99927"/>
    <x v="7"/>
    <m/>
    <x v="0"/>
    <m/>
    <m/>
    <m/>
    <m/>
    <m/>
  </r>
  <r>
    <d v="2021-01-04T00:00:00"/>
    <s v="Food allowance mission Djambala-Lekana du 05 au 15 jan/P29"/>
    <x v="8"/>
    <s v="Investigation"/>
    <m/>
    <n v="100000"/>
    <n v="12822947.99927"/>
    <x v="7"/>
    <s v="Decharge"/>
    <x v="1"/>
    <s v="RALFF"/>
    <s v="Congo"/>
    <s v="RALFF-CO1728"/>
    <s v="1.3.2"/>
    <m/>
  </r>
  <r>
    <d v="2021-01-04T00:00:00"/>
    <s v="Récu de caisse/I23C"/>
    <x v="3"/>
    <m/>
    <n v="55000"/>
    <m/>
    <n v="12877947.99927"/>
    <x v="3"/>
    <m/>
    <x v="0"/>
    <m/>
    <m/>
    <m/>
    <m/>
    <m/>
  </r>
  <r>
    <d v="2021-01-04T00:00:00"/>
    <s v="Recu caisse/Christian"/>
    <x v="3"/>
    <m/>
    <n v="20000"/>
    <m/>
    <n v="12897947.99927"/>
    <x v="8"/>
    <m/>
    <x v="0"/>
    <m/>
    <m/>
    <m/>
    <m/>
    <m/>
  </r>
  <r>
    <d v="2021-01-04T00:00:00"/>
    <s v="Recu caisse/Christian"/>
    <x v="3"/>
    <m/>
    <n v="20000"/>
    <m/>
    <n v="12917947.99927"/>
    <x v="8"/>
    <m/>
    <x v="0"/>
    <m/>
    <m/>
    <m/>
    <m/>
    <m/>
  </r>
  <r>
    <d v="2021-01-04T00:00:00"/>
    <s v="Récu caisse/Geis"/>
    <x v="3"/>
    <m/>
    <n v="65000"/>
    <m/>
    <n v="12982947.99927"/>
    <x v="9"/>
    <m/>
    <x v="0"/>
    <m/>
    <m/>
    <m/>
    <m/>
    <m/>
  </r>
  <r>
    <d v="2021-01-04T00:00:00"/>
    <s v="Achat Billet Brazzaville-Pointe-Noire/Geis"/>
    <x v="1"/>
    <s v="Legal"/>
    <m/>
    <n v="15000"/>
    <n v="12967947.99927"/>
    <x v="9"/>
    <s v="Décharge"/>
    <x v="1"/>
    <s v="RALFF"/>
    <s v="Congo"/>
    <s v="RALFF-CO1729"/>
    <s v="2.2"/>
    <m/>
  </r>
  <r>
    <d v="2021-01-04T00:00:00"/>
    <s v="Food allowance Mission P/N &amp; Dolisie du 04 au 10 Janv/Geis"/>
    <x v="8"/>
    <s v="Legal"/>
    <m/>
    <n v="60000"/>
    <n v="12907947.99927"/>
    <x v="9"/>
    <s v="Décharge"/>
    <x v="2"/>
    <s v="RALFF"/>
    <s v="Congo"/>
    <s v="RALFF-CO1730"/>
    <s v="1.3.2"/>
    <m/>
  </r>
  <r>
    <d v="2021-01-04T00:00:00"/>
    <s v="Recu de caisse/T44"/>
    <x v="3"/>
    <m/>
    <n v="45000"/>
    <m/>
    <n v="12952947.99927"/>
    <x v="1"/>
    <m/>
    <x v="0"/>
    <m/>
    <m/>
    <m/>
    <m/>
    <m/>
  </r>
  <r>
    <d v="2021-01-04T00:00:00"/>
    <s v="Reçu de la caisse/Crépin"/>
    <x v="3"/>
    <m/>
    <n v="20000"/>
    <m/>
    <n v="12972947.99927"/>
    <x v="10"/>
    <m/>
    <x v="0"/>
    <m/>
    <m/>
    <m/>
    <m/>
    <m/>
  </r>
  <r>
    <d v="2021-01-04T00:00:00"/>
    <s v="Reçu de la caisse/Crépin"/>
    <x v="3"/>
    <m/>
    <n v="50000"/>
    <m/>
    <n v="13022947.99927"/>
    <x v="10"/>
    <m/>
    <x v="0"/>
    <m/>
    <m/>
    <m/>
    <m/>
    <m/>
  </r>
  <r>
    <d v="2021-01-04T00:00:00"/>
    <s v="Versement  à Hérick"/>
    <x v="3"/>
    <m/>
    <m/>
    <n v="50000"/>
    <n v="12972947.99927"/>
    <x v="10"/>
    <m/>
    <x v="0"/>
    <m/>
    <m/>
    <m/>
    <m/>
    <m/>
  </r>
  <r>
    <d v="2021-01-05T00:00:00"/>
    <s v="Bonus 12 gendarmeries (opération Evariste et Arsène à BZ)"/>
    <x v="6"/>
    <s v="Operations"/>
    <m/>
    <n v="120000"/>
    <n v="12852947.99927"/>
    <x v="6"/>
    <s v="Décharge"/>
    <x v="3"/>
    <s v="PALF"/>
    <s v="Congo"/>
    <m/>
    <m/>
    <m/>
  </r>
  <r>
    <d v="2021-01-05T00:00:00"/>
    <s v="carburant gendarmerie  (opération Evariste et Arsène à BZ)"/>
    <x v="5"/>
    <s v="Operations"/>
    <m/>
    <n v="10000"/>
    <n v="12842947.99927"/>
    <x v="6"/>
    <s v="Décharge"/>
    <x v="3"/>
    <s v="PALF"/>
    <s v="Congo"/>
    <m/>
    <m/>
    <m/>
  </r>
  <r>
    <d v="2021-01-05T00:00:00"/>
    <s v="Achat billet,Ngo-Djambala/P29"/>
    <x v="1"/>
    <s v="Investigation"/>
    <m/>
    <n v="4000"/>
    <n v="12838947.99927"/>
    <x v="7"/>
    <s v="Oui"/>
    <x v="4"/>
    <s v="RALFF"/>
    <s v="Congo"/>
    <s v="RALFF-CO1731"/>
    <s v="2.2"/>
    <m/>
  </r>
  <r>
    <d v="2021-01-05T00:00:00"/>
    <s v="Food allowance mission PN du 5 au 15 janvier 2021/23C"/>
    <x v="8"/>
    <s v="Investigation"/>
    <m/>
    <n v="100000"/>
    <n v="12738947.99927"/>
    <x v="3"/>
    <s v="Décharge"/>
    <x v="1"/>
    <s v="RALFF"/>
    <s v="Congo"/>
    <s v="RALFF-CO1732"/>
    <s v="1.3.2"/>
    <m/>
  </r>
  <r>
    <d v="2021-01-05T00:00:00"/>
    <s v="Food allowance mission PN du 5 Jan au 15 jan/T44"/>
    <x v="8"/>
    <s v="Investigation"/>
    <m/>
    <n v="100000"/>
    <n v="12638947.99927"/>
    <x v="1"/>
    <s v="Decharge"/>
    <x v="1"/>
    <s v="PALF"/>
    <s v="Congo"/>
    <m/>
    <m/>
    <m/>
  </r>
  <r>
    <d v="2021-01-06T00:00:00"/>
    <s v="Frais de mission Maitre severin/Dolisie du 07 au 09/01/21/cais IBONGA Fabrice"/>
    <x v="9"/>
    <s v="Legal"/>
    <m/>
    <n v="76000"/>
    <n v="12562947.99927"/>
    <x v="5"/>
    <s v="Oui"/>
    <x v="2"/>
    <s v="RALFF"/>
    <s v="Congo"/>
    <s v="RALFF-CO1733"/>
    <s v="5.2.2"/>
    <m/>
  </r>
  <r>
    <d v="2021-01-06T00:00:00"/>
    <s v="Geisner"/>
    <x v="3"/>
    <m/>
    <m/>
    <n v="146300"/>
    <n v="12416647.99927"/>
    <x v="5"/>
    <m/>
    <x v="0"/>
    <m/>
    <m/>
    <m/>
    <m/>
    <m/>
  </r>
  <r>
    <d v="2021-01-06T00:00:00"/>
    <s v="Frais de transfert Charden Farell/Geisner "/>
    <x v="10"/>
    <s v="Office"/>
    <m/>
    <n v="4390"/>
    <n v="12412257.99927"/>
    <x v="5"/>
    <s v="Oui"/>
    <x v="4"/>
    <s v="RALFF"/>
    <s v="Congo"/>
    <s v="RALFF-CO1734"/>
    <s v="5.6"/>
    <m/>
  </r>
  <r>
    <d v="2021-01-06T00:00:00"/>
    <s v="Achat Billet Pointe-Noire-Dolisie/Geis"/>
    <x v="1"/>
    <s v="Legal"/>
    <m/>
    <n v="5000"/>
    <n v="12407257.99927"/>
    <x v="9"/>
    <s v="Oui"/>
    <x v="2"/>
    <s v="RALFF"/>
    <s v="Congo"/>
    <s v="RALFF-CO1735"/>
    <s v="2.2"/>
    <m/>
  </r>
  <r>
    <d v="2021-01-06T00:00:00"/>
    <s v="Récu caisse/Geis"/>
    <x v="3"/>
    <m/>
    <n v="146300"/>
    <m/>
    <n v="12553557.99927"/>
    <x v="9"/>
    <m/>
    <x v="0"/>
    <m/>
    <m/>
    <m/>
    <m/>
    <m/>
  </r>
  <r>
    <d v="2021-01-07T00:00:00"/>
    <s v="Retrait especes/appro caisse/bord n°3654418"/>
    <x v="3"/>
    <m/>
    <m/>
    <n v="1000000"/>
    <n v="11553557.99927"/>
    <x v="4"/>
    <n v="3654418"/>
    <x v="0"/>
    <m/>
    <m/>
    <m/>
    <m/>
    <m/>
  </r>
  <r>
    <d v="2021-01-07T00:00:00"/>
    <s v="BCI"/>
    <x v="3"/>
    <m/>
    <n v="1000000"/>
    <m/>
    <n v="12553557.99927"/>
    <x v="5"/>
    <m/>
    <x v="0"/>
    <m/>
    <m/>
    <m/>
    <m/>
    <m/>
  </r>
  <r>
    <d v="2021-01-07T00:00:00"/>
    <s v="I23c"/>
    <x v="3"/>
    <m/>
    <m/>
    <n v="282600"/>
    <n v="12270957.99927"/>
    <x v="5"/>
    <m/>
    <x v="0"/>
    <m/>
    <m/>
    <m/>
    <m/>
    <m/>
  </r>
  <r>
    <d v="2021-01-07T00:00:00"/>
    <s v="T44"/>
    <x v="3"/>
    <m/>
    <m/>
    <n v="250000"/>
    <n v="12020957.99927"/>
    <x v="5"/>
    <m/>
    <x v="0"/>
    <m/>
    <m/>
    <m/>
    <m/>
    <m/>
  </r>
  <r>
    <d v="2021-01-07T00:00:00"/>
    <s v="P29"/>
    <x v="3"/>
    <m/>
    <m/>
    <n v="200000"/>
    <n v="11820957.99927"/>
    <x v="5"/>
    <m/>
    <x v="0"/>
    <m/>
    <m/>
    <m/>
    <m/>
    <m/>
  </r>
  <r>
    <d v="2021-01-07T00:00:00"/>
    <s v="Geisner"/>
    <x v="3"/>
    <m/>
    <m/>
    <n v="83100"/>
    <n v="11737857.99927"/>
    <x v="5"/>
    <m/>
    <x v="0"/>
    <m/>
    <m/>
    <m/>
    <m/>
    <m/>
  </r>
  <r>
    <d v="2021-01-07T00:00:00"/>
    <s v="Frais de transfert Charden Farell/Geisner,I23C,P29 et T44"/>
    <x v="10"/>
    <s v="Office"/>
    <m/>
    <n v="24475"/>
    <n v="11713382.99927"/>
    <x v="5"/>
    <s v="Oui"/>
    <x v="4"/>
    <s v="RALFF"/>
    <s v="Congo"/>
    <s v="RALFF-CO1736"/>
    <s v="5.6"/>
    <m/>
  </r>
  <r>
    <d v="2021-01-07T00:00:00"/>
    <s v="Recu de caisse/P29"/>
    <x v="3"/>
    <m/>
    <n v="200000"/>
    <m/>
    <n v="11913382.99927"/>
    <x v="7"/>
    <m/>
    <x v="0"/>
    <m/>
    <m/>
    <m/>
    <m/>
    <m/>
  </r>
  <r>
    <d v="2021-01-07T00:00:00"/>
    <s v="Frais d'Hôtel Ms Pointe-Noire du 04 au 07 Janv/Geis"/>
    <x v="8"/>
    <s v="Legal"/>
    <m/>
    <n v="45000"/>
    <n v="11868382.99927"/>
    <x v="9"/>
    <s v="Oui"/>
    <x v="2"/>
    <s v="RALFF"/>
    <s v="Congo"/>
    <s v="RALFF-CO1737"/>
    <s v="1.3.2"/>
    <m/>
  </r>
  <r>
    <d v="2021-01-07T00:00:00"/>
    <s v="Recu de caisse/T44"/>
    <x v="3"/>
    <m/>
    <n v="250000"/>
    <m/>
    <n v="12118382.99927"/>
    <x v="1"/>
    <m/>
    <x v="0"/>
    <m/>
    <m/>
    <m/>
    <m/>
    <m/>
  </r>
  <r>
    <d v="2021-01-08T00:00:00"/>
    <s v="ONEMO: frais de visite pour 1 certfificats medicaux (Bourgeois)"/>
    <x v="11"/>
    <s v="Investigation"/>
    <m/>
    <n v="10000"/>
    <n v="12108382.99927"/>
    <x v="5"/>
    <s v="Oui"/>
    <x v="1"/>
    <s v="PALF"/>
    <s v="Congo"/>
    <m/>
    <m/>
    <m/>
  </r>
  <r>
    <d v="2021-01-08T00:00:00"/>
    <s v="ONEMO: frais de visite pour 2 certfificats medicaux (Ted, Merveille)"/>
    <x v="11"/>
    <s v="Management"/>
    <m/>
    <n v="20000"/>
    <n v="12088382.99927"/>
    <x v="5"/>
    <s v="Oui"/>
    <x v="1"/>
    <s v="PALF"/>
    <s v="Congo"/>
    <m/>
    <m/>
    <m/>
  </r>
  <r>
    <d v="2021-01-08T00:00:00"/>
    <s v="ONEMO: frais de visite pour 2 certfificats medicaux (Christian et Geisner)"/>
    <x v="11"/>
    <s v="Legal"/>
    <m/>
    <n v="20000"/>
    <n v="12068382.99927"/>
    <x v="5"/>
    <s v="Oui"/>
    <x v="1"/>
    <s v="PALF"/>
    <s v="Congo"/>
    <m/>
    <m/>
    <m/>
  </r>
  <r>
    <d v="2021-01-08T00:00:00"/>
    <s v="Merveille"/>
    <x v="3"/>
    <m/>
    <m/>
    <n v="5000"/>
    <n v="12063382.99927"/>
    <x v="5"/>
    <m/>
    <x v="0"/>
    <m/>
    <m/>
    <m/>
    <m/>
    <m/>
  </r>
  <r>
    <d v="2021-01-08T00:00:00"/>
    <s v="Christian"/>
    <x v="3"/>
    <m/>
    <m/>
    <n v="50000"/>
    <n v="12013382.99927"/>
    <x v="5"/>
    <m/>
    <x v="0"/>
    <m/>
    <m/>
    <m/>
    <m/>
    <m/>
  </r>
  <r>
    <d v="2021-01-08T00:00:00"/>
    <s v="Hérick"/>
    <x v="3"/>
    <m/>
    <m/>
    <n v="50000"/>
    <n v="11963382.99927"/>
    <x v="5"/>
    <m/>
    <x v="0"/>
    <m/>
    <m/>
    <m/>
    <m/>
    <m/>
  </r>
  <r>
    <d v="2021-01-08T00:00:00"/>
    <s v="Reçu de caisse/Hérick"/>
    <x v="3"/>
    <m/>
    <n v="50000"/>
    <m/>
    <n v="12013382.99927"/>
    <x v="6"/>
    <m/>
    <x v="0"/>
    <m/>
    <m/>
    <m/>
    <m/>
    <m/>
  </r>
  <r>
    <d v="2021-01-08T00:00:00"/>
    <s v="Achat billet brazzaville-ouesso/Christian"/>
    <x v="1"/>
    <s v="Legal"/>
    <m/>
    <n v="20000"/>
    <n v="11993382.99927"/>
    <x v="8"/>
    <s v="Oui"/>
    <x v="1"/>
    <s v="RALFF"/>
    <s v="Congo"/>
    <s v="RALFF-CO1738"/>
    <s v="2.2"/>
    <m/>
  </r>
  <r>
    <d v="2021-01-08T00:00:00"/>
    <s v="Récu de caisse/I23C"/>
    <x v="3"/>
    <m/>
    <n v="282600"/>
    <m/>
    <n v="12275982.99927"/>
    <x v="3"/>
    <m/>
    <x v="0"/>
    <m/>
    <m/>
    <m/>
    <m/>
    <m/>
  </r>
  <r>
    <d v="2021-01-08T00:00:00"/>
    <s v="Achat billet BZ- Ouesso /Hérick"/>
    <x v="1"/>
    <s v="Legal"/>
    <m/>
    <n v="20000"/>
    <n v="12255982.99927"/>
    <x v="6"/>
    <s v="Oui"/>
    <x v="2"/>
    <s v="RALFF"/>
    <s v="Congo"/>
    <s v="RALFF-CO1739"/>
    <s v="2.2"/>
    <m/>
  </r>
  <r>
    <d v="2021-01-08T00:00:00"/>
    <s v="Recu caisse/Christian"/>
    <x v="3"/>
    <m/>
    <n v="50000"/>
    <m/>
    <n v="12305982.99927"/>
    <x v="8"/>
    <m/>
    <x v="0"/>
    <m/>
    <m/>
    <m/>
    <m/>
    <m/>
  </r>
  <r>
    <d v="2021-01-08T00:00:00"/>
    <s v="Reçu caisse/Merveille"/>
    <x v="3"/>
    <m/>
    <n v="5000"/>
    <m/>
    <n v="12310982.99927"/>
    <x v="11"/>
    <m/>
    <x v="0"/>
    <m/>
    <m/>
    <m/>
    <m/>
    <m/>
  </r>
  <r>
    <d v="2021-01-09T00:00:00"/>
    <s v="Achat Billet Dolisie-Brazzaville/Geis"/>
    <x v="1"/>
    <s v="Legal"/>
    <m/>
    <n v="10000"/>
    <n v="12300982.99927"/>
    <x v="9"/>
    <s v="Oui"/>
    <x v="2"/>
    <s v="RALFF"/>
    <s v="Congo"/>
    <s v="RALFF-CO1740"/>
    <s v="2.2"/>
    <m/>
  </r>
  <r>
    <d v="2021-01-09T00:00:00"/>
    <s v="Frais d'Hôtel Ms Dolisie du 07 au 10 Janv/Geis"/>
    <x v="8"/>
    <s v="Legal"/>
    <m/>
    <n v="45000"/>
    <n v="12255982.99927"/>
    <x v="9"/>
    <s v="Oui"/>
    <x v="2"/>
    <s v="RALFF"/>
    <s v="Congo"/>
    <s v="RALFF-CO1741"/>
    <s v="1.3.2"/>
    <m/>
  </r>
  <r>
    <d v="2021-01-10T00:00:00"/>
    <s v="Récu caisse/Geis"/>
    <x v="3"/>
    <m/>
    <n v="83100"/>
    <m/>
    <n v="12339082.99927"/>
    <x v="9"/>
    <m/>
    <x v="0"/>
    <m/>
    <m/>
    <m/>
    <m/>
    <m/>
  </r>
  <r>
    <d v="2021-01-11T00:00:00"/>
    <s v="Retrait especes/appro caisse/bord n°3654419"/>
    <x v="3"/>
    <m/>
    <m/>
    <n v="1500000"/>
    <n v="10839082.99927"/>
    <x v="4"/>
    <n v="3654419"/>
    <x v="0"/>
    <m/>
    <m/>
    <m/>
    <m/>
    <m/>
  </r>
  <r>
    <d v="2021-01-11T00:00:00"/>
    <s v="Reglt CNSS Oct-Nov-Déc  20/PALF/Chq n°3643397/Evariste"/>
    <x v="11"/>
    <s v="Media"/>
    <m/>
    <n v="76665"/>
    <n v="10762417.99927"/>
    <x v="12"/>
    <n v="3643397"/>
    <x v="2"/>
    <s v="RALFF"/>
    <s v="Congo"/>
    <s v="RALFF-CO1742"/>
    <s v="1.1.1.4"/>
    <m/>
  </r>
  <r>
    <d v="2021-01-11T00:00:00"/>
    <s v="Reglt CNSS Oct-Nov-Déc20/PALF/Chq n°3643397/P29"/>
    <x v="11"/>
    <s v="Investigation"/>
    <m/>
    <n v="94689"/>
    <n v="10667728.99927"/>
    <x v="12"/>
    <n v="3643397"/>
    <x v="2"/>
    <s v="RALFF"/>
    <s v="Congo"/>
    <s v="RALFF-CO1743"/>
    <s v="1.1.1.9"/>
    <m/>
  </r>
  <r>
    <d v="2021-01-11T00:00:00"/>
    <s v="Reglt CNSS Oct-Nov-Déc20/PALF/Chq n°3643397/Hérick"/>
    <x v="11"/>
    <s v="Legal"/>
    <m/>
    <n v="197100"/>
    <n v="10470628.99927"/>
    <x v="12"/>
    <n v="3643397"/>
    <x v="2"/>
    <s v="RALFF"/>
    <s v="Congo"/>
    <s v="RALFF-CO1744"/>
    <s v="1.1.1.7"/>
    <m/>
  </r>
  <r>
    <d v="2021-01-11T00:00:00"/>
    <s v="Reglt CNSS Oct-Nov-Déc20/PALF/Chq n°3643397/Jack"/>
    <x v="11"/>
    <s v="Legal"/>
    <m/>
    <n v="183444"/>
    <n v="10287184.99927"/>
    <x v="12"/>
    <n v="3643397"/>
    <x v="2"/>
    <s v="RALFF"/>
    <s v="Congo"/>
    <s v="RALFF-CO1745"/>
    <s v="1.1.1.7"/>
    <m/>
  </r>
  <r>
    <d v="2021-01-11T00:00:00"/>
    <s v="Reglt CNSS Oct-Nov-Déc20/PALF/Chq n°3643397/Crépin"/>
    <x v="11"/>
    <s v="Legal"/>
    <m/>
    <n v="220377"/>
    <n v="10066807.99927"/>
    <x v="12"/>
    <n v="3643397"/>
    <x v="2"/>
    <s v="RALFF"/>
    <s v="Congo"/>
    <s v="RALFF-CO1746"/>
    <s v="1.1.1.7"/>
    <m/>
  </r>
  <r>
    <d v="2021-01-11T00:00:00"/>
    <s v="Reglt CNSS Oct-Nov-Déc20/PALF/Chq n°3643397/Ted"/>
    <x v="11"/>
    <s v="Management"/>
    <m/>
    <n v="253422"/>
    <n v="9813385.9992699996"/>
    <x v="12"/>
    <n v="3643397"/>
    <x v="2"/>
    <s v="RALFF"/>
    <s v="Congo"/>
    <s v="RALFF-CO1747"/>
    <s v="1.1.2.1"/>
    <m/>
  </r>
  <r>
    <d v="2021-01-11T00:00:00"/>
    <s v="Reglt CNSS Nov-Déc20/PALF/Chq n°3643397/Merveille"/>
    <x v="11"/>
    <s v="Management"/>
    <m/>
    <n v="105720"/>
    <n v="9707665.9992699996"/>
    <x v="12"/>
    <n v="3643397"/>
    <x v="2"/>
    <s v="RALFF"/>
    <s v="Congo"/>
    <s v="RALFF-CO1748"/>
    <s v="1.1.2.1"/>
    <m/>
  </r>
  <r>
    <d v="2021-01-11T00:00:00"/>
    <s v="Reglt CNSS Déc 20/PALF/Chq n°3643397/Geisner"/>
    <x v="11"/>
    <s v="Legal"/>
    <m/>
    <n v="24934"/>
    <n v="9682731.9992699996"/>
    <x v="12"/>
    <n v="3643397"/>
    <x v="2"/>
    <s v="RALFF"/>
    <s v="Congo"/>
    <s v="RALFF-CO1749"/>
    <s v="1.1.1.7"/>
    <m/>
  </r>
  <r>
    <d v="2021-01-11T00:00:00"/>
    <s v="Reglt CNSS Déc 20/PALF/Chq n°3643397/Christian"/>
    <x v="11"/>
    <s v="Legal"/>
    <m/>
    <n v="24934"/>
    <n v="9657797.9992699996"/>
    <x v="12"/>
    <n v="3643397"/>
    <x v="2"/>
    <s v="RALFF"/>
    <s v="Congo"/>
    <s v="RALFF-CO1750"/>
    <s v="1.1.1.7"/>
    <m/>
  </r>
  <r>
    <d v="2021-01-11T00:00:00"/>
    <s v="Reglement fact Agence pluriel solutions/ loyer PALF Janvier 2021"/>
    <x v="5"/>
    <s v="Office"/>
    <m/>
    <n v="500000"/>
    <n v="9157797.9992699996"/>
    <x v="12"/>
    <s v="Virement"/>
    <x v="2"/>
    <s v="RALFF"/>
    <s v="Congo"/>
    <s v="RALFF-CO1751"/>
    <s v="4.2"/>
    <m/>
  </r>
  <r>
    <d v="2021-01-11T00:00:00"/>
    <s v="Frais  Certificat d'Hebergement de Mme Tiffany"/>
    <x v="12"/>
    <s v="Office"/>
    <m/>
    <n v="30000"/>
    <n v="9127797.9992699996"/>
    <x v="5"/>
    <s v="Oui"/>
    <x v="1"/>
    <s v="PALF"/>
    <s v="Congo"/>
    <m/>
    <m/>
    <m/>
  </r>
  <r>
    <d v="2021-01-11T00:00:00"/>
    <s v="BCI"/>
    <x v="3"/>
    <m/>
    <n v="1500000"/>
    <m/>
    <n v="10627797.99927"/>
    <x v="5"/>
    <m/>
    <x v="0"/>
    <m/>
    <m/>
    <m/>
    <m/>
    <m/>
  </r>
  <r>
    <d v="2021-01-11T00:00:00"/>
    <s v="Crepin/Bonus décembre 2020"/>
    <x v="6"/>
    <s v="Legal"/>
    <m/>
    <n v="25000"/>
    <n v="10602797.99927"/>
    <x v="5"/>
    <s v="Décharge"/>
    <x v="1"/>
    <s v="PALF"/>
    <s v="Congo"/>
    <m/>
    <m/>
    <m/>
  </r>
  <r>
    <d v="2021-01-11T00:00:00"/>
    <s v="Merveille"/>
    <x v="3"/>
    <m/>
    <m/>
    <n v="10000"/>
    <n v="10592797.99927"/>
    <x v="5"/>
    <m/>
    <x v="0"/>
    <m/>
    <m/>
    <m/>
    <m/>
    <m/>
  </r>
  <r>
    <d v="2021-01-11T00:00:00"/>
    <s v="Reglement facture E²C/Novembre-Décembre 2020/bureau PALF"/>
    <x v="5"/>
    <s v="Office"/>
    <m/>
    <n v="47294"/>
    <n v="10545503.99927"/>
    <x v="5"/>
    <s v="Oui"/>
    <x v="2"/>
    <s v="RALFF"/>
    <s v="Congo"/>
    <s v="RALFF-CO1752"/>
    <s v="4.4"/>
    <m/>
  </r>
  <r>
    <d v="2021-01-11T00:00:00"/>
    <s v="Frais de mission Maitre severin/Madingou du 13 au 16/01/21/Cas KIGNOUMBA Rufin et Autres"/>
    <x v="9"/>
    <s v="Legal"/>
    <m/>
    <n v="104000"/>
    <n v="10441503.99927"/>
    <x v="5"/>
    <s v="Oui"/>
    <x v="2"/>
    <s v="RALFF"/>
    <s v="Congo"/>
    <s v="RALFF-CO1753"/>
    <s v="5.2.2"/>
    <m/>
  </r>
  <r>
    <d v="2021-01-11T00:00:00"/>
    <s v="Food allowance à Ouesso, Owando et Oyo du 11 au 17 janvier/Hérick"/>
    <x v="8"/>
    <s v="Legal"/>
    <m/>
    <n v="60000"/>
    <n v="10381503.99927"/>
    <x v="6"/>
    <s v="Décharge"/>
    <x v="2"/>
    <s v="RALFF"/>
    <s v="Congo"/>
    <s v="RALFF-CO1754"/>
    <s v="1.3.2"/>
    <m/>
  </r>
  <r>
    <d v="2021-01-11T00:00:00"/>
    <s v="Food allowance mission du 11 au 17/01/21 à Ouesso,Owando et Oyo/Christian"/>
    <x v="8"/>
    <s v="Legal"/>
    <m/>
    <n v="60000"/>
    <n v="10321503.99927"/>
    <x v="8"/>
    <s v="Decharge"/>
    <x v="2"/>
    <s v="RALFF"/>
    <s v="Congo"/>
    <s v="RALFF-CO1755"/>
    <s v="1.3.2"/>
    <m/>
  </r>
  <r>
    <d v="2021-01-11T00:00:00"/>
    <s v="Achat bagages fin de mission air France"/>
    <x v="13"/>
    <s v="Management "/>
    <m/>
    <n v="174200"/>
    <n v="10147303.99927"/>
    <x v="2"/>
    <s v="Oui"/>
    <x v="1"/>
    <s v="PALF"/>
    <s v="Congo"/>
    <m/>
    <m/>
    <m/>
  </r>
  <r>
    <d v="2021-01-11T00:00:00"/>
    <s v="Reçu caisse/Merveille"/>
    <x v="3"/>
    <m/>
    <n v="10000"/>
    <m/>
    <n v="10157303.99927"/>
    <x v="11"/>
    <m/>
    <x v="0"/>
    <m/>
    <m/>
    <m/>
    <m/>
    <m/>
  </r>
  <r>
    <d v="2021-01-11T00:00:00"/>
    <s v="Frais de taxi  Ngoyo -Nzassi-Ngoyo péage (Alez et retour )/I23C"/>
    <x v="1"/>
    <s v="Investigation"/>
    <m/>
    <n v="6000"/>
    <n v="10151303.99927"/>
    <x v="3"/>
    <s v="Oui"/>
    <x v="4"/>
    <s v="RALFF"/>
    <s v="Congo"/>
    <s v="RALFF-CO1756"/>
    <s v="2.2"/>
    <m/>
  </r>
  <r>
    <d v="2021-01-12T00:00:00"/>
    <s v="Acompte honoraires contrat n°30/Madingou/maitre Séverin "/>
    <x v="9"/>
    <s v="Legal"/>
    <m/>
    <n v="200000"/>
    <n v="9951303.9992699996"/>
    <x v="12"/>
    <n v="3643398"/>
    <x v="2"/>
    <s v="RALFF"/>
    <s v="Congo"/>
    <s v="RALFF-CO1757"/>
    <s v="5.2.2"/>
    <m/>
  </r>
  <r>
    <d v="2021-01-12T00:00:00"/>
    <s v="Hérick"/>
    <x v="3"/>
    <m/>
    <m/>
    <n v="368600"/>
    <n v="9582703.9992699996"/>
    <x v="5"/>
    <m/>
    <x v="0"/>
    <m/>
    <m/>
    <m/>
    <m/>
    <m/>
  </r>
  <r>
    <d v="2021-01-12T00:00:00"/>
    <s v="Frais de transfert Charden Farell/Hérick"/>
    <x v="10"/>
    <s v="Office"/>
    <m/>
    <n v="11060"/>
    <n v="9571643.9992699996"/>
    <x v="5"/>
    <s v="Oui"/>
    <x v="4"/>
    <s v="RALFF"/>
    <s v="Congo"/>
    <s v="RALFF-CO1758"/>
    <s v="5.6"/>
    <m/>
  </r>
  <r>
    <d v="2021-01-12T00:00:00"/>
    <s v="Geisner/Bonus décembre 2020"/>
    <x v="6"/>
    <s v="Legal"/>
    <m/>
    <n v="20000"/>
    <n v="9551643.9992699996"/>
    <x v="5"/>
    <s v="Décharge"/>
    <x v="1"/>
    <s v="PALF"/>
    <s v="Congo"/>
    <m/>
    <m/>
    <m/>
  </r>
  <r>
    <d v="2021-01-12T00:00:00"/>
    <s v="Reçu de caisse/Hérick"/>
    <x v="3"/>
    <m/>
    <n v="368600"/>
    <m/>
    <n v="9920243.9992699996"/>
    <x v="6"/>
    <m/>
    <x v="0"/>
    <m/>
    <m/>
    <m/>
    <m/>
    <m/>
  </r>
  <r>
    <d v="2021-01-12T00:00:00"/>
    <s v="Achat Billet Ouesso-Owando/Christian"/>
    <x v="1"/>
    <s v="Legal"/>
    <m/>
    <n v="10000"/>
    <n v="9910243.9992699996"/>
    <x v="8"/>
    <s v="Decharge"/>
    <x v="1"/>
    <s v="RALFF"/>
    <s v="Congo"/>
    <s v="RALFF-CO1759"/>
    <s v="2.2"/>
    <m/>
  </r>
  <r>
    <d v="2021-01-12T00:00:00"/>
    <s v="Achat Billet Ouesso - Owando /Hérick"/>
    <x v="1"/>
    <s v="Legal"/>
    <m/>
    <n v="10000"/>
    <n v="9900243.9992699996"/>
    <x v="6"/>
    <s v="Oui"/>
    <x v="2"/>
    <s v="RALFF"/>
    <s v="Congo"/>
    <s v="RALFF-CO1760"/>
    <s v="2.2"/>
    <m/>
  </r>
  <r>
    <d v="2021-01-12T00:00:00"/>
    <s v="Recu caisse Hérick /Christian"/>
    <x v="3"/>
    <m/>
    <n v="184300"/>
    <m/>
    <n v="10084543.99927"/>
    <x v="8"/>
    <m/>
    <x v="0"/>
    <m/>
    <m/>
    <m/>
    <m/>
    <m/>
  </r>
  <r>
    <d v="2021-01-13T00:00:00"/>
    <s v="Geisner"/>
    <x v="3"/>
    <m/>
    <m/>
    <n v="90200"/>
    <n v="9994343.9992699996"/>
    <x v="5"/>
    <m/>
    <x v="0"/>
    <m/>
    <m/>
    <m/>
    <m/>
    <m/>
  </r>
  <r>
    <d v="2021-01-13T00:00:00"/>
    <s v="Versement à Christian/Hérick"/>
    <x v="3"/>
    <m/>
    <m/>
    <n v="184300"/>
    <n v="9810043.9992699996"/>
    <x v="6"/>
    <m/>
    <x v="0"/>
    <m/>
    <m/>
    <m/>
    <m/>
    <m/>
  </r>
  <r>
    <d v="2021-01-13T00:00:00"/>
    <s v="Récu caisse/Geis"/>
    <x v="3"/>
    <m/>
    <n v="90200"/>
    <m/>
    <n v="9900243.9992699996"/>
    <x v="9"/>
    <m/>
    <x v="0"/>
    <m/>
    <m/>
    <m/>
    <m/>
    <m/>
  </r>
  <r>
    <d v="2021-01-13T00:00:00"/>
    <s v="Achat billet Brazzavile - Dolisie/Geis"/>
    <x v="1"/>
    <s v="Legal"/>
    <m/>
    <n v="10000"/>
    <n v="9890243.9992699996"/>
    <x v="9"/>
    <s v="Oui"/>
    <x v="2"/>
    <s v="RALFF"/>
    <s v="Congo"/>
    <s v="RALFF-CO1761"/>
    <s v="2.2"/>
    <m/>
  </r>
  <r>
    <d v="2021-01-13T00:00:00"/>
    <s v="Taxi Pointe-Noire -Hinda- Pointe-Noire"/>
    <x v="1"/>
    <s v="Investigation"/>
    <m/>
    <n v="5000"/>
    <n v="9885243.9992699996"/>
    <x v="3"/>
    <s v="Oui"/>
    <x v="4"/>
    <s v="RALFF"/>
    <s v="Congo"/>
    <s v="RALFF-CO1762"/>
    <s v="2.2"/>
    <m/>
  </r>
  <r>
    <d v="2021-01-14T00:00:00"/>
    <s v="Crépin"/>
    <x v="3"/>
    <m/>
    <m/>
    <n v="15000"/>
    <n v="9870243.9992699996"/>
    <x v="5"/>
    <m/>
    <x v="0"/>
    <m/>
    <m/>
    <m/>
    <m/>
    <m/>
  </r>
  <r>
    <d v="2021-01-14T00:00:00"/>
    <s v="Achat 02 cartouches sp311/imprimante RICOH"/>
    <x v="14"/>
    <s v="Office"/>
    <m/>
    <n v="120000"/>
    <n v="9750243.9992699996"/>
    <x v="5"/>
    <s v="Oui"/>
    <x v="2"/>
    <s v="RALFF"/>
    <s v="Congo"/>
    <s v="RALFF-CO1763"/>
    <s v="4.3"/>
    <m/>
  </r>
  <r>
    <d v="2021-01-14T00:00:00"/>
    <s v="Achat 01 paquets élactiques"/>
    <x v="14"/>
    <s v="Office"/>
    <m/>
    <n v="1000"/>
    <n v="9749243.9992699996"/>
    <x v="5"/>
    <s v="Oui"/>
    <x v="1"/>
    <s v="RALFF"/>
    <s v="Congo"/>
    <s v="RALFF-CO1764"/>
    <s v="4.3"/>
    <m/>
  </r>
  <r>
    <d v="2021-01-14T00:00:00"/>
    <s v="Frais d'hôtel à Ouesso du 11 au 14 janvier/Hérick"/>
    <x v="8"/>
    <s v="Legal"/>
    <m/>
    <n v="45000"/>
    <n v="9704243.9992699996"/>
    <x v="6"/>
    <s v="Oui"/>
    <x v="2"/>
    <s v="RALFF"/>
    <s v="Congo"/>
    <s v="RALFF-CO1765"/>
    <s v="1.3.2"/>
    <m/>
  </r>
  <r>
    <d v="2021-01-14T00:00:00"/>
    <s v="Frais d'établissement de la grosse cas AKOUANGO à Owando "/>
    <x v="15"/>
    <s v="Legal"/>
    <m/>
    <n v="50000"/>
    <n v="9654243.9992699996"/>
    <x v="6"/>
    <s v="Oui"/>
    <x v="1"/>
    <s v="PALF"/>
    <s v="Congo"/>
    <m/>
    <m/>
    <m/>
  </r>
  <r>
    <d v="2021-01-14T00:00:00"/>
    <s v="Frais d'hôtel  Ms Lékana/du 11 au 14/01/P29"/>
    <x v="8"/>
    <s v="Investigation"/>
    <m/>
    <n v="45000"/>
    <n v="9609243.9992699996"/>
    <x v="7"/>
    <s v="Oui"/>
    <x v="1"/>
    <s v="RALFF"/>
    <s v="Congo"/>
    <s v="RALFF-CO1766"/>
    <s v="1.3.2"/>
    <m/>
  </r>
  <r>
    <d v="2021-01-14T00:00:00"/>
    <s v="Frais d'hôtel à Ouesso du 11 au 14/01/Christian"/>
    <x v="8"/>
    <s v="Legal"/>
    <m/>
    <n v="45000"/>
    <n v="9564243.9992699996"/>
    <x v="8"/>
    <s v="Oui"/>
    <x v="2"/>
    <s v="RALFF"/>
    <s v="Congo"/>
    <s v="RALFF-CO1767"/>
    <s v="1.3.2"/>
    <m/>
  </r>
  <r>
    <d v="2021-01-14T00:00:00"/>
    <s v="Frais d'Hôtel Mission Dolisie du 14 au 16 Janv/Geis"/>
    <x v="8"/>
    <s v="Legal"/>
    <m/>
    <n v="30000"/>
    <n v="9534243.9992699996"/>
    <x v="9"/>
    <s v="Oui"/>
    <x v="2"/>
    <s v="RALFF"/>
    <s v="Congo"/>
    <s v="RALFF-CO1768"/>
    <s v="1.3.2"/>
    <m/>
  </r>
  <r>
    <d v="2021-01-14T00:00:00"/>
    <s v="Food allowance Mission Dolisie du 14 au 16 Janv/Geis"/>
    <x v="11"/>
    <s v="Legal"/>
    <m/>
    <n v="20000"/>
    <n v="9514243.9992699996"/>
    <x v="9"/>
    <s v="Décharge"/>
    <x v="2"/>
    <s v="RALFF"/>
    <s v="Congo"/>
    <s v="RALFF-CO1769"/>
    <s v="1.3.2"/>
    <m/>
  </r>
  <r>
    <d v="2021-01-14T00:00:00"/>
    <s v="Achat billet mission P/Noire (Billet PNR-Bzv)/T44"/>
    <x v="1"/>
    <s v="Investigation"/>
    <m/>
    <n v="15000"/>
    <n v="9499243.9992699996"/>
    <x v="1"/>
    <s v="Oui"/>
    <x v="1"/>
    <s v="PALF"/>
    <s v="Congo"/>
    <m/>
    <m/>
    <m/>
  </r>
  <r>
    <d v="2021-01-14T00:00:00"/>
    <s v="Reçu de la caisse/Crépin"/>
    <x v="3"/>
    <m/>
    <n v="15000"/>
    <m/>
    <n v="9514243.9992699996"/>
    <x v="10"/>
    <m/>
    <x v="0"/>
    <m/>
    <m/>
    <m/>
    <m/>
    <m/>
  </r>
  <r>
    <d v="2021-01-14T00:00:00"/>
    <s v="Achat billet Pointe-Noire Brazzaville)Ms du 05 au 15 Janv/I23C"/>
    <x v="1"/>
    <s v="Investigation"/>
    <m/>
    <n v="15000"/>
    <n v="9499243.9992699996"/>
    <x v="3"/>
    <s v="Oui"/>
    <x v="1"/>
    <s v="RALFF"/>
    <s v="Congo"/>
    <s v="RALFF-CO1770"/>
    <s v="2.2"/>
    <m/>
  </r>
  <r>
    <d v="2021-01-15T00:00:00"/>
    <s v="Bonus medias/evariste/bord 3654420"/>
    <x v="6"/>
    <s v="Media"/>
    <m/>
    <n v="170000"/>
    <n v="9329243.9992699996"/>
    <x v="4"/>
    <n v="3654420"/>
    <x v="1"/>
    <s v="PALF"/>
    <s v="Congo"/>
    <m/>
    <m/>
    <m/>
  </r>
  <r>
    <d v="2021-01-15T00:00:00"/>
    <s v="Hérick"/>
    <x v="3"/>
    <m/>
    <m/>
    <n v="50000"/>
    <n v="9279243.9992699996"/>
    <x v="5"/>
    <m/>
    <x v="0"/>
    <m/>
    <m/>
    <m/>
    <m/>
    <m/>
  </r>
  <r>
    <d v="2021-01-15T00:00:00"/>
    <s v="Frais de transfert Charden Farell/Hérick"/>
    <x v="10"/>
    <s v="Office"/>
    <m/>
    <n v="1500"/>
    <n v="9277743.9992699996"/>
    <x v="5"/>
    <s v="Oui"/>
    <x v="4"/>
    <s v="RALFF"/>
    <s v="Congo"/>
    <s v="RALFF-CO1771"/>
    <s v="5.6"/>
    <m/>
  </r>
  <r>
    <d v="2021-01-15T00:00:00"/>
    <s v="Frais d'hôtel à Owando du 14 au 15 janvier/Hérick"/>
    <x v="8"/>
    <s v="Legal"/>
    <m/>
    <n v="15000"/>
    <n v="9262743.9992699996"/>
    <x v="6"/>
    <s v="Oui"/>
    <x v="2"/>
    <s v="RALFF"/>
    <s v="Congo"/>
    <s v="RALFF-CO1772"/>
    <s v="1.3.2"/>
    <m/>
  </r>
  <r>
    <d v="2021-01-15T00:00:00"/>
    <s v="Frais de transport Owando - Oyo/Hérick "/>
    <x v="1"/>
    <s v="Legal"/>
    <m/>
    <n v="5000"/>
    <n v="9257743.9992699996"/>
    <x v="6"/>
    <s v="Oui"/>
    <x v="1"/>
    <s v="RALFF"/>
    <s v="Congo"/>
    <s v="RALFF-CO1773"/>
    <s v="2.2"/>
    <m/>
  </r>
  <r>
    <d v="2021-01-15T00:00:00"/>
    <s v=" Frais d'hôtel Ms Djambala du 05 au 11/01 et du 14 au 15/01/P29"/>
    <x v="8"/>
    <s v="Investigation"/>
    <m/>
    <n v="105000"/>
    <n v="9152743.9992699996"/>
    <x v="7"/>
    <s v="Oui"/>
    <x v="1"/>
    <s v="RALFF"/>
    <s v="Congo"/>
    <s v="RALFF-CO1774"/>
    <s v="1.3.2"/>
    <m/>
  </r>
  <r>
    <d v="2021-01-15T00:00:00"/>
    <s v="Frais de transport Owando-Oyo/Chrostian"/>
    <x v="1"/>
    <s v="Legal"/>
    <m/>
    <n v="5000"/>
    <n v="9147743.9992699996"/>
    <x v="8"/>
    <s v="Decharge"/>
    <x v="1"/>
    <s v="RALFF"/>
    <s v="Congo"/>
    <s v="RALFF-CO1775"/>
    <s v="2.2"/>
    <m/>
  </r>
  <r>
    <d v="2021-01-15T00:00:00"/>
    <s v="Frais de transport Djambala- Ngo/P29"/>
    <x v="1"/>
    <s v="Investigation"/>
    <m/>
    <n v="4000"/>
    <n v="9143743.9992699996"/>
    <x v="7"/>
    <s v="Oui"/>
    <x v="4"/>
    <s v="RALFF"/>
    <s v="Congo"/>
    <s v="RALFF-CO1776"/>
    <s v="2.2"/>
    <m/>
  </r>
  <r>
    <d v="2021-01-15T00:00:00"/>
    <s v="Frais de transport Ngo-Brazza,retour mission/P29"/>
    <x v="1"/>
    <s v="Investigation"/>
    <m/>
    <n v="6000"/>
    <n v="9137743.9992699996"/>
    <x v="7"/>
    <s v="Oui"/>
    <x v="4"/>
    <s v="RALFF"/>
    <s v="Congo"/>
    <s v="RALFF-CO1777"/>
    <s v="2.2"/>
    <m/>
  </r>
  <r>
    <d v="2021-01-15T00:00:00"/>
    <s v="Frais  d'hôtel Ms P/N du 5 au 15 Janvier 2020/I23C"/>
    <x v="8"/>
    <s v="Investigation"/>
    <m/>
    <n v="150000"/>
    <n v="8987743.9992699996"/>
    <x v="3"/>
    <s v="Oui"/>
    <x v="1"/>
    <s v="RALFF"/>
    <s v="Congo"/>
    <s v="RALFF-CO1778"/>
    <s v="1.3.2"/>
    <m/>
  </r>
  <r>
    <d v="2021-01-15T00:00:00"/>
    <s v="Frais d'hôtel à Owando du 14 au 15/01/Christian"/>
    <x v="8"/>
    <s v="Legal"/>
    <m/>
    <n v="15000"/>
    <n v="8972743.9992699996"/>
    <x v="8"/>
    <s v="Oui"/>
    <x v="2"/>
    <s v="RALFF"/>
    <s v="Congo"/>
    <s v="RALFF-CO1779"/>
    <s v="1.3.2"/>
    <m/>
  </r>
  <r>
    <d v="2021-01-15T00:00:00"/>
    <s v="Achat billet Dolisie - Brazzaville/Geis"/>
    <x v="1"/>
    <s v="Legal"/>
    <m/>
    <n v="10000"/>
    <n v="8962743.9992699996"/>
    <x v="9"/>
    <s v="Oui"/>
    <x v="2"/>
    <s v="RALFF"/>
    <s v="Congo"/>
    <s v="RALFF-CO1780"/>
    <s v="2.2"/>
    <m/>
  </r>
  <r>
    <d v="2021-01-15T00:00:00"/>
    <s v="Frais d'hôtel à P/N du 05 jan au 15 jan /T44"/>
    <x v="8"/>
    <s v="Investigation"/>
    <m/>
    <n v="150000"/>
    <n v="8812743.9992699996"/>
    <x v="1"/>
    <s v="Oui"/>
    <x v="1"/>
    <s v="PALF"/>
    <s v="Congo"/>
    <m/>
    <m/>
    <m/>
  </r>
  <r>
    <d v="2021-01-16T00:00:00"/>
    <s v="Reçu de caisse/Hérick"/>
    <x v="3"/>
    <m/>
    <n v="50000"/>
    <m/>
    <n v="8862743.9992699996"/>
    <x v="6"/>
    <m/>
    <x v="0"/>
    <m/>
    <m/>
    <m/>
    <m/>
    <m/>
  </r>
  <r>
    <d v="2021-01-16T00:00:00"/>
    <s v="Achat Billet Oyo - BZ /Hérick"/>
    <x v="1"/>
    <s v="Legal"/>
    <m/>
    <n v="10000"/>
    <n v="8852743.9992699996"/>
    <x v="6"/>
    <s v="Oui"/>
    <x v="1"/>
    <s v="RALFF"/>
    <s v="Congo"/>
    <s v="RALFF-CO1781"/>
    <s v="2.2"/>
    <m/>
  </r>
  <r>
    <d v="2021-01-16T00:00:00"/>
    <s v="Achat Billet Oyo-Brazzaville/Christian"/>
    <x v="1"/>
    <s v="Legal"/>
    <m/>
    <n v="10000"/>
    <n v="8842743.9992699996"/>
    <x v="8"/>
    <s v="Decharge"/>
    <x v="1"/>
    <s v="RALFF"/>
    <s v="Congo"/>
    <s v="RALFF-CO1782"/>
    <s v="2.2"/>
    <m/>
  </r>
  <r>
    <d v="2021-01-16T00:00:00"/>
    <s v="Cumul frais Jail visits du 04 au 16 Janvier /Christian"/>
    <x v="16"/>
    <s v="Legal"/>
    <m/>
    <n v="24800"/>
    <n v="8817943.9992699996"/>
    <x v="8"/>
    <s v="Decharge"/>
    <x v="3"/>
    <s v="PALF"/>
    <s v="Congo"/>
    <m/>
    <m/>
    <m/>
  </r>
  <r>
    <d v="2021-01-17T00:00:00"/>
    <s v="Frais d'hôtel à Oyo du 15 au 17/01/Hérick"/>
    <x v="8"/>
    <s v="Legal"/>
    <m/>
    <n v="30000"/>
    <n v="8787943.9992699996"/>
    <x v="6"/>
    <s v="Oui"/>
    <x v="2"/>
    <s v="RALFF"/>
    <s v="Congo"/>
    <s v="RALFF-CO1783"/>
    <s v="1.3.2"/>
    <m/>
  </r>
  <r>
    <d v="2021-01-17T00:00:00"/>
    <s v="Frais d'hotel à Oyo du 15 au 17/01/21/Christian"/>
    <x v="8"/>
    <s v="Legal"/>
    <m/>
    <n v="30000"/>
    <n v="8757943.9992699996"/>
    <x v="8"/>
    <s v="Decharge"/>
    <x v="2"/>
    <s v="RALFF"/>
    <s v="Congo"/>
    <s v="RALFF-CO1784"/>
    <s v="1.3.2"/>
    <m/>
  </r>
  <r>
    <d v="2021-01-18T00:00:00"/>
    <s v="Acompte honoraires contrat n°29/maitre NANITELAMIO"/>
    <x v="9"/>
    <s v="Legal"/>
    <m/>
    <n v="200000"/>
    <n v="8557943.9992699996"/>
    <x v="12"/>
    <n v="3643399"/>
    <x v="2"/>
    <s v="RALFF"/>
    <s v="Congo"/>
    <s v="RALFF-CO1785"/>
    <s v="5.2.2"/>
    <m/>
  </r>
  <r>
    <d v="2021-01-18T00:00:00"/>
    <s v="Fond Reçu de USFW "/>
    <x v="17"/>
    <m/>
    <n v="2495917"/>
    <m/>
    <n v="11053860.99927"/>
    <x v="12"/>
    <s v="Relevé"/>
    <x v="5"/>
    <s v="RALFF"/>
    <s v="Congo"/>
    <m/>
    <m/>
    <m/>
  </r>
  <r>
    <d v="2021-01-18T00:00:00"/>
    <s v="Fond Reçu de CIDT"/>
    <x v="17"/>
    <m/>
    <n v="12940063"/>
    <m/>
    <n v="23993923.99927"/>
    <x v="12"/>
    <s v="Relevé"/>
    <x v="6"/>
    <s v="RALFF"/>
    <s v="Congo"/>
    <m/>
    <m/>
    <m/>
  </r>
  <r>
    <d v="2021-01-18T00:00:00"/>
    <s v="Crépin"/>
    <x v="3"/>
    <m/>
    <m/>
    <n v="100000"/>
    <n v="23893923.99927"/>
    <x v="5"/>
    <m/>
    <x v="0"/>
    <m/>
    <m/>
    <m/>
    <m/>
    <m/>
  </r>
  <r>
    <d v="2021-01-18T00:00:00"/>
    <s v="Crépin"/>
    <x v="3"/>
    <m/>
    <m/>
    <n v="10000"/>
    <n v="23883923.99927"/>
    <x v="5"/>
    <m/>
    <x v="0"/>
    <m/>
    <m/>
    <m/>
    <m/>
    <m/>
  </r>
  <r>
    <d v="2021-01-18T00:00:00"/>
    <s v="Hérick/bonus Décembre 2020"/>
    <x v="6"/>
    <s v="Legal"/>
    <m/>
    <n v="50000"/>
    <n v="23833923.99927"/>
    <x v="5"/>
    <s v="Décharge"/>
    <x v="1"/>
    <s v="PALF"/>
    <s v="Congo"/>
    <m/>
    <m/>
    <m/>
  </r>
  <r>
    <d v="2021-01-18T00:00:00"/>
    <s v="P29/Bonus décembre 2020"/>
    <x v="6"/>
    <s v="Investigation"/>
    <m/>
    <n v="20000"/>
    <n v="23813923.99927"/>
    <x v="5"/>
    <s v="Décharge"/>
    <x v="1"/>
    <s v="PALF"/>
    <s v="Congo"/>
    <m/>
    <m/>
    <m/>
  </r>
  <r>
    <d v="2021-01-18T00:00:00"/>
    <s v="Achat Billet Brazzaville-Ouesso/Crépin"/>
    <x v="1"/>
    <s v="Management"/>
    <m/>
    <n v="20000"/>
    <n v="23793923.99927"/>
    <x v="10"/>
    <s v="Oui"/>
    <x v="1"/>
    <s v="RALFF"/>
    <s v="Congo"/>
    <s v="RALFF-CO1788"/>
    <s v="2.2"/>
    <m/>
  </r>
  <r>
    <d v="2021-01-18T00:00:00"/>
    <s v="Reçu de la caisse/Crépin"/>
    <x v="3"/>
    <m/>
    <n v="10000"/>
    <m/>
    <n v="23803923.99927"/>
    <x v="10"/>
    <m/>
    <x v="0"/>
    <m/>
    <m/>
    <m/>
    <m/>
    <m/>
  </r>
  <r>
    <d v="2021-01-18T00:00:00"/>
    <s v="Reçu de la caisse/Crépin"/>
    <x v="3"/>
    <m/>
    <n v="100000"/>
    <m/>
    <n v="23903923.99927"/>
    <x v="10"/>
    <m/>
    <x v="0"/>
    <m/>
    <m/>
    <m/>
    <m/>
    <m/>
  </r>
  <r>
    <d v="2021-01-19T00:00:00"/>
    <s v="Paiement salaire du mois de Janvier 2020/Perrine ODIER/chq n°3643400"/>
    <x v="11"/>
    <s v="Management"/>
    <m/>
    <n v="1310000"/>
    <n v="22593923.99927"/>
    <x v="12"/>
    <n v="3643400"/>
    <x v="2"/>
    <s v="RALFF"/>
    <s v="Congo"/>
    <s v="RALFF-CO1789"/>
    <s v="1.1.1.1"/>
    <m/>
  </r>
  <r>
    <d v="2021-01-19T00:00:00"/>
    <s v="P29"/>
    <x v="3"/>
    <m/>
    <m/>
    <n v="100000"/>
    <n v="22493923.99927"/>
    <x v="5"/>
    <m/>
    <x v="0"/>
    <m/>
    <m/>
    <m/>
    <m/>
    <m/>
  </r>
  <r>
    <d v="2021-01-19T00:00:00"/>
    <s v="P29"/>
    <x v="3"/>
    <m/>
    <m/>
    <n v="2000"/>
    <n v="22491923.99927"/>
    <x v="5"/>
    <m/>
    <x v="0"/>
    <m/>
    <m/>
    <m/>
    <m/>
    <m/>
  </r>
  <r>
    <d v="2021-01-19T00:00:00"/>
    <s v="I23C"/>
    <x v="3"/>
    <m/>
    <m/>
    <n v="110000"/>
    <n v="22381923.99927"/>
    <x v="5"/>
    <m/>
    <x v="0"/>
    <m/>
    <m/>
    <m/>
    <m/>
    <m/>
  </r>
  <r>
    <d v="2021-01-19T00:00:00"/>
    <s v="T44"/>
    <x v="3"/>
    <m/>
    <m/>
    <n v="100000"/>
    <n v="22281923.99927"/>
    <x v="5"/>
    <m/>
    <x v="0"/>
    <m/>
    <m/>
    <m/>
    <m/>
    <m/>
  </r>
  <r>
    <d v="2021-01-19T00:00:00"/>
    <s v="Bonus Décembre 2020/Christian"/>
    <x v="6"/>
    <s v="Legal"/>
    <m/>
    <n v="20000"/>
    <n v="22261923.99927"/>
    <x v="5"/>
    <s v="Décharge"/>
    <x v="1"/>
    <s v="PALF"/>
    <s v="Congo"/>
    <m/>
    <m/>
    <m/>
  </r>
  <r>
    <d v="2021-01-19T00:00:00"/>
    <s v="Recu de caisse/P29"/>
    <x v="3"/>
    <m/>
    <n v="102000"/>
    <m/>
    <n v="22363923.99927"/>
    <x v="7"/>
    <m/>
    <x v="0"/>
    <m/>
    <m/>
    <m/>
    <m/>
    <m/>
  </r>
  <r>
    <d v="2021-01-19T00:00:00"/>
    <s v="Achat billet Brazza-Makoua/P19"/>
    <x v="1"/>
    <s v="Investigation"/>
    <m/>
    <n v="15000"/>
    <n v="22348923.99927"/>
    <x v="7"/>
    <s v="Oui"/>
    <x v="1"/>
    <s v="RALFF"/>
    <s v="Congo"/>
    <s v="RALFF-CO1790"/>
    <s v="2.2"/>
    <m/>
  </r>
  <r>
    <d v="2021-01-19T00:00:00"/>
    <s v="Récu de caisse/I23C"/>
    <x v="3"/>
    <m/>
    <n v="110000"/>
    <m/>
    <n v="22458923.99927"/>
    <x v="3"/>
    <m/>
    <x v="0"/>
    <m/>
    <m/>
    <m/>
    <m/>
    <m/>
  </r>
  <r>
    <d v="2021-01-19T00:00:00"/>
    <s v="Recu de caisse/T44"/>
    <x v="3"/>
    <m/>
    <n v="100000"/>
    <m/>
    <n v="22558923.99927"/>
    <x v="1"/>
    <m/>
    <x v="0"/>
    <m/>
    <m/>
    <m/>
    <m/>
    <m/>
  </r>
  <r>
    <d v="2021-01-19T00:00:00"/>
    <s v="Achat billet mission Owando (Billet Bzv-Owando)/T44"/>
    <x v="1"/>
    <s v="Investigation"/>
    <m/>
    <n v="12000"/>
    <n v="22546923.99927"/>
    <x v="1"/>
    <s v="Decharge"/>
    <x v="1"/>
    <s v="PALF"/>
    <s v="Congo"/>
    <m/>
    <m/>
    <m/>
  </r>
  <r>
    <d v="2021-01-19T00:00:00"/>
    <s v="Food allowance mission Bzv-Owando-Oyo du 20 Jan au 30 jan/T44"/>
    <x v="8"/>
    <s v="Investigation"/>
    <m/>
    <n v="80000"/>
    <n v="22466923.99927"/>
    <x v="1"/>
    <s v="Decharge"/>
    <x v="1"/>
    <s v="PALF"/>
    <s v="Congo"/>
    <m/>
    <m/>
    <m/>
  </r>
  <r>
    <d v="2021-01-19T00:00:00"/>
    <s v="Food Allowance Ms Ouesso-Owando &amp; Oyo du 19 au 26/01/21/Crépin"/>
    <x v="8"/>
    <s v="Management"/>
    <m/>
    <n v="70000"/>
    <n v="22396923.99927"/>
    <x v="10"/>
    <s v="Décharge"/>
    <x v="2"/>
    <s v="RALFF"/>
    <s v="Congo"/>
    <s v="RALFF-CO1791"/>
    <s v="1.3.2"/>
    <m/>
  </r>
  <r>
    <d v="2021-01-19T00:00:00"/>
    <s v="Achat billet BZ-Dolisie / Ms du  20 au 30 Janv /23C"/>
    <x v="1"/>
    <s v="Investigation"/>
    <m/>
    <n v="10000"/>
    <n v="22386923.99927"/>
    <x v="3"/>
    <s v="Oui"/>
    <x v="4"/>
    <s v="RALFF"/>
    <s v="Congo"/>
    <s v="RALFF-CO1792"/>
    <s v="2.2"/>
    <m/>
  </r>
  <r>
    <d v="2021-01-20T00:00:00"/>
    <s v="Acompte honoraires contrat n°28/Dolisie/maitre Séverin "/>
    <x v="9"/>
    <s v="Legal"/>
    <m/>
    <n v="200000"/>
    <n v="22186923.99927"/>
    <x v="12"/>
    <n v="3643401"/>
    <x v="2"/>
    <s v="RALFF"/>
    <s v="Congo"/>
    <s v="RALFF-CO1793"/>
    <s v="5.2.2"/>
    <m/>
  </r>
  <r>
    <d v="2021-01-20T00:00:00"/>
    <s v="Geisner"/>
    <x v="3"/>
    <m/>
    <m/>
    <n v="90200"/>
    <n v="22096723.99927"/>
    <x v="5"/>
    <m/>
    <x v="0"/>
    <m/>
    <m/>
    <m/>
    <m/>
    <m/>
  </r>
  <r>
    <d v="2021-01-20T00:00:00"/>
    <s v="Food allowance mission Makoua-Etoumbi du 20 au 28 jan/P29"/>
    <x v="8"/>
    <s v="Investigation"/>
    <m/>
    <n v="80000"/>
    <n v="22016723.99927"/>
    <x v="7"/>
    <s v="Decharge"/>
    <x v="1"/>
    <s v="RALFF"/>
    <s v="Congo"/>
    <s v="RALFF-CO1794"/>
    <s v="1.3.2"/>
    <m/>
  </r>
  <r>
    <d v="2021-01-20T00:00:00"/>
    <s v="Food allowance mission Dol-PN du 20 au 28/01/I23C"/>
    <x v="8"/>
    <s v="Investigation"/>
    <m/>
    <n v="80000"/>
    <n v="21936723.99927"/>
    <x v="3"/>
    <s v="Décharge"/>
    <x v="1"/>
    <s v="RALFF"/>
    <s v="Congo"/>
    <s v="RALFF-CO1795"/>
    <s v="1.3.2"/>
    <m/>
  </r>
  <r>
    <d v="2021-01-20T00:00:00"/>
    <s v="Récu caisse/Geis"/>
    <x v="3"/>
    <m/>
    <n v="90200"/>
    <m/>
    <n v="22026923.99927"/>
    <x v="9"/>
    <m/>
    <x v="0"/>
    <m/>
    <m/>
    <m/>
    <m/>
    <m/>
  </r>
  <r>
    <d v="2021-01-20T00:00:00"/>
    <s v="Achat Billet Brazzaville-Loudima/Geis"/>
    <x v="1"/>
    <s v="Legal"/>
    <m/>
    <n v="10000"/>
    <n v="22016923.99927"/>
    <x v="9"/>
    <s v="Oui"/>
    <x v="2"/>
    <s v="RALFF"/>
    <s v="Congo"/>
    <s v="RALFF-CO1796"/>
    <s v="2.2"/>
    <m/>
  </r>
  <r>
    <d v="2021-01-20T00:00:00"/>
    <s v="Frais d'hôtel Mission à Oyo du 19 au 20/01/2021/Crépin"/>
    <x v="8"/>
    <s v="Management"/>
    <m/>
    <n v="15000"/>
    <n v="22001923.99927"/>
    <x v="10"/>
    <s v="Oui"/>
    <x v="2"/>
    <s v="RALFF"/>
    <s v="Congo"/>
    <s v="RALFF-CO1797"/>
    <s v="1.3.2"/>
    <m/>
  </r>
  <r>
    <d v="2021-01-21T00:00:00"/>
    <s v="Retrait especes/appro caisse/bord n°3654422 "/>
    <x v="3"/>
    <m/>
    <m/>
    <n v="1200000"/>
    <n v="20801923.99927"/>
    <x v="4"/>
    <n v="3654422"/>
    <x v="0"/>
    <m/>
    <m/>
    <m/>
    <m/>
    <m/>
  </r>
  <r>
    <d v="2021-01-21T00:00:00"/>
    <s v="Retrait especes/appro caisse/bord  n°3654423"/>
    <x v="3"/>
    <m/>
    <m/>
    <n v="800000"/>
    <n v="20001923.99927"/>
    <x v="4"/>
    <n v="3654423"/>
    <x v="0"/>
    <m/>
    <m/>
    <m/>
    <m/>
    <m/>
  </r>
  <r>
    <d v="2021-01-21T00:00:00"/>
    <s v="Achat lunette de toilette/Bureau PALF"/>
    <x v="14"/>
    <s v="Office"/>
    <m/>
    <n v="25000"/>
    <n v="19976923.99927"/>
    <x v="5"/>
    <s v="Oui"/>
    <x v="1"/>
    <s v="PALF"/>
    <s v="Congo"/>
    <m/>
    <m/>
    <m/>
  </r>
  <r>
    <d v="2021-01-21T00:00:00"/>
    <s v="Prestation de service/Changement Lunette de toilette"/>
    <x v="18"/>
    <s v="Office"/>
    <m/>
    <n v="7000"/>
    <n v="19969923.99927"/>
    <x v="5"/>
    <s v="Oui"/>
    <x v="5"/>
    <s v="PALF"/>
    <s v="Congo"/>
    <m/>
    <m/>
    <m/>
  </r>
  <r>
    <d v="2021-01-21T00:00:00"/>
    <s v="BCI"/>
    <x v="3"/>
    <m/>
    <n v="1200000"/>
    <m/>
    <n v="21169923.99927"/>
    <x v="5"/>
    <m/>
    <x v="0"/>
    <m/>
    <m/>
    <m/>
    <m/>
    <m/>
  </r>
  <r>
    <d v="2021-01-21T00:00:00"/>
    <s v="BCI"/>
    <x v="3"/>
    <m/>
    <n v="800000"/>
    <m/>
    <n v="21969923.99927"/>
    <x v="5"/>
    <m/>
    <x v="0"/>
    <m/>
    <m/>
    <m/>
    <m/>
    <m/>
  </r>
  <r>
    <d v="2021-01-21T00:00:00"/>
    <s v="T44"/>
    <x v="3"/>
    <m/>
    <m/>
    <n v="227600"/>
    <n v="21742323.99927"/>
    <x v="5"/>
    <m/>
    <x v="0"/>
    <m/>
    <m/>
    <m/>
    <m/>
    <m/>
  </r>
  <r>
    <d v="2021-01-21T00:00:00"/>
    <s v="P29"/>
    <x v="3"/>
    <m/>
    <m/>
    <n v="217000"/>
    <n v="21525323.99927"/>
    <x v="5"/>
    <m/>
    <x v="0"/>
    <m/>
    <m/>
    <m/>
    <m/>
    <m/>
  </r>
  <r>
    <d v="2021-01-21T00:00:00"/>
    <s v="I23C"/>
    <x v="3"/>
    <m/>
    <m/>
    <n v="247000"/>
    <n v="21278323.99927"/>
    <x v="5"/>
    <m/>
    <x v="0"/>
    <m/>
    <m/>
    <m/>
    <m/>
    <m/>
  </r>
  <r>
    <d v="2021-01-21T00:00:00"/>
    <s v="Crépin"/>
    <x v="3"/>
    <m/>
    <m/>
    <n v="162900"/>
    <n v="21115423.99927"/>
    <x v="5"/>
    <m/>
    <x v="0"/>
    <m/>
    <m/>
    <m/>
    <m/>
    <m/>
  </r>
  <r>
    <d v="2021-01-21T00:00:00"/>
    <s v="Frais de transfert Charden Farell/T44,i23c,P29 et Crépin"/>
    <x v="10"/>
    <s v="Office"/>
    <m/>
    <n v="25640"/>
    <n v="21089783.99927"/>
    <x v="5"/>
    <s v="Oui"/>
    <x v="4"/>
    <s v="RALFF"/>
    <s v="Congo"/>
    <s v="RALFF-CO1798"/>
    <s v="5.6"/>
    <m/>
  </r>
  <r>
    <d v="2021-01-21T00:00:00"/>
    <s v="Merveille"/>
    <x v="3"/>
    <m/>
    <m/>
    <n v="5000"/>
    <n v="21084783.99927"/>
    <x v="5"/>
    <m/>
    <x v="0"/>
    <m/>
    <m/>
    <m/>
    <m/>
    <m/>
  </r>
  <r>
    <d v="2021-01-21T00:00:00"/>
    <s v="Achat Billet Ouesso-Owando/Crépin"/>
    <x v="1"/>
    <s v="Management"/>
    <m/>
    <n v="10000"/>
    <n v="21074783.99927"/>
    <x v="10"/>
    <s v="Oui"/>
    <x v="1"/>
    <s v="RALFF"/>
    <s v="Congo"/>
    <s v="RALFF-CO1799"/>
    <s v="2.2"/>
    <m/>
  </r>
  <r>
    <d v="2021-01-21T00:00:00"/>
    <s v="Cumul frais transport local mois de Janvier 2021/Ted"/>
    <x v="1"/>
    <s v="Management"/>
    <m/>
    <n v="4000"/>
    <n v="21070783.99927"/>
    <x v="13"/>
    <s v="Décharge"/>
    <x v="2"/>
    <s v="RALFF"/>
    <s v="Congo"/>
    <s v="RALFF-CO1800"/>
    <s v="2.2"/>
    <m/>
  </r>
  <r>
    <d v="2021-01-21T00:00:00"/>
    <s v="Frais de transport Loudima-Sibiti/Geis"/>
    <x v="1"/>
    <s v="Legal"/>
    <m/>
    <n v="4000"/>
    <n v="21066783.99927"/>
    <x v="9"/>
    <s v="Décharge"/>
    <x v="1"/>
    <s v="RALFF"/>
    <s v="Congo"/>
    <s v="RALFF-CO1801"/>
    <s v="2.2"/>
    <m/>
  </r>
  <r>
    <d v="2021-01-21T00:00:00"/>
    <s v="food allowance Mission Sibiti du 21 au 23 Janv/Geis"/>
    <x v="8"/>
    <s v="Legal"/>
    <m/>
    <n v="20000"/>
    <n v="21046783.99927"/>
    <x v="9"/>
    <s v="Décharge"/>
    <x v="2"/>
    <s v="RALFF"/>
    <s v="Congo"/>
    <s v="RALFF-CO1802"/>
    <s v="1.3.2"/>
    <m/>
  </r>
  <r>
    <d v="2021-01-21T00:00:00"/>
    <s v="Recu de caisse/T44"/>
    <x v="3"/>
    <m/>
    <n v="227600"/>
    <m/>
    <n v="21274383.99927"/>
    <x v="1"/>
    <m/>
    <x v="0"/>
    <m/>
    <m/>
    <m/>
    <m/>
    <m/>
  </r>
  <r>
    <d v="2021-01-21T00:00:00"/>
    <s v="Reçu caisse/Merveille"/>
    <x v="3"/>
    <m/>
    <n v="5000"/>
    <m/>
    <n v="21279383.99927"/>
    <x v="11"/>
    <m/>
    <x v="0"/>
    <m/>
    <m/>
    <m/>
    <m/>
    <m/>
  </r>
  <r>
    <d v="2021-01-21T00:00:00"/>
    <s v="Reçu de la caisse/Crépin"/>
    <x v="3"/>
    <m/>
    <n v="162900"/>
    <m/>
    <n v="21442283.99927"/>
    <x v="10"/>
    <m/>
    <x v="0"/>
    <m/>
    <m/>
    <m/>
    <m/>
    <m/>
  </r>
  <r>
    <d v="2021-01-22T00:00:00"/>
    <s v="Evariste"/>
    <x v="3"/>
    <m/>
    <m/>
    <n v="10000"/>
    <n v="21432283.99927"/>
    <x v="5"/>
    <m/>
    <x v="0"/>
    <m/>
    <m/>
    <m/>
    <m/>
    <m/>
  </r>
  <r>
    <d v="2021-01-22T00:00:00"/>
    <s v="Christian"/>
    <x v="3"/>
    <m/>
    <m/>
    <n v="30000"/>
    <n v="21402283.99927"/>
    <x v="5"/>
    <m/>
    <x v="0"/>
    <m/>
    <m/>
    <m/>
    <m/>
    <m/>
  </r>
  <r>
    <d v="2021-01-22T00:00:00"/>
    <s v="Recu de caisse/P29"/>
    <x v="3"/>
    <m/>
    <n v="217000"/>
    <m/>
    <n v="21619283.99927"/>
    <x v="7"/>
    <m/>
    <x v="0"/>
    <m/>
    <m/>
    <m/>
    <m/>
    <m/>
  </r>
  <r>
    <d v="2021-01-22T00:00:00"/>
    <s v="Récu de caisse/I23C"/>
    <x v="3"/>
    <m/>
    <n v="247000"/>
    <m/>
    <n v="21866283.99927"/>
    <x v="3"/>
    <m/>
    <x v="0"/>
    <m/>
    <m/>
    <m/>
    <m/>
    <m/>
  </r>
  <r>
    <d v="2021-01-22T00:00:00"/>
    <s v="Recu caisse/Christian"/>
    <x v="3"/>
    <m/>
    <n v="30000"/>
    <m/>
    <n v="21896283.99927"/>
    <x v="8"/>
    <m/>
    <x v="0"/>
    <m/>
    <m/>
    <m/>
    <m/>
    <m/>
  </r>
  <r>
    <d v="2021-01-22T00:00:00"/>
    <s v="Achat Billet Nkayi-Brazzaville/Geis"/>
    <x v="1"/>
    <s v="Legal"/>
    <m/>
    <n v="8000"/>
    <n v="21888283.99927"/>
    <x v="9"/>
    <s v="Oui"/>
    <x v="2"/>
    <s v="RALFF"/>
    <s v="Congo"/>
    <s v="RALFF-CO1803"/>
    <s v="2.2"/>
    <m/>
  </r>
  <r>
    <d v="2021-01-22T00:00:00"/>
    <s v="Frais d'hôtel à Ouesso du 20 au 22/01/2021/Crépin"/>
    <x v="8"/>
    <s v="Management"/>
    <m/>
    <n v="30000"/>
    <n v="21858283.99927"/>
    <x v="10"/>
    <s v="Oui"/>
    <x v="2"/>
    <s v="RALFF"/>
    <s v="Congo"/>
    <s v="RALFF-CO1804"/>
    <s v="1.3.2"/>
    <m/>
  </r>
  <r>
    <d v="2021-01-22T00:00:00"/>
    <s v="Reçu de la caisse"/>
    <x v="3"/>
    <m/>
    <n v="10000"/>
    <m/>
    <n v="21868283.99927"/>
    <x v="14"/>
    <m/>
    <x v="0"/>
    <m/>
    <m/>
    <m/>
    <m/>
    <m/>
  </r>
  <r>
    <d v="2021-01-23T00:00:00"/>
    <s v="Achat Billet Owando-Oyo/Crépin"/>
    <x v="1"/>
    <s v="Management"/>
    <m/>
    <n v="3000"/>
    <n v="21865283.99927"/>
    <x v="10"/>
    <s v="Oui"/>
    <x v="1"/>
    <s v="RALFF"/>
    <s v="Congo"/>
    <s v="RALFF-CO1805"/>
    <s v="2.2"/>
    <m/>
  </r>
  <r>
    <d v="2021-01-23T00:00:00"/>
    <s v="Frais de transport Sibiti-Loudima-Nkayi/Geis"/>
    <x v="1"/>
    <s v="Legal"/>
    <m/>
    <n v="6000"/>
    <n v="21859283.99927"/>
    <x v="9"/>
    <s v="Décharge"/>
    <x v="1"/>
    <s v="RALFF"/>
    <s v="Congo"/>
    <s v="RALFF-CO1806"/>
    <s v="2.2"/>
    <m/>
  </r>
  <r>
    <d v="2021-01-23T00:00:00"/>
    <s v="Frais d'Hôtel Mission Sibiti du 21 au 23 Janv/Geis"/>
    <x v="8"/>
    <s v="Legal"/>
    <m/>
    <n v="30000"/>
    <n v="21829283.99927"/>
    <x v="9"/>
    <s v="Oui"/>
    <x v="2"/>
    <s v="RALFF"/>
    <s v="Congo"/>
    <s v="RALFF-CO1807"/>
    <s v="1.3.2"/>
    <m/>
  </r>
  <r>
    <d v="2021-01-23T00:00:00"/>
    <s v="Frais d'hôtel à Owando du 22 au 23/01/2021/Crépin"/>
    <x v="8"/>
    <s v="Management"/>
    <m/>
    <n v="15000"/>
    <n v="21814283.99927"/>
    <x v="10"/>
    <s v="Oui"/>
    <x v="2"/>
    <s v="RALFF"/>
    <s v="Congo"/>
    <s v="RALFF-CO1808"/>
    <s v="1.3.2"/>
    <m/>
  </r>
  <r>
    <d v="2021-01-24T00:00:00"/>
    <s v="Achat billet Dol-PN / Ms  du 20 au 30 Janv/23C"/>
    <x v="1"/>
    <s v="Investigation"/>
    <m/>
    <n v="5000"/>
    <n v="21809283.99927"/>
    <x v="3"/>
    <s v="Oui"/>
    <x v="4"/>
    <s v="RALFF"/>
    <s v="Congo"/>
    <s v="RALFF-CO1809"/>
    <s v="2.2"/>
    <m/>
  </r>
  <r>
    <d v="2021-01-24T00:00:00"/>
    <s v="Cumul frais Jail visits du 23 au 24 Janvier 2021/Crépin"/>
    <x v="16"/>
    <s v="Management"/>
    <m/>
    <n v="5700"/>
    <n v="21803583.99927"/>
    <x v="10"/>
    <s v="Décharge"/>
    <x v="5"/>
    <s v="PALF"/>
    <s v="Congo"/>
    <m/>
    <m/>
    <m/>
  </r>
  <r>
    <d v="2021-01-25T00:00:00"/>
    <s v="MTN/Achat carte de recharge Février 2021/Staff PALF/Enqueteures"/>
    <x v="19"/>
    <s v="Investigation"/>
    <m/>
    <n v="50000"/>
    <n v="21753583.99927"/>
    <x v="12"/>
    <n v="3643402"/>
    <x v="2"/>
    <s v="RALFF"/>
    <s v="Congo"/>
    <s v="RALFF-CO1810"/>
    <s v="4.6"/>
    <m/>
  </r>
  <r>
    <d v="2021-01-25T00:00:00"/>
    <s v="MTN/Achat carte de recharge Février 2021/Staff PALF/Juristes"/>
    <x v="19"/>
    <s v="Legal"/>
    <m/>
    <n v="72000"/>
    <n v="21681583.99927"/>
    <x v="12"/>
    <n v="3643402"/>
    <x v="2"/>
    <s v="RALFF"/>
    <s v="Congo"/>
    <s v="RALFF-CO1811"/>
    <s v="4.6"/>
    <m/>
  </r>
  <r>
    <d v="2021-01-25T00:00:00"/>
    <s v="MTN/Achat carte de recharge Février 2021/Staff PALF/Chargé de communication"/>
    <x v="19"/>
    <s v="Media"/>
    <m/>
    <n v="10000"/>
    <n v="21671583.99927"/>
    <x v="12"/>
    <n v="3643402"/>
    <x v="2"/>
    <s v="RALFF"/>
    <s v="Congo"/>
    <s v="RALFF-CO1812"/>
    <s v="4.6"/>
    <m/>
  </r>
  <r>
    <d v="2021-01-25T00:00:00"/>
    <s v="MTN/Achat carte de recharge Février2021/Staff PALF/Managements"/>
    <x v="19"/>
    <s v="Management"/>
    <m/>
    <n v="56000"/>
    <n v="21615583.99927"/>
    <x v="12"/>
    <n v="3643402"/>
    <x v="2"/>
    <s v="RALFF"/>
    <s v="Congo"/>
    <s v="RALFF-CO1813"/>
    <s v="4.6"/>
    <m/>
  </r>
  <r>
    <d v="2021-01-25T00:00:00"/>
    <s v="Airtel/Achat carte de recharge Février 2021/Staff PALF/Enqueteures"/>
    <x v="19"/>
    <s v="Investigation"/>
    <m/>
    <n v="52000"/>
    <n v="21563583.99927"/>
    <x v="12"/>
    <n v="3643403"/>
    <x v="2"/>
    <s v="RALFF"/>
    <s v="Congo"/>
    <s v="RALFF-CO1814"/>
    <s v="4.6"/>
    <m/>
  </r>
  <r>
    <d v="2021-01-25T00:00:00"/>
    <s v="Airtel/Achat carte de recharge  Février 2021/Staff PALF/Juristes"/>
    <x v="19"/>
    <s v="Legal"/>
    <m/>
    <n v="83000"/>
    <n v="21480583.99927"/>
    <x v="12"/>
    <n v="3643403"/>
    <x v="2"/>
    <s v="RALFF"/>
    <s v="Congo"/>
    <s v="RALFF-CO1815"/>
    <s v="4.6"/>
    <m/>
  </r>
  <r>
    <d v="2021-01-25T00:00:00"/>
    <s v="Airtel/Achat carte de recharge  Février 2021/Staff PALF/Chargé de Communication"/>
    <x v="19"/>
    <s v="Media"/>
    <m/>
    <n v="11000"/>
    <n v="21469583.99927"/>
    <x v="12"/>
    <n v="3643403"/>
    <x v="2"/>
    <s v="RALFF"/>
    <s v="Congo"/>
    <s v="RALFF-CO1816"/>
    <s v="4.6"/>
    <m/>
  </r>
  <r>
    <d v="2021-01-25T00:00:00"/>
    <s v="Airtel/Achat carte de recharge  Février 2021/Staff PALF/Managements"/>
    <x v="19"/>
    <s v="Management"/>
    <m/>
    <n v="42000"/>
    <n v="21427583.99927"/>
    <x v="12"/>
    <n v="3643403"/>
    <x v="2"/>
    <s v="RALFF"/>
    <s v="Congo"/>
    <s v="RALFF-CO1817"/>
    <s v="4.6"/>
    <m/>
  </r>
  <r>
    <d v="2021-01-25T00:00:00"/>
    <s v="Paiement salaire du mois de Janvier 2021/NZEBELE Bourgeois/chq n°3643404"/>
    <x v="11"/>
    <s v="Investigation"/>
    <m/>
    <n v="191000"/>
    <n v="21236583.99927"/>
    <x v="12"/>
    <n v="3643404"/>
    <x v="6"/>
    <s v="RALFF"/>
    <s v="Congo"/>
    <s v="RALFF-CO1818"/>
    <s v="1.1.1.9"/>
    <m/>
  </r>
  <r>
    <d v="2021-01-25T00:00:00"/>
    <s v="Paiement salaire du mois de Janvier 2021/ MALONGA MERSY/chq n°3643405"/>
    <x v="11"/>
    <s v="Legal"/>
    <m/>
    <n v="308000"/>
    <n v="20928583.99927"/>
    <x v="12"/>
    <n v="3643405"/>
    <x v="6"/>
    <s v="RALFF"/>
    <s v="Congo"/>
    <s v="RALFF-CO1819"/>
    <s v="1.1.1.7"/>
    <m/>
  </r>
  <r>
    <d v="2021-01-25T00:00:00"/>
    <s v="Paiement salaire du mois de Janvier 2020/MATOKO Geisner/chq n°3643407"/>
    <x v="11"/>
    <s v="Legal"/>
    <m/>
    <n v="193600"/>
    <n v="20734983.99927"/>
    <x v="12"/>
    <n v="3643406"/>
    <x v="6"/>
    <s v="RALFF"/>
    <s v="Congo"/>
    <s v="RALFF-CO1820"/>
    <s v="1.1.1.7"/>
    <m/>
  </r>
  <r>
    <d v="2021-01-25T00:00:00"/>
    <s v="Paiement salaire du mois de Janvier  2021/MININGOU Christian/chq n°3643407"/>
    <x v="11"/>
    <s v="Legal"/>
    <m/>
    <n v="193600"/>
    <n v="20541383.99927"/>
    <x v="12"/>
    <n v="3643407"/>
    <x v="6"/>
    <s v="RALFF"/>
    <s v="Congo"/>
    <s v="RALFF-CO1821"/>
    <s v="1.1.1.7"/>
    <m/>
  </r>
  <r>
    <d v="2021-01-25T00:00:00"/>
    <s v="Paiement salaire du mois de Janvier 2021/IBOUILI CREPIN/chq n°3643408"/>
    <x v="11"/>
    <s v="Legal"/>
    <m/>
    <n v="356500"/>
    <n v="20184883.99927"/>
    <x v="12"/>
    <n v="3643408"/>
    <x v="2"/>
    <s v="RALFF"/>
    <s v="Congo"/>
    <s v="RALFF-CO1822"/>
    <s v="1.1.1.7"/>
    <m/>
  </r>
  <r>
    <d v="2021-01-25T00:00:00"/>
    <s v="Reglement salaire du mois de Janvier 2021/ KOUENITOUKA TED/chq n°3643409"/>
    <x v="11"/>
    <s v="Management"/>
    <m/>
    <n v="400000"/>
    <n v="19784883.99927"/>
    <x v="12"/>
    <n v="3643409"/>
    <x v="2"/>
    <s v="RALFF"/>
    <s v="Congo"/>
    <s v="RALFF-CO1823"/>
    <s v="1.1.2.1"/>
    <m/>
  </r>
  <r>
    <d v="2021-01-25T00:00:00"/>
    <s v="Paiement salaire du mois de Déc 2020/MAHANGA Merveille/chq n°3643410"/>
    <x v="11"/>
    <s v="Management"/>
    <m/>
    <n v="275000"/>
    <n v="19509883.99927"/>
    <x v="12"/>
    <n v="3643410"/>
    <x v="6"/>
    <s v="RALFF"/>
    <s v="Congo"/>
    <s v="RALFF-CO1824"/>
    <s v="1.1.2.1"/>
    <m/>
  </r>
  <r>
    <d v="2021-01-25T00:00:00"/>
    <s v="Virement salaire mois Janvier 2021/ TCHICAYA Hérick"/>
    <x v="11"/>
    <s v="Legal"/>
    <m/>
    <n v="326000"/>
    <n v="19183883.99927"/>
    <x v="12"/>
    <s v="Virement"/>
    <x v="6"/>
    <s v="RALFF"/>
    <s v="Congo"/>
    <s v="RALFF-CO1825"/>
    <s v="1.1.1.7"/>
    <m/>
  </r>
  <r>
    <d v="2021-01-25T00:00:00"/>
    <s v="Virement salaire mois Novembre  2020/ LELOUSSI Evariste"/>
    <x v="11"/>
    <s v="Media"/>
    <m/>
    <n v="171500"/>
    <n v="19012383.99927"/>
    <x v="12"/>
    <s v="Virement"/>
    <x v="6"/>
    <s v="RALFF"/>
    <s v="Congo"/>
    <s v="RALFF-CO1826"/>
    <s v="1.1.1.4"/>
    <m/>
  </r>
  <r>
    <d v="2021-01-25T00:00:00"/>
    <s v="Merveille"/>
    <x v="3"/>
    <m/>
    <m/>
    <n v="10000"/>
    <n v="19002383.99927"/>
    <x v="5"/>
    <m/>
    <x v="0"/>
    <m/>
    <m/>
    <m/>
    <m/>
    <m/>
  </r>
  <r>
    <d v="2021-01-25T00:00:00"/>
    <s v="Frais de transport Oyo-Owando/Crépin"/>
    <x v="1"/>
    <s v="Management"/>
    <m/>
    <n v="5000"/>
    <n v="18997383.99927"/>
    <x v="10"/>
    <s v="Décharge"/>
    <x v="1"/>
    <s v="RALFF"/>
    <s v="Congo"/>
    <s v="RALFF-CO1827"/>
    <s v="2.2"/>
    <m/>
  </r>
  <r>
    <d v="2021-01-25T00:00:00"/>
    <s v="Achat Billet Owando-Brazzaville/Crépin"/>
    <x v="1"/>
    <s v="Management"/>
    <m/>
    <n v="12000"/>
    <n v="18985383.99927"/>
    <x v="10"/>
    <s v="Oui"/>
    <x v="1"/>
    <s v="RALFF"/>
    <s v="Congo"/>
    <s v="RALFF-CO1828"/>
    <s v="2.2"/>
    <m/>
  </r>
  <r>
    <d v="2021-01-25T00:00:00"/>
    <s v="Frais transport Makoua-Etoumbi/P29"/>
    <x v="1"/>
    <s v="Investigation"/>
    <m/>
    <n v="5000"/>
    <n v="18980383.99927"/>
    <x v="7"/>
    <s v="Oui"/>
    <x v="4"/>
    <s v="RALFF"/>
    <s v="Congo"/>
    <s v="RALFF-CO1829"/>
    <s v="2.2"/>
    <m/>
  </r>
  <r>
    <d v="2021-01-25T00:00:00"/>
    <s v="Frais d'Hôtel Ms Dolisie du 20 au 25/I23C"/>
    <x v="8"/>
    <s v="Investigation"/>
    <m/>
    <n v="75000"/>
    <n v="18905383.99927"/>
    <x v="3"/>
    <s v="Oui"/>
    <x v="1"/>
    <s v="RALFF"/>
    <s v="Congo"/>
    <s v="RALFF-CO1830"/>
    <s v="1.3.2"/>
    <m/>
  </r>
  <r>
    <d v="2021-01-25T00:00:00"/>
    <s v="Cumul frais transport mois de janvier 2021"/>
    <x v="1"/>
    <s v="Legal"/>
    <m/>
    <n v="44000"/>
    <n v="18861383.99927"/>
    <x v="6"/>
    <s v="Décharge"/>
    <x v="2"/>
    <s v="RALFF"/>
    <s v="Congo"/>
    <s v="RALFF-CO1831"/>
    <s v="2.2"/>
    <m/>
  </r>
  <r>
    <d v="2021-01-25T00:00:00"/>
    <s v="Taxi bureau_UE_bureau"/>
    <x v="20"/>
    <s v="Management "/>
    <m/>
    <n v="2000"/>
    <n v="18859383.99927"/>
    <x v="2"/>
    <s v="Decharge"/>
    <x v="5"/>
    <s v="RALFF"/>
    <s v="Congo"/>
    <s v="RALFF-CO1832"/>
    <s v="2.2"/>
    <m/>
  </r>
  <r>
    <d v="2021-01-25T00:00:00"/>
    <s v="Frais d'hôtel du 20 jan au 25 jan à Owando/T44"/>
    <x v="8"/>
    <s v="Investigation"/>
    <m/>
    <n v="75000"/>
    <n v="18784383.99927"/>
    <x v="1"/>
    <s v="Decharge"/>
    <x v="1"/>
    <s v="PALF"/>
    <s v="Congo"/>
    <m/>
    <m/>
    <m/>
  </r>
  <r>
    <d v="2021-01-25T00:00:00"/>
    <s v="Achat billet Owando-Oyo/T44"/>
    <x v="1"/>
    <s v="Investigation"/>
    <m/>
    <n v="5000"/>
    <n v="18779383.99927"/>
    <x v="1"/>
    <s v="Decharge"/>
    <x v="4"/>
    <s v="PALF"/>
    <s v="Congo"/>
    <m/>
    <m/>
    <m/>
  </r>
  <r>
    <d v="2021-01-25T00:00:00"/>
    <s v="Frais d'hôtel à Oyo du 23 au 25/01/2021/Crépin"/>
    <x v="8"/>
    <s v="Management"/>
    <m/>
    <n v="30000"/>
    <n v="18749383.99927"/>
    <x v="10"/>
    <s v="Oui"/>
    <x v="2"/>
    <s v="RALFF"/>
    <s v="Congo"/>
    <s v="RALFF-CO1833"/>
    <s v="1.3.2"/>
    <m/>
  </r>
  <r>
    <d v="2021-01-26T00:00:00"/>
    <s v="Cumul frais trust building du 06 au 26 janvier 2021/P29"/>
    <x v="7"/>
    <s v="Investigation"/>
    <m/>
    <n v="13500"/>
    <n v="18735883.99927"/>
    <x v="7"/>
    <s v="Decharge"/>
    <x v="1"/>
    <s v="PALF"/>
    <s v="Congo"/>
    <m/>
    <m/>
    <m/>
  </r>
  <r>
    <d v="2021-01-26T00:00:00"/>
    <s v="Frais d'impression + scannage documents avenant de contrat/I23C"/>
    <x v="14"/>
    <s v="Office"/>
    <m/>
    <n v="1000"/>
    <n v="18734883.99927"/>
    <x v="3"/>
    <s v="Oui"/>
    <x v="4"/>
    <s v="PALF"/>
    <s v="Congo"/>
    <m/>
    <m/>
    <m/>
  </r>
  <r>
    <d v="2021-01-26T00:00:00"/>
    <s v="Cumul frais trust building du 08 au 26 Janvier 2021/T44"/>
    <x v="7"/>
    <s v="Investigation"/>
    <m/>
    <n v="6000"/>
    <n v="18728883.99927"/>
    <x v="1"/>
    <s v="Decharge"/>
    <x v="4"/>
    <s v="PALF"/>
    <s v="Congo"/>
    <m/>
    <m/>
    <m/>
  </r>
  <r>
    <d v="2021-01-26T00:00:00"/>
    <s v="Reçu caisse/Merveille"/>
    <x v="3"/>
    <m/>
    <n v="10000"/>
    <m/>
    <n v="18738883.99927"/>
    <x v="11"/>
    <m/>
    <x v="0"/>
    <m/>
    <m/>
    <m/>
    <m/>
    <m/>
  </r>
  <r>
    <d v="2021-01-26T00:00:00"/>
    <s v="Frais d'hôtel à Owando du 25 au 26/01/2021/Crépin"/>
    <x v="8"/>
    <s v="Management"/>
    <m/>
    <n v="15000"/>
    <n v="18723883.99927"/>
    <x v="10"/>
    <s v="Oui"/>
    <x v="2"/>
    <s v="RALFF"/>
    <s v="Congo"/>
    <s v="RALFF-CO1834"/>
    <s v="1.3.2"/>
    <m/>
  </r>
  <r>
    <d v="2021-01-27T00:00:00"/>
    <s v="Bonus medias/evariste/bord 3654425"/>
    <x v="6"/>
    <s v="Media"/>
    <m/>
    <n v="90000"/>
    <n v="18633883.99927"/>
    <x v="4"/>
    <n v="3654425"/>
    <x v="1"/>
    <s v="PALF"/>
    <s v="Congo"/>
    <m/>
    <m/>
    <m/>
  </r>
  <r>
    <d v="2021-01-27T00:00:00"/>
    <s v="Frais Certificat d'Hebergement Mr CHARRON Nicolas"/>
    <x v="12"/>
    <s v="CCU"/>
    <m/>
    <n v="30000"/>
    <n v="18603883.99927"/>
    <x v="5"/>
    <s v="Oui"/>
    <x v="1"/>
    <s v="PALF"/>
    <s v="Congo"/>
    <m/>
    <m/>
    <m/>
  </r>
  <r>
    <d v="2021-01-27T00:00:00"/>
    <s v="Christian"/>
    <x v="3"/>
    <m/>
    <m/>
    <n v="81400"/>
    <n v="18522483.99927"/>
    <x v="5"/>
    <m/>
    <x v="0"/>
    <m/>
    <m/>
    <m/>
    <m/>
    <m/>
  </r>
  <r>
    <d v="2021-01-27T00:00:00"/>
    <s v="Frais de mission Maitre severin/Dolisie du 28 au 30/01/21/cas IBONGA Fabrice Et Autres"/>
    <x v="9"/>
    <s v="Legal"/>
    <m/>
    <n v="74000"/>
    <n v="18448483.99927"/>
    <x v="5"/>
    <s v="Oui"/>
    <x v="2"/>
    <s v="RALFF"/>
    <s v="Congo"/>
    <s v="RALFF-CO1835"/>
    <s v="5.2.2"/>
    <m/>
  </r>
  <r>
    <d v="2021-01-27T00:00:00"/>
    <s v="Reglement prestation Technicienne de Surface mois de Janvier 2021/MFIELO"/>
    <x v="18"/>
    <s v="Office"/>
    <m/>
    <n v="110000"/>
    <n v="18338483.99927"/>
    <x v="5"/>
    <s v="Oui"/>
    <x v="1"/>
    <s v="PALF"/>
    <s v="Congo"/>
    <m/>
    <m/>
    <m/>
  </r>
  <r>
    <d v="2021-01-27T00:00:00"/>
    <s v="Vidange groupe electrogène(achat filtre à gazoil,achat filtre à huile achat huile moteur+MOD)"/>
    <x v="5"/>
    <s v="Office"/>
    <m/>
    <n v="61000"/>
    <n v="18277483.99927"/>
    <x v="5"/>
    <s v="Oui"/>
    <x v="1"/>
    <s v="RALFF"/>
    <s v="Congo"/>
    <s v="RALFF-CO1836"/>
    <s v="4.4"/>
    <m/>
  </r>
  <r>
    <d v="2021-01-27T00:00:00"/>
    <s v="Achat Billet Brazzaville-Dolisie/Christian"/>
    <x v="1"/>
    <s v="Legal"/>
    <m/>
    <n v="10000"/>
    <n v="18267483.99927"/>
    <x v="8"/>
    <s v="Decharge"/>
    <x v="1"/>
    <s v="RALFF"/>
    <s v="Congo"/>
    <s v="RALFF-CO1837"/>
    <s v="2.2"/>
    <m/>
  </r>
  <r>
    <d v="2021-01-27T00:00:00"/>
    <s v=" Frais d'hôtel  Ms Etoumbi du 25 au 27/01/P29"/>
    <x v="8"/>
    <s v="Investigation"/>
    <m/>
    <n v="30000"/>
    <n v="18237483.99927"/>
    <x v="7"/>
    <s v="Oui"/>
    <x v="1"/>
    <s v="RALFF"/>
    <s v="Congo"/>
    <s v="RALFF-CO1838"/>
    <s v="1.3.2"/>
    <m/>
  </r>
  <r>
    <d v="2021-01-27T00:00:00"/>
    <s v="Frais transport Etoumbi-Makoua/P29"/>
    <x v="1"/>
    <s v="Investigation"/>
    <m/>
    <n v="5000"/>
    <n v="18232483.99927"/>
    <x v="7"/>
    <s v="Oui"/>
    <x v="4"/>
    <s v="RALFF"/>
    <s v="Congo"/>
    <s v="RALFF-CO1839"/>
    <s v="2.2"/>
    <m/>
  </r>
  <r>
    <d v="2021-01-27T00:00:00"/>
    <s v="Frais d'impression + scannage Avenant au contract/I23C"/>
    <x v="14"/>
    <s v="Office"/>
    <m/>
    <n v="2000"/>
    <n v="18230483.99927"/>
    <x v="3"/>
    <s v="Oui"/>
    <x v="4"/>
    <s v="PALF"/>
    <s v="Congo"/>
    <m/>
    <m/>
    <m/>
  </r>
  <r>
    <d v="2021-01-27T00:00:00"/>
    <s v="Cumul frais trust building du 06 au 27 Janvier 2021/I23C"/>
    <x v="7"/>
    <s v="Investigation"/>
    <m/>
    <n v="61500"/>
    <n v="18168983.99927"/>
    <x v="3"/>
    <s v="Décharge"/>
    <x v="1"/>
    <s v="PALF"/>
    <s v="Congo"/>
    <m/>
    <m/>
    <m/>
  </r>
  <r>
    <d v="2021-01-27T00:00:00"/>
    <s v="Recu caisse/Christian"/>
    <x v="3"/>
    <m/>
    <n v="81400"/>
    <m/>
    <n v="18250383.99927"/>
    <x v="8"/>
    <m/>
    <x v="0"/>
    <m/>
    <m/>
    <m/>
    <m/>
    <m/>
  </r>
  <r>
    <d v="2021-01-27T00:00:00"/>
    <s v="Achat billet Oyo-Brazzaville/T44"/>
    <x v="1"/>
    <s v="Investigation"/>
    <m/>
    <n v="10000"/>
    <n v="18240383.99927"/>
    <x v="1"/>
    <s v="Decharge"/>
    <x v="1"/>
    <s v="PALF"/>
    <s v="Congo"/>
    <m/>
    <m/>
    <m/>
  </r>
  <r>
    <d v="2021-01-27T00:00:00"/>
    <s v="Achat billet PN-BZ /Ms du 20 au 30/I23C"/>
    <x v="1"/>
    <s v="Investigation"/>
    <m/>
    <n v="15000"/>
    <n v="18225383.99927"/>
    <x v="3"/>
    <s v="Oui"/>
    <x v="1"/>
    <s v="RALFF"/>
    <s v="Congo"/>
    <s v="RALFF-CO1840"/>
    <s v="2.2"/>
    <m/>
  </r>
  <r>
    <d v="2021-01-28T00:00:00"/>
    <s v="Geisner"/>
    <x v="3"/>
    <m/>
    <m/>
    <n v="70000"/>
    <n v="18155383.99927"/>
    <x v="5"/>
    <m/>
    <x v="0"/>
    <m/>
    <m/>
    <m/>
    <m/>
    <m/>
  </r>
  <r>
    <d v="2021-01-28T00:00:00"/>
    <s v="Achat 05 cartons RAME papier A4/Bureau"/>
    <x v="14"/>
    <s v="Office"/>
    <m/>
    <n v="65000"/>
    <n v="18090383.99927"/>
    <x v="5"/>
    <s v="Oui"/>
    <x v="2"/>
    <s v="RALFF"/>
    <s v="Congo"/>
    <s v="RALFF-CO1841"/>
    <s v="4.3"/>
    <m/>
  </r>
  <r>
    <d v="2021-01-28T00:00:00"/>
    <s v="Achat fournitures de bureau(agrafes,marqueurs,trombone,classeurs)"/>
    <x v="14"/>
    <s v="Office"/>
    <m/>
    <n v="45000"/>
    <n v="18045383.99927"/>
    <x v="5"/>
    <s v="Oui"/>
    <x v="2"/>
    <s v="RALFF"/>
    <s v="Congo"/>
    <s v="RALFF-CO1842"/>
    <s v="4.3"/>
    <m/>
  </r>
  <r>
    <d v="2021-01-28T00:00:00"/>
    <s v="Entretien général du jardin bureau PALF"/>
    <x v="18"/>
    <s v="Office"/>
    <m/>
    <n v="12000"/>
    <n v="18033383.99927"/>
    <x v="5"/>
    <s v="Oui"/>
    <x v="1"/>
    <s v="PALF"/>
    <s v="Congo"/>
    <m/>
    <m/>
    <m/>
  </r>
  <r>
    <d v="2021-01-28T00:00:00"/>
    <s v="Jack-Bénisson"/>
    <x v="3"/>
    <m/>
    <m/>
    <n v="135600"/>
    <n v="17897783.99927"/>
    <x v="5"/>
    <m/>
    <x v="0"/>
    <m/>
    <m/>
    <m/>
    <m/>
    <m/>
  </r>
  <r>
    <d v="2021-01-28T00:00:00"/>
    <s v="Geisner"/>
    <x v="3"/>
    <m/>
    <m/>
    <n v="154400"/>
    <n v="17743383.99927"/>
    <x v="5"/>
    <m/>
    <x v="0"/>
    <m/>
    <m/>
    <m/>
    <m/>
    <m/>
  </r>
  <r>
    <d v="2021-01-28T00:00:00"/>
    <s v="Evariste"/>
    <x v="3"/>
    <m/>
    <m/>
    <n v="10000"/>
    <n v="17733383.99927"/>
    <x v="5"/>
    <m/>
    <x v="0"/>
    <m/>
    <m/>
    <m/>
    <m/>
    <m/>
  </r>
  <r>
    <d v="2021-01-28T00:00:00"/>
    <s v="Frais d'Hôtel Ms P/N du 25 au 28/01  (Hôtel Delta)/I23C"/>
    <x v="8"/>
    <s v="Investigation"/>
    <m/>
    <n v="45000"/>
    <n v="17688383.99927"/>
    <x v="3"/>
    <s v="Oui"/>
    <x v="1"/>
    <s v="RALFF"/>
    <s v="Congo"/>
    <s v="RALFF-CO1843"/>
    <s v="1.3.2"/>
    <m/>
  </r>
  <r>
    <d v="2021-01-28T00:00:00"/>
    <s v="Cumul frais transport local mois de Janvier 21/Merveille"/>
    <x v="1"/>
    <s v="Management"/>
    <m/>
    <n v="30500"/>
    <n v="17657883.99927"/>
    <x v="11"/>
    <s v="Décharge"/>
    <x v="2"/>
    <s v="RALFF"/>
    <s v="Congo"/>
    <s v="RALFF-CO1844"/>
    <s v="2.2"/>
    <m/>
  </r>
  <r>
    <d v="2021-01-28T00:00:00"/>
    <s v="Cumul frais transport local mois de janvier 2021/Crépin"/>
    <x v="1"/>
    <s v="Management"/>
    <m/>
    <n v="86000"/>
    <n v="17571883.99927"/>
    <x v="10"/>
    <s v="Décharge"/>
    <x v="2"/>
    <s v="RALFF"/>
    <s v="Congo"/>
    <s v="RALFF-CO1845"/>
    <s v="2.2"/>
    <m/>
  </r>
  <r>
    <d v="2021-01-28T00:00:00"/>
    <s v="Food Allowance mission du 28 au 30/01/21/Dolisie"/>
    <x v="8"/>
    <s v="Legal"/>
    <m/>
    <n v="20000"/>
    <n v="17551883.99927"/>
    <x v="8"/>
    <s v="Decharge"/>
    <x v="2"/>
    <s v="RALFF"/>
    <s v="Congo"/>
    <s v="RALFF-CO1846"/>
    <s v="1.3.2"/>
    <m/>
  </r>
  <r>
    <d v="2021-01-28T00:00:00"/>
    <s v="Achat billet Makoua-Brazzaville/P29"/>
    <x v="1"/>
    <s v="Investigation"/>
    <m/>
    <n v="15000"/>
    <n v="17536883.99927"/>
    <x v="7"/>
    <s v="Oui"/>
    <x v="1"/>
    <s v="RALFF"/>
    <s v="Congo"/>
    <s v="RALFF-CO1847"/>
    <s v="2.2"/>
    <m/>
  </r>
  <r>
    <d v="2021-01-28T00:00:00"/>
    <s v="Achat Billet Brazzaville-Pointe-Noire/Geis"/>
    <x v="1"/>
    <s v="Legal"/>
    <m/>
    <n v="22000"/>
    <n v="17514883.99927"/>
    <x v="9"/>
    <s v="Oui"/>
    <x v="2"/>
    <s v="RALFF"/>
    <s v="Congo"/>
    <s v="RALFF-CO1848"/>
    <s v="2.2"/>
    <m/>
  </r>
  <r>
    <d v="2021-01-28T00:00:00"/>
    <s v="Récu caisse/Geis"/>
    <x v="3"/>
    <m/>
    <n v="70000"/>
    <m/>
    <n v="17584883.99927"/>
    <x v="9"/>
    <m/>
    <x v="0"/>
    <m/>
    <m/>
    <m/>
    <m/>
    <m/>
  </r>
  <r>
    <d v="2021-01-28T00:00:00"/>
    <s v="Food Allowance Mission P/N du 28 Janv au 03 Fev 21/Geis"/>
    <x v="8"/>
    <s v="Legal"/>
    <m/>
    <n v="60000"/>
    <n v="17524883.99927"/>
    <x v="9"/>
    <s v="Décharge"/>
    <x v="2"/>
    <s v="RALFF"/>
    <s v="Congo"/>
    <s v="RALFF-CO1849"/>
    <s v="1.3.2"/>
    <m/>
  </r>
  <r>
    <d v="2021-01-28T00:00:00"/>
    <s v="Frais d'hôtel du 25 jan au 28 jan à Oyo/T44"/>
    <x v="8"/>
    <s v="Investigation"/>
    <m/>
    <n v="45000"/>
    <n v="17479883.99927"/>
    <x v="1"/>
    <s v="Decharge"/>
    <x v="1"/>
    <s v="PALF"/>
    <s v="Congo"/>
    <m/>
    <m/>
    <m/>
  </r>
  <r>
    <d v="2021-01-28T00:00:00"/>
    <s v="Frais d'hôtel du 20 au 25/01 et du 27 au 28/01/P29"/>
    <x v="8"/>
    <s v="Investigation"/>
    <m/>
    <n v="90000"/>
    <n v="17389883.99927"/>
    <x v="7"/>
    <s v="Oui"/>
    <x v="1"/>
    <s v="RALFF"/>
    <s v="Congo"/>
    <s v="RALFF-CO1850"/>
    <s v="1.3.2"/>
    <m/>
  </r>
  <r>
    <d v="2021-01-28T00:00:00"/>
    <s v="Achat papier toilette pour le bureau"/>
    <x v="14"/>
    <s v="Media"/>
    <m/>
    <n v="3900"/>
    <n v="17385983.99927"/>
    <x v="14"/>
    <s v="Oui"/>
    <x v="4"/>
    <s v="RALFF"/>
    <s v="Congo"/>
    <s v="RALFF-CO1851"/>
    <s v="4.3 "/>
    <m/>
  </r>
  <r>
    <d v="2021-01-28T00:00:00"/>
    <s v="Cumul frais transport local du 01 au 28 Janvier 2021/I23C"/>
    <x v="1"/>
    <s v="Investigation"/>
    <m/>
    <n v="125500"/>
    <n v="17260483.99927"/>
    <x v="3"/>
    <s v="Décharge"/>
    <x v="1"/>
    <s v="RALFF"/>
    <s v="Congo"/>
    <s v="RALFF-CO1851"/>
    <s v="2.2"/>
    <m/>
  </r>
  <r>
    <d v="2021-01-29T00:00:00"/>
    <s v="Reçu Caisse/Jack-Bénisson"/>
    <x v="3"/>
    <m/>
    <n v="135600"/>
    <m/>
    <n v="17396083.99927"/>
    <x v="15"/>
    <m/>
    <x v="0"/>
    <m/>
    <m/>
    <m/>
    <m/>
    <m/>
  </r>
  <r>
    <d v="2021-01-29T00:00:00"/>
    <s v="Food allowance Mission P/N du 30 Janv au 6 Février/Jack"/>
    <x v="8"/>
    <s v="Legal"/>
    <m/>
    <n v="70000"/>
    <n v="17326083.99927"/>
    <x v="15"/>
    <s v="Décharge"/>
    <x v="2"/>
    <s v="RALFF"/>
    <s v="Congo"/>
    <s v="RALFF-CO1852"/>
    <s v="1.3.2"/>
    <m/>
  </r>
  <r>
    <d v="2021-01-29T00:00:00"/>
    <s v="Achat Billet Dolisie-Brazzaville/Christian"/>
    <x v="1"/>
    <s v="Legal"/>
    <m/>
    <n v="10000"/>
    <n v="17316083.99927"/>
    <x v="8"/>
    <s v="Decharge"/>
    <x v="1"/>
    <s v="RALFF"/>
    <s v="Congo"/>
    <s v="RALFF-CO1853"/>
    <s v="2.2"/>
    <m/>
  </r>
  <r>
    <d v="2021-01-29T00:00:00"/>
    <s v="Achat billet avion Brazzaville-PN/JB"/>
    <x v="1"/>
    <s v="Legal"/>
    <m/>
    <n v="35000"/>
    <n v="17281083.99927"/>
    <x v="15"/>
    <s v="Oui"/>
    <x v="2"/>
    <s v="RALFF"/>
    <s v="Congo"/>
    <s v="RALFF-CO1854"/>
    <s v="2.2"/>
    <m/>
  </r>
  <r>
    <d v="2021-01-29T00:00:00"/>
    <s v="Cumul frais transport  local mois de janvier 2021/Jack"/>
    <x v="1"/>
    <s v="Legal"/>
    <m/>
    <n v="20000"/>
    <n v="17261083.99927"/>
    <x v="15"/>
    <s v="Oui"/>
    <x v="2"/>
    <s v="RALFF"/>
    <s v="Congo"/>
    <s v="RALFF-CO1855"/>
    <s v="2.2"/>
    <m/>
  </r>
  <r>
    <d v="2021-01-29T00:00:00"/>
    <s v="Cumul frais transport local mois de janvier 21/Evariste"/>
    <x v="1"/>
    <s v="Media"/>
    <m/>
    <n v="17500"/>
    <n v="17243583.99927"/>
    <x v="14"/>
    <s v="Décharge"/>
    <x v="2"/>
    <s v="RALFF"/>
    <s v="Congo"/>
    <s v="RALFF-CO1856"/>
    <s v="2.2"/>
    <m/>
  </r>
  <r>
    <d v="2021-01-29T00:00:00"/>
    <s v="Frais d'hôtel mission du 28 au 30/01/2021/Dolisie/Christian"/>
    <x v="8"/>
    <s v="Legal"/>
    <m/>
    <n v="30000"/>
    <n v="17213583.99927"/>
    <x v="8"/>
    <s v="Decharge"/>
    <x v="2"/>
    <s v="RALFF"/>
    <s v="Congo"/>
    <s v="RALFF-CO1857"/>
    <s v="1.3.2"/>
    <m/>
  </r>
  <r>
    <d v="2021-01-29T00:00:00"/>
    <s v="Cumul frais transport mois de Janvier 2021/T44"/>
    <x v="1"/>
    <s v="Investigation"/>
    <m/>
    <n v="77300"/>
    <n v="17136283.99927"/>
    <x v="1"/>
    <s v="Decharge"/>
    <x v="1"/>
    <s v="PALF"/>
    <s v="Congo"/>
    <m/>
    <m/>
    <m/>
  </r>
  <r>
    <d v="2021-01-29T00:00:00"/>
    <s v="Cumul frais Ration du 04 au 29 Janvier 21/T44"/>
    <x v="11"/>
    <s v="Investigation"/>
    <m/>
    <n v="4000"/>
    <n v="17132283.99927"/>
    <x v="1"/>
    <s v="Decharge"/>
    <x v="4"/>
    <s v="PALF"/>
    <s v="Congo"/>
    <m/>
    <m/>
    <m/>
  </r>
  <r>
    <d v="2021-01-29T00:00:00"/>
    <s v="Cumul frais transport local du 05 au 29/01/2021/P29"/>
    <x v="1"/>
    <s v="Investigation"/>
    <m/>
    <n v="75000"/>
    <n v="17057283.99927"/>
    <x v="7"/>
    <s v="Decharge"/>
    <x v="1"/>
    <s v="RALFF"/>
    <s v="Congo"/>
    <s v="RALFF-CO1858"/>
    <s v="2.2"/>
    <m/>
  </r>
  <r>
    <d v="2021-01-29T00:00:00"/>
    <s v="Reçu de la caisse"/>
    <x v="3"/>
    <m/>
    <n v="10000"/>
    <m/>
    <n v="17067283.99927"/>
    <x v="14"/>
    <m/>
    <x v="0"/>
    <m/>
    <m/>
    <m/>
    <m/>
    <m/>
  </r>
  <r>
    <d v="2021-01-29T00:00:00"/>
    <s v="Reçu caisse/I73X"/>
    <x v="3"/>
    <m/>
    <m/>
    <m/>
    <n v="17067283.99927"/>
    <x v="16"/>
    <m/>
    <x v="0"/>
    <m/>
    <m/>
    <m/>
    <m/>
    <m/>
  </r>
  <r>
    <d v="2021-01-29T00:00:00"/>
    <s v="Reçu caisse/I55S"/>
    <x v="3"/>
    <m/>
    <m/>
    <m/>
    <n v="17067283.99927"/>
    <x v="17"/>
    <m/>
    <x v="0"/>
    <m/>
    <m/>
    <m/>
    <m/>
    <m/>
  </r>
  <r>
    <d v="2021-01-30T00:00:00"/>
    <s v="Cumul frais transport mois de janvier 2021/Christian"/>
    <x v="1"/>
    <s v="Legal"/>
    <m/>
    <n v="80900"/>
    <n v="16986383.99927"/>
    <x v="8"/>
    <s v="Decharge"/>
    <x v="2"/>
    <s v="RALFF"/>
    <s v="Congo"/>
    <s v="RALFF-CO1859"/>
    <s v="2.2"/>
    <m/>
  </r>
  <r>
    <d v="2021-01-31T00:00:00"/>
    <s v="Cumul frais bancaire mois de Janvier compte 34/BCI"/>
    <x v="21"/>
    <s v="Office"/>
    <m/>
    <n v="13881"/>
    <n v="16972502.99927"/>
    <x v="4"/>
    <s v="Relevé"/>
    <x v="1"/>
    <s v="PALF"/>
    <s v="Congo"/>
    <m/>
    <m/>
    <m/>
  </r>
  <r>
    <d v="2021-01-31T00:00:00"/>
    <s v="Cumul frais bancaire mois de Janvier compte 56/BCI"/>
    <x v="21"/>
    <s v="Office"/>
    <m/>
    <n v="18476"/>
    <n v="16954026.99927"/>
    <x v="12"/>
    <s v="Relevé"/>
    <x v="2"/>
    <s v="RALFF"/>
    <s v="Congo"/>
    <s v="RALFF-CO1860"/>
    <s v="5.6"/>
    <m/>
  </r>
  <r>
    <d v="2021-01-31T00:00:00"/>
    <s v="Récu caisse/Geis"/>
    <x v="3"/>
    <m/>
    <n v="154400"/>
    <m/>
    <n v="17108426.99927"/>
    <x v="9"/>
    <m/>
    <x v="0"/>
    <m/>
    <m/>
    <m/>
    <m/>
    <m/>
  </r>
  <r>
    <d v="2021-01-31T00:00:00"/>
    <s v="Cumul frais Visite Géôle du 09 au 31/Geis"/>
    <x v="16"/>
    <s v="Legal"/>
    <m/>
    <n v="22500"/>
    <n v="17085926.99927"/>
    <x v="9"/>
    <s v="Décharge"/>
    <x v="1"/>
    <s v="PALF"/>
    <s v="Congo"/>
    <m/>
    <m/>
    <m/>
  </r>
  <r>
    <d v="2021-01-31T00:00:00"/>
    <s v="Cumul frais transport local mois de Janvier 21/Geis"/>
    <x v="1"/>
    <s v="Legal"/>
    <m/>
    <n v="87500"/>
    <n v="16998426.99927"/>
    <x v="9"/>
    <s v="Décharge"/>
    <x v="2"/>
    <s v="RALFF"/>
    <s v="Congo"/>
    <s v="RALFF-CO1861"/>
    <s v="2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S23" firstHeaderRow="1" firstDataRow="3" firstDataCol="1"/>
  <pivotFields count="15">
    <pivotField numFmtId="14" showAll="0"/>
    <pivotField showAll="0"/>
    <pivotField axis="axisCol" showAll="0">
      <items count="23">
        <item x="21"/>
        <item x="6"/>
        <item x="15"/>
        <item x="17"/>
        <item x="4"/>
        <item x="16"/>
        <item x="9"/>
        <item x="14"/>
        <item x="11"/>
        <item x="5"/>
        <item x="18"/>
        <item x="19"/>
        <item x="10"/>
        <item x="1"/>
        <item x="20"/>
        <item x="13"/>
        <item x="12"/>
        <item x="8"/>
        <item x="7"/>
        <item x="3"/>
        <item x="0"/>
        <item x="2"/>
        <item t="default"/>
      </items>
    </pivotField>
    <pivotField showAll="0"/>
    <pivotField dataField="1" showAll="0"/>
    <pivotField dataField="1" showAll="0"/>
    <pivotField numFmtId="166" showAll="0"/>
    <pivotField axis="axisRow" showAll="0">
      <items count="19">
        <item x="4"/>
        <item x="12"/>
        <item x="5"/>
        <item x="8"/>
        <item x="10"/>
        <item x="14"/>
        <item x="9"/>
        <item x="6"/>
        <item x="3"/>
        <item x="17"/>
        <item x="16"/>
        <item x="15"/>
        <item x="11"/>
        <item x="7"/>
        <item x="2"/>
        <item x="1"/>
        <item x="1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2"/>
    <field x="-2"/>
  </colFields>
  <colItems count="4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1"/>
      <x/>
    </i>
    <i r="1" i="1">
      <x v="1"/>
    </i>
    <i t="grand">
      <x/>
    </i>
    <i t="grand" i="1">
      <x/>
    </i>
  </colItems>
  <dataFields count="2">
    <dataField name="Somme de Received" fld="4" baseField="0" baseItem="0" numFmtId="3"/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15">
    <pivotField numFmtId="14" showAll="0"/>
    <pivotField showAll="0"/>
    <pivotField showAll="0"/>
    <pivotField showAll="0"/>
    <pivotField showAll="0"/>
    <pivotField dataField="1" showAll="0"/>
    <pivotField numFmtId="166" showAll="0"/>
    <pivotField showAll="0"/>
    <pivotField showAll="0"/>
    <pivotField axis="axisRow" showAll="0">
      <items count="9">
        <item x="6"/>
        <item x="5"/>
        <item x="1"/>
        <item m="1" x="7"/>
        <item x="3"/>
        <item x="2"/>
        <item x="4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Somme de Spent" fld="5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208"/>
  <sheetViews>
    <sheetView zoomScale="70" zoomScaleNormal="70" workbookViewId="0">
      <pane xSplit="1" topLeftCell="D1" activePane="topRight" state="frozen"/>
      <selection pane="topRight" activeCell="N25" sqref="N25"/>
    </sheetView>
  </sheetViews>
  <sheetFormatPr baseColWidth="10" defaultColWidth="11.42578125" defaultRowHeight="15"/>
  <cols>
    <col min="1" max="1" width="31" style="140" customWidth="1"/>
    <col min="2" max="2" width="21.42578125" style="140" customWidth="1"/>
    <col min="3" max="3" width="26" style="140" customWidth="1"/>
    <col min="4" max="4" width="23.7109375" style="140" customWidth="1"/>
    <col min="5" max="5" width="19.5703125" style="140" customWidth="1"/>
    <col min="6" max="6" width="21" style="140" customWidth="1"/>
    <col min="7" max="7" width="19.85546875" style="140" customWidth="1"/>
    <col min="8" max="8" width="20.5703125" style="140" customWidth="1"/>
    <col min="9" max="9" width="19.7109375" style="140" customWidth="1"/>
    <col min="10" max="10" width="18.140625" style="140" customWidth="1"/>
    <col min="11" max="11" width="14.5703125" style="140" customWidth="1"/>
    <col min="12" max="12" width="18.85546875" style="193" customWidth="1"/>
    <col min="13" max="13" width="14.85546875" style="193" customWidth="1"/>
    <col min="14" max="14" width="14.140625" style="193" customWidth="1"/>
    <col min="15" max="15" width="14.85546875" style="193" customWidth="1"/>
    <col min="16" max="16384" width="11.42578125" style="140"/>
  </cols>
  <sheetData>
    <row r="1" spans="1:15">
      <c r="A1" s="139">
        <v>44227</v>
      </c>
    </row>
    <row r="2" spans="1:15" ht="15.75">
      <c r="A2" s="141" t="s">
        <v>105</v>
      </c>
      <c r="B2" s="141" t="s">
        <v>9</v>
      </c>
      <c r="C2" s="141">
        <v>44197</v>
      </c>
      <c r="D2" s="142" t="s">
        <v>106</v>
      </c>
      <c r="E2" s="142" t="s">
        <v>107</v>
      </c>
      <c r="F2" s="142" t="s">
        <v>108</v>
      </c>
      <c r="G2" s="142" t="s">
        <v>109</v>
      </c>
      <c r="H2" s="141">
        <v>44227</v>
      </c>
      <c r="I2" s="142" t="s">
        <v>110</v>
      </c>
      <c r="K2" s="192"/>
      <c r="L2" s="192" t="s">
        <v>111</v>
      </c>
      <c r="M2" s="192" t="s">
        <v>112</v>
      </c>
      <c r="N2" s="192" t="s">
        <v>113</v>
      </c>
      <c r="O2" s="192" t="s">
        <v>114</v>
      </c>
    </row>
    <row r="3" spans="1:15" ht="16.5">
      <c r="A3" s="205" t="str">
        <f>+K3</f>
        <v xml:space="preserve">BCI </v>
      </c>
      <c r="B3" s="206" t="s">
        <v>115</v>
      </c>
      <c r="C3" s="207">
        <f>+[2]Récapitulatif!$I$3</f>
        <v>11284555</v>
      </c>
      <c r="D3" s="373">
        <f>+L3</f>
        <v>0</v>
      </c>
      <c r="E3" s="208">
        <f>+N3</f>
        <v>273881</v>
      </c>
      <c r="F3" s="208">
        <f>+M3</f>
        <v>5500000</v>
      </c>
      <c r="G3" s="208">
        <f>+O3</f>
        <v>0</v>
      </c>
      <c r="H3" s="428">
        <f>+'Compte Principal 34 BCI'!H23</f>
        <v>5510674</v>
      </c>
      <c r="I3" s="428">
        <f>+C3+D3-E3-F3+G3</f>
        <v>5510674</v>
      </c>
      <c r="J3" s="144">
        <f>I3-H3</f>
        <v>0</v>
      </c>
      <c r="K3" s="192" t="s">
        <v>116</v>
      </c>
      <c r="L3" s="194">
        <v>0</v>
      </c>
      <c r="M3" s="194">
        <v>5500000</v>
      </c>
      <c r="N3" s="194">
        <v>273881</v>
      </c>
      <c r="O3" s="194">
        <v>0</v>
      </c>
    </row>
    <row r="4" spans="1:15" ht="16.5">
      <c r="A4" s="205" t="str">
        <f>+K4</f>
        <v>BCI  sous-compte</v>
      </c>
      <c r="B4" s="206" t="s">
        <v>115</v>
      </c>
      <c r="C4" s="207">
        <f>+[2]Récapitulatif!$I$4</f>
        <v>2158645</v>
      </c>
      <c r="D4" s="208">
        <f>+L4</f>
        <v>0</v>
      </c>
      <c r="E4" s="208">
        <f>+N4</f>
        <v>6400961</v>
      </c>
      <c r="F4" s="208">
        <f>+M4</f>
        <v>0</v>
      </c>
      <c r="G4" s="208">
        <f t="shared" ref="G4:G19" si="0">+O4</f>
        <v>15435980</v>
      </c>
      <c r="H4" s="428">
        <f>+'Sous-Compte 34 BCI'!H36</f>
        <v>11193664</v>
      </c>
      <c r="I4" s="428">
        <f>+C4+D4-E4-F4+G4</f>
        <v>11193664</v>
      </c>
      <c r="J4" s="144">
        <f t="shared" ref="J4:J14" si="1">I4-H4</f>
        <v>0</v>
      </c>
      <c r="K4" s="192" t="s">
        <v>117</v>
      </c>
      <c r="L4" s="194">
        <v>0</v>
      </c>
      <c r="M4" s="194">
        <v>0</v>
      </c>
      <c r="N4" s="194">
        <v>6400961</v>
      </c>
      <c r="O4" s="194">
        <v>15435980</v>
      </c>
    </row>
    <row r="5" spans="1:15" ht="16.5">
      <c r="A5" s="205" t="str">
        <f t="shared" ref="A5:A15" si="2">+K5</f>
        <v>Caisse</v>
      </c>
      <c r="B5" s="206" t="s">
        <v>78</v>
      </c>
      <c r="C5" s="207">
        <f>+[2]Récapitulatif!$I$5</f>
        <v>62150</v>
      </c>
      <c r="D5" s="208">
        <f>+L5</f>
        <v>5500000</v>
      </c>
      <c r="E5" s="208">
        <f>+N5</f>
        <v>1276534</v>
      </c>
      <c r="F5" s="208">
        <f t="shared" ref="F5:F19" si="3">+M5</f>
        <v>3968900</v>
      </c>
      <c r="G5" s="208">
        <f t="shared" si="0"/>
        <v>0</v>
      </c>
      <c r="H5" s="428">
        <f>+'CAISSE JANV 21'!G95</f>
        <v>316716</v>
      </c>
      <c r="I5" s="428">
        <f>+C5+D5-E5-F5+G5</f>
        <v>316716</v>
      </c>
      <c r="J5" s="299">
        <f t="shared" si="1"/>
        <v>0</v>
      </c>
      <c r="K5" s="192" t="s">
        <v>78</v>
      </c>
      <c r="L5" s="194">
        <v>5500000</v>
      </c>
      <c r="M5" s="194">
        <v>3968900</v>
      </c>
      <c r="N5" s="194">
        <v>1276534</v>
      </c>
      <c r="O5" s="194">
        <v>0</v>
      </c>
    </row>
    <row r="6" spans="1:15" ht="16.5">
      <c r="A6" s="205" t="str">
        <f t="shared" si="2"/>
        <v>Christian</v>
      </c>
      <c r="B6" s="206" t="s">
        <v>16</v>
      </c>
      <c r="C6" s="207">
        <f>+[2]Récapitulatif!$I$6</f>
        <v>-11330</v>
      </c>
      <c r="D6" s="208">
        <f t="shared" ref="D6:D19" si="4">+L6</f>
        <v>385700</v>
      </c>
      <c r="E6" s="208">
        <f t="shared" ref="E6:E19" si="5">+N6</f>
        <v>370700</v>
      </c>
      <c r="F6" s="208">
        <f t="shared" si="3"/>
        <v>0</v>
      </c>
      <c r="G6" s="208">
        <f t="shared" si="0"/>
        <v>0</v>
      </c>
      <c r="H6" s="428">
        <f>+'[3]compta shely (2)'!$G$364</f>
        <v>3670</v>
      </c>
      <c r="I6" s="428">
        <f t="shared" ref="I6:I19" si="6">+C6+D6-E6-F6+G6</f>
        <v>3670</v>
      </c>
      <c r="J6" s="144">
        <f t="shared" si="1"/>
        <v>0</v>
      </c>
      <c r="K6" s="192" t="s">
        <v>149</v>
      </c>
      <c r="L6" s="194">
        <v>385700</v>
      </c>
      <c r="M6" s="194">
        <v>0</v>
      </c>
      <c r="N6" s="194">
        <v>370700</v>
      </c>
      <c r="O6" s="194">
        <v>0</v>
      </c>
    </row>
    <row r="7" spans="1:15" ht="16.5">
      <c r="A7" s="205" t="str">
        <f t="shared" si="2"/>
        <v>Crépin</v>
      </c>
      <c r="B7" s="206" t="s">
        <v>16</v>
      </c>
      <c r="C7" s="207">
        <f>+[2]Récapitulatif!$I$7</f>
        <v>8260</v>
      </c>
      <c r="D7" s="208">
        <f t="shared" si="4"/>
        <v>357900</v>
      </c>
      <c r="E7" s="208">
        <f t="shared" si="5"/>
        <v>316700</v>
      </c>
      <c r="F7" s="208">
        <f t="shared" si="3"/>
        <v>50000</v>
      </c>
      <c r="G7" s="208">
        <f t="shared" si="0"/>
        <v>0</v>
      </c>
      <c r="H7" s="428">
        <f>+'[4]COMPTA_CREPIN (2)'!$G$3262</f>
        <v>-540</v>
      </c>
      <c r="I7" s="428">
        <f t="shared" si="6"/>
        <v>-540</v>
      </c>
      <c r="J7" s="144">
        <f t="shared" si="1"/>
        <v>0</v>
      </c>
      <c r="K7" s="192" t="s">
        <v>118</v>
      </c>
      <c r="L7" s="194">
        <v>357900</v>
      </c>
      <c r="M7" s="194">
        <v>50000</v>
      </c>
      <c r="N7" s="194">
        <v>316700</v>
      </c>
      <c r="O7" s="194">
        <v>0</v>
      </c>
    </row>
    <row r="8" spans="1:15" ht="16.5">
      <c r="A8" s="205" t="str">
        <f t="shared" si="2"/>
        <v>Evariste</v>
      </c>
      <c r="B8" s="206" t="s">
        <v>16</v>
      </c>
      <c r="C8" s="207">
        <f>+[2]Récapitulatif!$I$8</f>
        <v>3795</v>
      </c>
      <c r="D8" s="208">
        <f t="shared" si="4"/>
        <v>20000</v>
      </c>
      <c r="E8" s="208">
        <f t="shared" si="5"/>
        <v>21400</v>
      </c>
      <c r="F8" s="208">
        <f t="shared" si="3"/>
        <v>0</v>
      </c>
      <c r="G8" s="208">
        <f t="shared" si="0"/>
        <v>0</v>
      </c>
      <c r="H8" s="428">
        <f>+'[5]compta (2)'!$G$2662</f>
        <v>2395</v>
      </c>
      <c r="I8" s="428">
        <f t="shared" si="6"/>
        <v>2395</v>
      </c>
      <c r="J8" s="144">
        <f t="shared" si="1"/>
        <v>0</v>
      </c>
      <c r="K8" s="192" t="s">
        <v>87</v>
      </c>
      <c r="L8" s="194">
        <v>20000</v>
      </c>
      <c r="M8" s="194">
        <v>0</v>
      </c>
      <c r="N8" s="194">
        <v>21400</v>
      </c>
      <c r="O8" s="194">
        <v>0</v>
      </c>
    </row>
    <row r="9" spans="1:15" ht="16.5">
      <c r="A9" s="205" t="str">
        <f t="shared" si="2"/>
        <v>Geisner</v>
      </c>
      <c r="B9" s="295" t="s">
        <v>16</v>
      </c>
      <c r="C9" s="208">
        <f>+[2]Récapitulatif!$I$9</f>
        <v>-83100</v>
      </c>
      <c r="D9" s="208">
        <f t="shared" si="4"/>
        <v>699200</v>
      </c>
      <c r="E9" s="208">
        <f t="shared" si="5"/>
        <v>520000</v>
      </c>
      <c r="F9" s="208">
        <f t="shared" si="3"/>
        <v>0</v>
      </c>
      <c r="G9" s="208">
        <f t="shared" si="0"/>
        <v>0</v>
      </c>
      <c r="H9" s="428">
        <f>+'[6]COMPTA (2)'!$G$277</f>
        <v>96100</v>
      </c>
      <c r="I9" s="428">
        <f t="shared" si="6"/>
        <v>96100</v>
      </c>
      <c r="J9" s="144">
        <f t="shared" si="1"/>
        <v>0</v>
      </c>
      <c r="K9" s="192" t="s">
        <v>150</v>
      </c>
      <c r="L9" s="194">
        <v>699200</v>
      </c>
      <c r="M9" s="194">
        <v>0</v>
      </c>
      <c r="N9" s="194">
        <v>520000</v>
      </c>
      <c r="O9" s="194">
        <v>0</v>
      </c>
    </row>
    <row r="10" spans="1:15" ht="16.5">
      <c r="A10" s="205" t="str">
        <f t="shared" si="2"/>
        <v>Herick</v>
      </c>
      <c r="B10" s="295" t="s">
        <v>16</v>
      </c>
      <c r="C10" s="208">
        <f>+[2]Récapitulatif!$I$10</f>
        <v>1784</v>
      </c>
      <c r="D10" s="428">
        <f t="shared" si="4"/>
        <v>618600</v>
      </c>
      <c r="E10" s="428">
        <f t="shared" si="5"/>
        <v>422200</v>
      </c>
      <c r="F10" s="428">
        <f t="shared" si="3"/>
        <v>184300</v>
      </c>
      <c r="G10" s="428">
        <f t="shared" si="0"/>
        <v>0</v>
      </c>
      <c r="H10" s="208">
        <v>13884</v>
      </c>
      <c r="I10" s="428">
        <f t="shared" si="6"/>
        <v>13884</v>
      </c>
      <c r="J10" s="144">
        <f t="shared" si="1"/>
        <v>0</v>
      </c>
      <c r="K10" s="192" t="s">
        <v>81</v>
      </c>
      <c r="L10" s="194">
        <v>618600</v>
      </c>
      <c r="M10" s="194">
        <v>184300</v>
      </c>
      <c r="N10" s="194">
        <v>422200</v>
      </c>
      <c r="O10" s="194">
        <v>0</v>
      </c>
    </row>
    <row r="11" spans="1:15" ht="16.5">
      <c r="A11" s="205" t="str">
        <f>K11</f>
        <v>I23C</v>
      </c>
      <c r="B11" s="206" t="s">
        <v>31</v>
      </c>
      <c r="C11" s="207">
        <f>+[2]Récapitulatif!$I$11</f>
        <v>88800</v>
      </c>
      <c r="D11" s="208">
        <f t="shared" si="4"/>
        <v>694600</v>
      </c>
      <c r="E11" s="208">
        <f t="shared" si="5"/>
        <v>711000</v>
      </c>
      <c r="F11" s="208">
        <f t="shared" si="3"/>
        <v>0</v>
      </c>
      <c r="G11" s="208">
        <f t="shared" si="0"/>
        <v>0</v>
      </c>
      <c r="H11" s="428">
        <f>+'[7]COMPTA_I23C (2)'!$G$4571</f>
        <v>72400</v>
      </c>
      <c r="I11" s="428">
        <f t="shared" si="6"/>
        <v>72400</v>
      </c>
      <c r="J11" s="144">
        <f t="shared" si="1"/>
        <v>0</v>
      </c>
      <c r="K11" s="192" t="s">
        <v>86</v>
      </c>
      <c r="L11" s="194">
        <v>694600</v>
      </c>
      <c r="M11" s="194">
        <v>0</v>
      </c>
      <c r="N11" s="194">
        <v>711000</v>
      </c>
      <c r="O11" s="194">
        <v>0</v>
      </c>
    </row>
    <row r="12" spans="1:15" ht="16.5">
      <c r="A12" s="407" t="str">
        <f t="shared" si="2"/>
        <v>I55S</v>
      </c>
      <c r="B12" s="408" t="s">
        <v>31</v>
      </c>
      <c r="C12" s="409">
        <f>+[2]Récapitulatif!$I$12</f>
        <v>233614</v>
      </c>
      <c r="D12" s="410">
        <f t="shared" si="4"/>
        <v>0</v>
      </c>
      <c r="E12" s="410">
        <f t="shared" si="5"/>
        <v>0</v>
      </c>
      <c r="F12" s="410">
        <f t="shared" si="3"/>
        <v>0</v>
      </c>
      <c r="G12" s="410">
        <f t="shared" si="0"/>
        <v>0</v>
      </c>
      <c r="H12" s="429">
        <v>233614</v>
      </c>
      <c r="I12" s="429">
        <f t="shared" si="6"/>
        <v>233614</v>
      </c>
      <c r="J12" s="144">
        <f t="shared" si="1"/>
        <v>0</v>
      </c>
      <c r="K12" s="192" t="s">
        <v>158</v>
      </c>
      <c r="L12" s="194">
        <v>0</v>
      </c>
      <c r="M12" s="194">
        <v>0</v>
      </c>
      <c r="N12" s="194">
        <v>0</v>
      </c>
      <c r="O12" s="194">
        <v>0</v>
      </c>
    </row>
    <row r="13" spans="1:15" ht="16.5">
      <c r="A13" s="407" t="str">
        <f t="shared" si="2"/>
        <v>I73X</v>
      </c>
      <c r="B13" s="408" t="s">
        <v>31</v>
      </c>
      <c r="C13" s="409">
        <f>+[2]Récapitulatif!$I$13</f>
        <v>249769</v>
      </c>
      <c r="D13" s="410">
        <f t="shared" si="4"/>
        <v>0</v>
      </c>
      <c r="E13" s="410">
        <f t="shared" si="5"/>
        <v>0</v>
      </c>
      <c r="F13" s="410">
        <f t="shared" si="3"/>
        <v>0</v>
      </c>
      <c r="G13" s="410">
        <f t="shared" si="0"/>
        <v>0</v>
      </c>
      <c r="H13" s="429">
        <v>249769</v>
      </c>
      <c r="I13" s="429">
        <f t="shared" si="6"/>
        <v>249769</v>
      </c>
      <c r="J13" s="144">
        <f t="shared" si="1"/>
        <v>0</v>
      </c>
      <c r="K13" s="192" t="s">
        <v>157</v>
      </c>
      <c r="L13" s="194">
        <v>0</v>
      </c>
      <c r="M13" s="194">
        <v>0</v>
      </c>
      <c r="N13" s="194">
        <v>0</v>
      </c>
      <c r="O13" s="194">
        <v>0</v>
      </c>
    </row>
    <row r="14" spans="1:15" ht="16.5">
      <c r="A14" s="205" t="str">
        <f t="shared" si="2"/>
        <v>Jack-Bénisson</v>
      </c>
      <c r="B14" s="295" t="s">
        <v>16</v>
      </c>
      <c r="C14" s="207">
        <f>+[2]Récapitulatif!$I$14</f>
        <v>7890</v>
      </c>
      <c r="D14" s="208">
        <f t="shared" si="4"/>
        <v>135600</v>
      </c>
      <c r="E14" s="208">
        <f t="shared" si="5"/>
        <v>125000</v>
      </c>
      <c r="F14" s="208">
        <f t="shared" si="3"/>
        <v>0</v>
      </c>
      <c r="G14" s="208">
        <f t="shared" si="0"/>
        <v>0</v>
      </c>
      <c r="H14" s="428">
        <f>+[8]Feuil1!$G$2995</f>
        <v>18490</v>
      </c>
      <c r="I14" s="428">
        <f t="shared" si="6"/>
        <v>18490</v>
      </c>
      <c r="J14" s="144">
        <f t="shared" si="1"/>
        <v>0</v>
      </c>
      <c r="K14" s="192" t="s">
        <v>96</v>
      </c>
      <c r="L14" s="194">
        <v>135600</v>
      </c>
      <c r="M14" s="194">
        <v>0</v>
      </c>
      <c r="N14" s="194">
        <v>125000</v>
      </c>
      <c r="O14" s="194">
        <v>0</v>
      </c>
    </row>
    <row r="15" spans="1:15" ht="16.5">
      <c r="A15" s="205" t="str">
        <f t="shared" si="2"/>
        <v>Merveille</v>
      </c>
      <c r="B15" s="206" t="s">
        <v>19</v>
      </c>
      <c r="C15" s="207">
        <f>+[2]Récapitulatif!$I$15</f>
        <v>5000</v>
      </c>
      <c r="D15" s="208">
        <f t="shared" si="4"/>
        <v>30000</v>
      </c>
      <c r="E15" s="208">
        <f t="shared" si="5"/>
        <v>30500</v>
      </c>
      <c r="F15" s="208">
        <f t="shared" si="3"/>
        <v>0</v>
      </c>
      <c r="G15" s="208">
        <f t="shared" si="0"/>
        <v>0</v>
      </c>
      <c r="H15" s="428">
        <f>+'[9]compta Merveille (2)'!$G$39</f>
        <v>4500</v>
      </c>
      <c r="I15" s="428">
        <f t="shared" si="6"/>
        <v>4500</v>
      </c>
      <c r="J15" s="144">
        <f>I15-H15</f>
        <v>0</v>
      </c>
      <c r="K15" s="192" t="s">
        <v>177</v>
      </c>
      <c r="L15" s="194">
        <v>30000</v>
      </c>
      <c r="M15" s="194">
        <v>0</v>
      </c>
      <c r="N15" s="194">
        <v>30500</v>
      </c>
      <c r="O15" s="194">
        <v>0</v>
      </c>
    </row>
    <row r="16" spans="1:15" ht="16.5">
      <c r="A16" s="205" t="str">
        <f>K16</f>
        <v>P29</v>
      </c>
      <c r="B16" s="206" t="s">
        <v>31</v>
      </c>
      <c r="C16" s="207">
        <f>+[2]Récapitulatif!$I$16</f>
        <v>57700</v>
      </c>
      <c r="D16" s="208">
        <f t="shared" si="4"/>
        <v>639000</v>
      </c>
      <c r="E16" s="208">
        <f t="shared" si="5"/>
        <v>652500</v>
      </c>
      <c r="F16" s="208">
        <f t="shared" si="3"/>
        <v>0</v>
      </c>
      <c r="G16" s="208">
        <f t="shared" si="0"/>
        <v>0</v>
      </c>
      <c r="H16" s="428">
        <f>+'[10]COMPT-P29 (2)'!$G$583</f>
        <v>44200</v>
      </c>
      <c r="I16" s="428">
        <f t="shared" si="6"/>
        <v>44200</v>
      </c>
      <c r="J16" s="144">
        <f t="shared" ref="J16:J19" si="7">I16-H16</f>
        <v>0</v>
      </c>
      <c r="K16" s="192" t="s">
        <v>84</v>
      </c>
      <c r="L16" s="194">
        <v>639000</v>
      </c>
      <c r="M16" s="194">
        <v>0</v>
      </c>
      <c r="N16" s="194">
        <v>652500</v>
      </c>
      <c r="O16" s="194">
        <v>0</v>
      </c>
    </row>
    <row r="17" spans="1:15" ht="16.5">
      <c r="A17" s="205" t="str">
        <f>+K17</f>
        <v>Perrine</v>
      </c>
      <c r="B17" s="206" t="s">
        <v>19</v>
      </c>
      <c r="C17" s="207">
        <f>+[2]Récapitulatif!$I$17</f>
        <v>-32081.000729999971</v>
      </c>
      <c r="D17" s="208">
        <f t="shared" si="4"/>
        <v>0</v>
      </c>
      <c r="E17" s="208">
        <f t="shared" si="5"/>
        <v>819628</v>
      </c>
      <c r="F17" s="208">
        <f>+M17</f>
        <v>0</v>
      </c>
      <c r="G17" s="208">
        <f t="shared" si="0"/>
        <v>0</v>
      </c>
      <c r="H17" s="428">
        <f>+[11]Feuil1!$G$949</f>
        <v>-851709.00072999997</v>
      </c>
      <c r="I17" s="428">
        <f t="shared" si="6"/>
        <v>-851709.00072999997</v>
      </c>
      <c r="J17" s="144">
        <f t="shared" si="7"/>
        <v>0</v>
      </c>
      <c r="K17" s="192" t="s">
        <v>186</v>
      </c>
      <c r="L17" s="194">
        <v>0</v>
      </c>
      <c r="M17" s="194">
        <v>0</v>
      </c>
      <c r="N17" s="194">
        <v>819628</v>
      </c>
      <c r="O17" s="194">
        <v>0</v>
      </c>
    </row>
    <row r="18" spans="1:15" ht="16.5">
      <c r="A18" s="205" t="str">
        <f>K18</f>
        <v>T44</v>
      </c>
      <c r="B18" s="206" t="s">
        <v>31</v>
      </c>
      <c r="C18" s="207">
        <f>+[2]Récapitulatif!$I$18</f>
        <v>62000</v>
      </c>
      <c r="D18" s="208">
        <f t="shared" si="4"/>
        <v>622600</v>
      </c>
      <c r="E18" s="208">
        <f t="shared" si="5"/>
        <v>594300</v>
      </c>
      <c r="F18" s="208">
        <f t="shared" si="3"/>
        <v>0</v>
      </c>
      <c r="G18" s="208">
        <f t="shared" si="0"/>
        <v>0</v>
      </c>
      <c r="H18" s="428">
        <f>+'[12]Compta RINES'!$G$80</f>
        <v>90300</v>
      </c>
      <c r="I18" s="428">
        <f t="shared" si="6"/>
        <v>90300</v>
      </c>
      <c r="J18" s="144">
        <f t="shared" si="7"/>
        <v>0</v>
      </c>
      <c r="K18" s="192" t="s">
        <v>200</v>
      </c>
      <c r="L18" s="194">
        <v>622600</v>
      </c>
      <c r="M18" s="194">
        <v>0</v>
      </c>
      <c r="N18" s="194">
        <v>594300</v>
      </c>
      <c r="O18" s="194">
        <v>0</v>
      </c>
    </row>
    <row r="19" spans="1:15" ht="16.5">
      <c r="A19" s="404" t="str">
        <f>K19</f>
        <v>Ted</v>
      </c>
      <c r="B19" s="405" t="s">
        <v>19</v>
      </c>
      <c r="C19" s="406">
        <f>+[2]Récapitulatif!$I$19</f>
        <v>4300</v>
      </c>
      <c r="D19" s="208">
        <f t="shared" si="4"/>
        <v>0</v>
      </c>
      <c r="E19" s="208">
        <f t="shared" si="5"/>
        <v>4000</v>
      </c>
      <c r="F19" s="208">
        <f t="shared" si="3"/>
        <v>0</v>
      </c>
      <c r="G19" s="208">
        <f t="shared" si="0"/>
        <v>0</v>
      </c>
      <c r="H19" s="430">
        <f>+'[13]compta ted'!$G$21</f>
        <v>300</v>
      </c>
      <c r="I19" s="428">
        <f t="shared" si="6"/>
        <v>300</v>
      </c>
      <c r="J19" s="144">
        <f t="shared" si="7"/>
        <v>0</v>
      </c>
      <c r="K19" s="402" t="s">
        <v>88</v>
      </c>
      <c r="L19" s="403">
        <v>0</v>
      </c>
      <c r="M19" s="403">
        <v>0</v>
      </c>
      <c r="N19" s="403">
        <v>4000</v>
      </c>
      <c r="O19" s="403">
        <v>0</v>
      </c>
    </row>
    <row r="20" spans="1:15" ht="16.5">
      <c r="A20" s="145" t="s">
        <v>121</v>
      </c>
      <c r="B20" s="146"/>
      <c r="C20" s="147">
        <f>SUM(C3:C19)</f>
        <v>14101750.99927</v>
      </c>
      <c r="D20" s="204">
        <f>SUM(D3:D19)</f>
        <v>9703200</v>
      </c>
      <c r="E20" s="204">
        <f t="shared" ref="E20:H20" si="8">SUM(E3:E19)</f>
        <v>12539304</v>
      </c>
      <c r="F20" s="204">
        <f t="shared" si="8"/>
        <v>9703200</v>
      </c>
      <c r="G20" s="204">
        <f t="shared" si="8"/>
        <v>15435980</v>
      </c>
      <c r="H20" s="204">
        <f t="shared" si="8"/>
        <v>16998426.99927</v>
      </c>
      <c r="I20" s="204">
        <f>SUM(I3:I19)</f>
        <v>16998426.99927</v>
      </c>
      <c r="J20" s="144">
        <f>I20-H20</f>
        <v>0</v>
      </c>
      <c r="L20" s="193">
        <v>9703200</v>
      </c>
      <c r="M20" s="193">
        <v>9703200</v>
      </c>
      <c r="N20" s="193">
        <v>12539304</v>
      </c>
      <c r="O20" s="193">
        <v>15435980</v>
      </c>
    </row>
    <row r="21" spans="1:15" ht="16.5">
      <c r="A21" s="145"/>
      <c r="B21" s="146"/>
      <c r="C21" s="147"/>
      <c r="D21" s="148"/>
      <c r="E21" s="147"/>
      <c r="F21" s="148"/>
      <c r="G21" s="147"/>
      <c r="H21" s="147"/>
      <c r="I21" s="447" t="b">
        <f>I20=D23</f>
        <v>1</v>
      </c>
      <c r="L21" s="140"/>
      <c r="M21" s="140"/>
      <c r="N21" s="140"/>
      <c r="O21" s="140"/>
    </row>
    <row r="22" spans="1:15" ht="16.5">
      <c r="A22" s="145" t="s">
        <v>419</v>
      </c>
      <c r="B22" s="146" t="s">
        <v>420</v>
      </c>
      <c r="C22" s="147" t="s">
        <v>421</v>
      </c>
      <c r="D22" s="147" t="s">
        <v>422</v>
      </c>
      <c r="E22" s="147" t="s">
        <v>122</v>
      </c>
      <c r="F22" s="147"/>
      <c r="G22" s="147">
        <f>+D20-F20</f>
        <v>0</v>
      </c>
      <c r="H22" s="147"/>
      <c r="I22" s="147"/>
    </row>
    <row r="23" spans="1:15" ht="16.5">
      <c r="A23" s="149">
        <f>C20</f>
        <v>14101750.99927</v>
      </c>
      <c r="B23" s="150">
        <f>G20</f>
        <v>15435980</v>
      </c>
      <c r="C23" s="147">
        <f>E20</f>
        <v>12539304</v>
      </c>
      <c r="D23" s="147">
        <f>A23+B23-C23</f>
        <v>16998426.99927</v>
      </c>
      <c r="E23" s="148">
        <f>I20-D23</f>
        <v>0</v>
      </c>
      <c r="F23" s="147"/>
      <c r="G23" s="147"/>
      <c r="H23" s="147"/>
      <c r="I23" s="147"/>
    </row>
    <row r="24" spans="1:15" ht="16.5">
      <c r="A24" s="149"/>
      <c r="B24" s="150"/>
      <c r="C24" s="147"/>
      <c r="D24" s="147"/>
      <c r="E24" s="148"/>
      <c r="F24" s="147"/>
      <c r="G24" s="147"/>
      <c r="H24" s="147"/>
      <c r="I24" s="147"/>
    </row>
    <row r="25" spans="1:15">
      <c r="A25" s="151" t="s">
        <v>123</v>
      </c>
      <c r="B25" s="151"/>
      <c r="C25" s="151"/>
      <c r="D25" s="152"/>
      <c r="E25" s="152"/>
      <c r="F25" s="152"/>
      <c r="G25" s="152"/>
      <c r="H25" s="152"/>
      <c r="I25" s="152"/>
    </row>
    <row r="26" spans="1:15">
      <c r="A26" s="153" t="s">
        <v>416</v>
      </c>
      <c r="B26" s="153"/>
      <c r="C26" s="153"/>
      <c r="D26" s="153"/>
      <c r="E26" s="153"/>
      <c r="F26" s="153"/>
      <c r="G26" s="153"/>
      <c r="H26" s="153"/>
      <c r="I26" s="153"/>
      <c r="J26" s="152"/>
    </row>
    <row r="27" spans="1:15">
      <c r="A27" s="154"/>
      <c r="B27" s="155"/>
      <c r="C27" s="156"/>
      <c r="D27" s="156"/>
      <c r="E27" s="156"/>
      <c r="F27" s="156"/>
      <c r="G27" s="156"/>
      <c r="H27" s="155"/>
      <c r="I27" s="155"/>
      <c r="J27" s="153"/>
    </row>
    <row r="28" spans="1:15">
      <c r="A28" s="563" t="s">
        <v>124</v>
      </c>
      <c r="B28" s="565" t="s">
        <v>125</v>
      </c>
      <c r="C28" s="567" t="s">
        <v>417</v>
      </c>
      <c r="D28" s="569" t="s">
        <v>126</v>
      </c>
      <c r="E28" s="570"/>
      <c r="F28" s="570"/>
      <c r="G28" s="571"/>
      <c r="H28" s="572" t="s">
        <v>127</v>
      </c>
      <c r="I28" s="559" t="s">
        <v>128</v>
      </c>
      <c r="J28" s="155"/>
    </row>
    <row r="29" spans="1:15">
      <c r="A29" s="564"/>
      <c r="B29" s="566"/>
      <c r="C29" s="568"/>
      <c r="D29" s="157" t="s">
        <v>72</v>
      </c>
      <c r="E29" s="157" t="s">
        <v>78</v>
      </c>
      <c r="F29" s="466" t="s">
        <v>445</v>
      </c>
      <c r="G29" s="157" t="s">
        <v>129</v>
      </c>
      <c r="H29" s="573"/>
      <c r="I29" s="560"/>
      <c r="J29" s="561" t="s">
        <v>418</v>
      </c>
    </row>
    <row r="30" spans="1:15">
      <c r="A30" s="159"/>
      <c r="B30" s="160" t="s">
        <v>130</v>
      </c>
      <c r="C30" s="161"/>
      <c r="D30" s="161"/>
      <c r="E30" s="161"/>
      <c r="F30" s="161"/>
      <c r="G30" s="161"/>
      <c r="H30" s="161"/>
      <c r="I30" s="162"/>
      <c r="J30" s="562"/>
    </row>
    <row r="31" spans="1:15">
      <c r="A31" s="414" t="s">
        <v>415</v>
      </c>
      <c r="B31" s="419" t="s">
        <v>149</v>
      </c>
      <c r="C31" s="168">
        <f>+C6</f>
        <v>-11330</v>
      </c>
      <c r="D31" s="167"/>
      <c r="E31" s="168">
        <v>201400</v>
      </c>
      <c r="F31" s="168">
        <v>184300</v>
      </c>
      <c r="G31" s="168"/>
      <c r="H31" s="202"/>
      <c r="I31" s="168">
        <v>370700</v>
      </c>
      <c r="J31" s="166">
        <f>+SUM(C31:G31)-(H31+I31)</f>
        <v>3670</v>
      </c>
      <c r="K31" s="216" t="b">
        <f>+J31=I6</f>
        <v>1</v>
      </c>
    </row>
    <row r="32" spans="1:15">
      <c r="A32" s="414" t="s">
        <v>415</v>
      </c>
      <c r="B32" s="419" t="s">
        <v>118</v>
      </c>
      <c r="C32" s="168">
        <f>+C7</f>
        <v>8260</v>
      </c>
      <c r="D32" s="167"/>
      <c r="E32" s="168">
        <v>357900</v>
      </c>
      <c r="F32" s="168"/>
      <c r="G32" s="168"/>
      <c r="H32" s="202">
        <v>50000</v>
      </c>
      <c r="I32" s="168">
        <v>316700</v>
      </c>
      <c r="J32" s="166">
        <f t="shared" ref="J32:J33" si="9">+SUM(C32:G32)-(H32+I32)</f>
        <v>-540</v>
      </c>
      <c r="K32" s="216" t="b">
        <f t="shared" ref="K32:K44" si="10">J32=I7</f>
        <v>1</v>
      </c>
    </row>
    <row r="33" spans="1:11">
      <c r="A33" s="414" t="s">
        <v>415</v>
      </c>
      <c r="B33" s="419" t="s">
        <v>87</v>
      </c>
      <c r="C33" s="168">
        <f t="shared" ref="C33:C43" si="11">+C8</f>
        <v>3795</v>
      </c>
      <c r="D33" s="167"/>
      <c r="E33" s="168">
        <v>20000</v>
      </c>
      <c r="F33" s="168"/>
      <c r="G33" s="168"/>
      <c r="H33" s="168"/>
      <c r="I33" s="168">
        <v>21400</v>
      </c>
      <c r="J33" s="298">
        <f t="shared" si="9"/>
        <v>2395</v>
      </c>
      <c r="K33" s="216" t="b">
        <f t="shared" si="10"/>
        <v>1</v>
      </c>
    </row>
    <row r="34" spans="1:11">
      <c r="A34" s="414" t="s">
        <v>415</v>
      </c>
      <c r="B34" s="419" t="s">
        <v>150</v>
      </c>
      <c r="C34" s="168">
        <f t="shared" si="11"/>
        <v>-83100</v>
      </c>
      <c r="D34" s="307"/>
      <c r="E34" s="168">
        <v>699200</v>
      </c>
      <c r="F34" s="168"/>
      <c r="G34" s="168"/>
      <c r="H34" s="168"/>
      <c r="I34" s="168">
        <v>520000</v>
      </c>
      <c r="J34" s="298">
        <f>+SUM(C34:G34)-(H34+I34)</f>
        <v>96100</v>
      </c>
      <c r="K34" s="216" t="b">
        <f t="shared" si="10"/>
        <v>1</v>
      </c>
    </row>
    <row r="35" spans="1:11">
      <c r="A35" s="414" t="s">
        <v>415</v>
      </c>
      <c r="B35" s="419" t="s">
        <v>141</v>
      </c>
      <c r="C35" s="168">
        <f t="shared" si="11"/>
        <v>1784</v>
      </c>
      <c r="D35" s="307"/>
      <c r="E35" s="168">
        <v>568600</v>
      </c>
      <c r="F35" s="168">
        <v>50000</v>
      </c>
      <c r="G35" s="168"/>
      <c r="H35" s="168">
        <v>184300</v>
      </c>
      <c r="I35" s="168">
        <v>422200</v>
      </c>
      <c r="J35" s="298">
        <f t="shared" ref="J35" si="12">+SUM(C35:G35)-(H35+I35)</f>
        <v>13884</v>
      </c>
      <c r="K35" s="216" t="b">
        <f t="shared" si="10"/>
        <v>1</v>
      </c>
    </row>
    <row r="36" spans="1:11">
      <c r="A36" s="414" t="s">
        <v>415</v>
      </c>
      <c r="B36" s="420" t="s">
        <v>86</v>
      </c>
      <c r="C36" s="168">
        <f t="shared" si="11"/>
        <v>88800</v>
      </c>
      <c r="D36" s="411"/>
      <c r="E36" s="198">
        <v>694600</v>
      </c>
      <c r="F36" s="198"/>
      <c r="G36" s="198"/>
      <c r="H36" s="198"/>
      <c r="I36" s="198">
        <v>711000</v>
      </c>
      <c r="J36" s="416">
        <f>+SUM(C36:G36)-(H36+I36)</f>
        <v>72400</v>
      </c>
      <c r="K36" s="216" t="b">
        <f t="shared" si="10"/>
        <v>1</v>
      </c>
    </row>
    <row r="37" spans="1:11">
      <c r="A37" s="414" t="s">
        <v>415</v>
      </c>
      <c r="B37" s="421" t="s">
        <v>158</v>
      </c>
      <c r="C37" s="412">
        <f t="shared" si="11"/>
        <v>233614</v>
      </c>
      <c r="D37" s="415"/>
      <c r="E37" s="450"/>
      <c r="F37" s="450"/>
      <c r="G37" s="450"/>
      <c r="H37" s="450"/>
      <c r="I37" s="450"/>
      <c r="J37" s="413">
        <f>+SUM(C37:G37)-(H37+I37)</f>
        <v>233614</v>
      </c>
      <c r="K37" s="216" t="b">
        <f t="shared" si="10"/>
        <v>1</v>
      </c>
    </row>
    <row r="38" spans="1:11">
      <c r="A38" s="414" t="s">
        <v>415</v>
      </c>
      <c r="B38" s="421" t="s">
        <v>157</v>
      </c>
      <c r="C38" s="412">
        <f t="shared" si="11"/>
        <v>249769</v>
      </c>
      <c r="D38" s="415"/>
      <c r="E38" s="450"/>
      <c r="F38" s="450"/>
      <c r="G38" s="450"/>
      <c r="H38" s="450"/>
      <c r="I38" s="450"/>
      <c r="J38" s="413">
        <f t="shared" ref="J38:J42" si="13">+SUM(C38:G38)-(H38+I38)</f>
        <v>249769</v>
      </c>
      <c r="K38" s="216" t="b">
        <f t="shared" si="10"/>
        <v>1</v>
      </c>
    </row>
    <row r="39" spans="1:11">
      <c r="A39" s="414" t="s">
        <v>415</v>
      </c>
      <c r="B39" s="419" t="s">
        <v>96</v>
      </c>
      <c r="C39" s="168">
        <f t="shared" si="11"/>
        <v>7890</v>
      </c>
      <c r="D39" s="167"/>
      <c r="E39" s="168">
        <v>135600</v>
      </c>
      <c r="F39" s="307"/>
      <c r="G39" s="307"/>
      <c r="H39" s="307"/>
      <c r="I39" s="168">
        <v>125000</v>
      </c>
      <c r="J39" s="166">
        <f t="shared" si="13"/>
        <v>18490</v>
      </c>
      <c r="K39" s="216" t="b">
        <f t="shared" si="10"/>
        <v>1</v>
      </c>
    </row>
    <row r="40" spans="1:11">
      <c r="A40" s="414" t="s">
        <v>415</v>
      </c>
      <c r="B40" s="419" t="s">
        <v>177</v>
      </c>
      <c r="C40" s="168">
        <f t="shared" si="11"/>
        <v>5000</v>
      </c>
      <c r="D40" s="167"/>
      <c r="E40" s="168">
        <v>30000</v>
      </c>
      <c r="F40" s="307"/>
      <c r="G40" s="307"/>
      <c r="H40" s="307"/>
      <c r="I40" s="168">
        <v>30500</v>
      </c>
      <c r="J40" s="166">
        <f t="shared" si="13"/>
        <v>4500</v>
      </c>
      <c r="K40" s="216" t="b">
        <f t="shared" si="10"/>
        <v>1</v>
      </c>
    </row>
    <row r="41" spans="1:11">
      <c r="A41" s="414" t="s">
        <v>415</v>
      </c>
      <c r="B41" s="419" t="s">
        <v>84</v>
      </c>
      <c r="C41" s="168">
        <f t="shared" si="11"/>
        <v>57700</v>
      </c>
      <c r="D41" s="167"/>
      <c r="E41" s="168">
        <v>639000</v>
      </c>
      <c r="F41" s="307"/>
      <c r="G41" s="307"/>
      <c r="H41" s="307"/>
      <c r="I41" s="168">
        <v>652500</v>
      </c>
      <c r="J41" s="166">
        <f t="shared" si="13"/>
        <v>44200</v>
      </c>
      <c r="K41" s="216" t="b">
        <f t="shared" si="10"/>
        <v>1</v>
      </c>
    </row>
    <row r="42" spans="1:11">
      <c r="A42" s="414" t="s">
        <v>415</v>
      </c>
      <c r="B42" s="419" t="s">
        <v>186</v>
      </c>
      <c r="C42" s="168">
        <f t="shared" si="11"/>
        <v>-32081.000729999971</v>
      </c>
      <c r="D42" s="167"/>
      <c r="E42" s="307"/>
      <c r="F42" s="307"/>
      <c r="G42" s="307"/>
      <c r="H42" s="307"/>
      <c r="I42" s="168">
        <v>819628</v>
      </c>
      <c r="J42" s="166">
        <f t="shared" si="13"/>
        <v>-851709.00072999997</v>
      </c>
      <c r="K42" s="216" t="b">
        <f t="shared" si="10"/>
        <v>1</v>
      </c>
    </row>
    <row r="43" spans="1:11">
      <c r="A43" s="414" t="s">
        <v>415</v>
      </c>
      <c r="B43" s="419" t="s">
        <v>200</v>
      </c>
      <c r="C43" s="168">
        <f t="shared" si="11"/>
        <v>62000</v>
      </c>
      <c r="D43" s="167"/>
      <c r="E43" s="168">
        <v>622600</v>
      </c>
      <c r="F43" s="307"/>
      <c r="G43" s="307"/>
      <c r="H43" s="307"/>
      <c r="I43" s="168">
        <v>594300</v>
      </c>
      <c r="J43" s="166">
        <f>+SUM(C43:G43)-(H43+I43)</f>
        <v>90300</v>
      </c>
      <c r="K43" s="216" t="b">
        <f t="shared" si="10"/>
        <v>1</v>
      </c>
    </row>
    <row r="44" spans="1:11">
      <c r="A44" s="414" t="s">
        <v>415</v>
      </c>
      <c r="B44" s="420" t="s">
        <v>88</v>
      </c>
      <c r="C44" s="168">
        <f>+C19</f>
        <v>4300</v>
      </c>
      <c r="D44" s="411"/>
      <c r="E44" s="449"/>
      <c r="F44" s="449"/>
      <c r="G44" s="451"/>
      <c r="H44" s="449"/>
      <c r="I44" s="198">
        <v>4000</v>
      </c>
      <c r="J44" s="166">
        <f t="shared" ref="J44" si="14">+SUM(C44:G44)-(H44+I44)</f>
        <v>300</v>
      </c>
      <c r="K44" s="216" t="b">
        <f t="shared" si="10"/>
        <v>1</v>
      </c>
    </row>
    <row r="45" spans="1:11">
      <c r="A45" s="170" t="s">
        <v>131</v>
      </c>
      <c r="B45" s="171"/>
      <c r="C45" s="171"/>
      <c r="D45" s="171"/>
      <c r="E45" s="171"/>
      <c r="F45" s="171"/>
      <c r="G45" s="171"/>
      <c r="H45" s="171"/>
      <c r="I45" s="171"/>
      <c r="J45" s="172"/>
      <c r="K45" s="216"/>
    </row>
    <row r="46" spans="1:11">
      <c r="A46" s="414" t="s">
        <v>415</v>
      </c>
      <c r="B46" s="173" t="s">
        <v>132</v>
      </c>
      <c r="C46" s="174">
        <f>+C5</f>
        <v>62150</v>
      </c>
      <c r="D46" s="196">
        <v>5500000</v>
      </c>
      <c r="E46" s="306"/>
      <c r="F46" s="306"/>
      <c r="G46" s="452"/>
      <c r="H46" s="423">
        <v>3968900</v>
      </c>
      <c r="I46" s="418">
        <v>1276534</v>
      </c>
      <c r="J46" s="181">
        <f>+SUM(C46:G46)-(H46+I46)</f>
        <v>316716</v>
      </c>
      <c r="K46" s="216" t="b">
        <f>J46=I5</f>
        <v>1</v>
      </c>
    </row>
    <row r="47" spans="1:11">
      <c r="A47" s="179" t="s">
        <v>133</v>
      </c>
      <c r="B47" s="160"/>
      <c r="C47" s="171"/>
      <c r="D47" s="160"/>
      <c r="E47" s="160"/>
      <c r="F47" s="160"/>
      <c r="G47" s="160"/>
      <c r="H47" s="160"/>
      <c r="I47" s="160"/>
      <c r="J47" s="172"/>
    </row>
    <row r="48" spans="1:11">
      <c r="A48" s="414" t="s">
        <v>415</v>
      </c>
      <c r="B48" s="173" t="s">
        <v>134</v>
      </c>
      <c r="C48" s="417">
        <f>+C3</f>
        <v>11284555</v>
      </c>
      <c r="D48" s="424"/>
      <c r="E48" s="196"/>
      <c r="F48" s="196"/>
      <c r="G48" s="196"/>
      <c r="H48" s="198">
        <v>5500000</v>
      </c>
      <c r="I48" s="200">
        <v>273881</v>
      </c>
      <c r="J48" s="181">
        <f>+SUM(C48:G48)-(H48+I48)</f>
        <v>5510674</v>
      </c>
      <c r="K48" s="216" t="b">
        <f>J48=I3</f>
        <v>1</v>
      </c>
    </row>
    <row r="49" spans="1:11">
      <c r="A49" s="414" t="s">
        <v>415</v>
      </c>
      <c r="B49" s="173" t="s">
        <v>135</v>
      </c>
      <c r="C49" s="417">
        <f>+C4</f>
        <v>2158645</v>
      </c>
      <c r="D49" s="196">
        <v>15435980</v>
      </c>
      <c r="E49" s="195"/>
      <c r="F49" s="195"/>
      <c r="G49" s="195"/>
      <c r="H49" s="168"/>
      <c r="I49" s="197">
        <v>6400961</v>
      </c>
      <c r="J49" s="181">
        <f>SUM(C49:G49)-(H49+I49)</f>
        <v>11193664</v>
      </c>
      <c r="K49" s="216" t="b">
        <f>J49=I4</f>
        <v>1</v>
      </c>
    </row>
    <row r="50" spans="1:11" ht="15.75">
      <c r="C50" s="501">
        <f>SUM(C31:C49)</f>
        <v>14101750.99927</v>
      </c>
      <c r="I50" s="454">
        <f>SUM(I31:I49)</f>
        <v>12539304</v>
      </c>
      <c r="J50" s="311">
        <f>+SUM(J31:J49)</f>
        <v>16998426.99927</v>
      </c>
    </row>
    <row r="51" spans="1:11" ht="16.5">
      <c r="A51" s="145"/>
      <c r="B51" s="146"/>
      <c r="C51" s="147"/>
      <c r="D51" s="147"/>
      <c r="E51" s="147"/>
      <c r="F51" s="147"/>
      <c r="G51" s="147"/>
      <c r="H51" s="147"/>
      <c r="I51" s="147"/>
      <c r="J51" s="425" t="b">
        <f>J50=I20</f>
        <v>1</v>
      </c>
    </row>
    <row r="52" spans="1:11" ht="16.5">
      <c r="A52" s="149"/>
      <c r="B52" s="150"/>
      <c r="C52" s="147"/>
      <c r="D52" s="147"/>
      <c r="E52" s="148"/>
      <c r="F52" s="147"/>
      <c r="G52" s="147"/>
      <c r="H52" s="147"/>
      <c r="I52" s="147"/>
    </row>
    <row r="53" spans="1:11">
      <c r="A53" s="151" t="s">
        <v>123</v>
      </c>
      <c r="B53" s="151"/>
      <c r="C53" s="151"/>
      <c r="D53" s="152"/>
      <c r="E53" s="152"/>
      <c r="F53" s="152"/>
      <c r="G53" s="152"/>
      <c r="H53" s="152"/>
      <c r="I53" s="152"/>
    </row>
    <row r="54" spans="1:11">
      <c r="A54" s="153" t="s">
        <v>214</v>
      </c>
      <c r="B54" s="153"/>
      <c r="C54" s="153"/>
      <c r="D54" s="153"/>
      <c r="E54" s="153"/>
      <c r="F54" s="153"/>
      <c r="G54" s="153"/>
      <c r="H54" s="153"/>
      <c r="I54" s="153"/>
      <c r="J54" s="152"/>
    </row>
    <row r="55" spans="1:11">
      <c r="A55" s="154"/>
      <c r="B55" s="155"/>
      <c r="C55" s="156"/>
      <c r="D55" s="156"/>
      <c r="E55" s="156"/>
      <c r="F55" s="156"/>
      <c r="G55" s="156"/>
      <c r="H55" s="155"/>
      <c r="I55" s="155"/>
      <c r="J55" s="153"/>
    </row>
    <row r="56" spans="1:11">
      <c r="A56" s="563" t="s">
        <v>124</v>
      </c>
      <c r="B56" s="565" t="s">
        <v>125</v>
      </c>
      <c r="C56" s="567" t="s">
        <v>212</v>
      </c>
      <c r="D56" s="569" t="s">
        <v>126</v>
      </c>
      <c r="E56" s="570"/>
      <c r="F56" s="570"/>
      <c r="G56" s="571"/>
      <c r="H56" s="572" t="s">
        <v>127</v>
      </c>
      <c r="I56" s="559" t="s">
        <v>128</v>
      </c>
      <c r="J56" s="155"/>
    </row>
    <row r="57" spans="1:11">
      <c r="A57" s="564"/>
      <c r="B57" s="566"/>
      <c r="C57" s="568"/>
      <c r="D57" s="157" t="s">
        <v>72</v>
      </c>
      <c r="E57" s="157" t="s">
        <v>78</v>
      </c>
      <c r="F57" s="432" t="s">
        <v>219</v>
      </c>
      <c r="G57" s="157" t="s">
        <v>129</v>
      </c>
      <c r="H57" s="573"/>
      <c r="I57" s="560"/>
      <c r="J57" s="561" t="s">
        <v>213</v>
      </c>
    </row>
    <row r="58" spans="1:11">
      <c r="A58" s="159"/>
      <c r="B58" s="160" t="s">
        <v>130</v>
      </c>
      <c r="C58" s="161"/>
      <c r="D58" s="161"/>
      <c r="E58" s="161"/>
      <c r="F58" s="161"/>
      <c r="G58" s="161"/>
      <c r="H58" s="161"/>
      <c r="I58" s="162"/>
      <c r="J58" s="562"/>
    </row>
    <row r="59" spans="1:11">
      <c r="A59" s="414" t="s">
        <v>211</v>
      </c>
      <c r="B59" s="419" t="s">
        <v>149</v>
      </c>
      <c r="C59" s="168">
        <v>22200</v>
      </c>
      <c r="D59" s="167"/>
      <c r="E59" s="168">
        <v>439970</v>
      </c>
      <c r="F59" s="307"/>
      <c r="G59" s="307"/>
      <c r="H59" s="448"/>
      <c r="I59" s="168">
        <v>473500</v>
      </c>
      <c r="J59" s="166">
        <f>+SUM(C59:G59)-(H59+I59)</f>
        <v>-11330</v>
      </c>
      <c r="K59" s="216"/>
    </row>
    <row r="60" spans="1:11">
      <c r="A60" s="414" t="s">
        <v>211</v>
      </c>
      <c r="B60" s="419" t="s">
        <v>118</v>
      </c>
      <c r="C60" s="168">
        <v>3060</v>
      </c>
      <c r="D60" s="167"/>
      <c r="E60" s="168">
        <v>157200</v>
      </c>
      <c r="F60" s="168"/>
      <c r="G60" s="168"/>
      <c r="H60" s="202"/>
      <c r="I60" s="168">
        <v>152000</v>
      </c>
      <c r="J60" s="166">
        <f t="shared" ref="J60:J61" si="15">+SUM(C60:G60)-(H60+I60)</f>
        <v>8260</v>
      </c>
      <c r="K60" s="216"/>
    </row>
    <row r="61" spans="1:11">
      <c r="A61" s="414" t="s">
        <v>211</v>
      </c>
      <c r="B61" s="419" t="s">
        <v>87</v>
      </c>
      <c r="C61" s="168">
        <v>3795</v>
      </c>
      <c r="D61" s="167"/>
      <c r="E61" s="168">
        <v>45000</v>
      </c>
      <c r="F61" s="168"/>
      <c r="G61" s="168"/>
      <c r="H61" s="168"/>
      <c r="I61" s="168">
        <v>45000</v>
      </c>
      <c r="J61" s="298">
        <f t="shared" si="15"/>
        <v>3795</v>
      </c>
      <c r="K61" s="216"/>
    </row>
    <row r="62" spans="1:11">
      <c r="A62" s="414" t="s">
        <v>211</v>
      </c>
      <c r="B62" s="419" t="s">
        <v>150</v>
      </c>
      <c r="C62" s="168">
        <v>2300</v>
      </c>
      <c r="D62" s="307"/>
      <c r="E62" s="168">
        <v>266600</v>
      </c>
      <c r="F62" s="168">
        <v>159900</v>
      </c>
      <c r="G62" s="168"/>
      <c r="H62" s="168">
        <v>25000</v>
      </c>
      <c r="I62" s="168">
        <v>486900</v>
      </c>
      <c r="J62" s="298">
        <f>+SUM(C62:G62)-(H62+I62)</f>
        <v>-83100</v>
      </c>
      <c r="K62" s="216"/>
    </row>
    <row r="63" spans="1:11">
      <c r="A63" s="414" t="s">
        <v>211</v>
      </c>
      <c r="B63" s="419" t="s">
        <v>141</v>
      </c>
      <c r="C63" s="168">
        <v>-14216</v>
      </c>
      <c r="D63" s="307"/>
      <c r="E63" s="168">
        <v>622600</v>
      </c>
      <c r="F63" s="168">
        <v>25000</v>
      </c>
      <c r="G63" s="168"/>
      <c r="H63" s="168">
        <v>260700</v>
      </c>
      <c r="I63" s="168">
        <v>370900</v>
      </c>
      <c r="J63" s="298">
        <f>+SUM(C63:G63)-(H63+I63)</f>
        <v>1784</v>
      </c>
      <c r="K63" s="216"/>
    </row>
    <row r="64" spans="1:11">
      <c r="A64" s="414" t="s">
        <v>211</v>
      </c>
      <c r="B64" s="420" t="s">
        <v>86</v>
      </c>
      <c r="C64" s="198">
        <v>143300</v>
      </c>
      <c r="D64" s="411"/>
      <c r="E64" s="198">
        <v>466500</v>
      </c>
      <c r="F64" s="449"/>
      <c r="G64" s="449"/>
      <c r="H64" s="449"/>
      <c r="I64" s="198">
        <v>521000</v>
      </c>
      <c r="J64" s="416">
        <f>+SUM(C64:G64)-(H64+I64)</f>
        <v>88800</v>
      </c>
      <c r="K64" s="216"/>
    </row>
    <row r="65" spans="1:11">
      <c r="A65" s="414" t="s">
        <v>211</v>
      </c>
      <c r="B65" s="421" t="s">
        <v>158</v>
      </c>
      <c r="C65" s="412">
        <v>233614</v>
      </c>
      <c r="D65" s="415"/>
      <c r="E65" s="450"/>
      <c r="F65" s="450"/>
      <c r="G65" s="450"/>
      <c r="H65" s="450"/>
      <c r="I65" s="450"/>
      <c r="J65" s="413">
        <f>+SUM(C65:G65)-(H65+I65)</f>
        <v>233614</v>
      </c>
      <c r="K65" s="216"/>
    </row>
    <row r="66" spans="1:11">
      <c r="A66" s="414" t="s">
        <v>211</v>
      </c>
      <c r="B66" s="421" t="s">
        <v>157</v>
      </c>
      <c r="C66" s="412">
        <v>249768</v>
      </c>
      <c r="D66" s="415"/>
      <c r="E66" s="450"/>
      <c r="F66" s="450"/>
      <c r="G66" s="450"/>
      <c r="H66" s="450"/>
      <c r="I66" s="450"/>
      <c r="J66" s="413">
        <f t="shared" ref="J66:J72" si="16">+SUM(C66:G66)-(H66+I66)</f>
        <v>249768</v>
      </c>
      <c r="K66" s="216"/>
    </row>
    <row r="67" spans="1:11">
      <c r="A67" s="414" t="s">
        <v>211</v>
      </c>
      <c r="B67" s="419" t="s">
        <v>96</v>
      </c>
      <c r="C67" s="168">
        <v>55090</v>
      </c>
      <c r="D67" s="167"/>
      <c r="E67" s="168">
        <v>143000</v>
      </c>
      <c r="F67" s="168">
        <v>70800</v>
      </c>
      <c r="G67" s="307"/>
      <c r="H67" s="307"/>
      <c r="I67" s="168">
        <v>261000</v>
      </c>
      <c r="J67" s="166">
        <f t="shared" si="16"/>
        <v>7890</v>
      </c>
      <c r="K67" s="216"/>
    </row>
    <row r="68" spans="1:11">
      <c r="A68" s="414" t="s">
        <v>211</v>
      </c>
      <c r="B68" s="419" t="s">
        <v>177</v>
      </c>
      <c r="C68" s="168">
        <v>0</v>
      </c>
      <c r="D68" s="167"/>
      <c r="E68" s="168">
        <v>30000</v>
      </c>
      <c r="F68" s="307"/>
      <c r="G68" s="307"/>
      <c r="H68" s="307"/>
      <c r="I68" s="168">
        <v>25000</v>
      </c>
      <c r="J68" s="166">
        <f t="shared" si="16"/>
        <v>5000</v>
      </c>
      <c r="K68" s="216"/>
    </row>
    <row r="69" spans="1:11">
      <c r="A69" s="414" t="s">
        <v>211</v>
      </c>
      <c r="B69" s="419" t="s">
        <v>84</v>
      </c>
      <c r="C69" s="168">
        <v>110700</v>
      </c>
      <c r="D69" s="167"/>
      <c r="E69" s="168">
        <v>375000</v>
      </c>
      <c r="F69" s="168">
        <v>30000</v>
      </c>
      <c r="G69" s="307"/>
      <c r="H69" s="307"/>
      <c r="I69" s="168">
        <v>458000</v>
      </c>
      <c r="J69" s="166">
        <f t="shared" si="16"/>
        <v>57700</v>
      </c>
      <c r="K69" s="216"/>
    </row>
    <row r="70" spans="1:11">
      <c r="A70" s="414" t="s">
        <v>211</v>
      </c>
      <c r="B70" s="419" t="s">
        <v>186</v>
      </c>
      <c r="C70" s="168">
        <v>-32081</v>
      </c>
      <c r="D70" s="167"/>
      <c r="E70" s="307">
        <v>0</v>
      </c>
      <c r="F70" s="307"/>
      <c r="G70" s="307"/>
      <c r="H70" s="307"/>
      <c r="I70" s="307">
        <v>0</v>
      </c>
      <c r="J70" s="166">
        <f t="shared" si="16"/>
        <v>-32081</v>
      </c>
      <c r="K70" s="216"/>
    </row>
    <row r="71" spans="1:11">
      <c r="A71" s="414" t="s">
        <v>211</v>
      </c>
      <c r="B71" s="419" t="s">
        <v>200</v>
      </c>
      <c r="C71" s="168">
        <v>0</v>
      </c>
      <c r="D71" s="167"/>
      <c r="E71" s="168">
        <v>82000</v>
      </c>
      <c r="F71" s="307"/>
      <c r="G71" s="307"/>
      <c r="H71" s="307"/>
      <c r="I71" s="168">
        <v>20000</v>
      </c>
      <c r="J71" s="166">
        <f>+SUM(C71:G71)-(H71+I71)</f>
        <v>62000</v>
      </c>
      <c r="K71" s="216"/>
    </row>
    <row r="72" spans="1:11">
      <c r="A72" s="414" t="s">
        <v>211</v>
      </c>
      <c r="B72" s="420" t="s">
        <v>88</v>
      </c>
      <c r="C72" s="198">
        <v>7300</v>
      </c>
      <c r="D72" s="411"/>
      <c r="E72" s="449"/>
      <c r="F72" s="449"/>
      <c r="G72" s="451"/>
      <c r="H72" s="449"/>
      <c r="I72" s="198">
        <v>3000</v>
      </c>
      <c r="J72" s="166">
        <f t="shared" si="16"/>
        <v>4300</v>
      </c>
      <c r="K72" s="216"/>
    </row>
    <row r="73" spans="1:11">
      <c r="A73" s="170" t="s">
        <v>131</v>
      </c>
      <c r="B73" s="171"/>
      <c r="C73" s="171"/>
      <c r="D73" s="171"/>
      <c r="E73" s="171"/>
      <c r="F73" s="171"/>
      <c r="G73" s="171"/>
      <c r="H73" s="171"/>
      <c r="I73" s="171"/>
      <c r="J73" s="172"/>
      <c r="K73" s="216"/>
    </row>
    <row r="74" spans="1:11">
      <c r="A74" s="414" t="s">
        <v>211</v>
      </c>
      <c r="B74" s="173" t="s">
        <v>132</v>
      </c>
      <c r="C74" s="174">
        <v>817769</v>
      </c>
      <c r="D74" s="196">
        <v>3000000</v>
      </c>
      <c r="E74" s="306"/>
      <c r="F74" s="306"/>
      <c r="G74" s="452"/>
      <c r="H74" s="423">
        <v>2627870</v>
      </c>
      <c r="I74" s="418">
        <v>1127749</v>
      </c>
      <c r="J74" s="181">
        <f>+SUM(C74:G74)-(H74+I74)</f>
        <v>62150</v>
      </c>
      <c r="K74" s="216"/>
    </row>
    <row r="75" spans="1:11">
      <c r="A75" s="179" t="s">
        <v>133</v>
      </c>
      <c r="B75" s="160"/>
      <c r="C75" s="171"/>
      <c r="D75" s="160"/>
      <c r="E75" s="160"/>
      <c r="F75" s="160"/>
      <c r="G75" s="160"/>
      <c r="H75" s="160"/>
      <c r="I75" s="160"/>
      <c r="J75" s="172"/>
    </row>
    <row r="76" spans="1:11">
      <c r="A76" s="414" t="s">
        <v>211</v>
      </c>
      <c r="B76" s="173" t="s">
        <v>134</v>
      </c>
      <c r="C76" s="417">
        <v>14712920</v>
      </c>
      <c r="D76" s="424"/>
      <c r="E76" s="196"/>
      <c r="F76" s="196"/>
      <c r="G76" s="196"/>
      <c r="H76" s="198">
        <v>3000000</v>
      </c>
      <c r="I76" s="200">
        <v>428365</v>
      </c>
      <c r="J76" s="181">
        <f>+SUM(C76:G76)-(H76+I76)</f>
        <v>11284555</v>
      </c>
      <c r="K76" s="216"/>
    </row>
    <row r="77" spans="1:11">
      <c r="A77" s="414" t="s">
        <v>211</v>
      </c>
      <c r="B77" s="173" t="s">
        <v>135</v>
      </c>
      <c r="C77" s="417">
        <v>8361083</v>
      </c>
      <c r="D77" s="196"/>
      <c r="E77" s="195"/>
      <c r="F77" s="195"/>
      <c r="G77" s="195"/>
      <c r="H77" s="168"/>
      <c r="I77" s="197">
        <v>6202438</v>
      </c>
      <c r="J77" s="181">
        <f>SUM(C77:G77)-(H77+I77)</f>
        <v>2158645</v>
      </c>
      <c r="K77" s="216"/>
    </row>
    <row r="78" spans="1:11" ht="15.75">
      <c r="C78" s="144"/>
      <c r="I78" s="454">
        <f>SUM(I59:I77)</f>
        <v>10574852</v>
      </c>
      <c r="J78" s="311">
        <f>+SUM(J59:J77)</f>
        <v>14101750</v>
      </c>
      <c r="K78" s="144">
        <f>J78-C50</f>
        <v>-0.999269999563694</v>
      </c>
    </row>
    <row r="79" spans="1:11" ht="16.5">
      <c r="A79" s="145"/>
      <c r="B79" s="146"/>
      <c r="C79" s="147"/>
      <c r="D79" s="147"/>
      <c r="E79" s="147"/>
      <c r="F79" s="147"/>
      <c r="G79" s="147"/>
      <c r="H79" s="147"/>
      <c r="I79" s="147"/>
      <c r="J79" s="425"/>
    </row>
    <row r="80" spans="1:11">
      <c r="A80" s="151" t="s">
        <v>123</v>
      </c>
      <c r="B80" s="151"/>
      <c r="C80" s="151"/>
      <c r="D80" s="152"/>
      <c r="E80" s="152"/>
      <c r="F80" s="152"/>
      <c r="G80" s="152"/>
      <c r="H80" s="152"/>
      <c r="I80" s="152"/>
    </row>
    <row r="81" spans="1:11">
      <c r="A81" s="153" t="s">
        <v>187</v>
      </c>
      <c r="B81" s="153"/>
      <c r="C81" s="153"/>
      <c r="D81" s="153"/>
      <c r="E81" s="153"/>
      <c r="F81" s="153"/>
      <c r="G81" s="153"/>
      <c r="H81" s="153"/>
      <c r="I81" s="153"/>
      <c r="J81" s="152"/>
    </row>
    <row r="82" spans="1:11">
      <c r="A82" s="154"/>
      <c r="B82" s="155"/>
      <c r="C82" s="156"/>
      <c r="D82" s="156"/>
      <c r="E82" s="156"/>
      <c r="F82" s="156"/>
      <c r="G82" s="156"/>
      <c r="H82" s="155"/>
      <c r="I82" s="155"/>
      <c r="J82" s="153"/>
    </row>
    <row r="83" spans="1:11" ht="15" customHeight="1">
      <c r="A83" s="563" t="s">
        <v>124</v>
      </c>
      <c r="B83" s="565" t="s">
        <v>125</v>
      </c>
      <c r="C83" s="567" t="s">
        <v>188</v>
      </c>
      <c r="D83" s="569" t="s">
        <v>126</v>
      </c>
      <c r="E83" s="570"/>
      <c r="F83" s="570"/>
      <c r="G83" s="571"/>
      <c r="H83" s="572" t="s">
        <v>127</v>
      </c>
      <c r="I83" s="559" t="s">
        <v>128</v>
      </c>
      <c r="J83" s="155"/>
    </row>
    <row r="84" spans="1:11" ht="15" customHeight="1">
      <c r="A84" s="564"/>
      <c r="B84" s="566"/>
      <c r="C84" s="568"/>
      <c r="D84" s="157" t="s">
        <v>72</v>
      </c>
      <c r="E84" s="157" t="s">
        <v>78</v>
      </c>
      <c r="F84" s="385" t="s">
        <v>191</v>
      </c>
      <c r="G84" s="157" t="s">
        <v>129</v>
      </c>
      <c r="H84" s="573"/>
      <c r="I84" s="560"/>
      <c r="J84" s="561" t="s">
        <v>189</v>
      </c>
    </row>
    <row r="85" spans="1:11">
      <c r="A85" s="159"/>
      <c r="B85" s="160" t="s">
        <v>130</v>
      </c>
      <c r="C85" s="161"/>
      <c r="D85" s="161"/>
      <c r="E85" s="161"/>
      <c r="F85" s="161"/>
      <c r="G85" s="161"/>
      <c r="H85" s="161"/>
      <c r="I85" s="162"/>
      <c r="J85" s="562"/>
    </row>
    <row r="86" spans="1:11">
      <c r="A86" s="414" t="s">
        <v>190</v>
      </c>
      <c r="B86" s="419" t="s">
        <v>149</v>
      </c>
      <c r="C86" s="168">
        <v>-10750</v>
      </c>
      <c r="D86" s="167"/>
      <c r="E86" s="167">
        <v>170625</v>
      </c>
      <c r="F86" s="167">
        <v>301700</v>
      </c>
      <c r="G86" s="167"/>
      <c r="H86" s="202">
        <v>27000</v>
      </c>
      <c r="I86" s="168">
        <v>412375</v>
      </c>
      <c r="J86" s="166">
        <f>+SUM(C86:G86)-(H86+I86)</f>
        <v>22200</v>
      </c>
      <c r="K86" s="216"/>
    </row>
    <row r="87" spans="1:11">
      <c r="A87" s="414" t="s">
        <v>190</v>
      </c>
      <c r="B87" s="419" t="s">
        <v>118</v>
      </c>
      <c r="C87" s="168">
        <v>9060</v>
      </c>
      <c r="D87" s="167"/>
      <c r="E87" s="167">
        <v>0</v>
      </c>
      <c r="F87" s="167"/>
      <c r="G87" s="167"/>
      <c r="H87" s="202"/>
      <c r="I87" s="168">
        <v>6000</v>
      </c>
      <c r="J87" s="166">
        <f t="shared" ref="J87:J88" si="17">+SUM(C87:G87)-(H87+I87)</f>
        <v>3060</v>
      </c>
      <c r="K87" s="216"/>
    </row>
    <row r="88" spans="1:11">
      <c r="A88" s="414" t="s">
        <v>190</v>
      </c>
      <c r="B88" s="419" t="s">
        <v>87</v>
      </c>
      <c r="C88" s="168">
        <v>1195</v>
      </c>
      <c r="D88" s="167"/>
      <c r="E88" s="167">
        <v>75000</v>
      </c>
      <c r="F88" s="168"/>
      <c r="G88" s="168"/>
      <c r="H88" s="168"/>
      <c r="I88" s="168">
        <v>72400</v>
      </c>
      <c r="J88" s="298">
        <f t="shared" si="17"/>
        <v>3795</v>
      </c>
      <c r="K88" s="216"/>
    </row>
    <row r="89" spans="1:11">
      <c r="A89" s="414" t="s">
        <v>190</v>
      </c>
      <c r="B89" s="419" t="s">
        <v>150</v>
      </c>
      <c r="C89" s="168">
        <v>-8600</v>
      </c>
      <c r="D89" s="307"/>
      <c r="E89" s="167">
        <v>596900</v>
      </c>
      <c r="F89" s="168"/>
      <c r="G89" s="168"/>
      <c r="H89" s="168"/>
      <c r="I89" s="168">
        <v>586000</v>
      </c>
      <c r="J89" s="298">
        <f>+SUM(C89:G89)-(H89+I89)</f>
        <v>2300</v>
      </c>
      <c r="K89" s="216"/>
    </row>
    <row r="90" spans="1:11">
      <c r="A90" s="414" t="s">
        <v>190</v>
      </c>
      <c r="B90" s="419" t="s">
        <v>141</v>
      </c>
      <c r="C90" s="168">
        <v>8884</v>
      </c>
      <c r="D90" s="307"/>
      <c r="E90" s="167">
        <v>618600</v>
      </c>
      <c r="F90" s="168">
        <v>27000</v>
      </c>
      <c r="G90" s="168"/>
      <c r="H90" s="168">
        <v>301700</v>
      </c>
      <c r="I90" s="168">
        <v>367000</v>
      </c>
      <c r="J90" s="298">
        <f t="shared" ref="J90" si="18">+SUM(C90:G90)-(H90+I90)</f>
        <v>-14216</v>
      </c>
      <c r="K90" s="216"/>
    </row>
    <row r="91" spans="1:11">
      <c r="A91" s="411" t="s">
        <v>190</v>
      </c>
      <c r="B91" s="420" t="s">
        <v>86</v>
      </c>
      <c r="C91" s="198">
        <v>191600</v>
      </c>
      <c r="D91" s="411"/>
      <c r="E91" s="411">
        <v>777000</v>
      </c>
      <c r="F91" s="198"/>
      <c r="G91" s="198"/>
      <c r="H91" s="198"/>
      <c r="I91" s="198">
        <v>825300</v>
      </c>
      <c r="J91" s="416">
        <f>+SUM(C91:G91)-(H91+I91)</f>
        <v>143300</v>
      </c>
      <c r="K91" s="216"/>
    </row>
    <row r="92" spans="1:11">
      <c r="A92" s="415" t="s">
        <v>190</v>
      </c>
      <c r="B92" s="421" t="s">
        <v>158</v>
      </c>
      <c r="C92" s="412">
        <v>233614</v>
      </c>
      <c r="D92" s="415"/>
      <c r="E92" s="415"/>
      <c r="F92" s="415"/>
      <c r="G92" s="415"/>
      <c r="H92" s="412"/>
      <c r="I92" s="412"/>
      <c r="J92" s="413">
        <f>+SUM(C92:G92)-(H92+I92)</f>
        <v>233614</v>
      </c>
      <c r="K92" s="216"/>
    </row>
    <row r="93" spans="1:11">
      <c r="A93" s="415" t="s">
        <v>190</v>
      </c>
      <c r="B93" s="421" t="s">
        <v>157</v>
      </c>
      <c r="C93" s="412">
        <v>249769</v>
      </c>
      <c r="D93" s="415"/>
      <c r="E93" s="415"/>
      <c r="F93" s="415"/>
      <c r="G93" s="415"/>
      <c r="H93" s="412"/>
      <c r="I93" s="412"/>
      <c r="J93" s="413">
        <f t="shared" ref="J93:J98" si="19">+SUM(C93:G93)-(H93+I93)</f>
        <v>249769</v>
      </c>
      <c r="K93" s="216"/>
    </row>
    <row r="94" spans="1:11">
      <c r="A94" s="414" t="s">
        <v>190</v>
      </c>
      <c r="B94" s="419" t="s">
        <v>96</v>
      </c>
      <c r="C94" s="168">
        <v>-3510</v>
      </c>
      <c r="D94" s="167"/>
      <c r="E94" s="167">
        <v>240100</v>
      </c>
      <c r="F94" s="167"/>
      <c r="G94" s="167"/>
      <c r="H94" s="168"/>
      <c r="I94" s="168">
        <v>181500</v>
      </c>
      <c r="J94" s="166">
        <f t="shared" si="19"/>
        <v>55090</v>
      </c>
      <c r="K94" s="216"/>
    </row>
    <row r="95" spans="1:11">
      <c r="A95" s="414" t="s">
        <v>190</v>
      </c>
      <c r="B95" s="419" t="s">
        <v>177</v>
      </c>
      <c r="C95" s="168">
        <v>0</v>
      </c>
      <c r="D95" s="167"/>
      <c r="E95" s="167">
        <v>5000</v>
      </c>
      <c r="F95" s="167"/>
      <c r="G95" s="167"/>
      <c r="H95" s="168"/>
      <c r="I95" s="168">
        <v>5000</v>
      </c>
      <c r="J95" s="166">
        <f t="shared" si="19"/>
        <v>0</v>
      </c>
      <c r="K95" s="216"/>
    </row>
    <row r="96" spans="1:11">
      <c r="A96" s="414" t="s">
        <v>190</v>
      </c>
      <c r="B96" s="419" t="s">
        <v>84</v>
      </c>
      <c r="C96" s="168">
        <v>111200</v>
      </c>
      <c r="D96" s="167"/>
      <c r="E96" s="167">
        <v>704000</v>
      </c>
      <c r="F96" s="167"/>
      <c r="G96" s="167"/>
      <c r="H96" s="168"/>
      <c r="I96" s="168">
        <v>704500</v>
      </c>
      <c r="J96" s="166">
        <f t="shared" si="19"/>
        <v>110700</v>
      </c>
      <c r="K96" s="216"/>
    </row>
    <row r="97" spans="1:11">
      <c r="A97" s="414" t="s">
        <v>190</v>
      </c>
      <c r="B97" s="419" t="s">
        <v>186</v>
      </c>
      <c r="C97" s="168">
        <v>-32081</v>
      </c>
      <c r="D97" s="167"/>
      <c r="E97" s="167">
        <v>0</v>
      </c>
      <c r="F97" s="167"/>
      <c r="G97" s="167"/>
      <c r="H97" s="168"/>
      <c r="I97" s="168">
        <v>0</v>
      </c>
      <c r="J97" s="166">
        <f t="shared" si="19"/>
        <v>-32081</v>
      </c>
      <c r="K97" s="216"/>
    </row>
    <row r="98" spans="1:11">
      <c r="A98" s="414" t="s">
        <v>190</v>
      </c>
      <c r="B98" s="420" t="s">
        <v>88</v>
      </c>
      <c r="C98" s="198">
        <v>5300</v>
      </c>
      <c r="D98" s="411"/>
      <c r="E98" s="411">
        <v>10000</v>
      </c>
      <c r="F98" s="411"/>
      <c r="G98" s="422"/>
      <c r="H98" s="198"/>
      <c r="I98" s="198">
        <v>8000</v>
      </c>
      <c r="J98" s="166">
        <f t="shared" si="19"/>
        <v>7300</v>
      </c>
      <c r="K98" s="216"/>
    </row>
    <row r="99" spans="1:11">
      <c r="A99" s="170" t="s">
        <v>131</v>
      </c>
      <c r="B99" s="171"/>
      <c r="C99" s="171"/>
      <c r="D99" s="171"/>
      <c r="E99" s="171"/>
      <c r="F99" s="171"/>
      <c r="G99" s="171"/>
      <c r="H99" s="171"/>
      <c r="I99" s="171"/>
      <c r="J99" s="172"/>
      <c r="K99" s="216"/>
    </row>
    <row r="100" spans="1:11">
      <c r="A100" s="163" t="s">
        <v>190</v>
      </c>
      <c r="B100" s="173" t="s">
        <v>132</v>
      </c>
      <c r="C100" s="174">
        <v>733034</v>
      </c>
      <c r="D100" s="175">
        <v>4293000</v>
      </c>
      <c r="E100" s="175"/>
      <c r="F100" s="175"/>
      <c r="G100" s="417"/>
      <c r="H100" s="423">
        <v>3197225</v>
      </c>
      <c r="I100" s="418">
        <v>1011040</v>
      </c>
      <c r="J100" s="181">
        <f>+SUM(C100:G100)-(H100+I100)</f>
        <v>817769</v>
      </c>
      <c r="K100" s="216"/>
    </row>
    <row r="101" spans="1:11">
      <c r="A101" s="179" t="s">
        <v>133</v>
      </c>
      <c r="B101" s="160"/>
      <c r="C101" s="171"/>
      <c r="D101" s="160"/>
      <c r="E101" s="160"/>
      <c r="F101" s="160"/>
      <c r="G101" s="160"/>
      <c r="H101" s="160"/>
      <c r="I101" s="160"/>
      <c r="J101" s="172"/>
    </row>
    <row r="102" spans="1:11">
      <c r="A102" s="163" t="s">
        <v>190</v>
      </c>
      <c r="B102" s="173" t="s">
        <v>134</v>
      </c>
      <c r="C102" s="417">
        <v>19184971</v>
      </c>
      <c r="D102" s="424"/>
      <c r="E102" s="196"/>
      <c r="F102" s="196"/>
      <c r="G102" s="196"/>
      <c r="H102" s="198">
        <v>4000000</v>
      </c>
      <c r="I102" s="200">
        <v>472051</v>
      </c>
      <c r="J102" s="181">
        <f>+SUM(C102:G102)-(H102+I102)</f>
        <v>14712920</v>
      </c>
      <c r="K102" s="216"/>
    </row>
    <row r="103" spans="1:11">
      <c r="A103" s="163" t="s">
        <v>190</v>
      </c>
      <c r="B103" s="173" t="s">
        <v>135</v>
      </c>
      <c r="C103" s="417">
        <v>14419055</v>
      </c>
      <c r="D103" s="196"/>
      <c r="E103" s="195"/>
      <c r="F103" s="195"/>
      <c r="G103" s="195"/>
      <c r="H103" s="168">
        <v>293000</v>
      </c>
      <c r="I103" s="197">
        <v>5764972</v>
      </c>
      <c r="J103" s="181">
        <f>SUM(C103:G103)-(H103+I103)</f>
        <v>8361083</v>
      </c>
      <c r="K103" s="216"/>
    </row>
    <row r="104" spans="1:11" ht="15.75">
      <c r="C104" s="144"/>
      <c r="I104" s="144"/>
      <c r="J104" s="311">
        <f>+SUM(J86:J103)</f>
        <v>24676603</v>
      </c>
    </row>
    <row r="105" spans="1:11" ht="16.5">
      <c r="A105" s="145"/>
      <c r="B105" s="146"/>
      <c r="C105" s="147"/>
      <c r="D105" s="147"/>
      <c r="E105" s="147"/>
      <c r="F105" s="147"/>
      <c r="G105" s="147"/>
      <c r="H105" s="147"/>
      <c r="I105" s="147"/>
      <c r="J105" s="425"/>
    </row>
    <row r="106" spans="1:11">
      <c r="A106" s="151" t="s">
        <v>123</v>
      </c>
      <c r="B106" s="151"/>
      <c r="C106" s="151"/>
      <c r="D106" s="152"/>
      <c r="E106" s="152"/>
      <c r="F106" s="152"/>
      <c r="G106" s="152"/>
      <c r="H106" s="152"/>
      <c r="I106" s="152"/>
    </row>
    <row r="107" spans="1:11">
      <c r="A107" s="153" t="s">
        <v>165</v>
      </c>
      <c r="B107" s="153"/>
      <c r="C107" s="153"/>
      <c r="D107" s="153"/>
      <c r="E107" s="153"/>
      <c r="F107" s="153"/>
      <c r="G107" s="153"/>
      <c r="H107" s="153"/>
      <c r="I107" s="153"/>
      <c r="J107" s="152"/>
    </row>
    <row r="108" spans="1:11" ht="15" customHeight="1">
      <c r="A108" s="154"/>
      <c r="B108" s="155"/>
      <c r="C108" s="156"/>
      <c r="D108" s="156"/>
      <c r="E108" s="156"/>
      <c r="F108" s="156"/>
      <c r="G108" s="156"/>
      <c r="H108" s="155"/>
      <c r="I108" s="155"/>
      <c r="J108" s="153"/>
    </row>
    <row r="109" spans="1:11" ht="15" customHeight="1">
      <c r="A109" s="563" t="s">
        <v>124</v>
      </c>
      <c r="B109" s="565" t="s">
        <v>125</v>
      </c>
      <c r="C109" s="567" t="s">
        <v>166</v>
      </c>
      <c r="D109" s="569" t="s">
        <v>126</v>
      </c>
      <c r="E109" s="570"/>
      <c r="F109" s="570"/>
      <c r="G109" s="571"/>
      <c r="H109" s="572" t="s">
        <v>127</v>
      </c>
      <c r="I109" s="559" t="s">
        <v>128</v>
      </c>
      <c r="J109" s="155"/>
    </row>
    <row r="110" spans="1:11" ht="15" customHeight="1">
      <c r="A110" s="564"/>
      <c r="B110" s="566"/>
      <c r="C110" s="568"/>
      <c r="D110" s="157" t="s">
        <v>72</v>
      </c>
      <c r="E110" s="157" t="s">
        <v>78</v>
      </c>
      <c r="F110" s="369" t="s">
        <v>169</v>
      </c>
      <c r="G110" s="157" t="s">
        <v>129</v>
      </c>
      <c r="H110" s="573"/>
      <c r="I110" s="560"/>
      <c r="J110" s="561" t="s">
        <v>167</v>
      </c>
    </row>
    <row r="111" spans="1:11">
      <c r="A111" s="159"/>
      <c r="B111" s="160" t="s">
        <v>130</v>
      </c>
      <c r="C111" s="161"/>
      <c r="D111" s="161"/>
      <c r="E111" s="161"/>
      <c r="F111" s="161"/>
      <c r="G111" s="161"/>
      <c r="H111" s="161"/>
      <c r="I111" s="162"/>
      <c r="J111" s="562"/>
    </row>
    <row r="112" spans="1:11" ht="16.5">
      <c r="A112" s="163" t="s">
        <v>168</v>
      </c>
      <c r="B112" s="143" t="s">
        <v>149</v>
      </c>
      <c r="C112" s="164">
        <f t="shared" ref="C112:C121" si="20">+C6</f>
        <v>-11330</v>
      </c>
      <c r="D112" s="165"/>
      <c r="E112" s="165">
        <v>271100</v>
      </c>
      <c r="F112" s="165">
        <f>112800+126500</f>
        <v>239300</v>
      </c>
      <c r="G112" s="165"/>
      <c r="H112" s="202"/>
      <c r="I112" s="169">
        <v>521950</v>
      </c>
      <c r="J112" s="166">
        <f>+SUM(C112:G112)-(H112+I112)</f>
        <v>-22880</v>
      </c>
    </row>
    <row r="113" spans="1:10" ht="16.5">
      <c r="A113" s="163" t="s">
        <v>168</v>
      </c>
      <c r="B113" s="143" t="s">
        <v>118</v>
      </c>
      <c r="C113" s="164">
        <f t="shared" si="20"/>
        <v>8260</v>
      </c>
      <c r="D113" s="165"/>
      <c r="E113" s="165">
        <v>625000</v>
      </c>
      <c r="F113" s="165"/>
      <c r="G113" s="165"/>
      <c r="H113" s="202">
        <v>247500</v>
      </c>
      <c r="I113" s="169">
        <v>371500</v>
      </c>
      <c r="J113" s="166">
        <f t="shared" ref="J113:J114" si="21">+SUM(C113:G113)-(H113+I113)</f>
        <v>14260</v>
      </c>
    </row>
    <row r="114" spans="1:10" ht="16.5">
      <c r="A114" s="163" t="s">
        <v>168</v>
      </c>
      <c r="B114" s="143" t="s">
        <v>87</v>
      </c>
      <c r="C114" s="164">
        <f t="shared" si="20"/>
        <v>3795</v>
      </c>
      <c r="D114" s="165"/>
      <c r="E114" s="165">
        <v>60000</v>
      </c>
      <c r="F114" s="297"/>
      <c r="G114" s="297"/>
      <c r="H114" s="168"/>
      <c r="I114" s="201">
        <v>67200</v>
      </c>
      <c r="J114" s="298">
        <f t="shared" si="21"/>
        <v>-3405</v>
      </c>
    </row>
    <row r="115" spans="1:10" ht="15.75" customHeight="1">
      <c r="A115" s="163" t="s">
        <v>168</v>
      </c>
      <c r="B115" s="143" t="s">
        <v>150</v>
      </c>
      <c r="C115" s="164">
        <f t="shared" si="20"/>
        <v>-83100</v>
      </c>
      <c r="D115" s="203"/>
      <c r="E115" s="165">
        <v>140000</v>
      </c>
      <c r="F115" s="297">
        <v>270500</v>
      </c>
      <c r="G115" s="297"/>
      <c r="H115" s="168"/>
      <c r="I115" s="168">
        <v>417300</v>
      </c>
      <c r="J115" s="298">
        <f>+SUM(C115:G115)-(H115+I115)</f>
        <v>-89900</v>
      </c>
    </row>
    <row r="116" spans="1:10" ht="16.5">
      <c r="A116" s="163" t="s">
        <v>168</v>
      </c>
      <c r="B116" s="143" t="s">
        <v>141</v>
      </c>
      <c r="C116" s="164">
        <f t="shared" si="20"/>
        <v>1784</v>
      </c>
      <c r="D116" s="203"/>
      <c r="E116" s="165">
        <v>256400</v>
      </c>
      <c r="F116" s="297"/>
      <c r="G116" s="297"/>
      <c r="H116" s="168"/>
      <c r="I116" s="169">
        <v>263500</v>
      </c>
      <c r="J116" s="298">
        <f t="shared" ref="J116" si="22">+SUM(C116:G116)-(H116+I116)</f>
        <v>-5316</v>
      </c>
    </row>
    <row r="117" spans="1:10" ht="16.5">
      <c r="A117" s="163" t="s">
        <v>168</v>
      </c>
      <c r="B117" s="143" t="s">
        <v>86</v>
      </c>
      <c r="C117" s="164">
        <f t="shared" si="20"/>
        <v>88800</v>
      </c>
      <c r="D117" s="165"/>
      <c r="E117" s="165">
        <v>858500</v>
      </c>
      <c r="F117" s="297"/>
      <c r="G117" s="297"/>
      <c r="H117" s="168"/>
      <c r="I117" s="169">
        <v>645000</v>
      </c>
      <c r="J117" s="298">
        <f>+SUM(C117:G117)-(H117+I117)</f>
        <v>302300</v>
      </c>
    </row>
    <row r="118" spans="1:10" ht="16.5">
      <c r="A118" s="163" t="s">
        <v>168</v>
      </c>
      <c r="B118" s="143" t="s">
        <v>96</v>
      </c>
      <c r="C118" s="164">
        <f t="shared" si="20"/>
        <v>233614</v>
      </c>
      <c r="D118" s="165"/>
      <c r="E118" s="165">
        <v>800700</v>
      </c>
      <c r="F118" s="165"/>
      <c r="G118" s="165"/>
      <c r="H118" s="168">
        <v>262300</v>
      </c>
      <c r="I118" s="169">
        <v>543600</v>
      </c>
      <c r="J118" s="166">
        <f>+SUM(C118:G118)-(H118+I118)</f>
        <v>228414</v>
      </c>
    </row>
    <row r="119" spans="1:10" ht="16.5">
      <c r="A119" s="163" t="s">
        <v>168</v>
      </c>
      <c r="B119" s="143" t="s">
        <v>84</v>
      </c>
      <c r="C119" s="164">
        <f t="shared" si="20"/>
        <v>249769</v>
      </c>
      <c r="D119" s="165"/>
      <c r="E119" s="165">
        <v>971600</v>
      </c>
      <c r="F119" s="165"/>
      <c r="G119" s="165"/>
      <c r="H119" s="168">
        <v>200000</v>
      </c>
      <c r="I119" s="169">
        <v>639450</v>
      </c>
      <c r="J119" s="166">
        <f t="shared" ref="J119:J120" si="23">+SUM(C119:G119)-(H119+I119)</f>
        <v>381919</v>
      </c>
    </row>
    <row r="120" spans="1:10" ht="16.5">
      <c r="A120" s="163" t="s">
        <v>168</v>
      </c>
      <c r="B120" s="143" t="s">
        <v>47</v>
      </c>
      <c r="C120" s="164">
        <f t="shared" si="20"/>
        <v>7890</v>
      </c>
      <c r="D120" s="165"/>
      <c r="E120" s="165"/>
      <c r="F120" s="165"/>
      <c r="G120" s="165"/>
      <c r="H120" s="168"/>
      <c r="I120" s="201">
        <v>23000</v>
      </c>
      <c r="J120" s="166">
        <f t="shared" si="23"/>
        <v>-15110</v>
      </c>
    </row>
    <row r="121" spans="1:10" ht="16.5">
      <c r="A121" s="163" t="s">
        <v>168</v>
      </c>
      <c r="B121" s="143" t="s">
        <v>88</v>
      </c>
      <c r="C121" s="164">
        <f t="shared" si="20"/>
        <v>5000</v>
      </c>
      <c r="D121" s="165"/>
      <c r="E121" s="165"/>
      <c r="F121" s="165"/>
      <c r="G121" s="165"/>
      <c r="H121" s="168"/>
      <c r="I121" s="169">
        <v>0</v>
      </c>
      <c r="J121" s="166">
        <f>+SUM(C121:G121)-(H121+I121)</f>
        <v>5000</v>
      </c>
    </row>
    <row r="122" spans="1:10" ht="16.5">
      <c r="A122" s="374" t="s">
        <v>168</v>
      </c>
      <c r="B122" s="375" t="s">
        <v>175</v>
      </c>
      <c r="C122" s="376">
        <v>3721074</v>
      </c>
      <c r="D122" s="377"/>
      <c r="E122" s="378"/>
      <c r="F122" s="377"/>
      <c r="G122" s="379"/>
      <c r="H122" s="376">
        <v>3721074</v>
      </c>
      <c r="I122" s="380"/>
      <c r="J122" s="381">
        <f>+SUM(C122:G122)-(H122+I122)</f>
        <v>0</v>
      </c>
    </row>
    <row r="123" spans="1:10">
      <c r="A123" s="170" t="s">
        <v>131</v>
      </c>
      <c r="B123" s="171"/>
      <c r="C123" s="171"/>
      <c r="D123" s="171"/>
      <c r="E123" s="171"/>
      <c r="F123" s="171"/>
      <c r="G123" s="171"/>
      <c r="H123" s="171"/>
      <c r="I123" s="171"/>
      <c r="J123" s="172"/>
    </row>
    <row r="124" spans="1:10">
      <c r="A124" s="163" t="s">
        <v>168</v>
      </c>
      <c r="B124" s="173" t="s">
        <v>132</v>
      </c>
      <c r="C124" s="174">
        <f>+C5</f>
        <v>62150</v>
      </c>
      <c r="D124" s="175">
        <v>5000000</v>
      </c>
      <c r="E124" s="175"/>
      <c r="F124" s="175"/>
      <c r="G124" s="176">
        <v>200000</v>
      </c>
      <c r="H124" s="194">
        <v>3983300</v>
      </c>
      <c r="I124" s="177">
        <v>776245</v>
      </c>
      <c r="J124" s="178">
        <f>+SUM(C124:G124)-(H124+I124)</f>
        <v>502605</v>
      </c>
    </row>
    <row r="125" spans="1:10">
      <c r="A125" s="179" t="s">
        <v>133</v>
      </c>
      <c r="B125" s="160"/>
      <c r="C125" s="171"/>
      <c r="D125" s="160"/>
      <c r="E125" s="160"/>
      <c r="F125" s="160"/>
      <c r="G125" s="160"/>
      <c r="H125" s="160"/>
      <c r="I125" s="160"/>
      <c r="J125" s="172"/>
    </row>
    <row r="126" spans="1:10">
      <c r="A126" s="163" t="s">
        <v>168</v>
      </c>
      <c r="B126" s="173" t="s">
        <v>134</v>
      </c>
      <c r="C126" s="180">
        <f>+C3</f>
        <v>11284555</v>
      </c>
      <c r="D126" s="199">
        <v>19826114</v>
      </c>
      <c r="E126" s="196"/>
      <c r="F126" s="196"/>
      <c r="G126" s="196"/>
      <c r="H126" s="198">
        <v>5000000</v>
      </c>
      <c r="I126" s="200">
        <v>455737</v>
      </c>
      <c r="J126" s="181">
        <f>+SUM(C126:G126)-(H126+I126)</f>
        <v>25654932</v>
      </c>
    </row>
    <row r="127" spans="1:10">
      <c r="A127" s="163" t="s">
        <v>168</v>
      </c>
      <c r="B127" s="173" t="s">
        <v>135</v>
      </c>
      <c r="C127" s="180">
        <f>+C4</f>
        <v>2158645</v>
      </c>
      <c r="D127" s="196">
        <v>13119140</v>
      </c>
      <c r="E127" s="195"/>
      <c r="F127" s="195"/>
      <c r="G127" s="195"/>
      <c r="H127" s="168"/>
      <c r="I127" s="197">
        <v>3445919</v>
      </c>
      <c r="J127" s="181">
        <f>SUM(C127:G127)-(H127+I127)</f>
        <v>11831866</v>
      </c>
    </row>
    <row r="128" spans="1:10">
      <c r="A128" s="163" t="s">
        <v>168</v>
      </c>
      <c r="B128" s="303" t="s">
        <v>157</v>
      </c>
      <c r="C128" s="304">
        <v>249769</v>
      </c>
      <c r="D128" s="306"/>
      <c r="E128" s="306"/>
      <c r="F128" s="306"/>
      <c r="G128" s="306"/>
      <c r="H128" s="307"/>
      <c r="I128" s="308"/>
      <c r="J128" s="370">
        <f>SUM(C128:G128)-(H128+I128)</f>
        <v>249769</v>
      </c>
    </row>
    <row r="129" spans="1:11">
      <c r="A129" s="163" t="s">
        <v>168</v>
      </c>
      <c r="B129" s="309" t="s">
        <v>158</v>
      </c>
      <c r="C129" s="304">
        <v>233614</v>
      </c>
      <c r="D129" s="306"/>
      <c r="E129" s="306"/>
      <c r="F129" s="306"/>
      <c r="G129" s="306"/>
      <c r="H129" s="307"/>
      <c r="I129" s="308"/>
      <c r="J129" s="370">
        <f>SUM(C129:G129)-(H129+I129)</f>
        <v>233614</v>
      </c>
    </row>
    <row r="130" spans="1:11">
      <c r="A130" s="163" t="s">
        <v>168</v>
      </c>
      <c r="B130" s="310" t="s">
        <v>159</v>
      </c>
      <c r="C130" s="304">
        <v>330169</v>
      </c>
      <c r="D130" s="302"/>
      <c r="E130" s="302"/>
      <c r="F130" s="302"/>
      <c r="G130" s="302"/>
      <c r="H130" s="302"/>
      <c r="I130" s="302"/>
      <c r="J130" s="370">
        <f>SUM(C130:G130)-(H130+I130)</f>
        <v>330169</v>
      </c>
    </row>
    <row r="131" spans="1:11" ht="15.75">
      <c r="C131" s="144"/>
      <c r="I131" s="144"/>
      <c r="J131" s="311">
        <f>+SUM(J112:J130)</f>
        <v>39598237</v>
      </c>
      <c r="K131" s="371">
        <f>+J131-I20</f>
        <v>22599810.00073</v>
      </c>
    </row>
    <row r="133" spans="1:11">
      <c r="A133" s="151" t="s">
        <v>123</v>
      </c>
      <c r="B133" s="151"/>
      <c r="C133" s="151"/>
      <c r="D133" s="152"/>
      <c r="E133" s="152"/>
      <c r="F133" s="152"/>
      <c r="G133" s="152"/>
      <c r="H133" s="152"/>
      <c r="I133" s="152"/>
    </row>
    <row r="134" spans="1:11">
      <c r="A134" s="153" t="s">
        <v>152</v>
      </c>
      <c r="B134" s="153"/>
      <c r="C134" s="153"/>
      <c r="D134" s="153"/>
      <c r="E134" s="153"/>
      <c r="F134" s="153"/>
      <c r="G134" s="153"/>
      <c r="H134" s="153"/>
      <c r="I134" s="153"/>
      <c r="J134" s="152"/>
    </row>
    <row r="135" spans="1:11">
      <c r="A135" s="154"/>
      <c r="B135" s="155"/>
      <c r="C135" s="156"/>
      <c r="D135" s="156"/>
      <c r="E135" s="156"/>
      <c r="F135" s="156"/>
      <c r="G135" s="156"/>
      <c r="H135" s="155"/>
      <c r="I135" s="155"/>
      <c r="J135" s="153"/>
    </row>
    <row r="136" spans="1:11">
      <c r="A136" s="563" t="s">
        <v>124</v>
      </c>
      <c r="B136" s="565" t="s">
        <v>125</v>
      </c>
      <c r="C136" s="567" t="s">
        <v>154</v>
      </c>
      <c r="D136" s="569" t="s">
        <v>126</v>
      </c>
      <c r="E136" s="570"/>
      <c r="F136" s="570"/>
      <c r="G136" s="571"/>
      <c r="H136" s="572" t="s">
        <v>127</v>
      </c>
      <c r="I136" s="559" t="s">
        <v>128</v>
      </c>
      <c r="J136" s="155"/>
    </row>
    <row r="137" spans="1:11" ht="36.75" customHeight="1">
      <c r="A137" s="564"/>
      <c r="B137" s="566"/>
      <c r="C137" s="568"/>
      <c r="D137" s="157" t="s">
        <v>72</v>
      </c>
      <c r="E137" s="157" t="s">
        <v>78</v>
      </c>
      <c r="F137" s="158" t="s">
        <v>141</v>
      </c>
      <c r="G137" s="157" t="s">
        <v>129</v>
      </c>
      <c r="H137" s="573"/>
      <c r="I137" s="560"/>
      <c r="J137" s="561" t="s">
        <v>160</v>
      </c>
    </row>
    <row r="138" spans="1:11">
      <c r="A138" s="159"/>
      <c r="B138" s="160" t="s">
        <v>130</v>
      </c>
      <c r="C138" s="161"/>
      <c r="D138" s="161"/>
      <c r="E138" s="161"/>
      <c r="F138" s="161"/>
      <c r="G138" s="161"/>
      <c r="H138" s="161"/>
      <c r="I138" s="162"/>
      <c r="J138" s="562"/>
    </row>
    <row r="139" spans="1:11" ht="16.5">
      <c r="A139" s="163" t="s">
        <v>153</v>
      </c>
      <c r="B139" s="143" t="s">
        <v>149</v>
      </c>
      <c r="C139" s="164">
        <v>0</v>
      </c>
      <c r="D139" s="165"/>
      <c r="E139" s="165">
        <v>40000</v>
      </c>
      <c r="F139" s="165"/>
      <c r="G139" s="165"/>
      <c r="H139" s="202"/>
      <c r="I139" s="169">
        <v>39200</v>
      </c>
      <c r="J139" s="166">
        <f>+SUM(C139:G139)-(H139+I139)</f>
        <v>800</v>
      </c>
    </row>
    <row r="140" spans="1:11" ht="16.5">
      <c r="A140" s="163" t="s">
        <v>153</v>
      </c>
      <c r="B140" s="143" t="str">
        <f t="shared" ref="B140:B147" si="24">+A7</f>
        <v>Crépin</v>
      </c>
      <c r="C140" s="164">
        <v>19060</v>
      </c>
      <c r="D140" s="165"/>
      <c r="E140" s="165">
        <v>20000</v>
      </c>
      <c r="F140" s="165"/>
      <c r="G140" s="165"/>
      <c r="H140" s="202"/>
      <c r="I140" s="169">
        <v>36000</v>
      </c>
      <c r="J140" s="166">
        <f t="shared" ref="J140:J147" si="25">+SUM(C140:G140)-(H140+I140)</f>
        <v>3060</v>
      </c>
    </row>
    <row r="141" spans="1:11" ht="16.5">
      <c r="A141" s="163" t="s">
        <v>153</v>
      </c>
      <c r="B141" s="143" t="str">
        <f t="shared" si="24"/>
        <v>Evariste</v>
      </c>
      <c r="C141" s="164">
        <v>8395</v>
      </c>
      <c r="D141" s="165"/>
      <c r="E141" s="165">
        <v>20000</v>
      </c>
      <c r="F141" s="297"/>
      <c r="G141" s="297"/>
      <c r="H141" s="168"/>
      <c r="I141" s="201">
        <v>20000</v>
      </c>
      <c r="J141" s="298">
        <f t="shared" si="25"/>
        <v>8395</v>
      </c>
    </row>
    <row r="142" spans="1:11" ht="16.5">
      <c r="A142" s="163" t="s">
        <v>153</v>
      </c>
      <c r="B142" s="143" t="str">
        <f t="shared" si="24"/>
        <v>Geisner</v>
      </c>
      <c r="C142" s="164">
        <v>0</v>
      </c>
      <c r="D142" s="203"/>
      <c r="E142" s="165">
        <v>100000</v>
      </c>
      <c r="F142" s="297">
        <v>102200</v>
      </c>
      <c r="G142" s="297"/>
      <c r="H142" s="168"/>
      <c r="I142" s="168">
        <v>204000</v>
      </c>
      <c r="J142" s="298">
        <f>+SUM(C142:G142)-(H142+I142)</f>
        <v>-1800</v>
      </c>
    </row>
    <row r="143" spans="1:11" ht="16.5">
      <c r="A143" s="163" t="s">
        <v>153</v>
      </c>
      <c r="B143" s="143" t="str">
        <f t="shared" si="24"/>
        <v>Herick</v>
      </c>
      <c r="C143" s="164">
        <v>7559</v>
      </c>
      <c r="D143" s="203"/>
      <c r="E143" s="165">
        <v>866200</v>
      </c>
      <c r="F143" s="297"/>
      <c r="G143" s="297"/>
      <c r="H143" s="168">
        <v>252200</v>
      </c>
      <c r="I143" s="169">
        <v>605575</v>
      </c>
      <c r="J143" s="298">
        <f t="shared" si="25"/>
        <v>15984</v>
      </c>
    </row>
    <row r="144" spans="1:11" ht="16.5">
      <c r="A144" s="163" t="s">
        <v>153</v>
      </c>
      <c r="B144" s="143" t="str">
        <f t="shared" si="24"/>
        <v>I23C</v>
      </c>
      <c r="C144" s="164">
        <v>214000</v>
      </c>
      <c r="D144" s="165"/>
      <c r="E144" s="165">
        <v>724100</v>
      </c>
      <c r="F144" s="297"/>
      <c r="G144" s="297"/>
      <c r="H144" s="168"/>
      <c r="I144" s="169">
        <v>960000</v>
      </c>
      <c r="J144" s="298">
        <f>+SUM(C144:G144)-(H144+I144)</f>
        <v>-21900</v>
      </c>
    </row>
    <row r="145" spans="1:10" ht="16.5">
      <c r="A145" s="163" t="s">
        <v>153</v>
      </c>
      <c r="B145" s="143" t="str">
        <f t="shared" si="24"/>
        <v>I55S</v>
      </c>
      <c r="C145" s="164">
        <v>-13805</v>
      </c>
      <c r="D145" s="165"/>
      <c r="E145" s="165">
        <v>333400</v>
      </c>
      <c r="F145" s="165">
        <v>150000</v>
      </c>
      <c r="G145" s="165"/>
      <c r="H145" s="168">
        <v>129000</v>
      </c>
      <c r="I145" s="169">
        <v>338905</v>
      </c>
      <c r="J145" s="166">
        <f>+SUM(C145:G145)-(H145+I145)</f>
        <v>1690</v>
      </c>
    </row>
    <row r="146" spans="1:10" ht="16.5">
      <c r="A146" s="163" t="s">
        <v>153</v>
      </c>
      <c r="B146" s="143" t="str">
        <f t="shared" si="24"/>
        <v>I73X</v>
      </c>
      <c r="C146" s="164">
        <v>84350</v>
      </c>
      <c r="D146" s="165"/>
      <c r="E146" s="165">
        <v>669400</v>
      </c>
      <c r="F146" s="165"/>
      <c r="G146" s="165"/>
      <c r="H146" s="168">
        <v>100000</v>
      </c>
      <c r="I146" s="169">
        <v>674700</v>
      </c>
      <c r="J146" s="166">
        <f>+SUM(C146:G146)-(H146+I146)</f>
        <v>-20950</v>
      </c>
    </row>
    <row r="147" spans="1:10" ht="16.5">
      <c r="A147" s="163" t="s">
        <v>153</v>
      </c>
      <c r="B147" s="143" t="str">
        <f t="shared" si="24"/>
        <v>Jack-Bénisson</v>
      </c>
      <c r="C147" s="164">
        <v>-216251</v>
      </c>
      <c r="D147" s="165"/>
      <c r="E147" s="165">
        <v>242000</v>
      </c>
      <c r="F147" s="165"/>
      <c r="G147" s="165"/>
      <c r="H147" s="168"/>
      <c r="I147" s="201">
        <v>34830</v>
      </c>
      <c r="J147" s="166">
        <f t="shared" si="25"/>
        <v>-9081</v>
      </c>
    </row>
    <row r="148" spans="1:10" ht="16.5">
      <c r="A148" s="163" t="s">
        <v>153</v>
      </c>
      <c r="B148" s="143" t="s">
        <v>89</v>
      </c>
      <c r="C148" s="164">
        <v>2025</v>
      </c>
      <c r="D148" s="165"/>
      <c r="E148" s="165">
        <v>25000</v>
      </c>
      <c r="F148" s="165"/>
      <c r="G148" s="165"/>
      <c r="H148" s="168">
        <v>3025</v>
      </c>
      <c r="I148" s="169">
        <v>24000</v>
      </c>
      <c r="J148" s="166">
        <f>+SUM(C148:G148)-(H148+I148)</f>
        <v>0</v>
      </c>
    </row>
    <row r="149" spans="1:10" ht="16.5">
      <c r="A149" s="163" t="s">
        <v>153</v>
      </c>
      <c r="B149" s="143" t="s">
        <v>88</v>
      </c>
      <c r="C149" s="164">
        <v>10000</v>
      </c>
      <c r="D149" s="167"/>
      <c r="E149" s="165">
        <v>0</v>
      </c>
      <c r="F149" s="167"/>
      <c r="G149" s="167"/>
      <c r="H149" s="168"/>
      <c r="I149" s="169">
        <v>4700</v>
      </c>
      <c r="J149" s="166">
        <f>+SUM(C149:G149)-(H149+I149)</f>
        <v>5300</v>
      </c>
    </row>
    <row r="150" spans="1:10">
      <c r="A150" s="170" t="s">
        <v>131</v>
      </c>
      <c r="B150" s="171"/>
      <c r="C150" s="171"/>
      <c r="D150" s="171"/>
      <c r="E150" s="171"/>
      <c r="F150" s="171"/>
      <c r="G150" s="171"/>
      <c r="H150" s="171"/>
      <c r="I150" s="171"/>
      <c r="J150" s="172"/>
    </row>
    <row r="151" spans="1:10">
      <c r="A151" s="163" t="s">
        <v>153</v>
      </c>
      <c r="B151" s="173" t="s">
        <v>132</v>
      </c>
      <c r="C151" s="174">
        <v>791675</v>
      </c>
      <c r="D151" s="175">
        <v>3185100</v>
      </c>
      <c r="E151" s="175"/>
      <c r="F151" s="175"/>
      <c r="G151" s="176">
        <v>237025</v>
      </c>
      <c r="H151" s="194">
        <v>3045100</v>
      </c>
      <c r="I151" s="177">
        <v>876121</v>
      </c>
      <c r="J151" s="178">
        <f>+SUM(C151:G151)-(H151+I151)</f>
        <v>292579</v>
      </c>
    </row>
    <row r="152" spans="1:10">
      <c r="A152" s="179" t="s">
        <v>133</v>
      </c>
      <c r="B152" s="160"/>
      <c r="C152" s="171"/>
      <c r="D152" s="160"/>
      <c r="E152" s="160"/>
      <c r="F152" s="160"/>
      <c r="G152" s="160"/>
      <c r="H152" s="160"/>
      <c r="I152" s="160"/>
      <c r="J152" s="172"/>
    </row>
    <row r="153" spans="1:10">
      <c r="A153" s="163" t="s">
        <v>153</v>
      </c>
      <c r="B153" s="173" t="s">
        <v>134</v>
      </c>
      <c r="C153" s="180">
        <v>8039273</v>
      </c>
      <c r="D153" s="199">
        <v>0</v>
      </c>
      <c r="E153" s="196"/>
      <c r="F153" s="196"/>
      <c r="G153" s="196"/>
      <c r="H153" s="198">
        <v>3000000</v>
      </c>
      <c r="I153" s="200">
        <v>224679</v>
      </c>
      <c r="J153" s="181">
        <f>+SUM(C153:G153)-(H153+I153)</f>
        <v>4814594</v>
      </c>
    </row>
    <row r="154" spans="1:10">
      <c r="A154" s="163" t="s">
        <v>153</v>
      </c>
      <c r="B154" s="173" t="s">
        <v>135</v>
      </c>
      <c r="C154" s="180">
        <v>13283340</v>
      </c>
      <c r="D154" s="196">
        <v>0</v>
      </c>
      <c r="E154" s="195"/>
      <c r="F154" s="195"/>
      <c r="G154" s="195"/>
      <c r="H154" s="168">
        <v>185100</v>
      </c>
      <c r="I154" s="197">
        <v>8352406</v>
      </c>
      <c r="J154" s="181">
        <f>SUM(C154:G154)-(H154+I154)</f>
        <v>4745834</v>
      </c>
    </row>
    <row r="155" spans="1:10">
      <c r="A155" s="302" t="s">
        <v>153</v>
      </c>
      <c r="B155" s="303" t="s">
        <v>156</v>
      </c>
      <c r="C155" s="304">
        <v>3721074</v>
      </c>
      <c r="D155" s="302"/>
      <c r="E155" s="302"/>
      <c r="F155" s="302"/>
      <c r="G155" s="302"/>
      <c r="H155" s="302"/>
      <c r="I155" s="302"/>
      <c r="J155" s="305">
        <f>SUM(C155:G155)-(H155+I155)</f>
        <v>3721074</v>
      </c>
    </row>
    <row r="156" spans="1:10">
      <c r="A156" s="302" t="s">
        <v>153</v>
      </c>
      <c r="B156" s="303" t="s">
        <v>157</v>
      </c>
      <c r="C156" s="304">
        <v>249769</v>
      </c>
      <c r="D156" s="306"/>
      <c r="E156" s="306"/>
      <c r="F156" s="306"/>
      <c r="G156" s="306"/>
      <c r="H156" s="307"/>
      <c r="I156" s="308"/>
      <c r="J156" s="305">
        <f>SUM(C156:G156)-(H156+I156)</f>
        <v>249769</v>
      </c>
    </row>
    <row r="157" spans="1:10">
      <c r="A157" s="302" t="s">
        <v>153</v>
      </c>
      <c r="B157" s="309" t="s">
        <v>158</v>
      </c>
      <c r="C157" s="304">
        <v>233614</v>
      </c>
      <c r="D157" s="306"/>
      <c r="E157" s="306"/>
      <c r="F157" s="306"/>
      <c r="G157" s="306"/>
      <c r="H157" s="307"/>
      <c r="I157" s="308"/>
      <c r="J157" s="305">
        <f>SUM(C157:G157)-(H157+I157)</f>
        <v>233614</v>
      </c>
    </row>
    <row r="158" spans="1:10">
      <c r="A158" s="302" t="s">
        <v>153</v>
      </c>
      <c r="B158" s="310" t="s">
        <v>159</v>
      </c>
      <c r="C158" s="304">
        <v>330169</v>
      </c>
      <c r="D158" s="302"/>
      <c r="E158" s="302"/>
      <c r="F158" s="302"/>
      <c r="G158" s="302"/>
      <c r="H158" s="302"/>
      <c r="I158" s="302"/>
      <c r="J158" s="305">
        <f>SUM(C158:G158)-(H158+I158)</f>
        <v>330169</v>
      </c>
    </row>
    <row r="159" spans="1:10" ht="15.75">
      <c r="C159" s="144"/>
      <c r="I159" s="144"/>
      <c r="J159" s="311">
        <f>+SUM(J139:J158)</f>
        <v>14369131</v>
      </c>
    </row>
    <row r="160" spans="1:10">
      <c r="C160" s="144"/>
      <c r="I160" s="144"/>
      <c r="J160" s="144"/>
    </row>
    <row r="161" spans="1:15" s="265" customFormat="1">
      <c r="A161" s="263" t="s">
        <v>137</v>
      </c>
      <c r="B161" s="263"/>
      <c r="C161" s="263"/>
      <c r="D161" s="263"/>
      <c r="E161" s="263"/>
      <c r="F161" s="263"/>
      <c r="G161" s="263"/>
      <c r="H161" s="263"/>
      <c r="I161" s="263"/>
      <c r="J161" s="264"/>
      <c r="L161" s="266"/>
      <c r="M161" s="266"/>
      <c r="N161" s="266"/>
      <c r="O161" s="266"/>
    </row>
    <row r="162" spans="1:15" s="265" customFormat="1">
      <c r="A162" s="267"/>
      <c r="B162" s="264"/>
      <c r="C162" s="268"/>
      <c r="D162" s="268"/>
      <c r="E162" s="268"/>
      <c r="F162" s="268"/>
      <c r="G162" s="268"/>
      <c r="H162" s="264"/>
      <c r="I162" s="264"/>
      <c r="J162" s="263"/>
      <c r="L162" s="266"/>
      <c r="M162" s="266"/>
      <c r="N162" s="266"/>
      <c r="O162" s="266"/>
    </row>
    <row r="163" spans="1:15" s="265" customFormat="1">
      <c r="A163" s="563" t="s">
        <v>124</v>
      </c>
      <c r="B163" s="565" t="s">
        <v>125</v>
      </c>
      <c r="C163" s="567" t="s">
        <v>139</v>
      </c>
      <c r="D163" s="574" t="s">
        <v>126</v>
      </c>
      <c r="E163" s="575"/>
      <c r="F163" s="575"/>
      <c r="G163" s="576"/>
      <c r="H163" s="577" t="s">
        <v>127</v>
      </c>
      <c r="I163" s="579" t="s">
        <v>128</v>
      </c>
      <c r="J163" s="264"/>
      <c r="L163" s="266"/>
      <c r="M163" s="266"/>
      <c r="N163" s="266"/>
      <c r="O163" s="266"/>
    </row>
    <row r="164" spans="1:15" s="265" customFormat="1">
      <c r="A164" s="564"/>
      <c r="B164" s="566"/>
      <c r="C164" s="568"/>
      <c r="D164" s="157" t="s">
        <v>72</v>
      </c>
      <c r="E164" s="157" t="s">
        <v>78</v>
      </c>
      <c r="F164" s="217" t="s">
        <v>141</v>
      </c>
      <c r="G164" s="157" t="s">
        <v>129</v>
      </c>
      <c r="H164" s="578"/>
      <c r="I164" s="580"/>
      <c r="J164" s="561" t="s">
        <v>140</v>
      </c>
      <c r="L164" s="266"/>
      <c r="M164" s="266"/>
      <c r="N164" s="266"/>
      <c r="O164" s="266"/>
    </row>
    <row r="165" spans="1:15" s="265" customFormat="1">
      <c r="A165" s="269"/>
      <c r="B165" s="270" t="s">
        <v>130</v>
      </c>
      <c r="C165" s="271"/>
      <c r="D165" s="271"/>
      <c r="E165" s="271"/>
      <c r="F165" s="271"/>
      <c r="G165" s="271"/>
      <c r="H165" s="271"/>
      <c r="I165" s="272"/>
      <c r="J165" s="562"/>
      <c r="L165" s="266"/>
      <c r="M165" s="266"/>
      <c r="N165" s="266"/>
      <c r="O165" s="266"/>
    </row>
    <row r="166" spans="1:15" s="265" customFormat="1" ht="16.5">
      <c r="A166" s="273" t="s">
        <v>138</v>
      </c>
      <c r="B166" s="143" t="s">
        <v>118</v>
      </c>
      <c r="C166" s="274">
        <v>40560</v>
      </c>
      <c r="D166" s="165"/>
      <c r="E166" s="165">
        <v>0</v>
      </c>
      <c r="F166" s="165"/>
      <c r="G166" s="165"/>
      <c r="H166" s="275"/>
      <c r="I166" s="276">
        <f>+SUM([14]COMPTA_CREPIN!$F$3050:$F$3066)</f>
        <v>21500</v>
      </c>
      <c r="J166" s="166">
        <f>+SUM(C166:G166)-(H166+I166)</f>
        <v>19060</v>
      </c>
      <c r="L166" s="266"/>
      <c r="M166" s="266"/>
      <c r="N166" s="266"/>
      <c r="O166" s="266"/>
    </row>
    <row r="167" spans="1:15" s="265" customFormat="1" ht="16.5">
      <c r="A167" s="273" t="s">
        <v>138</v>
      </c>
      <c r="B167" s="143" t="s">
        <v>83</v>
      </c>
      <c r="C167" s="274">
        <v>227975</v>
      </c>
      <c r="D167" s="165"/>
      <c r="E167" s="165">
        <f>+'[15]Compta Dalia (2)'!$E$1908+'[15]Compta Dalia (2)'!$E$1909+'[15]Compta Dalia (2)'!$E$1911+'[15]Compta Dalia (2)'!$E$1917</f>
        <v>119600</v>
      </c>
      <c r="F167" s="165"/>
      <c r="G167" s="165"/>
      <c r="H167" s="275">
        <f>+'[15]Compta Dalia (2)'!$F$1919</f>
        <v>1635</v>
      </c>
      <c r="I167" s="276">
        <v>345940</v>
      </c>
      <c r="J167" s="166">
        <f t="shared" ref="J167:J174" si="26">+SUM(C167:G167)-(H167+I167)</f>
        <v>0</v>
      </c>
      <c r="L167" s="266"/>
      <c r="M167" s="266"/>
      <c r="N167" s="266"/>
      <c r="O167" s="266"/>
    </row>
    <row r="168" spans="1:15" s="265" customFormat="1" ht="16.5">
      <c r="A168" s="273" t="s">
        <v>138</v>
      </c>
      <c r="B168" s="143" t="s">
        <v>87</v>
      </c>
      <c r="C168" s="274">
        <v>-605</v>
      </c>
      <c r="D168" s="165"/>
      <c r="E168" s="165">
        <f>+'[16]compta (3)'!$E$2556+'[16]compta (3)'!$E$2557+'[16]compta (3)'!$E$2558</f>
        <v>30000</v>
      </c>
      <c r="F168" s="165"/>
      <c r="G168" s="165"/>
      <c r="H168" s="277"/>
      <c r="I168" s="278">
        <f>'[16]compta (3)'!$F$2559</f>
        <v>21000</v>
      </c>
      <c r="J168" s="166">
        <f t="shared" si="26"/>
        <v>8395</v>
      </c>
      <c r="L168" s="266"/>
      <c r="M168" s="266"/>
      <c r="N168" s="266"/>
      <c r="O168" s="266"/>
    </row>
    <row r="169" spans="1:15" s="265" customFormat="1" ht="16.5">
      <c r="A169" s="273" t="s">
        <v>138</v>
      </c>
      <c r="B169" s="296" t="s">
        <v>81</v>
      </c>
      <c r="C169" s="274">
        <v>264659</v>
      </c>
      <c r="D169" s="297"/>
      <c r="E169" s="297">
        <f>+'[17]compta (2)'!$E$2521+'[17]compta (2)'!$E$2525+'[17]compta (2)'!$E$2527+'[17]compta (2)'!$E$2529</f>
        <v>325000</v>
      </c>
      <c r="F169" s="297"/>
      <c r="G169" s="297"/>
      <c r="H169" s="168">
        <f>'[17]compta (2)'!$F$2528+60000</f>
        <v>75000</v>
      </c>
      <c r="I169" s="168">
        <f>'[17]compta (2)'!$F$2522+'[17]compta (2)'!$F$2523+'[17]compta (2)'!$F$2524+'[17]compta (2)'!$F$2526+'[17]compta (2)'!$F$2530+'[17]compta (2)'!$F$2532+'[17]compta (2)'!$F$2533+'[17]compta (2)'!$F$2534</f>
        <v>507100</v>
      </c>
      <c r="J169" s="298">
        <f t="shared" si="26"/>
        <v>7559</v>
      </c>
      <c r="L169" s="266"/>
      <c r="M169" s="266"/>
      <c r="N169" s="266"/>
      <c r="O169" s="266"/>
    </row>
    <row r="170" spans="1:15" s="265" customFormat="1" ht="16.5">
      <c r="A170" s="273" t="s">
        <v>138</v>
      </c>
      <c r="B170" s="296" t="s">
        <v>119</v>
      </c>
      <c r="C170" s="274">
        <v>272500</v>
      </c>
      <c r="D170" s="297"/>
      <c r="E170" s="297">
        <f>+'[18]COMPTA_I23C (2)'!$E$4171+'[18]COMPTA_I23C (2)'!$E$4172+'[18]COMPTA_I23C (2)'!$E$4174+'[18]COMPTA_I23C (2)'!$E$4178+'[18]COMPTA_I23C (2)'!$E$4180+'[18]COMPTA_I23C (2)'!$E$4181</f>
        <v>695000</v>
      </c>
      <c r="F170" s="297"/>
      <c r="G170" s="297"/>
      <c r="H170" s="168"/>
      <c r="I170" s="274">
        <v>753500</v>
      </c>
      <c r="J170" s="298">
        <f t="shared" si="26"/>
        <v>214000</v>
      </c>
      <c r="L170" s="266"/>
      <c r="M170" s="266"/>
      <c r="N170" s="266"/>
      <c r="O170" s="266"/>
    </row>
    <row r="171" spans="1:15" s="265" customFormat="1" ht="16.5">
      <c r="A171" s="273" t="s">
        <v>138</v>
      </c>
      <c r="B171" s="143" t="s">
        <v>96</v>
      </c>
      <c r="C171" s="274">
        <v>284595</v>
      </c>
      <c r="D171" s="165"/>
      <c r="E171" s="165">
        <f>+'[19]Feuil1 (2)'!$E$2684+'[19]Feuil1 (2)'!$E$2689+'[19]Feuil1 (2)'!$E$2691</f>
        <v>275000</v>
      </c>
      <c r="F171" s="165">
        <f>'[17]compta (2)'!$F$2531</f>
        <v>60000</v>
      </c>
      <c r="G171" s="165"/>
      <c r="H171" s="277"/>
      <c r="I171" s="276">
        <v>633400</v>
      </c>
      <c r="J171" s="166">
        <f t="shared" si="26"/>
        <v>-13805</v>
      </c>
      <c r="L171" s="266"/>
      <c r="M171" s="266"/>
      <c r="N171" s="266"/>
      <c r="O171" s="266"/>
    </row>
    <row r="172" spans="1:15" s="265" customFormat="1" ht="16.5">
      <c r="A172" s="273" t="s">
        <v>138</v>
      </c>
      <c r="B172" s="143" t="s">
        <v>82</v>
      </c>
      <c r="C172" s="274">
        <v>-1750</v>
      </c>
      <c r="D172" s="165"/>
      <c r="E172" s="165">
        <f>+'[20]Compta Jospin (2)'!$E$1583+'[20]Compta Jospin (2)'!$E$1584+'[20]Compta Jospin (2)'!$E$1587</f>
        <v>96400</v>
      </c>
      <c r="F172" s="165"/>
      <c r="G172" s="165"/>
      <c r="H172" s="277">
        <f>+'[20]Compta Jospin (2)'!$F$1592</f>
        <v>950</v>
      </c>
      <c r="I172" s="276">
        <v>93700</v>
      </c>
      <c r="J172" s="166">
        <f t="shared" si="26"/>
        <v>0</v>
      </c>
      <c r="L172" s="266"/>
      <c r="M172" s="266"/>
      <c r="N172" s="266"/>
      <c r="O172" s="266"/>
    </row>
    <row r="173" spans="1:15" s="265" customFormat="1" ht="16.5">
      <c r="A173" s="273" t="s">
        <v>138</v>
      </c>
      <c r="B173" s="143" t="s">
        <v>84</v>
      </c>
      <c r="C173" s="274">
        <v>265600</v>
      </c>
      <c r="D173" s="165"/>
      <c r="E173" s="165">
        <f>+'[21]COMPT-P29 (2)'!$E$190+'[21]COMPT-P29 (2)'!$E$191+'[21]COMPT-P29 (2)'!$E$196+'[21]COMPT-P29 (2)'!$E$201+'[21]COMPT-P29 (2)'!$E$202+'[21]COMPT-P29 (2)'!$E$204+'[21]COMPT-P29 (2)'!$E$207+'[21]COMPT-P29 (2)'!$E$215</f>
        <v>855600</v>
      </c>
      <c r="F173" s="165"/>
      <c r="G173" s="165"/>
      <c r="H173" s="277"/>
      <c r="I173" s="276">
        <v>1036850</v>
      </c>
      <c r="J173" s="166">
        <f t="shared" si="26"/>
        <v>84350</v>
      </c>
      <c r="L173" s="266"/>
      <c r="M173" s="266"/>
      <c r="N173" s="266"/>
      <c r="O173" s="266"/>
    </row>
    <row r="174" spans="1:15" s="265" customFormat="1" ht="16.5">
      <c r="A174" s="273" t="s">
        <v>138</v>
      </c>
      <c r="B174" s="143" t="s">
        <v>120</v>
      </c>
      <c r="C174" s="274">
        <f t="shared" ref="C174" si="27">+C147</f>
        <v>-216251</v>
      </c>
      <c r="D174" s="165"/>
      <c r="E174" s="165">
        <v>0</v>
      </c>
      <c r="F174" s="165"/>
      <c r="G174" s="165"/>
      <c r="H174" s="277"/>
      <c r="I174" s="278">
        <v>0</v>
      </c>
      <c r="J174" s="166">
        <f t="shared" si="26"/>
        <v>-216251</v>
      </c>
      <c r="L174" s="266"/>
      <c r="M174" s="266"/>
      <c r="N174" s="266"/>
      <c r="O174" s="266"/>
    </row>
    <row r="175" spans="1:15" s="265" customFormat="1" ht="16.5">
      <c r="A175" s="273" t="s">
        <v>138</v>
      </c>
      <c r="B175" s="143" t="s">
        <v>89</v>
      </c>
      <c r="C175" s="274">
        <v>1025</v>
      </c>
      <c r="D175" s="165"/>
      <c r="E175" s="165">
        <f>+'[22]compta shely'!$E$90+'[22]compta shely'!$E$97+'[22]compta shely'!$E$100</f>
        <v>25000</v>
      </c>
      <c r="F175" s="165"/>
      <c r="G175" s="165"/>
      <c r="H175" s="277"/>
      <c r="I175" s="276">
        <v>24000</v>
      </c>
      <c r="J175" s="166">
        <f>+SUM(C175:G175)-(H175+I175)</f>
        <v>2025</v>
      </c>
      <c r="L175" s="266"/>
      <c r="M175" s="266"/>
      <c r="N175" s="266"/>
      <c r="O175" s="266"/>
    </row>
    <row r="176" spans="1:15" s="265" customFormat="1" ht="16.5">
      <c r="A176" s="167" t="s">
        <v>138</v>
      </c>
      <c r="B176" s="143" t="s">
        <v>88</v>
      </c>
      <c r="C176" s="274">
        <v>0</v>
      </c>
      <c r="D176" s="167"/>
      <c r="E176" s="167">
        <f>+'[23]compta ted'!$E$11</f>
        <v>10000</v>
      </c>
      <c r="F176" s="167"/>
      <c r="G176" s="167"/>
      <c r="H176" s="277"/>
      <c r="I176" s="276">
        <v>0</v>
      </c>
      <c r="J176" s="166">
        <f>+SUM(C176:G176)-(H176+I176)</f>
        <v>10000</v>
      </c>
      <c r="L176" s="266"/>
      <c r="M176" s="266"/>
      <c r="N176" s="266"/>
      <c r="O176" s="266"/>
    </row>
    <row r="177" spans="1:15" s="265" customFormat="1">
      <c r="A177" s="279" t="s">
        <v>131</v>
      </c>
      <c r="B177" s="280"/>
      <c r="C177" s="280"/>
      <c r="D177" s="280"/>
      <c r="E177" s="280"/>
      <c r="F177" s="280"/>
      <c r="G177" s="280"/>
      <c r="H177" s="280"/>
      <c r="I177" s="280"/>
      <c r="J177" s="281"/>
      <c r="L177" s="266"/>
      <c r="M177" s="266"/>
      <c r="N177" s="266"/>
      <c r="O177" s="266"/>
    </row>
    <row r="178" spans="1:15" s="265" customFormat="1">
      <c r="A178" s="167" t="s">
        <v>138</v>
      </c>
      <c r="B178" s="173" t="s">
        <v>132</v>
      </c>
      <c r="C178" s="174">
        <v>954796</v>
      </c>
      <c r="D178" s="165">
        <v>3000000</v>
      </c>
      <c r="E178" s="165"/>
      <c r="F178" s="165"/>
      <c r="G178" s="282">
        <v>17585</v>
      </c>
      <c r="H178" s="283">
        <v>2431600</v>
      </c>
      <c r="I178" s="284">
        <v>749106</v>
      </c>
      <c r="J178" s="285">
        <f>+SUM(C178:G178)-(H178+I178)</f>
        <v>791675</v>
      </c>
      <c r="L178" s="266"/>
      <c r="M178" s="266"/>
      <c r="N178" s="266"/>
      <c r="O178" s="266"/>
    </row>
    <row r="179" spans="1:15" s="265" customFormat="1">
      <c r="A179" s="286" t="s">
        <v>133</v>
      </c>
      <c r="B179" s="270"/>
      <c r="C179" s="280"/>
      <c r="D179" s="270"/>
      <c r="E179" s="270"/>
      <c r="F179" s="270"/>
      <c r="G179" s="270"/>
      <c r="H179" s="270"/>
      <c r="I179" s="270"/>
      <c r="J179" s="281"/>
      <c r="L179" s="266"/>
      <c r="M179" s="266"/>
      <c r="N179" s="266"/>
      <c r="O179" s="266"/>
    </row>
    <row r="180" spans="1:15" s="265" customFormat="1">
      <c r="A180" s="167" t="s">
        <v>138</v>
      </c>
      <c r="B180" s="173" t="s">
        <v>134</v>
      </c>
      <c r="C180" s="274">
        <v>705838</v>
      </c>
      <c r="D180" s="287">
        <v>10801800</v>
      </c>
      <c r="E180" s="288"/>
      <c r="F180" s="288"/>
      <c r="G180" s="288"/>
      <c r="H180" s="289">
        <v>3000000</v>
      </c>
      <c r="I180" s="290">
        <v>468365</v>
      </c>
      <c r="J180" s="166">
        <f>+SUM(C180:G180)-(H180+I180)</f>
        <v>8039273</v>
      </c>
      <c r="L180" s="266"/>
      <c r="M180" s="266"/>
      <c r="N180" s="266"/>
      <c r="O180" s="266"/>
    </row>
    <row r="181" spans="1:15" s="265" customFormat="1">
      <c r="A181" s="167" t="s">
        <v>138</v>
      </c>
      <c r="B181" s="173" t="s">
        <v>135</v>
      </c>
      <c r="C181" s="274">
        <v>14874402</v>
      </c>
      <c r="D181" s="288">
        <v>3279785</v>
      </c>
      <c r="E181" s="291"/>
      <c r="F181" s="291"/>
      <c r="G181" s="291"/>
      <c r="H181" s="292"/>
      <c r="I181" s="293">
        <v>4870847</v>
      </c>
      <c r="J181" s="166">
        <f>SUM(C181:G181)-(H181+I181)</f>
        <v>13283340</v>
      </c>
      <c r="L181" s="266"/>
      <c r="M181" s="266"/>
      <c r="N181" s="266"/>
      <c r="O181" s="266"/>
    </row>
    <row r="182" spans="1:15" s="265" customFormat="1">
      <c r="L182" s="266"/>
      <c r="M182" s="266"/>
      <c r="N182" s="266"/>
      <c r="O182" s="266"/>
    </row>
    <row r="183" spans="1:15" s="265" customFormat="1">
      <c r="C183" s="294">
        <f>+SUM(C166:C181)</f>
        <v>17673344</v>
      </c>
      <c r="I183" s="294">
        <f>SUM(I166:I181)</f>
        <v>9525308</v>
      </c>
      <c r="J183" s="294">
        <f>+SUM(J166:J181)</f>
        <v>22229621</v>
      </c>
      <c r="L183" s="266"/>
      <c r="M183" s="266"/>
      <c r="N183" s="266"/>
      <c r="O183" s="266"/>
    </row>
    <row r="184" spans="1:15">
      <c r="C184" s="144"/>
      <c r="I184" s="144"/>
      <c r="J184" s="144"/>
    </row>
    <row r="185" spans="1:15">
      <c r="A185" s="209" t="s">
        <v>142</v>
      </c>
      <c r="B185" s="209"/>
    </row>
    <row r="186" spans="1:15">
      <c r="A186" s="210" t="s">
        <v>143</v>
      </c>
      <c r="B186" s="210"/>
      <c r="C186" s="210"/>
      <c r="D186" s="210"/>
      <c r="E186" s="210"/>
      <c r="F186" s="210"/>
      <c r="G186" s="210"/>
      <c r="H186" s="210"/>
      <c r="I186" s="210"/>
      <c r="J186" s="210"/>
    </row>
    <row r="188" spans="1:15">
      <c r="A188" s="581" t="s">
        <v>124</v>
      </c>
      <c r="B188" s="581" t="s">
        <v>125</v>
      </c>
      <c r="C188" s="592" t="s">
        <v>145</v>
      </c>
      <c r="D188" s="587" t="s">
        <v>126</v>
      </c>
      <c r="E188" s="587"/>
      <c r="F188" s="587"/>
      <c r="G188" s="587"/>
      <c r="H188" s="588" t="s">
        <v>127</v>
      </c>
      <c r="I188" s="590" t="s">
        <v>128</v>
      </c>
      <c r="J188" s="583" t="s">
        <v>146</v>
      </c>
      <c r="K188" s="584"/>
    </row>
    <row r="189" spans="1:15" ht="28.5" customHeight="1">
      <c r="A189" s="582"/>
      <c r="B189" s="582"/>
      <c r="C189" s="582"/>
      <c r="D189" s="214" t="s">
        <v>72</v>
      </c>
      <c r="E189" s="211" t="s">
        <v>78</v>
      </c>
      <c r="F189" s="211" t="s">
        <v>82</v>
      </c>
      <c r="G189" s="211" t="s">
        <v>129</v>
      </c>
      <c r="H189" s="589"/>
      <c r="I189" s="591"/>
      <c r="J189" s="585"/>
      <c r="K189" s="586"/>
    </row>
    <row r="190" spans="1:15">
      <c r="A190" s="192"/>
      <c r="B190" s="192" t="s">
        <v>130</v>
      </c>
      <c r="C190" s="194"/>
      <c r="D190" s="194"/>
      <c r="E190" s="194"/>
      <c r="F190" s="194"/>
      <c r="G190" s="194"/>
      <c r="H190" s="194"/>
      <c r="I190" s="194"/>
      <c r="J190" s="194"/>
      <c r="K190" s="192"/>
    </row>
    <row r="191" spans="1:15">
      <c r="A191" s="192" t="s">
        <v>144</v>
      </c>
      <c r="B191" s="192" t="s">
        <v>118</v>
      </c>
      <c r="C191" s="194">
        <v>89360</v>
      </c>
      <c r="D191" s="194"/>
      <c r="E191" s="194">
        <v>13000</v>
      </c>
      <c r="F191" s="194"/>
      <c r="G191" s="194"/>
      <c r="H191" s="194"/>
      <c r="I191" s="194">
        <v>61800</v>
      </c>
      <c r="J191" s="194">
        <v>40560</v>
      </c>
      <c r="K191" s="192"/>
    </row>
    <row r="192" spans="1:15">
      <c r="A192" s="192" t="s">
        <v>144</v>
      </c>
      <c r="B192" s="192" t="s">
        <v>83</v>
      </c>
      <c r="C192" s="194">
        <v>-1025</v>
      </c>
      <c r="D192" s="194"/>
      <c r="E192" s="194">
        <v>684500</v>
      </c>
      <c r="F192" s="194"/>
      <c r="G192" s="194"/>
      <c r="H192" s="194"/>
      <c r="I192" s="194">
        <v>455500</v>
      </c>
      <c r="J192" s="194">
        <v>227975</v>
      </c>
      <c r="K192" s="192"/>
    </row>
    <row r="193" spans="1:11">
      <c r="A193" s="192" t="s">
        <v>144</v>
      </c>
      <c r="B193" s="192" t="s">
        <v>87</v>
      </c>
      <c r="C193" s="194">
        <v>14395</v>
      </c>
      <c r="D193" s="194"/>
      <c r="E193" s="194">
        <v>40000</v>
      </c>
      <c r="F193" s="194"/>
      <c r="G193" s="194"/>
      <c r="H193" s="194"/>
      <c r="I193" s="194">
        <v>55000</v>
      </c>
      <c r="J193" s="194">
        <v>-605</v>
      </c>
      <c r="K193" s="192"/>
    </row>
    <row r="194" spans="1:11">
      <c r="A194" s="192" t="s">
        <v>144</v>
      </c>
      <c r="B194" s="192" t="s">
        <v>81</v>
      </c>
      <c r="C194" s="194">
        <v>8559</v>
      </c>
      <c r="D194" s="194"/>
      <c r="E194" s="194">
        <v>428750</v>
      </c>
      <c r="F194" s="194">
        <v>280200</v>
      </c>
      <c r="G194" s="194"/>
      <c r="H194" s="194"/>
      <c r="I194" s="194">
        <v>452850</v>
      </c>
      <c r="J194" s="194">
        <v>264659</v>
      </c>
      <c r="K194" s="192"/>
    </row>
    <row r="195" spans="1:11">
      <c r="A195" s="192" t="s">
        <v>144</v>
      </c>
      <c r="B195" s="192" t="s">
        <v>119</v>
      </c>
      <c r="C195" s="194">
        <v>-5750</v>
      </c>
      <c r="D195" s="194"/>
      <c r="E195" s="194">
        <v>1161750</v>
      </c>
      <c r="F195" s="194"/>
      <c r="G195" s="194"/>
      <c r="H195" s="194">
        <v>124000</v>
      </c>
      <c r="I195" s="194">
        <v>759500</v>
      </c>
      <c r="J195" s="194">
        <v>272500</v>
      </c>
      <c r="K195" s="192"/>
    </row>
    <row r="196" spans="1:11">
      <c r="A196" s="192" t="s">
        <v>144</v>
      </c>
      <c r="B196" s="192" t="s">
        <v>96</v>
      </c>
      <c r="C196" s="194">
        <v>12995</v>
      </c>
      <c r="D196" s="194"/>
      <c r="E196" s="194">
        <v>726000</v>
      </c>
      <c r="F196" s="194"/>
      <c r="G196" s="194"/>
      <c r="H196" s="194"/>
      <c r="I196" s="194">
        <v>454400</v>
      </c>
      <c r="J196" s="194">
        <v>284595</v>
      </c>
      <c r="K196" s="192"/>
    </row>
    <row r="197" spans="1:11">
      <c r="A197" s="192" t="s">
        <v>144</v>
      </c>
      <c r="B197" s="192" t="s">
        <v>82</v>
      </c>
      <c r="C197" s="194">
        <v>6050</v>
      </c>
      <c r="D197" s="194"/>
      <c r="E197" s="194">
        <v>736300</v>
      </c>
      <c r="F197" s="194"/>
      <c r="G197" s="194"/>
      <c r="H197" s="194">
        <v>405200</v>
      </c>
      <c r="I197" s="194">
        <v>338900</v>
      </c>
      <c r="J197" s="194">
        <v>-1750</v>
      </c>
      <c r="K197" s="192"/>
    </row>
    <row r="198" spans="1:11">
      <c r="A198" s="192" t="s">
        <v>144</v>
      </c>
      <c r="B198" s="192" t="s">
        <v>84</v>
      </c>
      <c r="C198" s="194">
        <v>142400</v>
      </c>
      <c r="D198" s="194"/>
      <c r="E198" s="194">
        <v>1014000</v>
      </c>
      <c r="F198" s="194"/>
      <c r="G198" s="194"/>
      <c r="H198" s="194">
        <v>100000</v>
      </c>
      <c r="I198" s="194">
        <v>790800</v>
      </c>
      <c r="J198" s="194">
        <v>265600</v>
      </c>
      <c r="K198" s="192"/>
    </row>
    <row r="199" spans="1:11">
      <c r="A199" s="192" t="s">
        <v>144</v>
      </c>
      <c r="B199" s="192" t="s">
        <v>120</v>
      </c>
      <c r="C199" s="194">
        <v>-221251.00072999997</v>
      </c>
      <c r="D199" s="194"/>
      <c r="E199" s="194">
        <v>485000</v>
      </c>
      <c r="F199" s="194"/>
      <c r="G199" s="194"/>
      <c r="H199" s="194">
        <v>5000</v>
      </c>
      <c r="I199" s="194">
        <v>475000</v>
      </c>
      <c r="J199" s="194">
        <v>-216251.00072999997</v>
      </c>
      <c r="K199" s="192"/>
    </row>
    <row r="200" spans="1:11">
      <c r="A200" s="192" t="s">
        <v>144</v>
      </c>
      <c r="B200" s="192" t="s">
        <v>89</v>
      </c>
      <c r="C200" s="194">
        <v>14225</v>
      </c>
      <c r="D200" s="194"/>
      <c r="E200" s="194">
        <v>30000</v>
      </c>
      <c r="F200" s="194"/>
      <c r="G200" s="194"/>
      <c r="H200" s="194"/>
      <c r="I200" s="194">
        <v>43200</v>
      </c>
      <c r="J200" s="194">
        <v>1025</v>
      </c>
      <c r="K200" s="192"/>
    </row>
    <row r="201" spans="1:11">
      <c r="A201" s="212" t="s">
        <v>131</v>
      </c>
      <c r="B201" s="212"/>
      <c r="C201" s="213"/>
      <c r="D201" s="213"/>
      <c r="E201" s="213"/>
      <c r="F201" s="213"/>
      <c r="G201" s="213"/>
      <c r="H201" s="213"/>
      <c r="I201" s="213"/>
      <c r="J201" s="213"/>
      <c r="K201" s="212"/>
    </row>
    <row r="202" spans="1:11">
      <c r="A202" s="192" t="s">
        <v>144</v>
      </c>
      <c r="B202" s="192" t="s">
        <v>132</v>
      </c>
      <c r="C202" s="194">
        <v>494738</v>
      </c>
      <c r="D202" s="194">
        <v>6000000</v>
      </c>
      <c r="E202" s="194"/>
      <c r="F202" s="194"/>
      <c r="G202" s="194">
        <v>105000</v>
      </c>
      <c r="H202" s="194">
        <v>5070300</v>
      </c>
      <c r="I202" s="194">
        <v>574642</v>
      </c>
      <c r="J202" s="194">
        <v>954796</v>
      </c>
      <c r="K202" s="192"/>
    </row>
    <row r="203" spans="1:11">
      <c r="A203" s="212" t="s">
        <v>133</v>
      </c>
      <c r="B203" s="212"/>
      <c r="C203" s="213"/>
      <c r="D203" s="213"/>
      <c r="E203" s="213"/>
      <c r="F203" s="213"/>
      <c r="G203" s="213"/>
      <c r="H203" s="213"/>
      <c r="I203" s="213"/>
      <c r="J203" s="213"/>
      <c r="K203" s="212"/>
    </row>
    <row r="204" spans="1:11">
      <c r="A204" s="192" t="s">
        <v>144</v>
      </c>
      <c r="B204" s="192" t="s">
        <v>134</v>
      </c>
      <c r="C204" s="194">
        <v>11363703</v>
      </c>
      <c r="D204" s="194"/>
      <c r="E204" s="194"/>
      <c r="F204" s="194"/>
      <c r="G204" s="194"/>
      <c r="H204" s="194">
        <v>10000000</v>
      </c>
      <c r="I204" s="194">
        <v>657865</v>
      </c>
      <c r="J204" s="194">
        <v>705838</v>
      </c>
      <c r="K204" s="192"/>
    </row>
    <row r="205" spans="1:11">
      <c r="A205" s="192" t="s">
        <v>144</v>
      </c>
      <c r="B205" s="192" t="s">
        <v>135</v>
      </c>
      <c r="C205" s="194">
        <v>4902843</v>
      </c>
      <c r="D205" s="194">
        <v>17119140</v>
      </c>
      <c r="E205" s="194"/>
      <c r="F205" s="194"/>
      <c r="G205" s="194"/>
      <c r="H205" s="194"/>
      <c r="I205" s="194">
        <v>7147581</v>
      </c>
      <c r="J205" s="194">
        <v>14874402</v>
      </c>
      <c r="K205" s="192"/>
    </row>
    <row r="206" spans="1:11">
      <c r="A206" s="192"/>
      <c r="B206" s="192"/>
      <c r="C206" s="194"/>
      <c r="D206" s="194"/>
      <c r="E206" s="194"/>
      <c r="F206" s="194"/>
      <c r="G206" s="194"/>
      <c r="H206" s="194"/>
      <c r="I206" s="194"/>
      <c r="J206" s="194"/>
      <c r="K206" s="192"/>
    </row>
    <row r="207" spans="1:11">
      <c r="A207" s="192"/>
      <c r="B207" s="192"/>
      <c r="C207" s="194"/>
      <c r="D207" s="194"/>
      <c r="E207" s="194"/>
      <c r="F207" s="194"/>
      <c r="G207" s="194"/>
      <c r="H207" s="194"/>
      <c r="I207" s="194">
        <v>12267038</v>
      </c>
      <c r="J207" s="194">
        <v>17673343.99927</v>
      </c>
      <c r="K207" s="192" t="b">
        <v>1</v>
      </c>
    </row>
    <row r="208" spans="1:11">
      <c r="J208" s="216" t="b">
        <f>J207=[24]TABLEAU!$I$16</f>
        <v>1</v>
      </c>
    </row>
  </sheetData>
  <mergeCells count="49">
    <mergeCell ref="I28:I29"/>
    <mergeCell ref="J29:J30"/>
    <mergeCell ref="A28:A29"/>
    <mergeCell ref="B28:B29"/>
    <mergeCell ref="C28:C29"/>
    <mergeCell ref="D28:G28"/>
    <mergeCell ref="H28:H29"/>
    <mergeCell ref="I83:I84"/>
    <mergeCell ref="J84:J85"/>
    <mergeCell ref="A83:A84"/>
    <mergeCell ref="B83:B84"/>
    <mergeCell ref="C83:C84"/>
    <mergeCell ref="D83:G83"/>
    <mergeCell ref="H83:H84"/>
    <mergeCell ref="A188:A189"/>
    <mergeCell ref="J137:J138"/>
    <mergeCell ref="A136:A137"/>
    <mergeCell ref="B136:B137"/>
    <mergeCell ref="C136:C137"/>
    <mergeCell ref="D136:G136"/>
    <mergeCell ref="H136:H137"/>
    <mergeCell ref="I136:I137"/>
    <mergeCell ref="B188:B189"/>
    <mergeCell ref="J188:K189"/>
    <mergeCell ref="D188:G188"/>
    <mergeCell ref="H188:H189"/>
    <mergeCell ref="I188:I189"/>
    <mergeCell ref="C188:C189"/>
    <mergeCell ref="B163:B164"/>
    <mergeCell ref="C163:C164"/>
    <mergeCell ref="A163:A164"/>
    <mergeCell ref="D163:G163"/>
    <mergeCell ref="H163:H164"/>
    <mergeCell ref="J164:J165"/>
    <mergeCell ref="I163:I164"/>
    <mergeCell ref="I109:I110"/>
    <mergeCell ref="J110:J111"/>
    <mergeCell ref="A109:A110"/>
    <mergeCell ref="B109:B110"/>
    <mergeCell ref="C109:C110"/>
    <mergeCell ref="D109:G109"/>
    <mergeCell ref="H109:H110"/>
    <mergeCell ref="I56:I57"/>
    <mergeCell ref="J57:J58"/>
    <mergeCell ref="A56:A57"/>
    <mergeCell ref="B56:B57"/>
    <mergeCell ref="C56:C57"/>
    <mergeCell ref="D56:G56"/>
    <mergeCell ref="H56:H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23"/>
  <sheetViews>
    <sheetView topLeftCell="A4" workbookViewId="0">
      <selection activeCell="AV26" sqref="AV26"/>
    </sheetView>
  </sheetViews>
  <sheetFormatPr baseColWidth="10" defaultRowHeight="15"/>
  <cols>
    <col min="1" max="1" width="21" bestFit="1" customWidth="1"/>
    <col min="2" max="2" width="23.85546875" bestFit="1" customWidth="1"/>
    <col min="3" max="3" width="16.140625" bestFit="1" customWidth="1"/>
    <col min="4" max="4" width="19.140625" bestFit="1" customWidth="1"/>
    <col min="5" max="5" width="16.140625" bestFit="1" customWidth="1"/>
    <col min="6" max="6" width="19.140625" bestFit="1" customWidth="1"/>
    <col min="7" max="7" width="16.140625" bestFit="1" customWidth="1"/>
    <col min="8" max="8" width="19.140625" bestFit="1" customWidth="1"/>
    <col min="9" max="9" width="16.140625" bestFit="1" customWidth="1"/>
    <col min="10" max="10" width="19.140625" bestFit="1" customWidth="1"/>
    <col min="11" max="11" width="16.140625" bestFit="1" customWidth="1"/>
    <col min="12" max="12" width="19.140625" bestFit="1" customWidth="1"/>
    <col min="13" max="13" width="16.140625" bestFit="1" customWidth="1"/>
    <col min="14" max="14" width="19.140625" bestFit="1" customWidth="1"/>
    <col min="15" max="15" width="16.140625" bestFit="1" customWidth="1"/>
    <col min="16" max="16" width="19.140625" bestFit="1" customWidth="1"/>
    <col min="17" max="17" width="16.140625" bestFit="1" customWidth="1"/>
    <col min="18" max="18" width="19.140625" bestFit="1" customWidth="1"/>
    <col min="19" max="19" width="16.140625" bestFit="1" customWidth="1"/>
    <col min="20" max="20" width="19.140625" bestFit="1" customWidth="1"/>
    <col min="21" max="21" width="16.140625" bestFit="1" customWidth="1"/>
    <col min="22" max="22" width="19.140625" bestFit="1" customWidth="1"/>
    <col min="23" max="23" width="16.140625" bestFit="1" customWidth="1"/>
    <col min="24" max="24" width="19.140625" bestFit="1" customWidth="1"/>
    <col min="25" max="25" width="16.140625" bestFit="1" customWidth="1"/>
    <col min="26" max="26" width="19.140625" bestFit="1" customWidth="1"/>
    <col min="27" max="27" width="16.140625" bestFit="1" customWidth="1"/>
    <col min="28" max="28" width="19.140625" bestFit="1" customWidth="1"/>
    <col min="29" max="29" width="16.140625" bestFit="1" customWidth="1"/>
    <col min="30" max="30" width="19.140625" bestFit="1" customWidth="1"/>
    <col min="31" max="31" width="16.140625" bestFit="1" customWidth="1"/>
    <col min="32" max="32" width="19.140625" bestFit="1" customWidth="1"/>
    <col min="33" max="33" width="16.140625" bestFit="1" customWidth="1"/>
    <col min="34" max="34" width="19.140625" bestFit="1" customWidth="1"/>
    <col min="35" max="35" width="16.140625" bestFit="1" customWidth="1"/>
    <col min="36" max="36" width="19.140625" bestFit="1" customWidth="1"/>
    <col min="37" max="37" width="16.140625" bestFit="1" customWidth="1"/>
    <col min="38" max="38" width="19.140625" bestFit="1" customWidth="1"/>
    <col min="39" max="39" width="16.140625" bestFit="1" customWidth="1"/>
    <col min="40" max="40" width="19.140625" bestFit="1" customWidth="1"/>
    <col min="41" max="41" width="16.140625" bestFit="1" customWidth="1"/>
    <col min="42" max="42" width="19.140625" bestFit="1" customWidth="1"/>
    <col min="43" max="43" width="16.140625" bestFit="1" customWidth="1"/>
    <col min="44" max="44" width="24.140625" bestFit="1" customWidth="1"/>
    <col min="45" max="45" width="21" bestFit="1" customWidth="1"/>
    <col min="46" max="46" width="7.28515625" customWidth="1"/>
    <col min="47" max="47" width="19.5703125" customWidth="1"/>
  </cols>
  <sheetData>
    <row r="3" spans="1:51">
      <c r="B3" s="136" t="s">
        <v>195</v>
      </c>
    </row>
    <row r="4" spans="1:51">
      <c r="B4" t="s">
        <v>28</v>
      </c>
      <c r="D4" t="s">
        <v>26</v>
      </c>
      <c r="F4" t="s">
        <v>305</v>
      </c>
      <c r="H4" t="s">
        <v>250</v>
      </c>
      <c r="J4" t="s">
        <v>196</v>
      </c>
      <c r="L4" t="s">
        <v>92</v>
      </c>
      <c r="N4" t="s">
        <v>76</v>
      </c>
      <c r="P4" t="s">
        <v>93</v>
      </c>
      <c r="R4" t="s">
        <v>15</v>
      </c>
      <c r="T4" t="s">
        <v>17</v>
      </c>
      <c r="V4" t="s">
        <v>30</v>
      </c>
      <c r="X4" t="s">
        <v>20</v>
      </c>
      <c r="Z4" t="s">
        <v>80</v>
      </c>
      <c r="AB4" t="s">
        <v>91</v>
      </c>
      <c r="AD4" t="s">
        <v>396</v>
      </c>
      <c r="AF4" t="s">
        <v>392</v>
      </c>
      <c r="AH4" t="s">
        <v>295</v>
      </c>
      <c r="AJ4" t="s">
        <v>163</v>
      </c>
      <c r="AL4" t="s">
        <v>95</v>
      </c>
      <c r="AN4" t="s">
        <v>147</v>
      </c>
      <c r="AP4" t="s">
        <v>598</v>
      </c>
      <c r="AR4" t="s">
        <v>208</v>
      </c>
      <c r="AS4" t="s">
        <v>210</v>
      </c>
    </row>
    <row r="5" spans="1:51">
      <c r="A5" s="136" t="s">
        <v>193</v>
      </c>
      <c r="B5" t="s">
        <v>209</v>
      </c>
      <c r="C5" t="s">
        <v>183</v>
      </c>
      <c r="D5" t="s">
        <v>209</v>
      </c>
      <c r="E5" t="s">
        <v>183</v>
      </c>
      <c r="F5" t="s">
        <v>209</v>
      </c>
      <c r="G5" t="s">
        <v>183</v>
      </c>
      <c r="H5" t="s">
        <v>209</v>
      </c>
      <c r="I5" t="s">
        <v>183</v>
      </c>
      <c r="J5" t="s">
        <v>209</v>
      </c>
      <c r="K5" t="s">
        <v>183</v>
      </c>
      <c r="L5" t="s">
        <v>209</v>
      </c>
      <c r="M5" t="s">
        <v>183</v>
      </c>
      <c r="N5" t="s">
        <v>209</v>
      </c>
      <c r="O5" t="s">
        <v>183</v>
      </c>
      <c r="P5" t="s">
        <v>209</v>
      </c>
      <c r="Q5" t="s">
        <v>183</v>
      </c>
      <c r="R5" t="s">
        <v>209</v>
      </c>
      <c r="S5" t="s">
        <v>183</v>
      </c>
      <c r="T5" t="s">
        <v>209</v>
      </c>
      <c r="U5" t="s">
        <v>183</v>
      </c>
      <c r="V5" t="s">
        <v>209</v>
      </c>
      <c r="W5" t="s">
        <v>183</v>
      </c>
      <c r="X5" t="s">
        <v>209</v>
      </c>
      <c r="Y5" t="s">
        <v>183</v>
      </c>
      <c r="Z5" t="s">
        <v>209</v>
      </c>
      <c r="AA5" t="s">
        <v>183</v>
      </c>
      <c r="AB5" t="s">
        <v>209</v>
      </c>
      <c r="AC5" t="s">
        <v>183</v>
      </c>
      <c r="AD5" t="s">
        <v>209</v>
      </c>
      <c r="AE5" t="s">
        <v>183</v>
      </c>
      <c r="AF5" t="s">
        <v>209</v>
      </c>
      <c r="AG5" t="s">
        <v>183</v>
      </c>
      <c r="AH5" t="s">
        <v>209</v>
      </c>
      <c r="AI5" t="s">
        <v>183</v>
      </c>
      <c r="AJ5" t="s">
        <v>209</v>
      </c>
      <c r="AK5" t="s">
        <v>183</v>
      </c>
      <c r="AL5" t="s">
        <v>209</v>
      </c>
      <c r="AM5" t="s">
        <v>183</v>
      </c>
      <c r="AN5" t="s">
        <v>209</v>
      </c>
      <c r="AO5" t="s">
        <v>183</v>
      </c>
      <c r="AP5" t="s">
        <v>209</v>
      </c>
      <c r="AQ5" t="s">
        <v>183</v>
      </c>
      <c r="AU5" s="192"/>
      <c r="AV5" s="192" t="s">
        <v>111</v>
      </c>
      <c r="AW5" s="192" t="s">
        <v>112</v>
      </c>
      <c r="AX5" s="192" t="s">
        <v>113</v>
      </c>
      <c r="AY5" s="192" t="s">
        <v>114</v>
      </c>
    </row>
    <row r="6" spans="1:51">
      <c r="A6" s="137" t="s">
        <v>72</v>
      </c>
      <c r="B6" s="138"/>
      <c r="C6" s="138">
        <v>13881</v>
      </c>
      <c r="D6" s="138"/>
      <c r="E6" s="138">
        <v>260000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>
        <v>5500000</v>
      </c>
      <c r="AP6" s="138"/>
      <c r="AQ6" s="138"/>
      <c r="AR6" s="138"/>
      <c r="AS6" s="138">
        <v>5773881</v>
      </c>
      <c r="AU6" s="192" t="s">
        <v>116</v>
      </c>
      <c r="AV6" s="194">
        <f>AN6</f>
        <v>0</v>
      </c>
      <c r="AW6" s="194">
        <f>+AO6</f>
        <v>5500000</v>
      </c>
      <c r="AX6" s="194">
        <f>+AS6-AW6</f>
        <v>273881</v>
      </c>
      <c r="AY6" s="194">
        <v>0</v>
      </c>
    </row>
    <row r="7" spans="1:51">
      <c r="A7" s="137" t="s">
        <v>74</v>
      </c>
      <c r="B7" s="138"/>
      <c r="C7" s="138">
        <v>18476</v>
      </c>
      <c r="D7" s="138"/>
      <c r="E7" s="138"/>
      <c r="F7" s="138"/>
      <c r="G7" s="138"/>
      <c r="H7" s="138">
        <v>15435980</v>
      </c>
      <c r="I7" s="138"/>
      <c r="J7" s="138"/>
      <c r="K7" s="138"/>
      <c r="L7" s="138"/>
      <c r="M7" s="138"/>
      <c r="N7" s="138"/>
      <c r="O7" s="138">
        <v>600000</v>
      </c>
      <c r="P7" s="138"/>
      <c r="Q7" s="138"/>
      <c r="R7" s="138"/>
      <c r="S7" s="138">
        <v>4906485</v>
      </c>
      <c r="T7" s="138"/>
      <c r="U7" s="138">
        <v>500000</v>
      </c>
      <c r="V7" s="138"/>
      <c r="W7" s="138"/>
      <c r="X7" s="138"/>
      <c r="Y7" s="138">
        <v>376000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>
        <v>15435980</v>
      </c>
      <c r="AS7" s="138">
        <v>6400961</v>
      </c>
      <c r="AU7" s="192" t="s">
        <v>117</v>
      </c>
      <c r="AV7" s="194">
        <f t="shared" ref="AV7:AV22" si="0">AN7</f>
        <v>0</v>
      </c>
      <c r="AW7" s="194">
        <f t="shared" ref="AW7:AW22" si="1">+AO7</f>
        <v>0</v>
      </c>
      <c r="AX7" s="194">
        <f t="shared" ref="AX7:AX22" si="2">+AS7-AW7</f>
        <v>6400961</v>
      </c>
      <c r="AY7" s="194">
        <v>15435980</v>
      </c>
    </row>
    <row r="8" spans="1:51">
      <c r="A8" s="137" t="s">
        <v>78</v>
      </c>
      <c r="B8" s="138"/>
      <c r="C8" s="138"/>
      <c r="D8" s="138"/>
      <c r="E8" s="138">
        <v>250000</v>
      </c>
      <c r="F8" s="138"/>
      <c r="G8" s="138"/>
      <c r="H8" s="138"/>
      <c r="I8" s="138"/>
      <c r="J8" s="138"/>
      <c r="K8" s="138">
        <v>89175</v>
      </c>
      <c r="L8" s="138"/>
      <c r="M8" s="138"/>
      <c r="N8" s="138"/>
      <c r="O8" s="138">
        <v>254000</v>
      </c>
      <c r="P8" s="138"/>
      <c r="Q8" s="138">
        <v>256000</v>
      </c>
      <c r="R8" s="138"/>
      <c r="S8" s="138">
        <v>50000</v>
      </c>
      <c r="T8" s="138"/>
      <c r="U8" s="138">
        <v>121294</v>
      </c>
      <c r="V8" s="138"/>
      <c r="W8" s="138">
        <v>129000</v>
      </c>
      <c r="X8" s="138"/>
      <c r="Y8" s="138"/>
      <c r="Z8" s="138"/>
      <c r="AA8" s="138">
        <v>67065</v>
      </c>
      <c r="AB8" s="138"/>
      <c r="AC8" s="138"/>
      <c r="AD8" s="138"/>
      <c r="AE8" s="138"/>
      <c r="AF8" s="138"/>
      <c r="AG8" s="138"/>
      <c r="AH8" s="138"/>
      <c r="AI8" s="138">
        <v>60000</v>
      </c>
      <c r="AJ8" s="138"/>
      <c r="AK8" s="138"/>
      <c r="AL8" s="138"/>
      <c r="AM8" s="138"/>
      <c r="AN8" s="138">
        <v>5500000</v>
      </c>
      <c r="AO8" s="138">
        <v>3968900</v>
      </c>
      <c r="AP8" s="138"/>
      <c r="AQ8" s="138"/>
      <c r="AR8" s="138">
        <v>5500000</v>
      </c>
      <c r="AS8" s="138">
        <v>5245434</v>
      </c>
      <c r="AU8" s="192" t="s">
        <v>78</v>
      </c>
      <c r="AV8" s="194">
        <f t="shared" si="0"/>
        <v>5500000</v>
      </c>
      <c r="AW8" s="194">
        <f t="shared" si="1"/>
        <v>3968900</v>
      </c>
      <c r="AX8" s="194">
        <f t="shared" si="2"/>
        <v>1276534</v>
      </c>
      <c r="AY8" s="194">
        <v>0</v>
      </c>
    </row>
    <row r="9" spans="1:51">
      <c r="A9" s="137" t="s">
        <v>149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>
        <v>24800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>
        <v>145900</v>
      </c>
      <c r="AD9" s="138"/>
      <c r="AE9" s="138"/>
      <c r="AF9" s="138"/>
      <c r="AG9" s="138"/>
      <c r="AH9" s="138"/>
      <c r="AI9" s="138"/>
      <c r="AJ9" s="138"/>
      <c r="AK9" s="138">
        <v>200000</v>
      </c>
      <c r="AL9" s="138"/>
      <c r="AM9" s="138"/>
      <c r="AN9" s="138">
        <v>385700</v>
      </c>
      <c r="AO9" s="138"/>
      <c r="AP9" s="138"/>
      <c r="AQ9" s="138"/>
      <c r="AR9" s="138">
        <v>385700</v>
      </c>
      <c r="AS9" s="138">
        <v>370700</v>
      </c>
      <c r="AU9" s="192" t="s">
        <v>149</v>
      </c>
      <c r="AV9" s="194">
        <f t="shared" si="0"/>
        <v>385700</v>
      </c>
      <c r="AW9" s="194">
        <f t="shared" si="1"/>
        <v>0</v>
      </c>
      <c r="AX9" s="194">
        <f t="shared" si="2"/>
        <v>370700</v>
      </c>
      <c r="AY9" s="194">
        <v>0</v>
      </c>
    </row>
    <row r="10" spans="1:51">
      <c r="A10" s="137" t="s">
        <v>118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>
        <v>5700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>
        <v>136000</v>
      </c>
      <c r="AD10" s="138"/>
      <c r="AE10" s="138"/>
      <c r="AF10" s="138"/>
      <c r="AG10" s="138"/>
      <c r="AH10" s="138"/>
      <c r="AI10" s="138"/>
      <c r="AJ10" s="138"/>
      <c r="AK10" s="138">
        <v>175000</v>
      </c>
      <c r="AL10" s="138"/>
      <c r="AM10" s="138"/>
      <c r="AN10" s="138">
        <v>357900</v>
      </c>
      <c r="AO10" s="138">
        <v>50000</v>
      </c>
      <c r="AP10" s="138"/>
      <c r="AQ10" s="138"/>
      <c r="AR10" s="138">
        <v>357900</v>
      </c>
      <c r="AS10" s="138">
        <v>366700</v>
      </c>
      <c r="AU10" s="192" t="s">
        <v>118</v>
      </c>
      <c r="AV10" s="194">
        <f t="shared" si="0"/>
        <v>357900</v>
      </c>
      <c r="AW10" s="194">
        <f t="shared" si="1"/>
        <v>50000</v>
      </c>
      <c r="AX10" s="194">
        <f t="shared" si="2"/>
        <v>316700</v>
      </c>
      <c r="AY10" s="194">
        <v>0</v>
      </c>
    </row>
    <row r="11" spans="1:51">
      <c r="A11" s="137" t="s">
        <v>87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>
        <v>3900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>
        <v>17500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>
        <v>20000</v>
      </c>
      <c r="AO11" s="138"/>
      <c r="AP11" s="138"/>
      <c r="AQ11" s="138"/>
      <c r="AR11" s="138">
        <v>20000</v>
      </c>
      <c r="AS11" s="138">
        <v>21400</v>
      </c>
      <c r="AU11" s="192" t="s">
        <v>87</v>
      </c>
      <c r="AV11" s="194">
        <f t="shared" si="0"/>
        <v>20000</v>
      </c>
      <c r="AW11" s="194">
        <f t="shared" si="1"/>
        <v>0</v>
      </c>
      <c r="AX11" s="194">
        <f t="shared" si="2"/>
        <v>21400</v>
      </c>
      <c r="AY11" s="194">
        <v>0</v>
      </c>
    </row>
    <row r="12" spans="1:51">
      <c r="A12" s="137" t="s">
        <v>150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>
        <v>22500</v>
      </c>
      <c r="N12" s="138"/>
      <c r="O12" s="138"/>
      <c r="P12" s="138"/>
      <c r="Q12" s="138"/>
      <c r="R12" s="138"/>
      <c r="S12" s="138">
        <v>20000</v>
      </c>
      <c r="T12" s="138"/>
      <c r="U12" s="138"/>
      <c r="V12" s="138"/>
      <c r="W12" s="138"/>
      <c r="X12" s="138"/>
      <c r="Y12" s="138"/>
      <c r="Z12" s="138"/>
      <c r="AA12" s="138"/>
      <c r="AB12" s="138"/>
      <c r="AC12" s="138">
        <v>187500</v>
      </c>
      <c r="AD12" s="138"/>
      <c r="AE12" s="138"/>
      <c r="AF12" s="138"/>
      <c r="AG12" s="138"/>
      <c r="AH12" s="138"/>
      <c r="AI12" s="138"/>
      <c r="AJ12" s="138"/>
      <c r="AK12" s="138">
        <v>290000</v>
      </c>
      <c r="AL12" s="138"/>
      <c r="AM12" s="138"/>
      <c r="AN12" s="138">
        <v>699200</v>
      </c>
      <c r="AO12" s="138"/>
      <c r="AP12" s="138"/>
      <c r="AQ12" s="138"/>
      <c r="AR12" s="138">
        <v>699200</v>
      </c>
      <c r="AS12" s="138">
        <v>520000</v>
      </c>
      <c r="AU12" s="192" t="s">
        <v>150</v>
      </c>
      <c r="AV12" s="194">
        <f t="shared" si="0"/>
        <v>699200</v>
      </c>
      <c r="AW12" s="194">
        <f t="shared" si="1"/>
        <v>0</v>
      </c>
      <c r="AX12" s="194">
        <f t="shared" si="2"/>
        <v>520000</v>
      </c>
      <c r="AY12" s="194">
        <v>0</v>
      </c>
    </row>
    <row r="13" spans="1:51">
      <c r="A13" s="137" t="s">
        <v>81</v>
      </c>
      <c r="B13" s="138"/>
      <c r="C13" s="138"/>
      <c r="D13" s="138"/>
      <c r="E13" s="138">
        <v>120000</v>
      </c>
      <c r="F13" s="138"/>
      <c r="G13" s="138">
        <v>50000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>
        <v>10000</v>
      </c>
      <c r="V13" s="138"/>
      <c r="W13" s="138"/>
      <c r="X13" s="138"/>
      <c r="Y13" s="138"/>
      <c r="Z13" s="138"/>
      <c r="AA13" s="138"/>
      <c r="AB13" s="138"/>
      <c r="AC13" s="138">
        <v>89000</v>
      </c>
      <c r="AD13" s="138"/>
      <c r="AE13" s="138"/>
      <c r="AF13" s="138"/>
      <c r="AG13" s="138"/>
      <c r="AH13" s="138"/>
      <c r="AI13" s="138"/>
      <c r="AJ13" s="138"/>
      <c r="AK13" s="138">
        <v>150000</v>
      </c>
      <c r="AL13" s="138"/>
      <c r="AM13" s="138">
        <v>3200</v>
      </c>
      <c r="AN13" s="138">
        <v>618600</v>
      </c>
      <c r="AO13" s="138">
        <v>184300</v>
      </c>
      <c r="AP13" s="138"/>
      <c r="AQ13" s="138"/>
      <c r="AR13" s="138">
        <v>618600</v>
      </c>
      <c r="AS13" s="138">
        <v>606500</v>
      </c>
      <c r="AU13" s="192" t="s">
        <v>81</v>
      </c>
      <c r="AV13" s="194">
        <f t="shared" si="0"/>
        <v>618600</v>
      </c>
      <c r="AW13" s="194">
        <f t="shared" si="1"/>
        <v>184300</v>
      </c>
      <c r="AX13" s="194">
        <f t="shared" si="2"/>
        <v>422200</v>
      </c>
      <c r="AY13" s="194">
        <v>0</v>
      </c>
    </row>
    <row r="14" spans="1:51">
      <c r="A14" s="137" t="s">
        <v>197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>
        <v>3000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>
        <v>196500</v>
      </c>
      <c r="AD14" s="138"/>
      <c r="AE14" s="138"/>
      <c r="AF14" s="138"/>
      <c r="AG14" s="138"/>
      <c r="AH14" s="138"/>
      <c r="AI14" s="138"/>
      <c r="AJ14" s="138"/>
      <c r="AK14" s="138">
        <v>450000</v>
      </c>
      <c r="AL14" s="138"/>
      <c r="AM14" s="138">
        <v>61500</v>
      </c>
      <c r="AN14" s="138">
        <v>694600</v>
      </c>
      <c r="AO14" s="138"/>
      <c r="AP14" s="138"/>
      <c r="AQ14" s="138"/>
      <c r="AR14" s="138">
        <v>694600</v>
      </c>
      <c r="AS14" s="138">
        <v>711000</v>
      </c>
      <c r="AU14" s="192" t="s">
        <v>86</v>
      </c>
      <c r="AV14" s="194">
        <f t="shared" si="0"/>
        <v>694600</v>
      </c>
      <c r="AW14" s="194">
        <f t="shared" si="1"/>
        <v>0</v>
      </c>
      <c r="AX14" s="194">
        <f t="shared" si="2"/>
        <v>711000</v>
      </c>
      <c r="AY14" s="194">
        <v>0</v>
      </c>
    </row>
    <row r="15" spans="1:51">
      <c r="A15" s="137" t="s">
        <v>158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U15" s="192" t="s">
        <v>158</v>
      </c>
      <c r="AV15" s="194">
        <f t="shared" si="0"/>
        <v>0</v>
      </c>
      <c r="AW15" s="194">
        <f t="shared" si="1"/>
        <v>0</v>
      </c>
      <c r="AX15" s="194">
        <f t="shared" si="2"/>
        <v>0</v>
      </c>
      <c r="AY15" s="194">
        <v>0</v>
      </c>
    </row>
    <row r="16" spans="1:51">
      <c r="A16" s="137" t="s">
        <v>157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U16" s="192" t="s">
        <v>157</v>
      </c>
      <c r="AV16" s="194">
        <f t="shared" si="0"/>
        <v>0</v>
      </c>
      <c r="AW16" s="194">
        <f t="shared" si="1"/>
        <v>0</v>
      </c>
      <c r="AX16" s="194">
        <f t="shared" si="2"/>
        <v>0</v>
      </c>
      <c r="AY16" s="194">
        <v>0</v>
      </c>
    </row>
    <row r="17" spans="1:51">
      <c r="A17" s="137" t="s">
        <v>96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>
        <v>55000</v>
      </c>
      <c r="AD17" s="138"/>
      <c r="AE17" s="138"/>
      <c r="AF17" s="138"/>
      <c r="AG17" s="138"/>
      <c r="AH17" s="138"/>
      <c r="AI17" s="138"/>
      <c r="AJ17" s="138"/>
      <c r="AK17" s="138">
        <v>70000</v>
      </c>
      <c r="AL17" s="138"/>
      <c r="AM17" s="138"/>
      <c r="AN17" s="138">
        <v>135600</v>
      </c>
      <c r="AO17" s="138"/>
      <c r="AP17" s="138"/>
      <c r="AQ17" s="138"/>
      <c r="AR17" s="138">
        <v>135600</v>
      </c>
      <c r="AS17" s="138">
        <v>125000</v>
      </c>
      <c r="AU17" s="192" t="s">
        <v>96</v>
      </c>
      <c r="AV17" s="194">
        <f t="shared" si="0"/>
        <v>135600</v>
      </c>
      <c r="AW17" s="194">
        <f t="shared" si="1"/>
        <v>0</v>
      </c>
      <c r="AX17" s="194">
        <f t="shared" si="2"/>
        <v>125000</v>
      </c>
      <c r="AY17" s="194">
        <v>0</v>
      </c>
    </row>
    <row r="18" spans="1:51">
      <c r="A18" s="137" t="s">
        <v>177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>
        <v>30500</v>
      </c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>
        <v>30000</v>
      </c>
      <c r="AO18" s="138"/>
      <c r="AP18" s="138"/>
      <c r="AQ18" s="138"/>
      <c r="AR18" s="138">
        <v>30000</v>
      </c>
      <c r="AS18" s="138">
        <v>30500</v>
      </c>
      <c r="AU18" s="192" t="s">
        <v>177</v>
      </c>
      <c r="AV18" s="194">
        <f t="shared" si="0"/>
        <v>30000</v>
      </c>
      <c r="AW18" s="194">
        <f t="shared" si="1"/>
        <v>0</v>
      </c>
      <c r="AX18" s="194">
        <f t="shared" si="2"/>
        <v>30500</v>
      </c>
      <c r="AY18" s="194">
        <v>0</v>
      </c>
    </row>
    <row r="19" spans="1:51">
      <c r="A19" s="137" t="s">
        <v>84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>
        <v>129000</v>
      </c>
      <c r="AD19" s="138"/>
      <c r="AE19" s="138"/>
      <c r="AF19" s="138"/>
      <c r="AG19" s="138"/>
      <c r="AH19" s="138"/>
      <c r="AI19" s="138"/>
      <c r="AJ19" s="138"/>
      <c r="AK19" s="138">
        <v>510000</v>
      </c>
      <c r="AL19" s="138"/>
      <c r="AM19" s="138">
        <v>13500</v>
      </c>
      <c r="AN19" s="138">
        <v>639000</v>
      </c>
      <c r="AO19" s="138"/>
      <c r="AP19" s="138"/>
      <c r="AQ19" s="138"/>
      <c r="AR19" s="138">
        <v>639000</v>
      </c>
      <c r="AS19" s="138">
        <v>652500</v>
      </c>
      <c r="AU19" s="192" t="s">
        <v>84</v>
      </c>
      <c r="AV19" s="194">
        <f t="shared" si="0"/>
        <v>639000</v>
      </c>
      <c r="AW19" s="194">
        <f t="shared" si="1"/>
        <v>0</v>
      </c>
      <c r="AX19" s="194">
        <f t="shared" si="2"/>
        <v>652500</v>
      </c>
      <c r="AY19" s="194">
        <v>0</v>
      </c>
    </row>
    <row r="20" spans="1:51">
      <c r="A20" s="137" t="s">
        <v>120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>
        <v>2000</v>
      </c>
      <c r="AF20" s="138"/>
      <c r="AG20" s="138">
        <v>174200</v>
      </c>
      <c r="AH20" s="138"/>
      <c r="AI20" s="138"/>
      <c r="AJ20" s="138"/>
      <c r="AK20" s="138"/>
      <c r="AL20" s="138"/>
      <c r="AM20" s="138"/>
      <c r="AN20" s="138"/>
      <c r="AO20" s="138"/>
      <c r="AP20" s="138"/>
      <c r="AQ20" s="138">
        <v>643428</v>
      </c>
      <c r="AR20" s="138"/>
      <c r="AS20" s="138">
        <v>819628</v>
      </c>
      <c r="AU20" s="192" t="s">
        <v>186</v>
      </c>
      <c r="AV20" s="194">
        <f t="shared" si="0"/>
        <v>0</v>
      </c>
      <c r="AW20" s="194">
        <f t="shared" si="1"/>
        <v>0</v>
      </c>
      <c r="AX20" s="194">
        <f t="shared" si="2"/>
        <v>819628</v>
      </c>
      <c r="AY20" s="194">
        <v>0</v>
      </c>
    </row>
    <row r="21" spans="1:51">
      <c r="A21" s="137" t="s">
        <v>200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>
        <v>4000</v>
      </c>
      <c r="T21" s="138"/>
      <c r="U21" s="138"/>
      <c r="V21" s="138"/>
      <c r="W21" s="138"/>
      <c r="X21" s="138"/>
      <c r="Y21" s="138"/>
      <c r="Z21" s="138"/>
      <c r="AA21" s="138"/>
      <c r="AB21" s="138"/>
      <c r="AC21" s="138">
        <v>134300</v>
      </c>
      <c r="AD21" s="138"/>
      <c r="AE21" s="138"/>
      <c r="AF21" s="138"/>
      <c r="AG21" s="138"/>
      <c r="AH21" s="138"/>
      <c r="AI21" s="138"/>
      <c r="AJ21" s="138"/>
      <c r="AK21" s="138">
        <v>450000</v>
      </c>
      <c r="AL21" s="138"/>
      <c r="AM21" s="138">
        <v>6000</v>
      </c>
      <c r="AN21" s="138">
        <v>622600</v>
      </c>
      <c r="AO21" s="138"/>
      <c r="AP21" s="138"/>
      <c r="AQ21" s="138"/>
      <c r="AR21" s="138">
        <v>622600</v>
      </c>
      <c r="AS21" s="138">
        <v>594300</v>
      </c>
      <c r="AU21" s="192" t="s">
        <v>200</v>
      </c>
      <c r="AV21" s="194">
        <f t="shared" si="0"/>
        <v>622600</v>
      </c>
      <c r="AW21" s="194">
        <f t="shared" si="1"/>
        <v>0</v>
      </c>
      <c r="AX21" s="194">
        <f t="shared" si="2"/>
        <v>594300</v>
      </c>
      <c r="AY21" s="194">
        <v>0</v>
      </c>
    </row>
    <row r="22" spans="1:51">
      <c r="A22" s="137" t="s">
        <v>88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>
        <v>4000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>
        <v>4000</v>
      </c>
      <c r="AU22" s="402" t="s">
        <v>88</v>
      </c>
      <c r="AV22" s="194">
        <f t="shared" si="0"/>
        <v>0</v>
      </c>
      <c r="AW22" s="194">
        <f t="shared" si="1"/>
        <v>0</v>
      </c>
      <c r="AX22" s="194">
        <f t="shared" si="2"/>
        <v>4000</v>
      </c>
      <c r="AY22" s="403">
        <v>0</v>
      </c>
    </row>
    <row r="23" spans="1:51">
      <c r="A23" s="137" t="s">
        <v>194</v>
      </c>
      <c r="B23" s="138"/>
      <c r="C23" s="138">
        <v>32357</v>
      </c>
      <c r="D23" s="138"/>
      <c r="E23" s="138">
        <v>630000</v>
      </c>
      <c r="F23" s="138"/>
      <c r="G23" s="138">
        <v>50000</v>
      </c>
      <c r="H23" s="138">
        <v>15435980</v>
      </c>
      <c r="I23" s="138"/>
      <c r="J23" s="138"/>
      <c r="K23" s="138">
        <v>89175</v>
      </c>
      <c r="L23" s="138"/>
      <c r="M23" s="138">
        <v>53000</v>
      </c>
      <c r="N23" s="138"/>
      <c r="O23" s="138">
        <v>854000</v>
      </c>
      <c r="P23" s="138"/>
      <c r="Q23" s="138">
        <v>262900</v>
      </c>
      <c r="R23" s="138"/>
      <c r="S23" s="138">
        <v>4980485</v>
      </c>
      <c r="T23" s="138"/>
      <c r="U23" s="138">
        <v>631294</v>
      </c>
      <c r="V23" s="138"/>
      <c r="W23" s="138">
        <v>129000</v>
      </c>
      <c r="X23" s="138"/>
      <c r="Y23" s="138">
        <v>376000</v>
      </c>
      <c r="Z23" s="138"/>
      <c r="AA23" s="138">
        <v>67065</v>
      </c>
      <c r="AB23" s="138"/>
      <c r="AC23" s="138">
        <v>1125200</v>
      </c>
      <c r="AD23" s="138"/>
      <c r="AE23" s="138">
        <v>2000</v>
      </c>
      <c r="AF23" s="138"/>
      <c r="AG23" s="138">
        <v>174200</v>
      </c>
      <c r="AH23" s="138"/>
      <c r="AI23" s="138">
        <v>60000</v>
      </c>
      <c r="AJ23" s="138"/>
      <c r="AK23" s="138">
        <v>2295000</v>
      </c>
      <c r="AL23" s="138"/>
      <c r="AM23" s="138">
        <v>84200</v>
      </c>
      <c r="AN23" s="138">
        <v>9703200</v>
      </c>
      <c r="AO23" s="138">
        <v>9703200</v>
      </c>
      <c r="AP23" s="138"/>
      <c r="AQ23" s="138">
        <v>643428</v>
      </c>
      <c r="AR23" s="138">
        <v>25139180</v>
      </c>
      <c r="AS23" s="138">
        <v>22242504</v>
      </c>
      <c r="AU23" s="140"/>
      <c r="AV23" s="194">
        <f>AN23</f>
        <v>9703200</v>
      </c>
      <c r="AW23" s="194">
        <f>+AO23</f>
        <v>9703200</v>
      </c>
      <c r="AX23" s="194">
        <f>+AS23-AW23</f>
        <v>12539304</v>
      </c>
      <c r="AY23" s="193">
        <v>15435980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3:B10"/>
  <sheetViews>
    <sheetView workbookViewId="0">
      <selection activeCell="B6" sqref="B6"/>
    </sheetView>
  </sheetViews>
  <sheetFormatPr baseColWidth="10" defaultRowHeight="15"/>
  <cols>
    <col min="1" max="1" width="21" bestFit="1" customWidth="1"/>
    <col min="2" max="2" width="16.140625" bestFit="1" customWidth="1"/>
  </cols>
  <sheetData>
    <row r="3" spans="1:2">
      <c r="A3" s="136" t="s">
        <v>193</v>
      </c>
      <c r="B3" t="s">
        <v>183</v>
      </c>
    </row>
    <row r="4" spans="1:2">
      <c r="A4" s="137" t="s">
        <v>50</v>
      </c>
      <c r="B4" s="138">
        <v>1658700</v>
      </c>
    </row>
    <row r="5" spans="1:2">
      <c r="A5" s="137" t="s">
        <v>251</v>
      </c>
      <c r="B5" s="138">
        <v>14700</v>
      </c>
    </row>
    <row r="6" spans="1:2">
      <c r="A6" s="137" t="s">
        <v>220</v>
      </c>
      <c r="B6" s="138">
        <v>3675809</v>
      </c>
    </row>
    <row r="7" spans="1:2">
      <c r="A7" s="137" t="s">
        <v>221</v>
      </c>
      <c r="B7" s="138">
        <v>269800</v>
      </c>
    </row>
    <row r="8" spans="1:2">
      <c r="A8" s="137" t="s">
        <v>207</v>
      </c>
      <c r="B8" s="138">
        <v>6778130</v>
      </c>
    </row>
    <row r="9" spans="1:2">
      <c r="A9" s="137" t="s">
        <v>103</v>
      </c>
      <c r="B9" s="138">
        <v>142165</v>
      </c>
    </row>
    <row r="10" spans="1:2">
      <c r="A10" s="137" t="s">
        <v>194</v>
      </c>
      <c r="B10" s="138">
        <v>12539304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BN302"/>
  <sheetViews>
    <sheetView tabSelected="1" zoomScale="82" zoomScaleNormal="82" workbookViewId="0">
      <selection activeCell="J7" sqref="J7"/>
    </sheetView>
  </sheetViews>
  <sheetFormatPr baseColWidth="10" defaultColWidth="11.42578125" defaultRowHeight="15"/>
  <cols>
    <col min="1" max="1" width="12.140625" style="131" customWidth="1"/>
    <col min="2" max="2" width="56.140625" style="131" customWidth="1"/>
    <col min="3" max="3" width="17.140625" style="131" customWidth="1"/>
    <col min="4" max="4" width="11.7109375" style="131" customWidth="1"/>
    <col min="5" max="5" width="12.42578125" style="363" customWidth="1"/>
    <col min="6" max="6" width="11.85546875" style="363" customWidth="1"/>
    <col min="7" max="7" width="17.85546875" style="132" customWidth="1"/>
    <col min="8" max="8" width="11.5703125" style="131" customWidth="1"/>
    <col min="9" max="9" width="16.5703125" style="366" customWidth="1"/>
    <col min="10" max="10" width="10.5703125" style="131" customWidth="1"/>
    <col min="11" max="11" width="8.42578125" style="131" customWidth="1"/>
    <col min="12" max="12" width="8.28515625" style="131" customWidth="1"/>
    <col min="13" max="13" width="15.85546875" style="131" customWidth="1"/>
    <col min="14" max="14" width="11.42578125" style="131"/>
    <col min="15" max="15" width="22.140625" style="131" customWidth="1"/>
    <col min="16" max="16384" width="11.42578125" style="131"/>
  </cols>
  <sheetData>
    <row r="1" spans="1:17" s="356" customFormat="1" ht="27.75" customHeight="1">
      <c r="A1" s="593" t="s">
        <v>222</v>
      </c>
      <c r="B1" s="593"/>
      <c r="C1" s="593"/>
      <c r="D1" s="593"/>
      <c r="E1" s="593"/>
      <c r="F1" s="594"/>
      <c r="G1" s="593"/>
      <c r="H1" s="593"/>
      <c r="I1" s="593"/>
      <c r="J1" s="593"/>
      <c r="K1" s="593"/>
      <c r="L1" s="593"/>
      <c r="M1" s="593"/>
      <c r="N1" s="593"/>
      <c r="O1" s="593"/>
      <c r="P1" s="358"/>
    </row>
    <row r="2" spans="1:17">
      <c r="B2" s="382" t="s">
        <v>223</v>
      </c>
      <c r="C2" s="383">
        <f>+[2]Récapitulatif!$I$20</f>
        <v>14101750.99927</v>
      </c>
    </row>
    <row r="4" spans="1:17" ht="15.75">
      <c r="B4" s="362" t="s">
        <v>54</v>
      </c>
      <c r="C4" s="362" t="s">
        <v>55</v>
      </c>
    </row>
    <row r="5" spans="1:17">
      <c r="B5" s="133" t="s">
        <v>56</v>
      </c>
      <c r="C5" s="134">
        <f>SUM(E13:E1150)</f>
        <v>25139180</v>
      </c>
      <c r="E5" s="363" t="s">
        <v>192</v>
      </c>
      <c r="H5" s="135"/>
      <c r="I5" s="463"/>
    </row>
    <row r="6" spans="1:17" ht="16.5">
      <c r="B6" s="133" t="s">
        <v>57</v>
      </c>
      <c r="C6" s="134">
        <f>SUM(F13:F1151)</f>
        <v>22242504</v>
      </c>
      <c r="E6" s="426">
        <f>+C7-Récapitulatif!I20</f>
        <v>0</v>
      </c>
      <c r="J6" s="135"/>
      <c r="K6" s="453"/>
      <c r="N6" s="215"/>
    </row>
    <row r="7" spans="1:17" ht="16.5">
      <c r="B7" s="133" t="s">
        <v>58</v>
      </c>
      <c r="C7" s="134">
        <f>C2+C5-C6</f>
        <v>16998426.99927</v>
      </c>
      <c r="D7" s="262" t="b">
        <f>C7=Récapitulatif!I20</f>
        <v>1</v>
      </c>
      <c r="K7" s="453"/>
      <c r="N7" s="215"/>
    </row>
    <row r="9" spans="1:17" ht="16.5">
      <c r="B9" s="261"/>
    </row>
    <row r="11" spans="1:17" ht="15.75">
      <c r="A11" s="352" t="s">
        <v>4</v>
      </c>
      <c r="B11" s="353" t="s">
        <v>59</v>
      </c>
      <c r="C11" s="353" t="s">
        <v>60</v>
      </c>
      <c r="D11" s="353" t="s">
        <v>61</v>
      </c>
      <c r="E11" s="365" t="s">
        <v>62</v>
      </c>
      <c r="F11" s="365" t="s">
        <v>63</v>
      </c>
      <c r="G11" s="354" t="s">
        <v>64</v>
      </c>
      <c r="H11" s="353" t="s">
        <v>65</v>
      </c>
      <c r="I11" s="367" t="s">
        <v>66</v>
      </c>
      <c r="J11" s="353" t="s">
        <v>67</v>
      </c>
      <c r="K11" s="353" t="s">
        <v>68</v>
      </c>
      <c r="L11" s="353" t="s">
        <v>69</v>
      </c>
      <c r="M11" s="353" t="s">
        <v>155</v>
      </c>
      <c r="N11" s="353" t="s">
        <v>71</v>
      </c>
      <c r="O11" s="353" t="s">
        <v>70</v>
      </c>
      <c r="P11" s="300"/>
      <c r="Q11" s="372" t="s">
        <v>174</v>
      </c>
    </row>
    <row r="12" spans="1:17" ht="15.75" hidden="1">
      <c r="A12" s="427">
        <v>44197</v>
      </c>
      <c r="B12" s="458" t="s">
        <v>224</v>
      </c>
      <c r="C12" s="458"/>
      <c r="D12" s="458"/>
      <c r="E12" s="459"/>
      <c r="F12" s="460"/>
      <c r="G12" s="461">
        <f>+C2</f>
        <v>14101750.99927</v>
      </c>
      <c r="H12" s="458"/>
      <c r="I12" s="462"/>
      <c r="J12" s="458"/>
      <c r="K12" s="458"/>
      <c r="L12" s="458"/>
      <c r="M12" s="458"/>
      <c r="N12" s="458"/>
      <c r="O12" s="458"/>
      <c r="P12" s="456"/>
      <c r="Q12" s="457"/>
    </row>
    <row r="13" spans="1:17">
      <c r="A13" s="427">
        <v>44197</v>
      </c>
      <c r="B13" s="603" t="s">
        <v>377</v>
      </c>
      <c r="C13" s="603" t="s">
        <v>91</v>
      </c>
      <c r="D13" s="604" t="s">
        <v>31</v>
      </c>
      <c r="E13" s="605"/>
      <c r="F13" s="606">
        <v>15000</v>
      </c>
      <c r="G13" s="607">
        <f>G12+E13-F13</f>
        <v>14086750.99927</v>
      </c>
      <c r="H13" s="603" t="s">
        <v>200</v>
      </c>
      <c r="I13" s="603" t="s">
        <v>94</v>
      </c>
      <c r="J13" s="608" t="s">
        <v>220</v>
      </c>
      <c r="K13" s="603" t="s">
        <v>38</v>
      </c>
      <c r="L13" s="603" t="s">
        <v>73</v>
      </c>
      <c r="M13" s="609"/>
      <c r="N13" s="610"/>
      <c r="O13" s="473"/>
      <c r="P13" s="511"/>
    </row>
    <row r="14" spans="1:17">
      <c r="A14" s="427">
        <v>44197</v>
      </c>
      <c r="B14" s="611" t="s">
        <v>391</v>
      </c>
      <c r="C14" s="611" t="s">
        <v>598</v>
      </c>
      <c r="D14" s="612" t="s">
        <v>393</v>
      </c>
      <c r="E14" s="613"/>
      <c r="F14" s="614">
        <v>643428</v>
      </c>
      <c r="G14" s="607">
        <f>G13+E14-F14</f>
        <v>13443322.99927</v>
      </c>
      <c r="H14" s="615" t="s">
        <v>120</v>
      </c>
      <c r="I14" s="603" t="s">
        <v>94</v>
      </c>
      <c r="J14" s="608" t="s">
        <v>220</v>
      </c>
      <c r="K14" s="603" t="s">
        <v>38</v>
      </c>
      <c r="L14" s="603" t="s">
        <v>73</v>
      </c>
      <c r="M14" s="615"/>
      <c r="N14" s="610"/>
      <c r="O14" s="473"/>
      <c r="P14" s="511"/>
    </row>
    <row r="15" spans="1:17" ht="15" customHeight="1">
      <c r="A15" s="427">
        <v>44197</v>
      </c>
      <c r="B15" s="603" t="s">
        <v>455</v>
      </c>
      <c r="C15" s="616" t="s">
        <v>91</v>
      </c>
      <c r="D15" s="617" t="s">
        <v>31</v>
      </c>
      <c r="E15" s="603"/>
      <c r="F15" s="618">
        <v>15000</v>
      </c>
      <c r="G15" s="607">
        <f t="shared" ref="G15:G81" si="0">G14+E15-F15</f>
        <v>13428322.99927</v>
      </c>
      <c r="H15" s="615" t="s">
        <v>197</v>
      </c>
      <c r="I15" s="603" t="s">
        <v>94</v>
      </c>
      <c r="J15" s="608" t="s">
        <v>220</v>
      </c>
      <c r="K15" s="603" t="s">
        <v>75</v>
      </c>
      <c r="L15" s="603" t="s">
        <v>73</v>
      </c>
      <c r="M15" s="609" t="s">
        <v>459</v>
      </c>
      <c r="N15" s="610" t="s">
        <v>170</v>
      </c>
      <c r="O15" s="473"/>
      <c r="P15" s="511"/>
    </row>
    <row r="16" spans="1:17" s="431" customFormat="1" ht="15" hidden="1" customHeight="1">
      <c r="A16" s="503">
        <v>44200</v>
      </c>
      <c r="B16" s="29" t="s">
        <v>225</v>
      </c>
      <c r="C16" s="27" t="s">
        <v>147</v>
      </c>
      <c r="D16" s="29"/>
      <c r="E16" s="470"/>
      <c r="F16" s="471">
        <v>1000000</v>
      </c>
      <c r="G16" s="507">
        <f t="shared" si="0"/>
        <v>12428322.99927</v>
      </c>
      <c r="H16" s="508" t="s">
        <v>72</v>
      </c>
      <c r="I16" s="36">
        <v>3654417</v>
      </c>
      <c r="J16" s="508"/>
      <c r="K16" s="504"/>
      <c r="L16" s="504"/>
      <c r="M16" s="509"/>
      <c r="N16" s="510"/>
      <c r="O16" s="504"/>
      <c r="P16" s="511"/>
    </row>
    <row r="17" spans="1:16" s="431" customFormat="1" ht="15" hidden="1" customHeight="1">
      <c r="A17" s="503">
        <v>44200</v>
      </c>
      <c r="B17" s="36" t="s">
        <v>72</v>
      </c>
      <c r="C17" s="513" t="s">
        <v>147</v>
      </c>
      <c r="D17" s="467"/>
      <c r="E17" s="470">
        <v>1000000</v>
      </c>
      <c r="F17" s="471"/>
      <c r="G17" s="507">
        <f t="shared" si="0"/>
        <v>13428322.99927</v>
      </c>
      <c r="H17" s="36" t="s">
        <v>78</v>
      </c>
      <c r="I17" s="514"/>
      <c r="J17" s="508"/>
      <c r="K17" s="504"/>
      <c r="L17" s="504"/>
      <c r="M17" s="473"/>
      <c r="N17" s="510"/>
      <c r="O17" s="473"/>
      <c r="P17" s="511"/>
    </row>
    <row r="18" spans="1:16" s="431" customFormat="1" ht="15" hidden="1" customHeight="1">
      <c r="A18" s="503">
        <v>44200</v>
      </c>
      <c r="B18" s="36" t="s">
        <v>118</v>
      </c>
      <c r="C18" s="36" t="s">
        <v>147</v>
      </c>
      <c r="D18" s="36"/>
      <c r="E18" s="470"/>
      <c r="F18" s="471">
        <v>20000</v>
      </c>
      <c r="G18" s="507">
        <f t="shared" si="0"/>
        <v>13408322.99927</v>
      </c>
      <c r="H18" s="36" t="s">
        <v>78</v>
      </c>
      <c r="I18" s="504"/>
      <c r="J18" s="508"/>
      <c r="K18" s="504"/>
      <c r="L18" s="504"/>
      <c r="M18" s="509"/>
      <c r="N18" s="510"/>
      <c r="O18" s="473"/>
      <c r="P18" s="511"/>
    </row>
    <row r="19" spans="1:16" s="431" customFormat="1" ht="15" hidden="1" customHeight="1">
      <c r="A19" s="503">
        <v>44200</v>
      </c>
      <c r="B19" s="496" t="s">
        <v>149</v>
      </c>
      <c r="C19" s="467" t="s">
        <v>147</v>
      </c>
      <c r="D19" s="36"/>
      <c r="E19" s="472"/>
      <c r="F19" s="498">
        <v>20000</v>
      </c>
      <c r="G19" s="507">
        <f t="shared" si="0"/>
        <v>13388322.99927</v>
      </c>
      <c r="H19" s="502" t="s">
        <v>78</v>
      </c>
      <c r="I19" s="515"/>
      <c r="J19" s="508"/>
      <c r="K19" s="504"/>
      <c r="L19" s="504"/>
      <c r="M19" s="509"/>
      <c r="N19" s="510"/>
      <c r="O19" s="473"/>
      <c r="P19" s="511"/>
    </row>
    <row r="20" spans="1:16" s="262" customFormat="1" ht="15" hidden="1" customHeight="1">
      <c r="A20" s="503">
        <v>44200</v>
      </c>
      <c r="B20" s="29" t="s">
        <v>141</v>
      </c>
      <c r="C20" s="36" t="s">
        <v>147</v>
      </c>
      <c r="D20" s="36"/>
      <c r="E20" s="516"/>
      <c r="F20" s="498">
        <v>100000</v>
      </c>
      <c r="G20" s="507">
        <f t="shared" si="0"/>
        <v>13288322.99927</v>
      </c>
      <c r="H20" s="36" t="s">
        <v>78</v>
      </c>
      <c r="I20" s="515"/>
      <c r="J20" s="517"/>
      <c r="K20" s="504"/>
      <c r="L20" s="504"/>
      <c r="M20" s="509"/>
      <c r="N20" s="510"/>
      <c r="O20" s="473"/>
      <c r="P20" s="495"/>
    </row>
    <row r="21" spans="1:16" ht="15" hidden="1" customHeight="1">
      <c r="A21" s="503">
        <v>44200</v>
      </c>
      <c r="B21" s="36" t="s">
        <v>150</v>
      </c>
      <c r="C21" s="36" t="s">
        <v>147</v>
      </c>
      <c r="D21" s="36"/>
      <c r="E21" s="470"/>
      <c r="F21" s="472">
        <v>65000</v>
      </c>
      <c r="G21" s="507">
        <f t="shared" si="0"/>
        <v>13223322.99927</v>
      </c>
      <c r="H21" s="36" t="s">
        <v>78</v>
      </c>
      <c r="I21" s="518"/>
      <c r="J21" s="508"/>
      <c r="K21" s="504"/>
      <c r="L21" s="504"/>
      <c r="M21" s="473"/>
      <c r="N21" s="510"/>
      <c r="O21" s="473"/>
      <c r="P21" s="495"/>
    </row>
    <row r="22" spans="1:16" ht="15" hidden="1" customHeight="1">
      <c r="A22" s="503">
        <v>44200</v>
      </c>
      <c r="B22" s="36" t="s">
        <v>84</v>
      </c>
      <c r="C22" s="36" t="s">
        <v>147</v>
      </c>
      <c r="D22" s="36"/>
      <c r="E22" s="470"/>
      <c r="F22" s="472">
        <v>20000</v>
      </c>
      <c r="G22" s="507">
        <f t="shared" si="0"/>
        <v>13203322.99927</v>
      </c>
      <c r="H22" s="36" t="s">
        <v>78</v>
      </c>
      <c r="I22" s="519"/>
      <c r="J22" s="508"/>
      <c r="K22" s="504"/>
      <c r="L22" s="504"/>
      <c r="M22" s="473"/>
      <c r="N22" s="510"/>
      <c r="O22" s="473"/>
      <c r="P22" s="495"/>
    </row>
    <row r="23" spans="1:16" ht="15" hidden="1" customHeight="1">
      <c r="A23" s="503">
        <v>44200</v>
      </c>
      <c r="B23" s="36" t="s">
        <v>84</v>
      </c>
      <c r="C23" s="36" t="s">
        <v>147</v>
      </c>
      <c r="D23" s="36"/>
      <c r="E23" s="470"/>
      <c r="F23" s="472">
        <v>100000</v>
      </c>
      <c r="G23" s="507">
        <f t="shared" si="0"/>
        <v>13103322.99927</v>
      </c>
      <c r="H23" s="36" t="s">
        <v>78</v>
      </c>
      <c r="I23" s="519"/>
      <c r="J23" s="508"/>
      <c r="K23" s="504"/>
      <c r="L23" s="504"/>
      <c r="M23" s="473"/>
      <c r="N23" s="510"/>
      <c r="O23" s="473"/>
      <c r="P23" s="495"/>
    </row>
    <row r="24" spans="1:16" ht="15" customHeight="1">
      <c r="A24" s="427">
        <v>44200</v>
      </c>
      <c r="B24" s="619" t="s">
        <v>269</v>
      </c>
      <c r="C24" s="619" t="s">
        <v>196</v>
      </c>
      <c r="D24" s="619" t="s">
        <v>21</v>
      </c>
      <c r="E24" s="620"/>
      <c r="F24" s="621">
        <v>89175</v>
      </c>
      <c r="G24" s="607">
        <f t="shared" si="0"/>
        <v>13014147.99927</v>
      </c>
      <c r="H24" s="619" t="s">
        <v>78</v>
      </c>
      <c r="I24" s="622" t="s">
        <v>94</v>
      </c>
      <c r="J24" s="623" t="s">
        <v>207</v>
      </c>
      <c r="K24" s="603" t="s">
        <v>75</v>
      </c>
      <c r="L24" s="603" t="s">
        <v>73</v>
      </c>
      <c r="M24" s="609" t="s">
        <v>460</v>
      </c>
      <c r="N24" s="610" t="s">
        <v>201</v>
      </c>
      <c r="O24" s="473"/>
      <c r="P24" s="495"/>
    </row>
    <row r="25" spans="1:16" ht="15" customHeight="1">
      <c r="A25" s="427">
        <v>44200</v>
      </c>
      <c r="B25" s="619" t="s">
        <v>270</v>
      </c>
      <c r="C25" s="619" t="s">
        <v>17</v>
      </c>
      <c r="D25" s="219" t="s">
        <v>21</v>
      </c>
      <c r="E25" s="620"/>
      <c r="F25" s="621">
        <v>13000</v>
      </c>
      <c r="G25" s="607">
        <f t="shared" si="0"/>
        <v>13001147.99927</v>
      </c>
      <c r="H25" s="619" t="s">
        <v>78</v>
      </c>
      <c r="I25" s="624" t="s">
        <v>94</v>
      </c>
      <c r="J25" s="608" t="s">
        <v>220</v>
      </c>
      <c r="K25" s="603" t="s">
        <v>38</v>
      </c>
      <c r="L25" s="603" t="s">
        <v>73</v>
      </c>
      <c r="M25" s="623"/>
      <c r="N25" s="625"/>
      <c r="O25" s="517"/>
      <c r="P25" s="495"/>
    </row>
    <row r="26" spans="1:16" ht="15" hidden="1" customHeight="1">
      <c r="A26" s="503">
        <v>44200</v>
      </c>
      <c r="B26" s="36" t="s">
        <v>118</v>
      </c>
      <c r="C26" s="36" t="s">
        <v>147</v>
      </c>
      <c r="D26" s="36"/>
      <c r="E26" s="497"/>
      <c r="F26" s="472">
        <v>50000</v>
      </c>
      <c r="G26" s="507">
        <f t="shared" si="0"/>
        <v>12951147.99927</v>
      </c>
      <c r="H26" s="36" t="s">
        <v>78</v>
      </c>
      <c r="I26" s="518"/>
      <c r="J26" s="508"/>
      <c r="K26" s="504"/>
      <c r="L26" s="504"/>
      <c r="M26" s="473"/>
      <c r="N26" s="510"/>
      <c r="O26" s="473"/>
      <c r="P26" s="495"/>
    </row>
    <row r="27" spans="1:16" ht="15" customHeight="1">
      <c r="A27" s="427">
        <v>44200</v>
      </c>
      <c r="B27" s="619" t="s">
        <v>272</v>
      </c>
      <c r="C27" s="619" t="s">
        <v>26</v>
      </c>
      <c r="D27" s="626" t="s">
        <v>595</v>
      </c>
      <c r="E27" s="620"/>
      <c r="F27" s="621">
        <v>10000</v>
      </c>
      <c r="G27" s="607">
        <f t="shared" si="0"/>
        <v>12941147.99927</v>
      </c>
      <c r="H27" s="619" t="s">
        <v>78</v>
      </c>
      <c r="I27" s="627" t="s">
        <v>162</v>
      </c>
      <c r="J27" s="628" t="s">
        <v>221</v>
      </c>
      <c r="K27" s="603" t="s">
        <v>38</v>
      </c>
      <c r="L27" s="603" t="s">
        <v>73</v>
      </c>
      <c r="M27" s="615"/>
      <c r="N27" s="610"/>
      <c r="O27" s="473"/>
      <c r="P27" s="495"/>
    </row>
    <row r="28" spans="1:16" ht="15" hidden="1" customHeight="1">
      <c r="A28" s="503">
        <v>44200</v>
      </c>
      <c r="B28" s="36" t="s">
        <v>200</v>
      </c>
      <c r="C28" s="36" t="s">
        <v>147</v>
      </c>
      <c r="D28" s="36"/>
      <c r="E28" s="470"/>
      <c r="F28" s="472">
        <v>45000</v>
      </c>
      <c r="G28" s="507">
        <f t="shared" si="0"/>
        <v>12896147.99927</v>
      </c>
      <c r="H28" s="36" t="s">
        <v>78</v>
      </c>
      <c r="I28" s="521"/>
      <c r="J28" s="508"/>
      <c r="K28" s="504"/>
      <c r="L28" s="504"/>
      <c r="M28" s="473"/>
      <c r="N28" s="510"/>
      <c r="O28" s="473"/>
      <c r="P28" s="495"/>
    </row>
    <row r="29" spans="1:16" ht="15" hidden="1" customHeight="1">
      <c r="A29" s="503">
        <v>44200</v>
      </c>
      <c r="B29" s="36" t="s">
        <v>86</v>
      </c>
      <c r="C29" s="36" t="s">
        <v>147</v>
      </c>
      <c r="D29" s="36"/>
      <c r="E29" s="470"/>
      <c r="F29" s="472">
        <v>55000</v>
      </c>
      <c r="G29" s="507">
        <f t="shared" si="0"/>
        <v>12841147.99927</v>
      </c>
      <c r="H29" s="36" t="s">
        <v>78</v>
      </c>
      <c r="I29" s="512"/>
      <c r="J29" s="508"/>
      <c r="K29" s="504"/>
      <c r="L29" s="504"/>
      <c r="M29" s="473"/>
      <c r="N29" s="510"/>
      <c r="O29" s="473"/>
      <c r="P29" s="495"/>
    </row>
    <row r="30" spans="1:16" ht="15" customHeight="1">
      <c r="A30" s="427">
        <v>44200</v>
      </c>
      <c r="B30" s="619" t="s">
        <v>273</v>
      </c>
      <c r="C30" s="619" t="s">
        <v>26</v>
      </c>
      <c r="D30" s="626" t="s">
        <v>595</v>
      </c>
      <c r="E30" s="620"/>
      <c r="F30" s="621">
        <v>30000</v>
      </c>
      <c r="G30" s="607">
        <f t="shared" si="0"/>
        <v>12811147.99927</v>
      </c>
      <c r="H30" s="619" t="s">
        <v>78</v>
      </c>
      <c r="I30" s="627" t="s">
        <v>162</v>
      </c>
      <c r="J30" s="628" t="s">
        <v>221</v>
      </c>
      <c r="K30" s="603" t="s">
        <v>38</v>
      </c>
      <c r="L30" s="603" t="s">
        <v>73</v>
      </c>
      <c r="M30" s="615"/>
      <c r="N30" s="610"/>
      <c r="O30" s="473"/>
      <c r="P30" s="495"/>
    </row>
    <row r="31" spans="1:16" s="431" customFormat="1" ht="15" customHeight="1">
      <c r="A31" s="427">
        <v>44200</v>
      </c>
      <c r="B31" s="619" t="s">
        <v>274</v>
      </c>
      <c r="C31" s="619" t="s">
        <v>26</v>
      </c>
      <c r="D31" s="626" t="s">
        <v>595</v>
      </c>
      <c r="E31" s="620"/>
      <c r="F31" s="621">
        <v>25000</v>
      </c>
      <c r="G31" s="607">
        <f t="shared" si="0"/>
        <v>12786147.99927</v>
      </c>
      <c r="H31" s="619" t="s">
        <v>78</v>
      </c>
      <c r="I31" s="627" t="s">
        <v>162</v>
      </c>
      <c r="J31" s="628" t="s">
        <v>221</v>
      </c>
      <c r="K31" s="603" t="s">
        <v>38</v>
      </c>
      <c r="L31" s="603" t="s">
        <v>73</v>
      </c>
      <c r="M31" s="609"/>
      <c r="N31" s="610"/>
      <c r="O31" s="473"/>
      <c r="P31" s="495"/>
    </row>
    <row r="32" spans="1:16" s="431" customFormat="1" ht="15" customHeight="1">
      <c r="A32" s="427">
        <v>44200</v>
      </c>
      <c r="B32" s="619" t="s">
        <v>275</v>
      </c>
      <c r="C32" s="619" t="s">
        <v>26</v>
      </c>
      <c r="D32" s="626" t="s">
        <v>595</v>
      </c>
      <c r="E32" s="629"/>
      <c r="F32" s="621">
        <v>10000</v>
      </c>
      <c r="G32" s="607">
        <f t="shared" si="0"/>
        <v>12776147.99927</v>
      </c>
      <c r="H32" s="619" t="s">
        <v>78</v>
      </c>
      <c r="I32" s="627" t="s">
        <v>162</v>
      </c>
      <c r="J32" s="628" t="s">
        <v>221</v>
      </c>
      <c r="K32" s="603" t="s">
        <v>38</v>
      </c>
      <c r="L32" s="603" t="s">
        <v>73</v>
      </c>
      <c r="M32" s="609"/>
      <c r="N32" s="610"/>
      <c r="O32" s="473"/>
      <c r="P32" s="495"/>
    </row>
    <row r="33" spans="1:17" ht="15" customHeight="1">
      <c r="A33" s="427">
        <v>44200</v>
      </c>
      <c r="B33" s="619" t="s">
        <v>276</v>
      </c>
      <c r="C33" s="619" t="s">
        <v>26</v>
      </c>
      <c r="D33" s="626" t="s">
        <v>595</v>
      </c>
      <c r="E33" s="629"/>
      <c r="F33" s="621">
        <v>30000</v>
      </c>
      <c r="G33" s="607">
        <f t="shared" si="0"/>
        <v>12746147.99927</v>
      </c>
      <c r="H33" s="619" t="s">
        <v>78</v>
      </c>
      <c r="I33" s="627" t="s">
        <v>162</v>
      </c>
      <c r="J33" s="628" t="s">
        <v>221</v>
      </c>
      <c r="K33" s="603" t="s">
        <v>38</v>
      </c>
      <c r="L33" s="603" t="s">
        <v>73</v>
      </c>
      <c r="M33" s="615"/>
      <c r="N33" s="610"/>
      <c r="O33" s="473"/>
      <c r="P33" s="495"/>
      <c r="Q33" s="431"/>
    </row>
    <row r="34" spans="1:17" s="262" customFormat="1" ht="15" customHeight="1">
      <c r="A34" s="427">
        <v>44200</v>
      </c>
      <c r="B34" s="619" t="s">
        <v>277</v>
      </c>
      <c r="C34" s="617" t="s">
        <v>26</v>
      </c>
      <c r="D34" s="626" t="s">
        <v>595</v>
      </c>
      <c r="E34" s="629"/>
      <c r="F34" s="621">
        <v>10000</v>
      </c>
      <c r="G34" s="607">
        <f t="shared" si="0"/>
        <v>12736147.99927</v>
      </c>
      <c r="H34" s="619" t="s">
        <v>78</v>
      </c>
      <c r="I34" s="627" t="s">
        <v>162</v>
      </c>
      <c r="J34" s="628" t="s">
        <v>221</v>
      </c>
      <c r="K34" s="603" t="s">
        <v>38</v>
      </c>
      <c r="L34" s="603" t="s">
        <v>73</v>
      </c>
      <c r="M34" s="609"/>
      <c r="N34" s="610"/>
      <c r="O34" s="473"/>
      <c r="P34" s="495"/>
    </row>
    <row r="35" spans="1:17" hidden="1">
      <c r="A35" s="503">
        <v>44200</v>
      </c>
      <c r="B35" s="36" t="s">
        <v>149</v>
      </c>
      <c r="C35" s="36" t="s">
        <v>147</v>
      </c>
      <c r="D35" s="36"/>
      <c r="E35" s="471"/>
      <c r="F35" s="472">
        <v>20000</v>
      </c>
      <c r="G35" s="507">
        <f t="shared" si="0"/>
        <v>12716147.99927</v>
      </c>
      <c r="H35" s="36" t="s">
        <v>78</v>
      </c>
      <c r="I35" s="467"/>
      <c r="J35" s="504"/>
      <c r="K35" s="504"/>
      <c r="L35" s="504"/>
      <c r="M35" s="473"/>
      <c r="N35" s="510"/>
      <c r="O35" s="473"/>
      <c r="P35" s="495"/>
      <c r="Q35" s="262"/>
    </row>
    <row r="36" spans="1:17" s="431" customFormat="1" ht="15" hidden="1" customHeight="1">
      <c r="A36" s="503">
        <v>44200</v>
      </c>
      <c r="B36" s="36" t="s">
        <v>316</v>
      </c>
      <c r="C36" s="36" t="s">
        <v>147</v>
      </c>
      <c r="D36" s="36"/>
      <c r="E36" s="523">
        <v>100000</v>
      </c>
      <c r="F36" s="524"/>
      <c r="G36" s="507">
        <f t="shared" si="0"/>
        <v>12816147.99927</v>
      </c>
      <c r="H36" s="508" t="s">
        <v>81</v>
      </c>
      <c r="I36" s="525"/>
      <c r="J36" s="508"/>
      <c r="K36" s="504"/>
      <c r="L36" s="504"/>
      <c r="M36" s="509"/>
      <c r="N36" s="510"/>
      <c r="O36" s="473"/>
      <c r="P36" s="495"/>
    </row>
    <row r="37" spans="1:17" s="301" customFormat="1" hidden="1">
      <c r="A37" s="503">
        <v>44200</v>
      </c>
      <c r="B37" s="36" t="s">
        <v>315</v>
      </c>
      <c r="C37" s="36" t="s">
        <v>147</v>
      </c>
      <c r="D37" s="36"/>
      <c r="E37" s="523">
        <v>50000</v>
      </c>
      <c r="F37" s="524"/>
      <c r="G37" s="507">
        <f t="shared" si="0"/>
        <v>12866147.99927</v>
      </c>
      <c r="H37" s="508" t="s">
        <v>81</v>
      </c>
      <c r="I37" s="525"/>
      <c r="J37" s="508"/>
      <c r="K37" s="504"/>
      <c r="L37" s="504"/>
      <c r="M37" s="473"/>
      <c r="N37" s="510"/>
      <c r="O37" s="473"/>
      <c r="P37" s="495"/>
    </row>
    <row r="38" spans="1:17" s="301" customFormat="1">
      <c r="A38" s="427">
        <v>44200</v>
      </c>
      <c r="B38" s="619" t="s">
        <v>312</v>
      </c>
      <c r="C38" s="619" t="s">
        <v>95</v>
      </c>
      <c r="D38" s="619" t="s">
        <v>205</v>
      </c>
      <c r="E38" s="630"/>
      <c r="F38" s="631">
        <v>3200</v>
      </c>
      <c r="G38" s="607">
        <f t="shared" si="0"/>
        <v>12862947.99927</v>
      </c>
      <c r="H38" s="608" t="s">
        <v>81</v>
      </c>
      <c r="I38" s="632" t="s">
        <v>162</v>
      </c>
      <c r="J38" s="633" t="s">
        <v>103</v>
      </c>
      <c r="K38" s="603" t="s">
        <v>38</v>
      </c>
      <c r="L38" s="603" t="s">
        <v>73</v>
      </c>
      <c r="M38" s="615"/>
      <c r="N38" s="610"/>
      <c r="O38" s="473"/>
      <c r="P38" s="495"/>
    </row>
    <row r="39" spans="1:17" s="301" customFormat="1">
      <c r="A39" s="634">
        <v>44200</v>
      </c>
      <c r="B39" s="608" t="s">
        <v>450</v>
      </c>
      <c r="C39" s="608" t="s">
        <v>163</v>
      </c>
      <c r="D39" s="623" t="s">
        <v>205</v>
      </c>
      <c r="E39" s="632"/>
      <c r="F39" s="635">
        <v>60000</v>
      </c>
      <c r="G39" s="607">
        <f t="shared" si="0"/>
        <v>12802947.99927</v>
      </c>
      <c r="H39" s="603" t="s">
        <v>84</v>
      </c>
      <c r="I39" s="618" t="s">
        <v>97</v>
      </c>
      <c r="J39" s="608" t="s">
        <v>220</v>
      </c>
      <c r="K39" s="608" t="s">
        <v>75</v>
      </c>
      <c r="L39" s="608" t="s">
        <v>73</v>
      </c>
      <c r="M39" s="609" t="s">
        <v>461</v>
      </c>
      <c r="N39" s="625" t="s">
        <v>104</v>
      </c>
      <c r="O39" s="473"/>
      <c r="P39" s="495"/>
    </row>
    <row r="40" spans="1:17" s="301" customFormat="1" hidden="1">
      <c r="A40" s="503">
        <v>44200</v>
      </c>
      <c r="B40" s="504" t="s">
        <v>98</v>
      </c>
      <c r="C40" s="36" t="s">
        <v>147</v>
      </c>
      <c r="D40" s="473"/>
      <c r="E40" s="527">
        <v>20000</v>
      </c>
      <c r="F40" s="528"/>
      <c r="G40" s="507">
        <f t="shared" si="0"/>
        <v>12822947.99927</v>
      </c>
      <c r="H40" s="504" t="s">
        <v>84</v>
      </c>
      <c r="I40" s="512"/>
      <c r="J40" s="529"/>
      <c r="K40" s="529"/>
      <c r="L40" s="529"/>
      <c r="M40" s="529"/>
      <c r="N40" s="529"/>
      <c r="O40" s="510"/>
      <c r="P40" s="495"/>
    </row>
    <row r="41" spans="1:17" s="431" customFormat="1" ht="15" hidden="1" customHeight="1">
      <c r="A41" s="503">
        <v>44200</v>
      </c>
      <c r="B41" s="512" t="s">
        <v>98</v>
      </c>
      <c r="C41" s="36" t="s">
        <v>147</v>
      </c>
      <c r="D41" s="473"/>
      <c r="E41" s="527">
        <v>100000</v>
      </c>
      <c r="F41" s="528"/>
      <c r="G41" s="507">
        <f t="shared" si="0"/>
        <v>12922947.99927</v>
      </c>
      <c r="H41" s="504" t="s">
        <v>84</v>
      </c>
      <c r="I41" s="512"/>
      <c r="J41" s="529"/>
      <c r="K41" s="529"/>
      <c r="L41" s="529"/>
      <c r="M41" s="529"/>
      <c r="N41" s="529"/>
      <c r="O41" s="473"/>
      <c r="P41" s="495"/>
      <c r="Q41" s="262"/>
    </row>
    <row r="42" spans="1:17" s="431" customFormat="1" ht="15" customHeight="1">
      <c r="A42" s="427">
        <v>44200</v>
      </c>
      <c r="B42" s="603" t="s">
        <v>318</v>
      </c>
      <c r="C42" s="603" t="s">
        <v>163</v>
      </c>
      <c r="D42" s="619" t="s">
        <v>31</v>
      </c>
      <c r="E42" s="636"/>
      <c r="F42" s="637">
        <v>100000</v>
      </c>
      <c r="G42" s="607">
        <f t="shared" si="0"/>
        <v>12822947.99927</v>
      </c>
      <c r="H42" s="603" t="s">
        <v>84</v>
      </c>
      <c r="I42" s="618" t="s">
        <v>164</v>
      </c>
      <c r="J42" s="608" t="s">
        <v>220</v>
      </c>
      <c r="K42" s="608" t="s">
        <v>75</v>
      </c>
      <c r="L42" s="608" t="s">
        <v>73</v>
      </c>
      <c r="M42" s="609" t="s">
        <v>462</v>
      </c>
      <c r="N42" s="625" t="s">
        <v>104</v>
      </c>
      <c r="O42" s="473"/>
      <c r="P42" s="495"/>
      <c r="Q42" s="262"/>
    </row>
    <row r="43" spans="1:17" s="431" customFormat="1" ht="15" hidden="1" customHeight="1">
      <c r="A43" s="503">
        <v>44200</v>
      </c>
      <c r="B43" s="504" t="s">
        <v>339</v>
      </c>
      <c r="C43" s="36" t="s">
        <v>147</v>
      </c>
      <c r="D43" s="36"/>
      <c r="E43" s="527">
        <v>55000</v>
      </c>
      <c r="F43" s="469"/>
      <c r="G43" s="507">
        <f t="shared" si="0"/>
        <v>12877947.99927</v>
      </c>
      <c r="H43" s="473" t="s">
        <v>197</v>
      </c>
      <c r="I43" s="512"/>
      <c r="J43" s="508"/>
      <c r="K43" s="504"/>
      <c r="L43" s="504"/>
      <c r="M43" s="473"/>
      <c r="N43" s="510"/>
      <c r="O43" s="473"/>
      <c r="P43" s="495"/>
      <c r="Q43" s="262"/>
    </row>
    <row r="44" spans="1:17" s="431" customFormat="1" ht="15" hidden="1" customHeight="1">
      <c r="A44" s="503">
        <v>44200</v>
      </c>
      <c r="B44" s="29" t="s">
        <v>356</v>
      </c>
      <c r="C44" s="36" t="s">
        <v>147</v>
      </c>
      <c r="D44" s="36"/>
      <c r="E44" s="218">
        <v>20000</v>
      </c>
      <c r="F44" s="37"/>
      <c r="G44" s="507">
        <f t="shared" si="0"/>
        <v>12897947.99927</v>
      </c>
      <c r="H44" s="29" t="s">
        <v>149</v>
      </c>
      <c r="I44" s="27"/>
      <c r="J44" s="508"/>
      <c r="K44" s="504"/>
      <c r="L44" s="504"/>
      <c r="M44" s="473"/>
      <c r="N44" s="510"/>
      <c r="O44" s="473"/>
      <c r="P44" s="495"/>
      <c r="Q44" s="262"/>
    </row>
    <row r="45" spans="1:17" ht="15" hidden="1" customHeight="1">
      <c r="A45" s="503">
        <v>44200</v>
      </c>
      <c r="B45" s="29" t="s">
        <v>356</v>
      </c>
      <c r="C45" s="36" t="s">
        <v>147</v>
      </c>
      <c r="D45" s="36"/>
      <c r="E45" s="218">
        <v>20000</v>
      </c>
      <c r="F45" s="37"/>
      <c r="G45" s="507">
        <f t="shared" si="0"/>
        <v>12917947.99927</v>
      </c>
      <c r="H45" s="29" t="s">
        <v>149</v>
      </c>
      <c r="I45" s="27"/>
      <c r="J45" s="508"/>
      <c r="K45" s="504"/>
      <c r="L45" s="504"/>
      <c r="M45" s="473"/>
      <c r="N45" s="510"/>
      <c r="O45" s="473"/>
      <c r="P45" s="495"/>
    </row>
    <row r="46" spans="1:17" ht="15" hidden="1" customHeight="1">
      <c r="A46" s="503">
        <v>44200</v>
      </c>
      <c r="B46" s="29" t="s">
        <v>376</v>
      </c>
      <c r="C46" s="36" t="s">
        <v>147</v>
      </c>
      <c r="D46" s="36"/>
      <c r="E46" s="218">
        <v>65000</v>
      </c>
      <c r="F46" s="37"/>
      <c r="G46" s="507">
        <f t="shared" si="0"/>
        <v>12982947.99927</v>
      </c>
      <c r="H46" s="502" t="s">
        <v>150</v>
      </c>
      <c r="I46" s="530"/>
      <c r="J46" s="508"/>
      <c r="K46" s="504"/>
      <c r="L46" s="504"/>
      <c r="M46" s="473"/>
      <c r="N46" s="510"/>
      <c r="O46" s="473"/>
      <c r="P46" s="495"/>
    </row>
    <row r="47" spans="1:17" s="262" customFormat="1" ht="15" customHeight="1">
      <c r="A47" s="427">
        <v>44200</v>
      </c>
      <c r="B47" s="619" t="s">
        <v>358</v>
      </c>
      <c r="C47" s="608" t="s">
        <v>91</v>
      </c>
      <c r="D47" s="619" t="s">
        <v>148</v>
      </c>
      <c r="E47" s="638"/>
      <c r="F47" s="639">
        <v>15000</v>
      </c>
      <c r="G47" s="607">
        <f t="shared" si="0"/>
        <v>12967947.99927</v>
      </c>
      <c r="H47" s="640" t="s">
        <v>150</v>
      </c>
      <c r="I47" s="641" t="s">
        <v>162</v>
      </c>
      <c r="J47" s="608" t="s">
        <v>220</v>
      </c>
      <c r="K47" s="608" t="s">
        <v>75</v>
      </c>
      <c r="L47" s="603" t="s">
        <v>73</v>
      </c>
      <c r="M47" s="609" t="s">
        <v>463</v>
      </c>
      <c r="N47" s="615" t="s">
        <v>170</v>
      </c>
      <c r="O47" s="473"/>
      <c r="P47" s="495"/>
    </row>
    <row r="48" spans="1:17" s="262" customFormat="1" ht="15" customHeight="1">
      <c r="A48" s="427">
        <v>44200</v>
      </c>
      <c r="B48" s="619" t="s">
        <v>362</v>
      </c>
      <c r="C48" s="603" t="s">
        <v>163</v>
      </c>
      <c r="D48" s="619" t="s">
        <v>148</v>
      </c>
      <c r="E48" s="638"/>
      <c r="F48" s="638">
        <v>60000</v>
      </c>
      <c r="G48" s="607">
        <f t="shared" si="0"/>
        <v>12907947.99927</v>
      </c>
      <c r="H48" s="640" t="s">
        <v>150</v>
      </c>
      <c r="I48" s="641" t="s">
        <v>162</v>
      </c>
      <c r="J48" s="608" t="s">
        <v>207</v>
      </c>
      <c r="K48" s="608" t="s">
        <v>75</v>
      </c>
      <c r="L48" s="603" t="s">
        <v>73</v>
      </c>
      <c r="M48" s="609" t="s">
        <v>465</v>
      </c>
      <c r="N48" s="615" t="s">
        <v>104</v>
      </c>
      <c r="O48" s="473"/>
      <c r="P48" s="495"/>
    </row>
    <row r="49" spans="1:17" ht="15" hidden="1" customHeight="1">
      <c r="A49" s="503">
        <v>44200</v>
      </c>
      <c r="B49" s="504" t="s">
        <v>390</v>
      </c>
      <c r="C49" s="36" t="s">
        <v>147</v>
      </c>
      <c r="D49" s="473"/>
      <c r="E49" s="531">
        <v>45000</v>
      </c>
      <c r="F49" s="532"/>
      <c r="G49" s="507">
        <f t="shared" si="0"/>
        <v>12952947.99927</v>
      </c>
      <c r="H49" s="504" t="s">
        <v>200</v>
      </c>
      <c r="I49" s="512"/>
      <c r="J49" s="508"/>
      <c r="K49" s="504"/>
      <c r="L49" s="504"/>
      <c r="M49" s="473"/>
      <c r="N49" s="510"/>
      <c r="O49" s="473"/>
      <c r="P49" s="495"/>
      <c r="Q49" s="262"/>
    </row>
    <row r="50" spans="1:17" ht="15" hidden="1" customHeight="1">
      <c r="A50" s="533">
        <v>44200</v>
      </c>
      <c r="B50" s="534" t="s">
        <v>410</v>
      </c>
      <c r="C50" s="36" t="s">
        <v>147</v>
      </c>
      <c r="D50" s="534"/>
      <c r="E50" s="535">
        <v>20000</v>
      </c>
      <c r="F50" s="526"/>
      <c r="G50" s="507">
        <f t="shared" si="0"/>
        <v>12972947.99927</v>
      </c>
      <c r="H50" s="534" t="s">
        <v>118</v>
      </c>
      <c r="I50" s="536"/>
      <c r="J50" s="508"/>
      <c r="K50" s="504"/>
      <c r="L50" s="504"/>
      <c r="M50" s="473"/>
      <c r="N50" s="510"/>
      <c r="O50" s="473"/>
      <c r="P50" s="495"/>
      <c r="Q50" s="262"/>
    </row>
    <row r="51" spans="1:17" ht="15" hidden="1" customHeight="1">
      <c r="A51" s="533">
        <v>44200</v>
      </c>
      <c r="B51" s="534" t="s">
        <v>410</v>
      </c>
      <c r="C51" s="36" t="s">
        <v>147</v>
      </c>
      <c r="D51" s="534"/>
      <c r="E51" s="535">
        <v>50000</v>
      </c>
      <c r="F51" s="526"/>
      <c r="G51" s="507">
        <f t="shared" si="0"/>
        <v>13022947.99927</v>
      </c>
      <c r="H51" s="534" t="s">
        <v>118</v>
      </c>
      <c r="I51" s="536"/>
      <c r="J51" s="508"/>
      <c r="K51" s="504"/>
      <c r="L51" s="504"/>
      <c r="M51" s="473"/>
      <c r="N51" s="510"/>
      <c r="O51" s="473"/>
      <c r="P51" s="495"/>
    </row>
    <row r="52" spans="1:17" s="431" customFormat="1" ht="15" hidden="1" customHeight="1">
      <c r="A52" s="533">
        <v>44200</v>
      </c>
      <c r="B52" s="534" t="s">
        <v>411</v>
      </c>
      <c r="C52" s="36" t="s">
        <v>147</v>
      </c>
      <c r="D52" s="534"/>
      <c r="E52" s="535"/>
      <c r="F52" s="526">
        <v>50000</v>
      </c>
      <c r="G52" s="507">
        <f t="shared" si="0"/>
        <v>12972947.99927</v>
      </c>
      <c r="H52" s="534" t="s">
        <v>118</v>
      </c>
      <c r="I52" s="536"/>
      <c r="J52" s="508"/>
      <c r="K52" s="504"/>
      <c r="L52" s="504"/>
      <c r="M52" s="473"/>
      <c r="N52" s="510"/>
      <c r="O52" s="473"/>
      <c r="P52" s="495"/>
    </row>
    <row r="53" spans="1:17" s="431" customFormat="1" ht="15" customHeight="1">
      <c r="A53" s="642">
        <v>44201</v>
      </c>
      <c r="B53" s="619" t="s">
        <v>604</v>
      </c>
      <c r="C53" s="619" t="s">
        <v>26</v>
      </c>
      <c r="D53" s="619" t="s">
        <v>595</v>
      </c>
      <c r="E53" s="630"/>
      <c r="F53" s="631">
        <v>120000</v>
      </c>
      <c r="G53" s="607">
        <f t="shared" si="0"/>
        <v>12852947.99927</v>
      </c>
      <c r="H53" s="608" t="s">
        <v>81</v>
      </c>
      <c r="I53" s="627" t="s">
        <v>162</v>
      </c>
      <c r="J53" s="628" t="s">
        <v>221</v>
      </c>
      <c r="K53" s="603" t="s">
        <v>38</v>
      </c>
      <c r="L53" s="603" t="s">
        <v>73</v>
      </c>
      <c r="M53" s="615"/>
      <c r="N53" s="610"/>
      <c r="O53" s="473"/>
      <c r="P53" s="495"/>
    </row>
    <row r="54" spans="1:17" s="431" customFormat="1" ht="15" customHeight="1">
      <c r="A54" s="642">
        <v>44201</v>
      </c>
      <c r="B54" s="619" t="s">
        <v>603</v>
      </c>
      <c r="C54" s="619" t="s">
        <v>17</v>
      </c>
      <c r="D54" s="619" t="s">
        <v>595</v>
      </c>
      <c r="E54" s="630"/>
      <c r="F54" s="631">
        <v>10000</v>
      </c>
      <c r="G54" s="607">
        <f t="shared" si="0"/>
        <v>12842947.99927</v>
      </c>
      <c r="H54" s="608" t="s">
        <v>81</v>
      </c>
      <c r="I54" s="627" t="s">
        <v>162</v>
      </c>
      <c r="J54" s="628" t="s">
        <v>221</v>
      </c>
      <c r="K54" s="603" t="s">
        <v>38</v>
      </c>
      <c r="L54" s="603" t="s">
        <v>73</v>
      </c>
      <c r="M54" s="609"/>
      <c r="N54" s="610"/>
      <c r="O54" s="473"/>
      <c r="P54" s="495"/>
    </row>
    <row r="55" spans="1:17" s="262" customFormat="1" ht="15" customHeight="1">
      <c r="A55" s="427">
        <v>44201</v>
      </c>
      <c r="B55" s="603" t="s">
        <v>319</v>
      </c>
      <c r="C55" s="603" t="s">
        <v>91</v>
      </c>
      <c r="D55" s="619" t="s">
        <v>31</v>
      </c>
      <c r="E55" s="636"/>
      <c r="F55" s="637">
        <v>4000</v>
      </c>
      <c r="G55" s="607">
        <f t="shared" si="0"/>
        <v>12838947.99927</v>
      </c>
      <c r="H55" s="603" t="s">
        <v>84</v>
      </c>
      <c r="I55" s="618" t="s">
        <v>97</v>
      </c>
      <c r="J55" s="633" t="s">
        <v>103</v>
      </c>
      <c r="K55" s="603" t="s">
        <v>75</v>
      </c>
      <c r="L55" s="603" t="s">
        <v>73</v>
      </c>
      <c r="M55" s="609" t="s">
        <v>466</v>
      </c>
      <c r="N55" s="610" t="s">
        <v>170</v>
      </c>
      <c r="O55" s="473"/>
      <c r="P55" s="495"/>
    </row>
    <row r="56" spans="1:17" s="431" customFormat="1" ht="15" customHeight="1">
      <c r="A56" s="427">
        <v>44201</v>
      </c>
      <c r="B56" s="603" t="s">
        <v>333</v>
      </c>
      <c r="C56" s="603" t="s">
        <v>163</v>
      </c>
      <c r="D56" s="619" t="s">
        <v>31</v>
      </c>
      <c r="E56" s="643"/>
      <c r="F56" s="643">
        <v>100000</v>
      </c>
      <c r="G56" s="607">
        <f t="shared" si="0"/>
        <v>12738947.99927</v>
      </c>
      <c r="H56" s="615" t="s">
        <v>197</v>
      </c>
      <c r="I56" s="618" t="s">
        <v>162</v>
      </c>
      <c r="J56" s="608" t="s">
        <v>220</v>
      </c>
      <c r="K56" s="603" t="s">
        <v>75</v>
      </c>
      <c r="L56" s="603" t="s">
        <v>73</v>
      </c>
      <c r="M56" s="609" t="s">
        <v>467</v>
      </c>
      <c r="N56" s="610" t="s">
        <v>104</v>
      </c>
      <c r="O56" s="473"/>
      <c r="P56" s="495"/>
    </row>
    <row r="57" spans="1:17" s="262" customFormat="1" ht="15" customHeight="1">
      <c r="A57" s="427">
        <v>44201</v>
      </c>
      <c r="B57" s="603" t="s">
        <v>378</v>
      </c>
      <c r="C57" s="603" t="s">
        <v>163</v>
      </c>
      <c r="D57" s="615" t="s">
        <v>31</v>
      </c>
      <c r="E57" s="605"/>
      <c r="F57" s="644">
        <v>100000</v>
      </c>
      <c r="G57" s="607">
        <f t="shared" si="0"/>
        <v>12638947.99927</v>
      </c>
      <c r="H57" s="603" t="s">
        <v>200</v>
      </c>
      <c r="I57" s="618" t="s">
        <v>164</v>
      </c>
      <c r="J57" s="608" t="s">
        <v>220</v>
      </c>
      <c r="K57" s="603" t="s">
        <v>38</v>
      </c>
      <c r="L57" s="603" t="s">
        <v>73</v>
      </c>
      <c r="M57" s="609"/>
      <c r="N57" s="610"/>
      <c r="O57" s="473"/>
      <c r="P57" s="495"/>
    </row>
    <row r="58" spans="1:17" s="468" customFormat="1" ht="15" customHeight="1">
      <c r="A58" s="634">
        <v>44202</v>
      </c>
      <c r="B58" s="640" t="s">
        <v>278</v>
      </c>
      <c r="C58" s="640" t="s">
        <v>76</v>
      </c>
      <c r="D58" s="640" t="s">
        <v>148</v>
      </c>
      <c r="E58" s="621"/>
      <c r="F58" s="621">
        <v>76000</v>
      </c>
      <c r="G58" s="607">
        <f t="shared" si="0"/>
        <v>12562947.99927</v>
      </c>
      <c r="H58" s="640" t="s">
        <v>78</v>
      </c>
      <c r="I58" s="624" t="s">
        <v>94</v>
      </c>
      <c r="J58" s="623" t="s">
        <v>207</v>
      </c>
      <c r="K58" s="608" t="s">
        <v>75</v>
      </c>
      <c r="L58" s="608" t="s">
        <v>73</v>
      </c>
      <c r="M58" s="645" t="s">
        <v>468</v>
      </c>
      <c r="N58" s="625" t="s">
        <v>85</v>
      </c>
      <c r="O58" s="517"/>
      <c r="P58" s="540"/>
    </row>
    <row r="59" spans="1:17" s="431" customFormat="1" ht="15" hidden="1" customHeight="1">
      <c r="A59" s="503">
        <v>44202</v>
      </c>
      <c r="B59" s="36" t="s">
        <v>150</v>
      </c>
      <c r="C59" s="36" t="s">
        <v>147</v>
      </c>
      <c r="D59" s="36"/>
      <c r="E59" s="471"/>
      <c r="F59" s="472">
        <v>146300</v>
      </c>
      <c r="G59" s="507">
        <f t="shared" si="0"/>
        <v>12416647.99927</v>
      </c>
      <c r="H59" s="36" t="s">
        <v>78</v>
      </c>
      <c r="I59" s="512"/>
      <c r="J59" s="508"/>
      <c r="K59" s="504"/>
      <c r="L59" s="504"/>
      <c r="M59" s="473"/>
      <c r="N59" s="510"/>
      <c r="O59" s="473"/>
      <c r="P59" s="495"/>
    </row>
    <row r="60" spans="1:17" s="431" customFormat="1" ht="15" customHeight="1">
      <c r="A60" s="427">
        <v>44202</v>
      </c>
      <c r="B60" s="619" t="s">
        <v>198</v>
      </c>
      <c r="C60" s="619" t="s">
        <v>80</v>
      </c>
      <c r="D60" s="219" t="s">
        <v>21</v>
      </c>
      <c r="E60" s="620"/>
      <c r="F60" s="621">
        <v>4390</v>
      </c>
      <c r="G60" s="607">
        <f t="shared" si="0"/>
        <v>12412257.99927</v>
      </c>
      <c r="H60" s="619" t="s">
        <v>78</v>
      </c>
      <c r="I60" s="622" t="s">
        <v>94</v>
      </c>
      <c r="J60" s="608" t="s">
        <v>103</v>
      </c>
      <c r="K60" s="603" t="s">
        <v>75</v>
      </c>
      <c r="L60" s="603" t="s">
        <v>73</v>
      </c>
      <c r="M60" s="609" t="s">
        <v>469</v>
      </c>
      <c r="N60" s="610" t="s">
        <v>172</v>
      </c>
      <c r="O60" s="473"/>
      <c r="P60" s="495"/>
    </row>
    <row r="61" spans="1:17" s="262" customFormat="1" ht="15" customHeight="1">
      <c r="A61" s="427">
        <v>44202</v>
      </c>
      <c r="B61" s="619" t="s">
        <v>359</v>
      </c>
      <c r="C61" s="608" t="s">
        <v>91</v>
      </c>
      <c r="D61" s="619" t="s">
        <v>148</v>
      </c>
      <c r="E61" s="639"/>
      <c r="F61" s="639">
        <v>5000</v>
      </c>
      <c r="G61" s="607">
        <f t="shared" si="0"/>
        <v>12407257.99927</v>
      </c>
      <c r="H61" s="640" t="s">
        <v>150</v>
      </c>
      <c r="I61" s="641" t="s">
        <v>94</v>
      </c>
      <c r="J61" s="608" t="s">
        <v>207</v>
      </c>
      <c r="K61" s="608" t="s">
        <v>75</v>
      </c>
      <c r="L61" s="603" t="s">
        <v>73</v>
      </c>
      <c r="M61" s="609" t="s">
        <v>470</v>
      </c>
      <c r="N61" s="615" t="s">
        <v>170</v>
      </c>
      <c r="O61" s="473"/>
      <c r="P61" s="495"/>
    </row>
    <row r="62" spans="1:17" ht="15" hidden="1" customHeight="1">
      <c r="A62" s="503">
        <v>44202</v>
      </c>
      <c r="B62" s="29" t="s">
        <v>376</v>
      </c>
      <c r="C62" s="36" t="s">
        <v>147</v>
      </c>
      <c r="D62" s="36"/>
      <c r="E62" s="37">
        <v>146300</v>
      </c>
      <c r="F62" s="37"/>
      <c r="G62" s="507">
        <f t="shared" si="0"/>
        <v>12553557.99927</v>
      </c>
      <c r="H62" s="502" t="s">
        <v>150</v>
      </c>
      <c r="I62" s="502"/>
      <c r="J62" s="508"/>
      <c r="K62" s="504"/>
      <c r="L62" s="504"/>
      <c r="M62" s="473"/>
      <c r="N62" s="510"/>
      <c r="O62" s="473"/>
      <c r="P62" s="495"/>
    </row>
    <row r="63" spans="1:17" ht="15" hidden="1" customHeight="1">
      <c r="A63" s="503">
        <v>44203</v>
      </c>
      <c r="B63" s="29" t="s">
        <v>226</v>
      </c>
      <c r="C63" s="29" t="s">
        <v>147</v>
      </c>
      <c r="D63" s="29"/>
      <c r="E63" s="470"/>
      <c r="F63" s="470">
        <v>1000000</v>
      </c>
      <c r="G63" s="507">
        <f t="shared" si="0"/>
        <v>11553557.99927</v>
      </c>
      <c r="H63" s="508" t="s">
        <v>72</v>
      </c>
      <c r="I63" s="467">
        <v>3654418</v>
      </c>
      <c r="J63" s="538"/>
      <c r="K63" s="504"/>
      <c r="L63" s="504"/>
      <c r="M63" s="509"/>
      <c r="N63" s="510"/>
      <c r="O63" s="473"/>
      <c r="P63" s="495"/>
    </row>
    <row r="64" spans="1:17" s="262" customFormat="1" ht="15" hidden="1" customHeight="1">
      <c r="A64" s="503">
        <v>44203</v>
      </c>
      <c r="B64" s="36" t="s">
        <v>72</v>
      </c>
      <c r="C64" s="36" t="s">
        <v>147</v>
      </c>
      <c r="D64" s="36"/>
      <c r="E64" s="470">
        <v>1000000</v>
      </c>
      <c r="F64" s="472"/>
      <c r="G64" s="507">
        <f t="shared" si="0"/>
        <v>12553557.99927</v>
      </c>
      <c r="H64" s="36" t="s">
        <v>78</v>
      </c>
      <c r="I64" s="504"/>
      <c r="J64" s="539"/>
      <c r="K64" s="504"/>
      <c r="L64" s="504"/>
      <c r="M64" s="473"/>
      <c r="N64" s="510"/>
      <c r="O64" s="473"/>
      <c r="P64" s="495"/>
    </row>
    <row r="65" spans="1:16" s="431" customFormat="1" ht="15" hidden="1" customHeight="1">
      <c r="A65" s="503">
        <v>44203</v>
      </c>
      <c r="B65" s="36" t="s">
        <v>197</v>
      </c>
      <c r="C65" s="36" t="s">
        <v>147</v>
      </c>
      <c r="D65" s="36"/>
      <c r="E65" s="470"/>
      <c r="F65" s="472">
        <v>282600</v>
      </c>
      <c r="G65" s="507">
        <f t="shared" si="0"/>
        <v>12270957.99927</v>
      </c>
      <c r="H65" s="36" t="s">
        <v>78</v>
      </c>
      <c r="I65" s="515"/>
      <c r="J65" s="508"/>
      <c r="K65" s="504"/>
      <c r="L65" s="504"/>
      <c r="M65" s="473"/>
      <c r="N65" s="510"/>
      <c r="O65" s="473"/>
      <c r="P65" s="495"/>
    </row>
    <row r="66" spans="1:16" s="431" customFormat="1" ht="15" hidden="1" customHeight="1">
      <c r="A66" s="503">
        <v>44203</v>
      </c>
      <c r="B66" s="36" t="s">
        <v>200</v>
      </c>
      <c r="C66" s="36" t="s">
        <v>147</v>
      </c>
      <c r="D66" s="36"/>
      <c r="E66" s="470"/>
      <c r="F66" s="472">
        <v>250000</v>
      </c>
      <c r="G66" s="507">
        <f t="shared" si="0"/>
        <v>12020957.99927</v>
      </c>
      <c r="H66" s="36" t="s">
        <v>78</v>
      </c>
      <c r="I66" s="504"/>
      <c r="J66" s="508"/>
      <c r="K66" s="504"/>
      <c r="L66" s="504"/>
      <c r="M66" s="473"/>
      <c r="N66" s="510"/>
      <c r="O66" s="504"/>
      <c r="P66" s="495"/>
    </row>
    <row r="67" spans="1:16" ht="15" hidden="1" customHeight="1">
      <c r="A67" s="503">
        <v>44203</v>
      </c>
      <c r="B67" s="36" t="s">
        <v>84</v>
      </c>
      <c r="C67" s="36" t="s">
        <v>147</v>
      </c>
      <c r="D67" s="36"/>
      <c r="E67" s="470"/>
      <c r="F67" s="472">
        <v>200000</v>
      </c>
      <c r="G67" s="507">
        <f t="shared" si="0"/>
        <v>11820957.99927</v>
      </c>
      <c r="H67" s="36" t="s">
        <v>78</v>
      </c>
      <c r="I67" s="29"/>
      <c r="J67" s="508"/>
      <c r="K67" s="508"/>
      <c r="L67" s="508"/>
      <c r="M67" s="509"/>
      <c r="N67" s="520"/>
      <c r="O67" s="473"/>
      <c r="P67" s="495"/>
    </row>
    <row r="68" spans="1:16" s="357" customFormat="1" ht="15" hidden="1" customHeight="1">
      <c r="A68" s="503">
        <v>44203</v>
      </c>
      <c r="B68" s="36" t="s">
        <v>150</v>
      </c>
      <c r="C68" s="36" t="s">
        <v>147</v>
      </c>
      <c r="D68" s="36"/>
      <c r="E68" s="470"/>
      <c r="F68" s="472">
        <v>83100</v>
      </c>
      <c r="G68" s="507">
        <f t="shared" si="0"/>
        <v>11737857.99927</v>
      </c>
      <c r="H68" s="36" t="s">
        <v>78</v>
      </c>
      <c r="I68" s="510"/>
      <c r="J68" s="539"/>
      <c r="K68" s="504"/>
      <c r="L68" s="504"/>
      <c r="M68" s="473"/>
      <c r="N68" s="510"/>
      <c r="O68" s="473"/>
      <c r="P68" s="540"/>
    </row>
    <row r="69" spans="1:16" s="262" customFormat="1" ht="15" customHeight="1">
      <c r="A69" s="427">
        <v>44203</v>
      </c>
      <c r="B69" s="619" t="s">
        <v>279</v>
      </c>
      <c r="C69" s="619" t="s">
        <v>80</v>
      </c>
      <c r="D69" s="219" t="s">
        <v>21</v>
      </c>
      <c r="E69" s="620"/>
      <c r="F69" s="621">
        <v>24475</v>
      </c>
      <c r="G69" s="607">
        <f t="shared" si="0"/>
        <v>11713382.99927</v>
      </c>
      <c r="H69" s="619" t="s">
        <v>78</v>
      </c>
      <c r="I69" s="610" t="s">
        <v>94</v>
      </c>
      <c r="J69" s="608" t="s">
        <v>103</v>
      </c>
      <c r="K69" s="603" t="s">
        <v>75</v>
      </c>
      <c r="L69" s="603" t="s">
        <v>73</v>
      </c>
      <c r="M69" s="609" t="s">
        <v>471</v>
      </c>
      <c r="N69" s="610" t="s">
        <v>172</v>
      </c>
      <c r="O69" s="510"/>
      <c r="P69" s="495"/>
    </row>
    <row r="70" spans="1:16" s="262" customFormat="1" ht="15" hidden="1" customHeight="1">
      <c r="A70" s="503">
        <v>44203</v>
      </c>
      <c r="B70" s="504" t="s">
        <v>98</v>
      </c>
      <c r="C70" s="36" t="s">
        <v>147</v>
      </c>
      <c r="D70" s="473"/>
      <c r="E70" s="469">
        <v>200000</v>
      </c>
      <c r="F70" s="528"/>
      <c r="G70" s="507">
        <f t="shared" si="0"/>
        <v>11913382.99927</v>
      </c>
      <c r="H70" s="504" t="s">
        <v>84</v>
      </c>
      <c r="I70" s="504"/>
      <c r="J70" s="529"/>
      <c r="K70" s="529"/>
      <c r="L70" s="529"/>
      <c r="M70" s="541"/>
      <c r="N70" s="529"/>
      <c r="O70" s="473"/>
      <c r="P70" s="495"/>
    </row>
    <row r="71" spans="1:16" s="262" customFormat="1" ht="15" customHeight="1">
      <c r="A71" s="427">
        <v>44203</v>
      </c>
      <c r="B71" s="619" t="s">
        <v>360</v>
      </c>
      <c r="C71" s="608" t="s">
        <v>163</v>
      </c>
      <c r="D71" s="619" t="s">
        <v>148</v>
      </c>
      <c r="E71" s="639"/>
      <c r="F71" s="639">
        <v>45000</v>
      </c>
      <c r="G71" s="607">
        <f t="shared" si="0"/>
        <v>11868382.99927</v>
      </c>
      <c r="H71" s="640" t="s">
        <v>150</v>
      </c>
      <c r="I71" s="640" t="s">
        <v>79</v>
      </c>
      <c r="J71" s="608" t="s">
        <v>207</v>
      </c>
      <c r="K71" s="608" t="s">
        <v>75</v>
      </c>
      <c r="L71" s="603" t="s">
        <v>73</v>
      </c>
      <c r="M71" s="609" t="s">
        <v>472</v>
      </c>
      <c r="N71" s="615" t="s">
        <v>104</v>
      </c>
      <c r="O71" s="473"/>
      <c r="P71" s="495"/>
    </row>
    <row r="72" spans="1:16" s="464" customFormat="1" ht="15" hidden="1" customHeight="1">
      <c r="A72" s="503">
        <v>44203</v>
      </c>
      <c r="B72" s="504" t="s">
        <v>390</v>
      </c>
      <c r="C72" s="36" t="s">
        <v>147</v>
      </c>
      <c r="D72" s="473"/>
      <c r="E72" s="506">
        <v>250000</v>
      </c>
      <c r="F72" s="532"/>
      <c r="G72" s="507">
        <f t="shared" si="0"/>
        <v>12118382.99927</v>
      </c>
      <c r="H72" s="504" t="s">
        <v>200</v>
      </c>
      <c r="I72" s="504"/>
      <c r="J72" s="508"/>
      <c r="K72" s="504"/>
      <c r="L72" s="504"/>
      <c r="M72" s="509"/>
      <c r="N72" s="510"/>
      <c r="O72" s="504"/>
      <c r="P72" s="540"/>
    </row>
    <row r="73" spans="1:16" ht="15" customHeight="1">
      <c r="A73" s="427">
        <v>44204</v>
      </c>
      <c r="B73" s="619" t="s">
        <v>600</v>
      </c>
      <c r="C73" s="619" t="s">
        <v>15</v>
      </c>
      <c r="D73" s="640" t="s">
        <v>31</v>
      </c>
      <c r="E73" s="620"/>
      <c r="F73" s="621">
        <v>10000</v>
      </c>
      <c r="G73" s="607">
        <f t="shared" si="0"/>
        <v>12108382.99927</v>
      </c>
      <c r="H73" s="619" t="s">
        <v>78</v>
      </c>
      <c r="I73" s="610" t="s">
        <v>94</v>
      </c>
      <c r="J73" s="608" t="s">
        <v>220</v>
      </c>
      <c r="K73" s="603" t="s">
        <v>38</v>
      </c>
      <c r="L73" s="603" t="s">
        <v>73</v>
      </c>
      <c r="M73" s="615"/>
      <c r="N73" s="610"/>
      <c r="O73" s="473"/>
      <c r="P73" s="495"/>
    </row>
    <row r="74" spans="1:16" ht="15" customHeight="1">
      <c r="A74" s="427">
        <v>44204</v>
      </c>
      <c r="B74" s="619" t="s">
        <v>601</v>
      </c>
      <c r="C74" s="619" t="s">
        <v>15</v>
      </c>
      <c r="D74" s="219" t="s">
        <v>19</v>
      </c>
      <c r="E74" s="620"/>
      <c r="F74" s="621">
        <v>20000</v>
      </c>
      <c r="G74" s="607">
        <f t="shared" si="0"/>
        <v>12088382.99927</v>
      </c>
      <c r="H74" s="619" t="s">
        <v>78</v>
      </c>
      <c r="I74" s="610" t="s">
        <v>94</v>
      </c>
      <c r="J74" s="608" t="s">
        <v>220</v>
      </c>
      <c r="K74" s="603" t="s">
        <v>38</v>
      </c>
      <c r="L74" s="603" t="s">
        <v>73</v>
      </c>
      <c r="M74" s="615"/>
      <c r="N74" s="610"/>
      <c r="O74" s="473"/>
      <c r="P74" s="495"/>
    </row>
    <row r="75" spans="1:16" ht="15" customHeight="1">
      <c r="A75" s="427">
        <v>44204</v>
      </c>
      <c r="B75" s="619" t="s">
        <v>602</v>
      </c>
      <c r="C75" s="619" t="s">
        <v>15</v>
      </c>
      <c r="D75" s="619" t="s">
        <v>148</v>
      </c>
      <c r="E75" s="620"/>
      <c r="F75" s="621">
        <v>20000</v>
      </c>
      <c r="G75" s="607">
        <f t="shared" si="0"/>
        <v>12068382.99927</v>
      </c>
      <c r="H75" s="619" t="s">
        <v>78</v>
      </c>
      <c r="I75" s="610" t="s">
        <v>94</v>
      </c>
      <c r="J75" s="608" t="s">
        <v>220</v>
      </c>
      <c r="K75" s="603" t="s">
        <v>38</v>
      </c>
      <c r="L75" s="603" t="s">
        <v>73</v>
      </c>
      <c r="M75" s="615"/>
      <c r="N75" s="610"/>
      <c r="O75" s="473"/>
      <c r="P75" s="495"/>
    </row>
    <row r="76" spans="1:16" ht="15" hidden="1" customHeight="1">
      <c r="A76" s="503">
        <v>44204</v>
      </c>
      <c r="B76" s="36" t="s">
        <v>177</v>
      </c>
      <c r="C76" s="36" t="s">
        <v>147</v>
      </c>
      <c r="D76" s="36"/>
      <c r="E76" s="470"/>
      <c r="F76" s="472">
        <v>5000</v>
      </c>
      <c r="G76" s="507">
        <f t="shared" si="0"/>
        <v>12063382.99927</v>
      </c>
      <c r="H76" s="36" t="s">
        <v>78</v>
      </c>
      <c r="I76" s="510"/>
      <c r="J76" s="522"/>
      <c r="K76" s="504"/>
      <c r="L76" s="504"/>
      <c r="M76" s="473"/>
      <c r="N76" s="510"/>
      <c r="O76" s="473"/>
      <c r="P76" s="495"/>
    </row>
    <row r="77" spans="1:16" ht="15" hidden="1" customHeight="1">
      <c r="A77" s="503">
        <v>44204</v>
      </c>
      <c r="B77" s="36" t="s">
        <v>149</v>
      </c>
      <c r="C77" s="36" t="s">
        <v>147</v>
      </c>
      <c r="D77" s="502"/>
      <c r="E77" s="470"/>
      <c r="F77" s="472">
        <v>50000</v>
      </c>
      <c r="G77" s="507">
        <f t="shared" si="0"/>
        <v>12013382.99927</v>
      </c>
      <c r="H77" s="36" t="s">
        <v>78</v>
      </c>
      <c r="I77" s="510"/>
      <c r="J77" s="508"/>
      <c r="K77" s="504"/>
      <c r="L77" s="504"/>
      <c r="M77" s="473"/>
      <c r="N77" s="510"/>
      <c r="O77" s="473"/>
      <c r="P77" s="495"/>
    </row>
    <row r="78" spans="1:16" ht="15" hidden="1" customHeight="1">
      <c r="A78" s="503">
        <v>44204</v>
      </c>
      <c r="B78" s="36" t="s">
        <v>141</v>
      </c>
      <c r="C78" s="36" t="s">
        <v>147</v>
      </c>
      <c r="D78" s="36"/>
      <c r="E78" s="470"/>
      <c r="F78" s="472">
        <v>50000</v>
      </c>
      <c r="G78" s="507">
        <f t="shared" si="0"/>
        <v>11963382.99927</v>
      </c>
      <c r="H78" s="36" t="s">
        <v>78</v>
      </c>
      <c r="I78" s="29"/>
      <c r="J78" s="508"/>
      <c r="K78" s="504"/>
      <c r="L78" s="504"/>
      <c r="M78" s="473"/>
      <c r="N78" s="510"/>
      <c r="O78" s="473"/>
      <c r="P78" s="495"/>
    </row>
    <row r="79" spans="1:16" s="431" customFormat="1" ht="15" hidden="1" customHeight="1">
      <c r="A79" s="503">
        <v>44204</v>
      </c>
      <c r="B79" s="36" t="s">
        <v>317</v>
      </c>
      <c r="C79" s="36" t="s">
        <v>147</v>
      </c>
      <c r="D79" s="36"/>
      <c r="E79" s="23">
        <v>50000</v>
      </c>
      <c r="F79" s="524"/>
      <c r="G79" s="507">
        <f t="shared" si="0"/>
        <v>12013382.99927</v>
      </c>
      <c r="H79" s="508" t="s">
        <v>81</v>
      </c>
      <c r="I79" s="508"/>
      <c r="J79" s="508"/>
      <c r="K79" s="504"/>
      <c r="L79" s="504"/>
      <c r="M79" s="473"/>
      <c r="N79" s="510"/>
      <c r="O79" s="473"/>
      <c r="P79" s="495"/>
    </row>
    <row r="80" spans="1:16" ht="15" customHeight="1">
      <c r="A80" s="427">
        <v>44204</v>
      </c>
      <c r="B80" s="219" t="s">
        <v>343</v>
      </c>
      <c r="C80" s="608" t="s">
        <v>91</v>
      </c>
      <c r="D80" s="619" t="s">
        <v>148</v>
      </c>
      <c r="E80" s="639"/>
      <c r="F80" s="639">
        <v>20000</v>
      </c>
      <c r="G80" s="607">
        <f t="shared" si="0"/>
        <v>11993382.99927</v>
      </c>
      <c r="H80" s="219" t="s">
        <v>149</v>
      </c>
      <c r="I80" s="219" t="s">
        <v>94</v>
      </c>
      <c r="J80" s="608" t="s">
        <v>220</v>
      </c>
      <c r="K80" s="603" t="s">
        <v>75</v>
      </c>
      <c r="L80" s="603" t="s">
        <v>73</v>
      </c>
      <c r="M80" s="609" t="s">
        <v>473</v>
      </c>
      <c r="N80" s="610" t="s">
        <v>170</v>
      </c>
      <c r="O80" s="473"/>
      <c r="P80" s="495"/>
    </row>
    <row r="81" spans="1:16" s="431" customFormat="1" ht="15" hidden="1" customHeight="1">
      <c r="A81" s="503">
        <v>44204</v>
      </c>
      <c r="B81" s="504" t="s">
        <v>339</v>
      </c>
      <c r="C81" s="36" t="s">
        <v>147</v>
      </c>
      <c r="D81" s="36"/>
      <c r="E81" s="469">
        <v>282600</v>
      </c>
      <c r="F81" s="469"/>
      <c r="G81" s="507">
        <f t="shared" si="0"/>
        <v>12275982.99927</v>
      </c>
      <c r="H81" s="473" t="s">
        <v>197</v>
      </c>
      <c r="I81" s="504"/>
      <c r="J81" s="508"/>
      <c r="K81" s="504"/>
      <c r="L81" s="504"/>
      <c r="M81" s="473"/>
      <c r="N81" s="510"/>
      <c r="O81" s="473"/>
      <c r="P81" s="495"/>
    </row>
    <row r="82" spans="1:16" s="431" customFormat="1" ht="15" customHeight="1">
      <c r="A82" s="427">
        <v>44204</v>
      </c>
      <c r="B82" s="619" t="s">
        <v>302</v>
      </c>
      <c r="C82" s="619" t="s">
        <v>91</v>
      </c>
      <c r="D82" s="619" t="s">
        <v>148</v>
      </c>
      <c r="E82" s="646"/>
      <c r="F82" s="647">
        <v>20000</v>
      </c>
      <c r="G82" s="607">
        <f t="shared" ref="G82:G145" si="1">G81+E82-F82</f>
        <v>12255982.99927</v>
      </c>
      <c r="H82" s="608" t="s">
        <v>81</v>
      </c>
      <c r="I82" s="648" t="s">
        <v>94</v>
      </c>
      <c r="J82" s="453" t="s">
        <v>207</v>
      </c>
      <c r="K82" s="616" t="s">
        <v>75</v>
      </c>
      <c r="L82" s="616" t="s">
        <v>73</v>
      </c>
      <c r="M82" s="609" t="s">
        <v>464</v>
      </c>
      <c r="N82" s="610" t="s">
        <v>170</v>
      </c>
      <c r="O82" s="510"/>
      <c r="P82" s="495"/>
    </row>
    <row r="83" spans="1:16" ht="15" hidden="1" customHeight="1">
      <c r="A83" s="503">
        <v>44204</v>
      </c>
      <c r="B83" s="29" t="s">
        <v>356</v>
      </c>
      <c r="C83" s="36" t="s">
        <v>147</v>
      </c>
      <c r="D83" s="36"/>
      <c r="E83" s="37">
        <v>50000</v>
      </c>
      <c r="F83" s="37"/>
      <c r="G83" s="507">
        <f t="shared" si="1"/>
        <v>12305982.99927</v>
      </c>
      <c r="H83" s="29" t="s">
        <v>149</v>
      </c>
      <c r="I83" s="29"/>
      <c r="J83" s="508"/>
      <c r="K83" s="504"/>
      <c r="L83" s="504"/>
      <c r="M83" s="473"/>
      <c r="N83" s="510"/>
      <c r="O83" s="473"/>
      <c r="P83" s="495"/>
    </row>
    <row r="84" spans="1:16" s="262" customFormat="1" ht="15" hidden="1" customHeight="1">
      <c r="A84" s="503">
        <v>44204</v>
      </c>
      <c r="B84" s="29" t="s">
        <v>206</v>
      </c>
      <c r="C84" s="36" t="s">
        <v>147</v>
      </c>
      <c r="D84" s="36"/>
      <c r="E84" s="37">
        <v>5000</v>
      </c>
      <c r="F84" s="37"/>
      <c r="G84" s="507">
        <f t="shared" si="1"/>
        <v>12310982.99927</v>
      </c>
      <c r="H84" s="29" t="s">
        <v>177</v>
      </c>
      <c r="I84" s="504"/>
      <c r="J84" s="508"/>
      <c r="K84" s="504"/>
      <c r="L84" s="504"/>
      <c r="M84" s="509"/>
      <c r="N84" s="510"/>
      <c r="O84" s="473"/>
      <c r="P84" s="495"/>
    </row>
    <row r="85" spans="1:16" s="262" customFormat="1" ht="15" customHeight="1">
      <c r="A85" s="427">
        <v>44205</v>
      </c>
      <c r="B85" s="619" t="s">
        <v>202</v>
      </c>
      <c r="C85" s="608" t="s">
        <v>91</v>
      </c>
      <c r="D85" s="619" t="s">
        <v>148</v>
      </c>
      <c r="E85" s="639"/>
      <c r="F85" s="639">
        <v>10000</v>
      </c>
      <c r="G85" s="607">
        <f t="shared" si="1"/>
        <v>12300982.99927</v>
      </c>
      <c r="H85" s="640" t="s">
        <v>150</v>
      </c>
      <c r="I85" s="640" t="s">
        <v>94</v>
      </c>
      <c r="J85" s="608" t="s">
        <v>207</v>
      </c>
      <c r="K85" s="608" t="s">
        <v>75</v>
      </c>
      <c r="L85" s="603" t="s">
        <v>73</v>
      </c>
      <c r="M85" s="609" t="s">
        <v>474</v>
      </c>
      <c r="N85" s="615" t="s">
        <v>170</v>
      </c>
      <c r="O85" s="473"/>
      <c r="P85" s="495"/>
    </row>
    <row r="86" spans="1:16" s="262" customFormat="1" ht="15" customHeight="1">
      <c r="A86" s="427">
        <v>44205</v>
      </c>
      <c r="B86" s="619" t="s">
        <v>361</v>
      </c>
      <c r="C86" s="608" t="s">
        <v>163</v>
      </c>
      <c r="D86" s="619" t="s">
        <v>148</v>
      </c>
      <c r="E86" s="639"/>
      <c r="F86" s="639">
        <v>45000</v>
      </c>
      <c r="G86" s="607">
        <f t="shared" si="1"/>
        <v>12255982.99927</v>
      </c>
      <c r="H86" s="640" t="s">
        <v>150</v>
      </c>
      <c r="I86" s="640" t="s">
        <v>94</v>
      </c>
      <c r="J86" s="608" t="s">
        <v>207</v>
      </c>
      <c r="K86" s="608" t="s">
        <v>75</v>
      </c>
      <c r="L86" s="603" t="s">
        <v>73</v>
      </c>
      <c r="M86" s="609" t="s">
        <v>475</v>
      </c>
      <c r="N86" s="615" t="s">
        <v>104</v>
      </c>
      <c r="O86" s="473"/>
      <c r="P86" s="495"/>
    </row>
    <row r="87" spans="1:16" ht="15" hidden="1" customHeight="1">
      <c r="A87" s="503">
        <v>44206</v>
      </c>
      <c r="B87" s="29" t="s">
        <v>376</v>
      </c>
      <c r="C87" s="36" t="s">
        <v>147</v>
      </c>
      <c r="D87" s="36"/>
      <c r="E87" s="37">
        <v>83100</v>
      </c>
      <c r="F87" s="37"/>
      <c r="G87" s="507">
        <f t="shared" si="1"/>
        <v>12339082.99927</v>
      </c>
      <c r="H87" s="502" t="s">
        <v>150</v>
      </c>
      <c r="I87" s="502"/>
      <c r="J87" s="508"/>
      <c r="K87" s="504"/>
      <c r="L87" s="504"/>
      <c r="M87" s="473"/>
      <c r="N87" s="510"/>
      <c r="O87" s="473"/>
      <c r="P87" s="495"/>
    </row>
    <row r="88" spans="1:16" ht="15" hidden="1" customHeight="1">
      <c r="A88" s="503">
        <v>44207</v>
      </c>
      <c r="B88" s="29" t="s">
        <v>227</v>
      </c>
      <c r="C88" s="29" t="s">
        <v>147</v>
      </c>
      <c r="D88" s="29"/>
      <c r="E88" s="470"/>
      <c r="F88" s="470">
        <v>1500000</v>
      </c>
      <c r="G88" s="507">
        <f t="shared" si="1"/>
        <v>10839082.99927</v>
      </c>
      <c r="H88" s="508" t="s">
        <v>72</v>
      </c>
      <c r="I88" s="36">
        <v>3654419</v>
      </c>
      <c r="J88" s="517"/>
      <c r="K88" s="504"/>
      <c r="L88" s="508"/>
      <c r="M88" s="473"/>
      <c r="N88" s="520"/>
      <c r="O88" s="473"/>
      <c r="P88" s="495"/>
    </row>
    <row r="89" spans="1:16" s="431" customFormat="1" ht="15" customHeight="1">
      <c r="A89" s="427">
        <v>44207</v>
      </c>
      <c r="B89" s="355" t="s">
        <v>261</v>
      </c>
      <c r="C89" s="355" t="s">
        <v>15</v>
      </c>
      <c r="D89" s="355" t="s">
        <v>77</v>
      </c>
      <c r="E89" s="649"/>
      <c r="F89" s="649">
        <f>25555+25555+25555</f>
        <v>76665</v>
      </c>
      <c r="G89" s="607">
        <f t="shared" si="1"/>
        <v>10762417.99927</v>
      </c>
      <c r="H89" s="608" t="s">
        <v>74</v>
      </c>
      <c r="I89" s="619">
        <v>3643397</v>
      </c>
      <c r="J89" s="650" t="s">
        <v>207</v>
      </c>
      <c r="K89" s="603" t="s">
        <v>75</v>
      </c>
      <c r="L89" s="603" t="s">
        <v>73</v>
      </c>
      <c r="M89" s="609" t="s">
        <v>476</v>
      </c>
      <c r="N89" s="610" t="s">
        <v>100</v>
      </c>
      <c r="O89" s="473"/>
      <c r="P89" s="495"/>
    </row>
    <row r="90" spans="1:16" ht="15" customHeight="1">
      <c r="A90" s="427">
        <v>44207</v>
      </c>
      <c r="B90" s="355" t="s">
        <v>260</v>
      </c>
      <c r="C90" s="355" t="s">
        <v>15</v>
      </c>
      <c r="D90" s="640" t="s">
        <v>31</v>
      </c>
      <c r="E90" s="651"/>
      <c r="F90" s="643">
        <f>31563*3</f>
        <v>94689</v>
      </c>
      <c r="G90" s="607">
        <f t="shared" si="1"/>
        <v>10667728.99927</v>
      </c>
      <c r="H90" s="608" t="s">
        <v>74</v>
      </c>
      <c r="I90" s="619">
        <v>3643397</v>
      </c>
      <c r="J90" s="608" t="s">
        <v>207</v>
      </c>
      <c r="K90" s="603" t="s">
        <v>75</v>
      </c>
      <c r="L90" s="603" t="s">
        <v>73</v>
      </c>
      <c r="M90" s="609" t="s">
        <v>477</v>
      </c>
      <c r="N90" s="610" t="s">
        <v>102</v>
      </c>
      <c r="O90" s="473"/>
      <c r="P90" s="495"/>
    </row>
    <row r="91" spans="1:16" s="262" customFormat="1" ht="15" customHeight="1">
      <c r="A91" s="427">
        <v>44207</v>
      </c>
      <c r="B91" s="355" t="s">
        <v>262</v>
      </c>
      <c r="C91" s="615" t="s">
        <v>15</v>
      </c>
      <c r="D91" s="619" t="s">
        <v>148</v>
      </c>
      <c r="E91" s="651"/>
      <c r="F91" s="643">
        <f>65700*3</f>
        <v>197100</v>
      </c>
      <c r="G91" s="607">
        <f t="shared" si="1"/>
        <v>10470628.99927</v>
      </c>
      <c r="H91" s="608" t="s">
        <v>74</v>
      </c>
      <c r="I91" s="619">
        <v>3643397</v>
      </c>
      <c r="J91" s="608" t="s">
        <v>207</v>
      </c>
      <c r="K91" s="603" t="s">
        <v>75</v>
      </c>
      <c r="L91" s="603" t="s">
        <v>73</v>
      </c>
      <c r="M91" s="609" t="s">
        <v>478</v>
      </c>
      <c r="N91" s="610" t="s">
        <v>99</v>
      </c>
      <c r="O91" s="473"/>
      <c r="P91" s="495"/>
    </row>
    <row r="92" spans="1:16" ht="15" customHeight="1">
      <c r="A92" s="427">
        <v>44207</v>
      </c>
      <c r="B92" s="355" t="s">
        <v>263</v>
      </c>
      <c r="C92" s="615" t="s">
        <v>15</v>
      </c>
      <c r="D92" s="619" t="s">
        <v>148</v>
      </c>
      <c r="E92" s="651"/>
      <c r="F92" s="643">
        <f>61148*3</f>
        <v>183444</v>
      </c>
      <c r="G92" s="607">
        <f t="shared" si="1"/>
        <v>10287184.99927</v>
      </c>
      <c r="H92" s="608" t="s">
        <v>74</v>
      </c>
      <c r="I92" s="619">
        <v>3643397</v>
      </c>
      <c r="J92" s="650" t="s">
        <v>207</v>
      </c>
      <c r="K92" s="603" t="s">
        <v>75</v>
      </c>
      <c r="L92" s="603" t="s">
        <v>73</v>
      </c>
      <c r="M92" s="609" t="s">
        <v>479</v>
      </c>
      <c r="N92" s="610" t="s">
        <v>99</v>
      </c>
      <c r="O92" s="473"/>
      <c r="P92" s="495"/>
    </row>
    <row r="93" spans="1:16" ht="15" customHeight="1">
      <c r="A93" s="427">
        <v>44207</v>
      </c>
      <c r="B93" s="355" t="s">
        <v>264</v>
      </c>
      <c r="C93" s="615" t="s">
        <v>15</v>
      </c>
      <c r="D93" s="619" t="s">
        <v>148</v>
      </c>
      <c r="E93" s="651"/>
      <c r="F93" s="643">
        <f>73459*3</f>
        <v>220377</v>
      </c>
      <c r="G93" s="607">
        <f t="shared" si="1"/>
        <v>10066807.99927</v>
      </c>
      <c r="H93" s="608" t="s">
        <v>74</v>
      </c>
      <c r="I93" s="619">
        <v>3643397</v>
      </c>
      <c r="J93" s="608" t="s">
        <v>207</v>
      </c>
      <c r="K93" s="603" t="s">
        <v>75</v>
      </c>
      <c r="L93" s="603" t="s">
        <v>73</v>
      </c>
      <c r="M93" s="609" t="s">
        <v>480</v>
      </c>
      <c r="N93" s="610" t="s">
        <v>99</v>
      </c>
      <c r="O93" s="473"/>
      <c r="P93" s="495"/>
    </row>
    <row r="94" spans="1:16" ht="15" customHeight="1">
      <c r="A94" s="427">
        <v>44207</v>
      </c>
      <c r="B94" s="355" t="s">
        <v>265</v>
      </c>
      <c r="C94" s="615" t="s">
        <v>15</v>
      </c>
      <c r="D94" s="219" t="s">
        <v>19</v>
      </c>
      <c r="E94" s="651"/>
      <c r="F94" s="643">
        <f>84474*3</f>
        <v>253422</v>
      </c>
      <c r="G94" s="607">
        <f t="shared" si="1"/>
        <v>9813385.9992699996</v>
      </c>
      <c r="H94" s="608" t="s">
        <v>74</v>
      </c>
      <c r="I94" s="619">
        <v>3643397</v>
      </c>
      <c r="J94" s="608" t="s">
        <v>207</v>
      </c>
      <c r="K94" s="603" t="s">
        <v>75</v>
      </c>
      <c r="L94" s="603" t="s">
        <v>73</v>
      </c>
      <c r="M94" s="609" t="s">
        <v>481</v>
      </c>
      <c r="N94" s="610" t="s">
        <v>101</v>
      </c>
      <c r="O94" s="473"/>
      <c r="P94" s="495"/>
    </row>
    <row r="95" spans="1:16" s="431" customFormat="1" ht="15" customHeight="1">
      <c r="A95" s="427">
        <v>44207</v>
      </c>
      <c r="B95" s="355" t="s">
        <v>266</v>
      </c>
      <c r="C95" s="615" t="s">
        <v>15</v>
      </c>
      <c r="D95" s="219" t="s">
        <v>19</v>
      </c>
      <c r="E95" s="651"/>
      <c r="F95" s="643">
        <f>52860*2</f>
        <v>105720</v>
      </c>
      <c r="G95" s="607">
        <f t="shared" si="1"/>
        <v>9707665.9992699996</v>
      </c>
      <c r="H95" s="608" t="s">
        <v>74</v>
      </c>
      <c r="I95" s="619">
        <v>3643397</v>
      </c>
      <c r="J95" s="608" t="s">
        <v>207</v>
      </c>
      <c r="K95" s="603" t="s">
        <v>75</v>
      </c>
      <c r="L95" s="603" t="s">
        <v>73</v>
      </c>
      <c r="M95" s="609" t="s">
        <v>482</v>
      </c>
      <c r="N95" s="610" t="s">
        <v>101</v>
      </c>
      <c r="O95" s="473"/>
      <c r="P95" s="495"/>
    </row>
    <row r="96" spans="1:16" s="262" customFormat="1" ht="15" customHeight="1">
      <c r="A96" s="427">
        <v>44207</v>
      </c>
      <c r="B96" s="355" t="s">
        <v>267</v>
      </c>
      <c r="C96" s="615" t="s">
        <v>15</v>
      </c>
      <c r="D96" s="619" t="s">
        <v>148</v>
      </c>
      <c r="E96" s="651"/>
      <c r="F96" s="643">
        <f>24934</f>
        <v>24934</v>
      </c>
      <c r="G96" s="607">
        <f t="shared" si="1"/>
        <v>9682731.9992699996</v>
      </c>
      <c r="H96" s="608" t="s">
        <v>74</v>
      </c>
      <c r="I96" s="619">
        <v>3643397</v>
      </c>
      <c r="J96" s="608" t="s">
        <v>207</v>
      </c>
      <c r="K96" s="603" t="s">
        <v>75</v>
      </c>
      <c r="L96" s="603" t="s">
        <v>73</v>
      </c>
      <c r="M96" s="609" t="s">
        <v>483</v>
      </c>
      <c r="N96" s="610" t="s">
        <v>99</v>
      </c>
      <c r="O96" s="473"/>
      <c r="P96" s="495"/>
    </row>
    <row r="97" spans="1:66" ht="15" customHeight="1">
      <c r="A97" s="427">
        <v>44207</v>
      </c>
      <c r="B97" s="355" t="s">
        <v>268</v>
      </c>
      <c r="C97" s="615" t="s">
        <v>15</v>
      </c>
      <c r="D97" s="619" t="s">
        <v>148</v>
      </c>
      <c r="E97" s="651"/>
      <c r="F97" s="643">
        <f>24934</f>
        <v>24934</v>
      </c>
      <c r="G97" s="607">
        <f t="shared" si="1"/>
        <v>9657797.9992699996</v>
      </c>
      <c r="H97" s="608" t="s">
        <v>74</v>
      </c>
      <c r="I97" s="619">
        <v>3643397</v>
      </c>
      <c r="J97" s="608" t="s">
        <v>207</v>
      </c>
      <c r="K97" s="603" t="s">
        <v>75</v>
      </c>
      <c r="L97" s="603" t="s">
        <v>73</v>
      </c>
      <c r="M97" s="609" t="s">
        <v>484</v>
      </c>
      <c r="N97" s="610" t="s">
        <v>99</v>
      </c>
      <c r="O97" s="473"/>
      <c r="P97" s="495"/>
    </row>
    <row r="98" spans="1:66" s="431" customFormat="1" ht="15" customHeight="1">
      <c r="A98" s="427">
        <v>44207</v>
      </c>
      <c r="B98" s="355" t="s">
        <v>233</v>
      </c>
      <c r="C98" s="619" t="s">
        <v>17</v>
      </c>
      <c r="D98" s="219" t="s">
        <v>21</v>
      </c>
      <c r="E98" s="643"/>
      <c r="F98" s="651">
        <v>500000</v>
      </c>
      <c r="G98" s="607">
        <f t="shared" si="1"/>
        <v>9157797.9992699996</v>
      </c>
      <c r="H98" s="608" t="s">
        <v>74</v>
      </c>
      <c r="I98" s="619" t="s">
        <v>161</v>
      </c>
      <c r="J98" s="650" t="s">
        <v>207</v>
      </c>
      <c r="K98" s="603" t="s">
        <v>75</v>
      </c>
      <c r="L98" s="603" t="s">
        <v>73</v>
      </c>
      <c r="M98" s="609" t="s">
        <v>485</v>
      </c>
      <c r="N98" s="610" t="s">
        <v>178</v>
      </c>
      <c r="O98" s="473"/>
      <c r="P98" s="495"/>
    </row>
    <row r="99" spans="1:66" ht="15" customHeight="1">
      <c r="A99" s="427">
        <v>44207</v>
      </c>
      <c r="B99" s="619" t="s">
        <v>296</v>
      </c>
      <c r="C99" s="619" t="s">
        <v>295</v>
      </c>
      <c r="D99" s="619" t="s">
        <v>21</v>
      </c>
      <c r="E99" s="620"/>
      <c r="F99" s="621">
        <v>30000</v>
      </c>
      <c r="G99" s="607">
        <f t="shared" si="1"/>
        <v>9127797.9992699996</v>
      </c>
      <c r="H99" s="619" t="s">
        <v>78</v>
      </c>
      <c r="I99" s="219" t="s">
        <v>94</v>
      </c>
      <c r="J99" s="608" t="s">
        <v>220</v>
      </c>
      <c r="K99" s="603" t="s">
        <v>38</v>
      </c>
      <c r="L99" s="603" t="s">
        <v>73</v>
      </c>
      <c r="M99" s="609"/>
      <c r="N99" s="610"/>
      <c r="O99" s="473"/>
      <c r="P99" s="495"/>
      <c r="Q99" s="431"/>
    </row>
    <row r="100" spans="1:66" s="262" customFormat="1" ht="15" hidden="1" customHeight="1">
      <c r="A100" s="503">
        <v>44207</v>
      </c>
      <c r="B100" s="36" t="s">
        <v>72</v>
      </c>
      <c r="C100" s="36" t="s">
        <v>147</v>
      </c>
      <c r="D100" s="36"/>
      <c r="E100" s="470">
        <v>1500000</v>
      </c>
      <c r="F100" s="472"/>
      <c r="G100" s="507">
        <f t="shared" si="1"/>
        <v>10627797.99927</v>
      </c>
      <c r="H100" s="36" t="s">
        <v>78</v>
      </c>
      <c r="I100" s="29"/>
      <c r="J100" s="522"/>
      <c r="K100" s="504"/>
      <c r="L100" s="504"/>
      <c r="M100" s="473"/>
      <c r="N100" s="510"/>
      <c r="O100" s="473"/>
      <c r="P100" s="495"/>
      <c r="Q100" s="431"/>
    </row>
    <row r="101" spans="1:66" s="262" customFormat="1" ht="15" customHeight="1">
      <c r="A101" s="427">
        <v>44207</v>
      </c>
      <c r="B101" s="619" t="s">
        <v>280</v>
      </c>
      <c r="C101" s="619" t="s">
        <v>26</v>
      </c>
      <c r="D101" s="619" t="s">
        <v>148</v>
      </c>
      <c r="E101" s="620"/>
      <c r="F101" s="621">
        <v>25000</v>
      </c>
      <c r="G101" s="607">
        <f t="shared" si="1"/>
        <v>10602797.99927</v>
      </c>
      <c r="H101" s="619" t="s">
        <v>78</v>
      </c>
      <c r="I101" s="610" t="s">
        <v>162</v>
      </c>
      <c r="J101" s="608" t="s">
        <v>220</v>
      </c>
      <c r="K101" s="603" t="s">
        <v>38</v>
      </c>
      <c r="L101" s="603" t="s">
        <v>73</v>
      </c>
      <c r="M101" s="609"/>
      <c r="N101" s="610"/>
      <c r="O101" s="473"/>
      <c r="P101" s="495"/>
      <c r="Q101" s="431"/>
    </row>
    <row r="102" spans="1:66" s="262" customFormat="1" ht="15" hidden="1" customHeight="1">
      <c r="A102" s="503">
        <v>44207</v>
      </c>
      <c r="B102" s="36" t="s">
        <v>177</v>
      </c>
      <c r="C102" s="36" t="s">
        <v>147</v>
      </c>
      <c r="D102" s="36"/>
      <c r="E102" s="470"/>
      <c r="F102" s="472">
        <v>10000</v>
      </c>
      <c r="G102" s="507">
        <f t="shared" si="1"/>
        <v>10592797.99927</v>
      </c>
      <c r="H102" s="36" t="s">
        <v>78</v>
      </c>
      <c r="I102" s="473"/>
      <c r="J102" s="522"/>
      <c r="K102" s="504"/>
      <c r="L102" s="504"/>
      <c r="M102" s="473"/>
      <c r="N102" s="510"/>
      <c r="O102" s="473"/>
      <c r="P102" s="495"/>
      <c r="Q102" s="131"/>
    </row>
    <row r="103" spans="1:66" ht="15" customHeight="1">
      <c r="A103" s="427">
        <v>44207</v>
      </c>
      <c r="B103" s="619" t="s">
        <v>281</v>
      </c>
      <c r="C103" s="619" t="s">
        <v>17</v>
      </c>
      <c r="D103" s="619" t="s">
        <v>21</v>
      </c>
      <c r="E103" s="629"/>
      <c r="F103" s="621">
        <v>47294</v>
      </c>
      <c r="G103" s="607">
        <f t="shared" si="1"/>
        <v>10545503.99927</v>
      </c>
      <c r="H103" s="619" t="s">
        <v>78</v>
      </c>
      <c r="I103" s="610" t="s">
        <v>94</v>
      </c>
      <c r="J103" s="623" t="s">
        <v>207</v>
      </c>
      <c r="K103" s="603" t="s">
        <v>75</v>
      </c>
      <c r="L103" s="603" t="s">
        <v>73</v>
      </c>
      <c r="M103" s="609" t="s">
        <v>486</v>
      </c>
      <c r="N103" s="610" t="s">
        <v>179</v>
      </c>
      <c r="O103" s="473"/>
      <c r="P103" s="495"/>
    </row>
    <row r="104" spans="1:66" s="357" customFormat="1" ht="15" customHeight="1">
      <c r="A104" s="634">
        <v>44207</v>
      </c>
      <c r="B104" s="640" t="s">
        <v>596</v>
      </c>
      <c r="C104" s="640" t="s">
        <v>76</v>
      </c>
      <c r="D104" s="640" t="s">
        <v>148</v>
      </c>
      <c r="E104" s="652"/>
      <c r="F104" s="621">
        <v>104000</v>
      </c>
      <c r="G104" s="607">
        <f t="shared" si="1"/>
        <v>10441503.99927</v>
      </c>
      <c r="H104" s="640" t="s">
        <v>78</v>
      </c>
      <c r="I104" s="625" t="s">
        <v>94</v>
      </c>
      <c r="J104" s="623" t="s">
        <v>207</v>
      </c>
      <c r="K104" s="608" t="s">
        <v>75</v>
      </c>
      <c r="L104" s="608" t="s">
        <v>73</v>
      </c>
      <c r="M104" s="645" t="s">
        <v>487</v>
      </c>
      <c r="N104" s="625" t="s">
        <v>85</v>
      </c>
      <c r="O104" s="517"/>
      <c r="P104" s="540"/>
    </row>
    <row r="105" spans="1:66" s="431" customFormat="1" ht="15" customHeight="1">
      <c r="A105" s="427">
        <v>44207</v>
      </c>
      <c r="B105" s="619" t="s">
        <v>310</v>
      </c>
      <c r="C105" s="619" t="s">
        <v>163</v>
      </c>
      <c r="D105" s="619" t="s">
        <v>148</v>
      </c>
      <c r="E105" s="630"/>
      <c r="F105" s="631">
        <v>60000</v>
      </c>
      <c r="G105" s="607">
        <f t="shared" si="1"/>
        <v>10381503.99927</v>
      </c>
      <c r="H105" s="608" t="s">
        <v>81</v>
      </c>
      <c r="I105" s="219" t="s">
        <v>162</v>
      </c>
      <c r="J105" s="633" t="s">
        <v>207</v>
      </c>
      <c r="K105" s="603" t="s">
        <v>75</v>
      </c>
      <c r="L105" s="603" t="s">
        <v>73</v>
      </c>
      <c r="M105" s="609" t="s">
        <v>488</v>
      </c>
      <c r="N105" s="610" t="s">
        <v>104</v>
      </c>
      <c r="O105" s="473"/>
      <c r="P105" s="495"/>
    </row>
    <row r="106" spans="1:66" s="431" customFormat="1" ht="15" customHeight="1">
      <c r="A106" s="427">
        <v>44207</v>
      </c>
      <c r="B106" s="219" t="s">
        <v>344</v>
      </c>
      <c r="C106" s="608" t="s">
        <v>163</v>
      </c>
      <c r="D106" s="619" t="s">
        <v>148</v>
      </c>
      <c r="E106" s="638"/>
      <c r="F106" s="639">
        <v>60000</v>
      </c>
      <c r="G106" s="607">
        <f t="shared" si="1"/>
        <v>10321503.99927</v>
      </c>
      <c r="H106" s="219" t="s">
        <v>149</v>
      </c>
      <c r="I106" s="219" t="s">
        <v>164</v>
      </c>
      <c r="J106" s="650" t="s">
        <v>207</v>
      </c>
      <c r="K106" s="603" t="s">
        <v>75</v>
      </c>
      <c r="L106" s="603" t="s">
        <v>73</v>
      </c>
      <c r="M106" s="609" t="s">
        <v>489</v>
      </c>
      <c r="N106" s="610" t="s">
        <v>104</v>
      </c>
      <c r="O106" s="473"/>
      <c r="P106" s="495"/>
    </row>
    <row r="107" spans="1:66" s="465" customFormat="1" ht="15" customHeight="1">
      <c r="A107" s="427">
        <v>44207</v>
      </c>
      <c r="B107" s="611" t="s">
        <v>394</v>
      </c>
      <c r="C107" s="611" t="s">
        <v>392</v>
      </c>
      <c r="D107" s="611" t="s">
        <v>393</v>
      </c>
      <c r="E107" s="614"/>
      <c r="F107" s="613">
        <v>174200</v>
      </c>
      <c r="G107" s="607">
        <f t="shared" si="1"/>
        <v>10147303.99927</v>
      </c>
      <c r="H107" s="615" t="s">
        <v>120</v>
      </c>
      <c r="I107" s="603" t="s">
        <v>94</v>
      </c>
      <c r="J107" s="650" t="s">
        <v>220</v>
      </c>
      <c r="K107" s="603" t="s">
        <v>38</v>
      </c>
      <c r="L107" s="603" t="s">
        <v>73</v>
      </c>
      <c r="M107" s="609"/>
      <c r="N107" s="625"/>
      <c r="O107" s="473"/>
      <c r="P107" s="540"/>
      <c r="Q107" s="468"/>
      <c r="R107" s="468"/>
      <c r="S107" s="468"/>
      <c r="T107" s="468"/>
      <c r="U107" s="468"/>
      <c r="V107" s="468"/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468"/>
      <c r="AJ107" s="468"/>
      <c r="AK107" s="468"/>
      <c r="AL107" s="468"/>
      <c r="AM107" s="468"/>
      <c r="AN107" s="468"/>
      <c r="AO107" s="468"/>
      <c r="AP107" s="468"/>
      <c r="AQ107" s="468"/>
      <c r="AR107" s="468"/>
      <c r="AS107" s="468"/>
      <c r="AT107" s="468"/>
      <c r="AU107" s="468"/>
      <c r="AV107" s="468"/>
      <c r="AW107" s="468"/>
      <c r="AX107" s="468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8"/>
      <c r="BM107" s="468"/>
      <c r="BN107" s="468"/>
    </row>
    <row r="108" spans="1:66" s="431" customFormat="1" ht="15" hidden="1" customHeight="1">
      <c r="A108" s="503">
        <v>44207</v>
      </c>
      <c r="B108" s="29" t="s">
        <v>206</v>
      </c>
      <c r="C108" s="36" t="s">
        <v>147</v>
      </c>
      <c r="D108" s="542"/>
      <c r="E108" s="543">
        <v>10000</v>
      </c>
      <c r="F108" s="500"/>
      <c r="G108" s="507">
        <f t="shared" si="1"/>
        <v>10157303.99927</v>
      </c>
      <c r="H108" s="29" t="s">
        <v>177</v>
      </c>
      <c r="I108" s="504"/>
      <c r="J108" s="539"/>
      <c r="K108" s="504"/>
      <c r="L108" s="504"/>
      <c r="M108" s="473"/>
      <c r="N108" s="510"/>
      <c r="O108" s="473"/>
      <c r="P108" s="495"/>
    </row>
    <row r="109" spans="1:66" ht="15" customHeight="1">
      <c r="A109" s="427">
        <v>44207</v>
      </c>
      <c r="B109" s="603" t="s">
        <v>334</v>
      </c>
      <c r="C109" s="603" t="s">
        <v>91</v>
      </c>
      <c r="D109" s="619" t="s">
        <v>31</v>
      </c>
      <c r="E109" s="636"/>
      <c r="F109" s="643">
        <v>6000</v>
      </c>
      <c r="G109" s="607">
        <f t="shared" si="1"/>
        <v>10151303.99927</v>
      </c>
      <c r="H109" s="615" t="s">
        <v>197</v>
      </c>
      <c r="I109" s="603" t="s">
        <v>94</v>
      </c>
      <c r="J109" s="608" t="s">
        <v>103</v>
      </c>
      <c r="K109" s="603" t="s">
        <v>75</v>
      </c>
      <c r="L109" s="603" t="s">
        <v>73</v>
      </c>
      <c r="M109" s="609" t="s">
        <v>490</v>
      </c>
      <c r="N109" s="610" t="s">
        <v>170</v>
      </c>
      <c r="O109" s="473"/>
      <c r="P109" s="495"/>
    </row>
    <row r="110" spans="1:66" s="357" customFormat="1" ht="15" customHeight="1">
      <c r="A110" s="634">
        <v>44208</v>
      </c>
      <c r="B110" s="653" t="s">
        <v>449</v>
      </c>
      <c r="C110" s="640" t="s">
        <v>76</v>
      </c>
      <c r="D110" s="640" t="s">
        <v>148</v>
      </c>
      <c r="E110" s="654"/>
      <c r="F110" s="621">
        <v>200000</v>
      </c>
      <c r="G110" s="607">
        <f t="shared" si="1"/>
        <v>9951303.9992699996</v>
      </c>
      <c r="H110" s="608" t="s">
        <v>74</v>
      </c>
      <c r="I110" s="640">
        <v>3643398</v>
      </c>
      <c r="J110" s="608" t="s">
        <v>207</v>
      </c>
      <c r="K110" s="608" t="s">
        <v>75</v>
      </c>
      <c r="L110" s="608" t="s">
        <v>73</v>
      </c>
      <c r="M110" s="645" t="s">
        <v>491</v>
      </c>
      <c r="N110" s="625" t="s">
        <v>85</v>
      </c>
      <c r="O110" s="520"/>
      <c r="P110" s="540"/>
    </row>
    <row r="111" spans="1:66" ht="15" hidden="1" customHeight="1">
      <c r="A111" s="503">
        <v>44208</v>
      </c>
      <c r="B111" s="36" t="s">
        <v>141</v>
      </c>
      <c r="C111" s="36" t="s">
        <v>147</v>
      </c>
      <c r="D111" s="36"/>
      <c r="E111" s="471"/>
      <c r="F111" s="498">
        <v>368600</v>
      </c>
      <c r="G111" s="507">
        <f t="shared" si="1"/>
        <v>9582703.9992699996</v>
      </c>
      <c r="H111" s="36" t="s">
        <v>78</v>
      </c>
      <c r="I111" s="514"/>
      <c r="J111" s="508"/>
      <c r="K111" s="504"/>
      <c r="L111" s="504"/>
      <c r="M111" s="473"/>
      <c r="N111" s="510"/>
      <c r="O111" s="473"/>
      <c r="P111" s="495"/>
      <c r="Q111" s="431"/>
    </row>
    <row r="112" spans="1:66" s="431" customFormat="1" ht="15" customHeight="1">
      <c r="A112" s="427">
        <v>44208</v>
      </c>
      <c r="B112" s="619" t="s">
        <v>282</v>
      </c>
      <c r="C112" s="619" t="s">
        <v>80</v>
      </c>
      <c r="D112" s="219" t="s">
        <v>21</v>
      </c>
      <c r="E112" s="629"/>
      <c r="F112" s="621">
        <v>11060</v>
      </c>
      <c r="G112" s="607">
        <f t="shared" si="1"/>
        <v>9571643.9992699996</v>
      </c>
      <c r="H112" s="619" t="s">
        <v>78</v>
      </c>
      <c r="I112" s="610" t="s">
        <v>94</v>
      </c>
      <c r="J112" s="608" t="s">
        <v>103</v>
      </c>
      <c r="K112" s="603" t="s">
        <v>75</v>
      </c>
      <c r="L112" s="603" t="s">
        <v>73</v>
      </c>
      <c r="M112" s="609" t="s">
        <v>492</v>
      </c>
      <c r="N112" s="610" t="s">
        <v>172</v>
      </c>
      <c r="O112" s="473"/>
      <c r="P112" s="495"/>
    </row>
    <row r="113" spans="1:17" ht="15" customHeight="1">
      <c r="A113" s="427">
        <v>44208</v>
      </c>
      <c r="B113" s="619" t="s">
        <v>283</v>
      </c>
      <c r="C113" s="619" t="s">
        <v>26</v>
      </c>
      <c r="D113" s="619" t="s">
        <v>148</v>
      </c>
      <c r="E113" s="629"/>
      <c r="F113" s="621">
        <v>20000</v>
      </c>
      <c r="G113" s="607">
        <f t="shared" si="1"/>
        <v>9551643.9992699996</v>
      </c>
      <c r="H113" s="619" t="s">
        <v>78</v>
      </c>
      <c r="I113" s="610" t="s">
        <v>162</v>
      </c>
      <c r="J113" s="650" t="s">
        <v>220</v>
      </c>
      <c r="K113" s="603" t="s">
        <v>38</v>
      </c>
      <c r="L113" s="603" t="s">
        <v>73</v>
      </c>
      <c r="M113" s="615"/>
      <c r="N113" s="610"/>
      <c r="O113" s="473"/>
      <c r="P113" s="495"/>
      <c r="Q113" s="431"/>
    </row>
    <row r="114" spans="1:17" s="262" customFormat="1" ht="15" hidden="1" customHeight="1">
      <c r="A114" s="503">
        <v>44208</v>
      </c>
      <c r="B114" s="36" t="s">
        <v>317</v>
      </c>
      <c r="C114" s="36" t="s">
        <v>147</v>
      </c>
      <c r="D114" s="36"/>
      <c r="E114" s="23">
        <v>368600</v>
      </c>
      <c r="F114" s="524"/>
      <c r="G114" s="507">
        <f t="shared" si="1"/>
        <v>9920243.9992699996</v>
      </c>
      <c r="H114" s="508" t="s">
        <v>81</v>
      </c>
      <c r="I114" s="508"/>
      <c r="J114" s="508"/>
      <c r="K114" s="504"/>
      <c r="L114" s="504"/>
      <c r="M114" s="509"/>
      <c r="N114" s="510"/>
      <c r="O114" s="473"/>
      <c r="P114" s="495"/>
      <c r="Q114" s="431"/>
    </row>
    <row r="115" spans="1:17" s="301" customFormat="1">
      <c r="A115" s="427">
        <v>44208</v>
      </c>
      <c r="B115" s="219" t="s">
        <v>348</v>
      </c>
      <c r="C115" s="608" t="s">
        <v>91</v>
      </c>
      <c r="D115" s="619" t="s">
        <v>148</v>
      </c>
      <c r="E115" s="639"/>
      <c r="F115" s="639">
        <v>10000</v>
      </c>
      <c r="G115" s="607">
        <f t="shared" si="1"/>
        <v>9910243.9992699996</v>
      </c>
      <c r="H115" s="219" t="s">
        <v>149</v>
      </c>
      <c r="I115" s="219" t="s">
        <v>164</v>
      </c>
      <c r="J115" s="608" t="s">
        <v>220</v>
      </c>
      <c r="K115" s="603" t="s">
        <v>75</v>
      </c>
      <c r="L115" s="603" t="s">
        <v>73</v>
      </c>
      <c r="M115" s="609" t="s">
        <v>493</v>
      </c>
      <c r="N115" s="610" t="s">
        <v>170</v>
      </c>
      <c r="O115" s="473"/>
      <c r="P115" s="495"/>
      <c r="Q115" s="431"/>
    </row>
    <row r="116" spans="1:17" s="301" customFormat="1" ht="15" customHeight="1">
      <c r="A116" s="427">
        <v>44208</v>
      </c>
      <c r="B116" s="619" t="s">
        <v>313</v>
      </c>
      <c r="C116" s="619" t="s">
        <v>91</v>
      </c>
      <c r="D116" s="619" t="s">
        <v>148</v>
      </c>
      <c r="E116" s="646"/>
      <c r="F116" s="639">
        <v>10000</v>
      </c>
      <c r="G116" s="607">
        <f t="shared" si="1"/>
        <v>9900243.9992699996</v>
      </c>
      <c r="H116" s="608" t="s">
        <v>81</v>
      </c>
      <c r="I116" s="608" t="s">
        <v>94</v>
      </c>
      <c r="J116" s="608" t="s">
        <v>207</v>
      </c>
      <c r="K116" s="603" t="s">
        <v>75</v>
      </c>
      <c r="L116" s="603" t="s">
        <v>73</v>
      </c>
      <c r="M116" s="609" t="s">
        <v>494</v>
      </c>
      <c r="N116" s="610" t="s">
        <v>170</v>
      </c>
      <c r="O116" s="473"/>
      <c r="P116" s="495"/>
      <c r="Q116" s="131"/>
    </row>
    <row r="117" spans="1:17" s="431" customFormat="1" ht="15" hidden="1" customHeight="1">
      <c r="A117" s="503">
        <v>44208</v>
      </c>
      <c r="B117" s="29" t="s">
        <v>357</v>
      </c>
      <c r="C117" s="36" t="s">
        <v>147</v>
      </c>
      <c r="D117" s="36"/>
      <c r="E117" s="37">
        <v>184300</v>
      </c>
      <c r="F117" s="37"/>
      <c r="G117" s="507">
        <f t="shared" si="1"/>
        <v>10084543.99927</v>
      </c>
      <c r="H117" s="29" t="s">
        <v>149</v>
      </c>
      <c r="I117" s="29"/>
      <c r="J117" s="508"/>
      <c r="K117" s="504"/>
      <c r="L117" s="504"/>
      <c r="M117" s="509"/>
      <c r="N117" s="510"/>
      <c r="O117" s="473"/>
      <c r="P117" s="495"/>
    </row>
    <row r="118" spans="1:17" ht="15" hidden="1" customHeight="1">
      <c r="A118" s="503">
        <v>44209</v>
      </c>
      <c r="B118" s="36" t="s">
        <v>150</v>
      </c>
      <c r="C118" s="36" t="s">
        <v>147</v>
      </c>
      <c r="D118" s="36"/>
      <c r="E118" s="470"/>
      <c r="F118" s="472">
        <v>90200</v>
      </c>
      <c r="G118" s="507">
        <f t="shared" si="1"/>
        <v>9994343.9992699996</v>
      </c>
      <c r="H118" s="36" t="s">
        <v>78</v>
      </c>
      <c r="I118" s="510"/>
      <c r="J118" s="522"/>
      <c r="K118" s="504"/>
      <c r="L118" s="504"/>
      <c r="M118" s="509"/>
      <c r="N118" s="510"/>
      <c r="O118" s="473"/>
      <c r="P118" s="495"/>
      <c r="Q118" s="431"/>
    </row>
    <row r="119" spans="1:17" s="431" customFormat="1" ht="15" hidden="1" customHeight="1">
      <c r="A119" s="503">
        <v>44209</v>
      </c>
      <c r="B119" s="36" t="s">
        <v>314</v>
      </c>
      <c r="C119" s="36" t="s">
        <v>147</v>
      </c>
      <c r="D119" s="36"/>
      <c r="E119" s="23"/>
      <c r="F119" s="23">
        <v>184300</v>
      </c>
      <c r="G119" s="507">
        <f t="shared" si="1"/>
        <v>9810043.9992699996</v>
      </c>
      <c r="H119" s="508" t="s">
        <v>81</v>
      </c>
      <c r="I119" s="508"/>
      <c r="J119" s="508"/>
      <c r="K119" s="504"/>
      <c r="L119" s="504"/>
      <c r="M119" s="473"/>
      <c r="N119" s="510"/>
      <c r="O119" s="473"/>
      <c r="P119" s="495"/>
    </row>
    <row r="120" spans="1:17" ht="15" hidden="1" customHeight="1">
      <c r="A120" s="503">
        <v>44209</v>
      </c>
      <c r="B120" s="29" t="s">
        <v>376</v>
      </c>
      <c r="C120" s="36" t="s">
        <v>147</v>
      </c>
      <c r="D120" s="36"/>
      <c r="E120" s="37">
        <v>90200</v>
      </c>
      <c r="F120" s="37"/>
      <c r="G120" s="507">
        <f t="shared" si="1"/>
        <v>9900243.9992699996</v>
      </c>
      <c r="H120" s="502" t="s">
        <v>150</v>
      </c>
      <c r="I120" s="502"/>
      <c r="J120" s="508"/>
      <c r="K120" s="504"/>
      <c r="L120" s="504"/>
      <c r="M120" s="509"/>
      <c r="N120" s="510"/>
      <c r="O120" s="473"/>
      <c r="P120" s="495"/>
      <c r="Q120" s="431"/>
    </row>
    <row r="121" spans="1:17" s="262" customFormat="1" ht="15" customHeight="1">
      <c r="A121" s="427">
        <v>44209</v>
      </c>
      <c r="B121" s="619" t="s">
        <v>365</v>
      </c>
      <c r="C121" s="608" t="s">
        <v>91</v>
      </c>
      <c r="D121" s="619" t="s">
        <v>148</v>
      </c>
      <c r="E121" s="639"/>
      <c r="F121" s="639">
        <v>10000</v>
      </c>
      <c r="G121" s="607">
        <f t="shared" si="1"/>
        <v>9890243.9992699996</v>
      </c>
      <c r="H121" s="640" t="s">
        <v>150</v>
      </c>
      <c r="I121" s="640" t="s">
        <v>94</v>
      </c>
      <c r="J121" s="608" t="s">
        <v>207</v>
      </c>
      <c r="K121" s="608" t="s">
        <v>75</v>
      </c>
      <c r="L121" s="603" t="s">
        <v>73</v>
      </c>
      <c r="M121" s="609" t="s">
        <v>495</v>
      </c>
      <c r="N121" s="615" t="s">
        <v>170</v>
      </c>
      <c r="O121" s="473"/>
      <c r="P121" s="495"/>
    </row>
    <row r="122" spans="1:17" ht="15" customHeight="1">
      <c r="A122" s="427">
        <v>44209</v>
      </c>
      <c r="B122" s="603" t="s">
        <v>453</v>
      </c>
      <c r="C122" s="603" t="s">
        <v>91</v>
      </c>
      <c r="D122" s="619" t="s">
        <v>31</v>
      </c>
      <c r="E122" s="643"/>
      <c r="F122" s="643">
        <v>5000</v>
      </c>
      <c r="G122" s="607">
        <f t="shared" si="1"/>
        <v>9885243.9992699996</v>
      </c>
      <c r="H122" s="615" t="s">
        <v>197</v>
      </c>
      <c r="I122" s="603" t="s">
        <v>94</v>
      </c>
      <c r="J122" s="608" t="s">
        <v>103</v>
      </c>
      <c r="K122" s="603" t="s">
        <v>75</v>
      </c>
      <c r="L122" s="603" t="s">
        <v>73</v>
      </c>
      <c r="M122" s="609" t="s">
        <v>496</v>
      </c>
      <c r="N122" s="610" t="s">
        <v>170</v>
      </c>
      <c r="O122" s="473"/>
      <c r="P122" s="495"/>
      <c r="Q122" s="431"/>
    </row>
    <row r="123" spans="1:17" ht="15" hidden="1" customHeight="1">
      <c r="A123" s="503">
        <v>44210</v>
      </c>
      <c r="B123" s="36" t="s">
        <v>118</v>
      </c>
      <c r="C123" s="36" t="s">
        <v>147</v>
      </c>
      <c r="D123" s="36"/>
      <c r="E123" s="470"/>
      <c r="F123" s="472">
        <v>15000</v>
      </c>
      <c r="G123" s="507">
        <f t="shared" si="1"/>
        <v>9870243.9992699996</v>
      </c>
      <c r="H123" s="36" t="s">
        <v>78</v>
      </c>
      <c r="I123" s="29"/>
      <c r="J123" s="522"/>
      <c r="K123" s="504"/>
      <c r="L123" s="504"/>
      <c r="M123" s="473"/>
      <c r="N123" s="510"/>
      <c r="O123" s="473"/>
      <c r="P123" s="495"/>
      <c r="Q123" s="431"/>
    </row>
    <row r="124" spans="1:17" s="431" customFormat="1" ht="15" customHeight="1">
      <c r="A124" s="427">
        <v>44210</v>
      </c>
      <c r="B124" s="619" t="s">
        <v>284</v>
      </c>
      <c r="C124" s="619" t="s">
        <v>93</v>
      </c>
      <c r="D124" s="219" t="s">
        <v>21</v>
      </c>
      <c r="E124" s="620"/>
      <c r="F124" s="621">
        <v>120000</v>
      </c>
      <c r="G124" s="607">
        <f t="shared" si="1"/>
        <v>9750243.9992699996</v>
      </c>
      <c r="H124" s="619" t="s">
        <v>78</v>
      </c>
      <c r="I124" s="610" t="s">
        <v>94</v>
      </c>
      <c r="J124" s="623" t="s">
        <v>207</v>
      </c>
      <c r="K124" s="603" t="s">
        <v>75</v>
      </c>
      <c r="L124" s="603" t="s">
        <v>73</v>
      </c>
      <c r="M124" s="609" t="s">
        <v>497</v>
      </c>
      <c r="N124" s="610" t="s">
        <v>171</v>
      </c>
      <c r="O124" s="473"/>
      <c r="P124" s="495"/>
    </row>
    <row r="125" spans="1:17" ht="15" customHeight="1">
      <c r="A125" s="427">
        <v>44210</v>
      </c>
      <c r="B125" s="619" t="s">
        <v>285</v>
      </c>
      <c r="C125" s="619" t="s">
        <v>93</v>
      </c>
      <c r="D125" s="219" t="s">
        <v>21</v>
      </c>
      <c r="E125" s="620"/>
      <c r="F125" s="621">
        <v>1000</v>
      </c>
      <c r="G125" s="607">
        <f t="shared" si="1"/>
        <v>9749243.9992699996</v>
      </c>
      <c r="H125" s="619" t="s">
        <v>78</v>
      </c>
      <c r="I125" s="610" t="s">
        <v>94</v>
      </c>
      <c r="J125" s="608" t="s">
        <v>220</v>
      </c>
      <c r="K125" s="608" t="s">
        <v>75</v>
      </c>
      <c r="L125" s="603" t="s">
        <v>73</v>
      </c>
      <c r="M125" s="609" t="s">
        <v>498</v>
      </c>
      <c r="N125" s="645" t="s">
        <v>171</v>
      </c>
      <c r="O125" s="517"/>
      <c r="P125" s="495"/>
      <c r="Q125" s="431"/>
    </row>
    <row r="126" spans="1:17" ht="15" customHeight="1">
      <c r="A126" s="427">
        <v>44210</v>
      </c>
      <c r="B126" s="619" t="s">
        <v>303</v>
      </c>
      <c r="C126" s="619" t="s">
        <v>163</v>
      </c>
      <c r="D126" s="619" t="s">
        <v>148</v>
      </c>
      <c r="E126" s="646"/>
      <c r="F126" s="631">
        <v>45000</v>
      </c>
      <c r="G126" s="607">
        <f t="shared" si="1"/>
        <v>9704243.9992699996</v>
      </c>
      <c r="H126" s="608" t="s">
        <v>81</v>
      </c>
      <c r="I126" s="608" t="s">
        <v>94</v>
      </c>
      <c r="J126" s="633" t="s">
        <v>207</v>
      </c>
      <c r="K126" s="603" t="s">
        <v>75</v>
      </c>
      <c r="L126" s="603" t="s">
        <v>73</v>
      </c>
      <c r="M126" s="609" t="s">
        <v>499</v>
      </c>
      <c r="N126" s="610" t="s">
        <v>104</v>
      </c>
      <c r="O126" s="473"/>
      <c r="P126" s="495"/>
      <c r="Q126" s="431"/>
    </row>
    <row r="127" spans="1:17" s="262" customFormat="1" ht="15" customHeight="1">
      <c r="A127" s="427">
        <v>44210</v>
      </c>
      <c r="B127" s="619" t="s">
        <v>304</v>
      </c>
      <c r="C127" s="619" t="s">
        <v>305</v>
      </c>
      <c r="D127" s="619" t="s">
        <v>148</v>
      </c>
      <c r="E127" s="646"/>
      <c r="F127" s="631">
        <v>50000</v>
      </c>
      <c r="G127" s="607">
        <f t="shared" si="1"/>
        <v>9654243.9992699996</v>
      </c>
      <c r="H127" s="608" t="s">
        <v>81</v>
      </c>
      <c r="I127" s="608" t="s">
        <v>94</v>
      </c>
      <c r="J127" s="633" t="s">
        <v>220</v>
      </c>
      <c r="K127" s="603" t="s">
        <v>38</v>
      </c>
      <c r="L127" s="603" t="s">
        <v>73</v>
      </c>
      <c r="M127" s="609"/>
      <c r="N127" s="610"/>
      <c r="O127" s="455"/>
    </row>
    <row r="128" spans="1:17" ht="15" customHeight="1">
      <c r="A128" s="427">
        <v>44210</v>
      </c>
      <c r="B128" s="603" t="s">
        <v>329</v>
      </c>
      <c r="C128" s="603" t="s">
        <v>163</v>
      </c>
      <c r="D128" s="619" t="s">
        <v>31</v>
      </c>
      <c r="E128" s="643"/>
      <c r="F128" s="637">
        <v>45000</v>
      </c>
      <c r="G128" s="607">
        <f t="shared" si="1"/>
        <v>9609243.9992699996</v>
      </c>
      <c r="H128" s="603" t="s">
        <v>84</v>
      </c>
      <c r="I128" s="603" t="s">
        <v>97</v>
      </c>
      <c r="J128" s="608" t="s">
        <v>220</v>
      </c>
      <c r="K128" s="608" t="s">
        <v>75</v>
      </c>
      <c r="L128" s="608" t="s">
        <v>73</v>
      </c>
      <c r="M128" s="609" t="s">
        <v>500</v>
      </c>
      <c r="N128" s="625" t="s">
        <v>104</v>
      </c>
      <c r="O128" s="473"/>
      <c r="P128" s="495"/>
      <c r="Q128" s="431"/>
    </row>
    <row r="129" spans="1:66" ht="15" customHeight="1">
      <c r="A129" s="427">
        <v>44210</v>
      </c>
      <c r="B129" s="219" t="s">
        <v>345</v>
      </c>
      <c r="C129" s="608" t="s">
        <v>163</v>
      </c>
      <c r="D129" s="619" t="s">
        <v>148</v>
      </c>
      <c r="E129" s="639"/>
      <c r="F129" s="639">
        <v>45000</v>
      </c>
      <c r="G129" s="607">
        <f t="shared" si="1"/>
        <v>9564243.9992699996</v>
      </c>
      <c r="H129" s="219" t="s">
        <v>149</v>
      </c>
      <c r="I129" s="219" t="s">
        <v>94</v>
      </c>
      <c r="J129" s="608" t="s">
        <v>207</v>
      </c>
      <c r="K129" s="603" t="s">
        <v>75</v>
      </c>
      <c r="L129" s="603" t="s">
        <v>73</v>
      </c>
      <c r="M129" s="609" t="s">
        <v>501</v>
      </c>
      <c r="N129" s="610" t="s">
        <v>104</v>
      </c>
      <c r="O129" s="473"/>
      <c r="P129" s="495"/>
      <c r="Q129" s="431"/>
    </row>
    <row r="130" spans="1:66" s="262" customFormat="1" ht="15" customHeight="1">
      <c r="A130" s="642">
        <v>44210</v>
      </c>
      <c r="B130" s="619" t="s">
        <v>363</v>
      </c>
      <c r="C130" s="608" t="s">
        <v>163</v>
      </c>
      <c r="D130" s="619" t="s">
        <v>148</v>
      </c>
      <c r="E130" s="639"/>
      <c r="F130" s="639">
        <v>30000</v>
      </c>
      <c r="G130" s="607">
        <f t="shared" si="1"/>
        <v>9534243.9992699996</v>
      </c>
      <c r="H130" s="640" t="s">
        <v>150</v>
      </c>
      <c r="I130" s="640" t="s">
        <v>94</v>
      </c>
      <c r="J130" s="608" t="s">
        <v>207</v>
      </c>
      <c r="K130" s="608" t="s">
        <v>75</v>
      </c>
      <c r="L130" s="603" t="s">
        <v>73</v>
      </c>
      <c r="M130" s="609" t="s">
        <v>502</v>
      </c>
      <c r="N130" s="615" t="s">
        <v>104</v>
      </c>
      <c r="O130" s="473"/>
      <c r="P130" s="495"/>
    </row>
    <row r="131" spans="1:66" s="262" customFormat="1" ht="15" customHeight="1">
      <c r="A131" s="427">
        <v>44210</v>
      </c>
      <c r="B131" s="619" t="s">
        <v>364</v>
      </c>
      <c r="C131" s="615" t="s">
        <v>15</v>
      </c>
      <c r="D131" s="619" t="s">
        <v>148</v>
      </c>
      <c r="E131" s="638"/>
      <c r="F131" s="638">
        <v>20000</v>
      </c>
      <c r="G131" s="607">
        <f t="shared" si="1"/>
        <v>9514243.9992699996</v>
      </c>
      <c r="H131" s="640" t="s">
        <v>150</v>
      </c>
      <c r="I131" s="640" t="s">
        <v>162</v>
      </c>
      <c r="J131" s="608" t="s">
        <v>207</v>
      </c>
      <c r="K131" s="608" t="s">
        <v>75</v>
      </c>
      <c r="L131" s="603" t="s">
        <v>73</v>
      </c>
      <c r="M131" s="609" t="s">
        <v>503</v>
      </c>
      <c r="N131" s="615" t="s">
        <v>104</v>
      </c>
      <c r="O131" s="473"/>
      <c r="P131" s="495"/>
    </row>
    <row r="132" spans="1:66" s="262" customFormat="1" ht="15" customHeight="1">
      <c r="A132" s="427">
        <v>44210</v>
      </c>
      <c r="B132" s="603" t="s">
        <v>380</v>
      </c>
      <c r="C132" s="603" t="s">
        <v>91</v>
      </c>
      <c r="D132" s="615" t="s">
        <v>31</v>
      </c>
      <c r="E132" s="605"/>
      <c r="F132" s="644">
        <v>15000</v>
      </c>
      <c r="G132" s="607">
        <f t="shared" si="1"/>
        <v>9499243.9992699996</v>
      </c>
      <c r="H132" s="603" t="s">
        <v>200</v>
      </c>
      <c r="I132" s="603" t="s">
        <v>94</v>
      </c>
      <c r="J132" s="608" t="s">
        <v>220</v>
      </c>
      <c r="K132" s="603" t="s">
        <v>38</v>
      </c>
      <c r="L132" s="603" t="s">
        <v>73</v>
      </c>
      <c r="M132" s="615"/>
      <c r="N132" s="610"/>
      <c r="O132" s="455"/>
    </row>
    <row r="133" spans="1:66" ht="15" hidden="1" customHeight="1">
      <c r="A133" s="533">
        <v>44210</v>
      </c>
      <c r="B133" s="534" t="s">
        <v>410</v>
      </c>
      <c r="C133" s="36" t="s">
        <v>147</v>
      </c>
      <c r="D133" s="534"/>
      <c r="E133" s="526">
        <v>15000</v>
      </c>
      <c r="F133" s="526"/>
      <c r="G133" s="507">
        <f t="shared" si="1"/>
        <v>9514243.9992699996</v>
      </c>
      <c r="H133" s="534" t="s">
        <v>118</v>
      </c>
      <c r="I133" s="534"/>
      <c r="J133" s="508"/>
      <c r="K133" s="504"/>
      <c r="L133" s="504"/>
      <c r="M133" s="473"/>
      <c r="N133" s="510"/>
      <c r="O133" s="473"/>
      <c r="P133" s="495"/>
    </row>
    <row r="134" spans="1:66" s="301" customFormat="1" ht="15" customHeight="1">
      <c r="A134" s="427">
        <v>44210</v>
      </c>
      <c r="B134" s="608" t="s">
        <v>454</v>
      </c>
      <c r="C134" s="603" t="s">
        <v>91</v>
      </c>
      <c r="D134" s="619" t="s">
        <v>31</v>
      </c>
      <c r="E134" s="643"/>
      <c r="F134" s="643">
        <v>15000</v>
      </c>
      <c r="G134" s="607">
        <f t="shared" si="1"/>
        <v>9499243.9992699996</v>
      </c>
      <c r="H134" s="615" t="s">
        <v>197</v>
      </c>
      <c r="I134" s="603" t="s">
        <v>94</v>
      </c>
      <c r="J134" s="608" t="s">
        <v>220</v>
      </c>
      <c r="K134" s="603" t="s">
        <v>75</v>
      </c>
      <c r="L134" s="603" t="s">
        <v>73</v>
      </c>
      <c r="M134" s="609" t="s">
        <v>504</v>
      </c>
      <c r="N134" s="610" t="s">
        <v>170</v>
      </c>
      <c r="O134" s="473"/>
      <c r="P134" s="495"/>
    </row>
    <row r="135" spans="1:66" s="431" customFormat="1" ht="15" customHeight="1">
      <c r="A135" s="642">
        <v>44211</v>
      </c>
      <c r="B135" s="219" t="s">
        <v>228</v>
      </c>
      <c r="C135" s="219" t="s">
        <v>26</v>
      </c>
      <c r="D135" s="219" t="s">
        <v>77</v>
      </c>
      <c r="E135" s="621"/>
      <c r="F135" s="620">
        <v>170000</v>
      </c>
      <c r="G135" s="607">
        <f t="shared" si="1"/>
        <v>9329243.9992699996</v>
      </c>
      <c r="H135" s="608" t="s">
        <v>72</v>
      </c>
      <c r="I135" s="619">
        <v>3654420</v>
      </c>
      <c r="J135" s="608" t="s">
        <v>220</v>
      </c>
      <c r="K135" s="603" t="s">
        <v>38</v>
      </c>
      <c r="L135" s="603" t="s">
        <v>73</v>
      </c>
      <c r="M135" s="615"/>
      <c r="N135" s="610"/>
      <c r="O135" s="510"/>
      <c r="P135" s="495"/>
    </row>
    <row r="136" spans="1:66" ht="15" hidden="1" customHeight="1">
      <c r="A136" s="503">
        <v>44211</v>
      </c>
      <c r="B136" s="36" t="s">
        <v>141</v>
      </c>
      <c r="C136" s="36" t="s">
        <v>147</v>
      </c>
      <c r="D136" s="36"/>
      <c r="E136" s="470"/>
      <c r="F136" s="472">
        <v>50000</v>
      </c>
      <c r="G136" s="507">
        <f t="shared" si="1"/>
        <v>9279243.9992699996</v>
      </c>
      <c r="H136" s="36" t="s">
        <v>78</v>
      </c>
      <c r="I136" s="510"/>
      <c r="J136" s="508"/>
      <c r="K136" s="504"/>
      <c r="L136" s="504"/>
      <c r="M136" s="473"/>
      <c r="N136" s="510"/>
      <c r="O136" s="473"/>
      <c r="P136" s="495"/>
    </row>
    <row r="137" spans="1:66" s="431" customFormat="1" ht="15" customHeight="1">
      <c r="A137" s="427">
        <v>44211</v>
      </c>
      <c r="B137" s="619" t="s">
        <v>282</v>
      </c>
      <c r="C137" s="619" t="s">
        <v>80</v>
      </c>
      <c r="D137" s="219" t="s">
        <v>21</v>
      </c>
      <c r="E137" s="620"/>
      <c r="F137" s="621">
        <v>1500</v>
      </c>
      <c r="G137" s="607">
        <f t="shared" si="1"/>
        <v>9277743.9992699996</v>
      </c>
      <c r="H137" s="619" t="s">
        <v>78</v>
      </c>
      <c r="I137" s="610" t="s">
        <v>94</v>
      </c>
      <c r="J137" s="608" t="s">
        <v>103</v>
      </c>
      <c r="K137" s="603" t="s">
        <v>75</v>
      </c>
      <c r="L137" s="603" t="s">
        <v>73</v>
      </c>
      <c r="M137" s="609" t="s">
        <v>505</v>
      </c>
      <c r="N137" s="610" t="s">
        <v>172</v>
      </c>
      <c r="O137" s="473"/>
      <c r="P137" s="495"/>
    </row>
    <row r="138" spans="1:66" ht="15" customHeight="1">
      <c r="A138" s="427">
        <v>44211</v>
      </c>
      <c r="B138" s="619" t="s">
        <v>306</v>
      </c>
      <c r="C138" s="619" t="s">
        <v>163</v>
      </c>
      <c r="D138" s="619" t="s">
        <v>148</v>
      </c>
      <c r="E138" s="646"/>
      <c r="F138" s="631">
        <v>15000</v>
      </c>
      <c r="G138" s="607">
        <f t="shared" si="1"/>
        <v>9262743.9992699996</v>
      </c>
      <c r="H138" s="608" t="s">
        <v>81</v>
      </c>
      <c r="I138" s="608" t="s">
        <v>94</v>
      </c>
      <c r="J138" s="633" t="s">
        <v>207</v>
      </c>
      <c r="K138" s="603" t="s">
        <v>75</v>
      </c>
      <c r="L138" s="603" t="s">
        <v>73</v>
      </c>
      <c r="M138" s="609" t="s">
        <v>506</v>
      </c>
      <c r="N138" s="610" t="s">
        <v>104</v>
      </c>
      <c r="O138" s="473"/>
      <c r="P138" s="495"/>
    </row>
    <row r="139" spans="1:66" s="262" customFormat="1" ht="15" customHeight="1">
      <c r="A139" s="427">
        <v>44211</v>
      </c>
      <c r="B139" s="619" t="s">
        <v>307</v>
      </c>
      <c r="C139" s="619" t="s">
        <v>91</v>
      </c>
      <c r="D139" s="619" t="s">
        <v>148</v>
      </c>
      <c r="E139" s="646"/>
      <c r="F139" s="631">
        <v>5000</v>
      </c>
      <c r="G139" s="607">
        <f t="shared" si="1"/>
        <v>9257743.9992699996</v>
      </c>
      <c r="H139" s="608" t="s">
        <v>81</v>
      </c>
      <c r="I139" s="608" t="s">
        <v>94</v>
      </c>
      <c r="J139" s="453" t="s">
        <v>220</v>
      </c>
      <c r="K139" s="616" t="s">
        <v>75</v>
      </c>
      <c r="L139" s="603" t="s">
        <v>73</v>
      </c>
      <c r="M139" s="609" t="s">
        <v>507</v>
      </c>
      <c r="N139" s="610" t="s">
        <v>170</v>
      </c>
      <c r="O139" s="473"/>
      <c r="P139" s="495"/>
    </row>
    <row r="140" spans="1:66" s="262" customFormat="1" ht="15" customHeight="1">
      <c r="A140" s="427">
        <v>44211</v>
      </c>
      <c r="B140" s="603" t="s">
        <v>330</v>
      </c>
      <c r="C140" s="603" t="s">
        <v>163</v>
      </c>
      <c r="D140" s="619" t="s">
        <v>31</v>
      </c>
      <c r="E140" s="643"/>
      <c r="F140" s="637">
        <v>105000</v>
      </c>
      <c r="G140" s="607">
        <f t="shared" si="1"/>
        <v>9152743.9992699996</v>
      </c>
      <c r="H140" s="603" t="s">
        <v>84</v>
      </c>
      <c r="I140" s="603" t="s">
        <v>97</v>
      </c>
      <c r="J140" s="608" t="s">
        <v>220</v>
      </c>
      <c r="K140" s="608" t="s">
        <v>75</v>
      </c>
      <c r="L140" s="608" t="s">
        <v>73</v>
      </c>
      <c r="M140" s="609" t="s">
        <v>508</v>
      </c>
      <c r="N140" s="625" t="s">
        <v>104</v>
      </c>
      <c r="O140" s="473"/>
      <c r="P140" s="495"/>
    </row>
    <row r="141" spans="1:66" s="431" customFormat="1" ht="15" customHeight="1">
      <c r="A141" s="427">
        <v>44211</v>
      </c>
      <c r="B141" s="219" t="s">
        <v>349</v>
      </c>
      <c r="C141" s="608" t="s">
        <v>91</v>
      </c>
      <c r="D141" s="619" t="s">
        <v>148</v>
      </c>
      <c r="E141" s="639"/>
      <c r="F141" s="639">
        <v>5000</v>
      </c>
      <c r="G141" s="607">
        <f t="shared" si="1"/>
        <v>9147743.9992699996</v>
      </c>
      <c r="H141" s="219" t="s">
        <v>149</v>
      </c>
      <c r="I141" s="219" t="s">
        <v>164</v>
      </c>
      <c r="J141" s="650" t="s">
        <v>220</v>
      </c>
      <c r="K141" s="603" t="s">
        <v>75</v>
      </c>
      <c r="L141" s="603" t="s">
        <v>73</v>
      </c>
      <c r="M141" s="609" t="s">
        <v>509</v>
      </c>
      <c r="N141" s="610" t="s">
        <v>170</v>
      </c>
      <c r="O141" s="473"/>
      <c r="P141" s="495"/>
      <c r="Q141" s="495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</row>
    <row r="142" spans="1:66" s="431" customFormat="1" ht="15" customHeight="1">
      <c r="A142" s="427">
        <v>44211</v>
      </c>
      <c r="B142" s="603" t="s">
        <v>320</v>
      </c>
      <c r="C142" s="603" t="s">
        <v>91</v>
      </c>
      <c r="D142" s="619" t="s">
        <v>31</v>
      </c>
      <c r="E142" s="643"/>
      <c r="F142" s="637">
        <v>4000</v>
      </c>
      <c r="G142" s="607">
        <f t="shared" si="1"/>
        <v>9143743.9992699996</v>
      </c>
      <c r="H142" s="603" t="s">
        <v>84</v>
      </c>
      <c r="I142" s="603" t="s">
        <v>97</v>
      </c>
      <c r="J142" s="633" t="s">
        <v>103</v>
      </c>
      <c r="K142" s="608" t="s">
        <v>75</v>
      </c>
      <c r="L142" s="608" t="s">
        <v>73</v>
      </c>
      <c r="M142" s="609" t="s">
        <v>510</v>
      </c>
      <c r="N142" s="625" t="s">
        <v>170</v>
      </c>
      <c r="O142" s="473"/>
      <c r="P142" s="495"/>
      <c r="Q142" s="495"/>
    </row>
    <row r="143" spans="1:66" s="431" customFormat="1" ht="15" customHeight="1">
      <c r="A143" s="427">
        <v>44211</v>
      </c>
      <c r="B143" s="655" t="s">
        <v>321</v>
      </c>
      <c r="C143" s="655" t="s">
        <v>91</v>
      </c>
      <c r="D143" s="656" t="s">
        <v>31</v>
      </c>
      <c r="E143" s="657"/>
      <c r="F143" s="658">
        <v>6000</v>
      </c>
      <c r="G143" s="607">
        <f t="shared" si="1"/>
        <v>9137743.9992699996</v>
      </c>
      <c r="H143" s="603" t="s">
        <v>84</v>
      </c>
      <c r="I143" s="603" t="s">
        <v>97</v>
      </c>
      <c r="J143" s="659" t="s">
        <v>103</v>
      </c>
      <c r="K143" s="608" t="s">
        <v>75</v>
      </c>
      <c r="L143" s="608" t="s">
        <v>73</v>
      </c>
      <c r="M143" s="609" t="s">
        <v>511</v>
      </c>
      <c r="N143" s="625" t="s">
        <v>170</v>
      </c>
      <c r="O143" s="473"/>
      <c r="P143" s="495"/>
      <c r="Q143" s="495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</row>
    <row r="144" spans="1:66" s="431" customFormat="1" ht="15" customHeight="1">
      <c r="A144" s="427">
        <v>44211</v>
      </c>
      <c r="B144" s="655" t="s">
        <v>340</v>
      </c>
      <c r="C144" s="603" t="s">
        <v>163</v>
      </c>
      <c r="D144" s="656" t="s">
        <v>31</v>
      </c>
      <c r="E144" s="657"/>
      <c r="F144" s="657">
        <v>150000</v>
      </c>
      <c r="G144" s="607">
        <f t="shared" si="1"/>
        <v>8987743.9992699996</v>
      </c>
      <c r="H144" s="615" t="s">
        <v>197</v>
      </c>
      <c r="I144" s="603" t="s">
        <v>94</v>
      </c>
      <c r="J144" s="608" t="s">
        <v>220</v>
      </c>
      <c r="K144" s="603" t="s">
        <v>75</v>
      </c>
      <c r="L144" s="603" t="s">
        <v>73</v>
      </c>
      <c r="M144" s="609" t="s">
        <v>512</v>
      </c>
      <c r="N144" s="610" t="s">
        <v>104</v>
      </c>
      <c r="O144" s="473"/>
      <c r="P144" s="495"/>
    </row>
    <row r="145" spans="1:66" s="431" customFormat="1" ht="15" customHeight="1">
      <c r="A145" s="427">
        <v>44211</v>
      </c>
      <c r="B145" s="660" t="s">
        <v>346</v>
      </c>
      <c r="C145" s="608" t="s">
        <v>163</v>
      </c>
      <c r="D145" s="656" t="s">
        <v>148</v>
      </c>
      <c r="E145" s="661"/>
      <c r="F145" s="661">
        <v>15000</v>
      </c>
      <c r="G145" s="607">
        <f t="shared" si="1"/>
        <v>8972743.9992699996</v>
      </c>
      <c r="H145" s="219" t="s">
        <v>149</v>
      </c>
      <c r="I145" s="219" t="s">
        <v>94</v>
      </c>
      <c r="J145" s="650" t="s">
        <v>207</v>
      </c>
      <c r="K145" s="603" t="s">
        <v>75</v>
      </c>
      <c r="L145" s="603" t="s">
        <v>73</v>
      </c>
      <c r="M145" s="609" t="s">
        <v>513</v>
      </c>
      <c r="N145" s="610" t="s">
        <v>104</v>
      </c>
      <c r="O145" s="473"/>
      <c r="P145" s="495"/>
    </row>
    <row r="146" spans="1:66" s="262" customFormat="1" ht="15" customHeight="1">
      <c r="A146" s="427">
        <v>44211</v>
      </c>
      <c r="B146" s="656" t="s">
        <v>366</v>
      </c>
      <c r="C146" s="608" t="s">
        <v>91</v>
      </c>
      <c r="D146" s="656" t="s">
        <v>148</v>
      </c>
      <c r="E146" s="661"/>
      <c r="F146" s="661">
        <v>10000</v>
      </c>
      <c r="G146" s="607">
        <f t="shared" ref="G146:G209" si="2">G145+E146-F146</f>
        <v>8962743.9992699996</v>
      </c>
      <c r="H146" s="640" t="s">
        <v>150</v>
      </c>
      <c r="I146" s="640" t="s">
        <v>94</v>
      </c>
      <c r="J146" s="608" t="s">
        <v>207</v>
      </c>
      <c r="K146" s="608" t="s">
        <v>75</v>
      </c>
      <c r="L146" s="603" t="s">
        <v>73</v>
      </c>
      <c r="M146" s="609" t="s">
        <v>514</v>
      </c>
      <c r="N146" s="615" t="s">
        <v>170</v>
      </c>
      <c r="O146" s="473"/>
      <c r="P146" s="495"/>
    </row>
    <row r="147" spans="1:66" ht="15" customHeight="1">
      <c r="A147" s="427">
        <v>44211</v>
      </c>
      <c r="B147" s="655" t="s">
        <v>379</v>
      </c>
      <c r="C147" s="603" t="s">
        <v>163</v>
      </c>
      <c r="D147" s="386" t="s">
        <v>31</v>
      </c>
      <c r="E147" s="662"/>
      <c r="F147" s="663">
        <v>150000</v>
      </c>
      <c r="G147" s="607">
        <f t="shared" si="2"/>
        <v>8812743.9992699996</v>
      </c>
      <c r="H147" s="603" t="s">
        <v>200</v>
      </c>
      <c r="I147" s="603" t="s">
        <v>94</v>
      </c>
      <c r="J147" s="608" t="s">
        <v>220</v>
      </c>
      <c r="K147" s="603" t="s">
        <v>38</v>
      </c>
      <c r="L147" s="603" t="s">
        <v>73</v>
      </c>
      <c r="M147" s="615"/>
      <c r="N147" s="664"/>
      <c r="O147" s="473"/>
      <c r="P147" s="495"/>
    </row>
    <row r="148" spans="1:66" ht="15" hidden="1" customHeight="1">
      <c r="A148" s="503">
        <v>44212</v>
      </c>
      <c r="B148" s="496" t="s">
        <v>317</v>
      </c>
      <c r="C148" s="496" t="s">
        <v>147</v>
      </c>
      <c r="D148" s="496"/>
      <c r="E148" s="547">
        <v>50000</v>
      </c>
      <c r="F148" s="548"/>
      <c r="G148" s="507">
        <f t="shared" si="2"/>
        <v>8862743.9992699996</v>
      </c>
      <c r="H148" s="508" t="s">
        <v>81</v>
      </c>
      <c r="I148" s="508"/>
      <c r="J148" s="522"/>
      <c r="K148" s="504"/>
      <c r="L148" s="504"/>
      <c r="M148" s="509"/>
      <c r="N148" s="510"/>
      <c r="O148" s="473"/>
      <c r="P148" s="495"/>
      <c r="Q148" s="495"/>
    </row>
    <row r="149" spans="1:66" s="431" customFormat="1" ht="15" customHeight="1">
      <c r="A149" s="427">
        <v>44212</v>
      </c>
      <c r="B149" s="656" t="s">
        <v>308</v>
      </c>
      <c r="C149" s="619" t="s">
        <v>91</v>
      </c>
      <c r="D149" s="656" t="s">
        <v>148</v>
      </c>
      <c r="E149" s="665"/>
      <c r="F149" s="666">
        <v>10000</v>
      </c>
      <c r="G149" s="607">
        <f t="shared" si="2"/>
        <v>8852743.9992699996</v>
      </c>
      <c r="H149" s="608" t="s">
        <v>81</v>
      </c>
      <c r="I149" s="615" t="s">
        <v>94</v>
      </c>
      <c r="J149" s="608" t="s">
        <v>220</v>
      </c>
      <c r="K149" s="603" t="s">
        <v>75</v>
      </c>
      <c r="L149" s="603" t="s">
        <v>73</v>
      </c>
      <c r="M149" s="609" t="s">
        <v>515</v>
      </c>
      <c r="N149" s="610" t="s">
        <v>170</v>
      </c>
      <c r="O149" s="510"/>
      <c r="P149" s="495"/>
    </row>
    <row r="150" spans="1:66" ht="15" customHeight="1">
      <c r="A150" s="427">
        <v>44212</v>
      </c>
      <c r="B150" s="660" t="s">
        <v>204</v>
      </c>
      <c r="C150" s="656" t="s">
        <v>91</v>
      </c>
      <c r="D150" s="656" t="s">
        <v>148</v>
      </c>
      <c r="E150" s="661"/>
      <c r="F150" s="661">
        <v>10000</v>
      </c>
      <c r="G150" s="607">
        <f t="shared" si="2"/>
        <v>8842743.9992699996</v>
      </c>
      <c r="H150" s="219" t="s">
        <v>149</v>
      </c>
      <c r="I150" s="219" t="s">
        <v>164</v>
      </c>
      <c r="J150" s="608" t="s">
        <v>220</v>
      </c>
      <c r="K150" s="603" t="s">
        <v>75</v>
      </c>
      <c r="L150" s="603" t="s">
        <v>73</v>
      </c>
      <c r="M150" s="609" t="s">
        <v>516</v>
      </c>
      <c r="N150" s="610" t="s">
        <v>170</v>
      </c>
      <c r="O150" s="473"/>
      <c r="P150" s="495"/>
      <c r="Q150" s="495"/>
    </row>
    <row r="151" spans="1:66" ht="14.25" customHeight="1">
      <c r="A151" s="427">
        <v>44212</v>
      </c>
      <c r="B151" s="660" t="s">
        <v>355</v>
      </c>
      <c r="C151" s="619" t="s">
        <v>92</v>
      </c>
      <c r="D151" s="386" t="s">
        <v>148</v>
      </c>
      <c r="E151" s="661"/>
      <c r="F151" s="661">
        <v>24800</v>
      </c>
      <c r="G151" s="607">
        <f t="shared" si="2"/>
        <v>8817943.9992699996</v>
      </c>
      <c r="H151" s="219" t="s">
        <v>149</v>
      </c>
      <c r="I151" s="219" t="s">
        <v>164</v>
      </c>
      <c r="J151" s="628" t="s">
        <v>221</v>
      </c>
      <c r="K151" s="603" t="s">
        <v>38</v>
      </c>
      <c r="L151" s="603" t="s">
        <v>73</v>
      </c>
      <c r="M151" s="615"/>
      <c r="N151" s="610"/>
      <c r="O151" s="473"/>
      <c r="P151" s="495"/>
    </row>
    <row r="152" spans="1:66" s="431" customFormat="1" ht="15" customHeight="1">
      <c r="A152" s="427">
        <v>44213</v>
      </c>
      <c r="B152" s="656" t="s">
        <v>309</v>
      </c>
      <c r="C152" s="656" t="s">
        <v>163</v>
      </c>
      <c r="D152" s="656" t="s">
        <v>148</v>
      </c>
      <c r="E152" s="665"/>
      <c r="F152" s="666">
        <v>30000</v>
      </c>
      <c r="G152" s="607">
        <f t="shared" si="2"/>
        <v>8787943.9992699996</v>
      </c>
      <c r="H152" s="608" t="s">
        <v>81</v>
      </c>
      <c r="I152" s="608" t="s">
        <v>94</v>
      </c>
      <c r="J152" s="633" t="s">
        <v>207</v>
      </c>
      <c r="K152" s="603" t="s">
        <v>75</v>
      </c>
      <c r="L152" s="603" t="s">
        <v>73</v>
      </c>
      <c r="M152" s="609" t="s">
        <v>517</v>
      </c>
      <c r="N152" s="610" t="s">
        <v>104</v>
      </c>
      <c r="O152" s="473"/>
      <c r="P152" s="495"/>
      <c r="Q152" s="495"/>
    </row>
    <row r="153" spans="1:66" s="301" customFormat="1" ht="15" customHeight="1">
      <c r="A153" s="427">
        <v>44213</v>
      </c>
      <c r="B153" s="660" t="s">
        <v>347</v>
      </c>
      <c r="C153" s="650" t="s">
        <v>163</v>
      </c>
      <c r="D153" s="656" t="s">
        <v>148</v>
      </c>
      <c r="E153" s="661"/>
      <c r="F153" s="661">
        <v>30000</v>
      </c>
      <c r="G153" s="607">
        <f t="shared" si="2"/>
        <v>8757943.9992699996</v>
      </c>
      <c r="H153" s="219" t="s">
        <v>149</v>
      </c>
      <c r="I153" s="219" t="s">
        <v>164</v>
      </c>
      <c r="J153" s="608" t="s">
        <v>207</v>
      </c>
      <c r="K153" s="603" t="s">
        <v>75</v>
      </c>
      <c r="L153" s="603" t="s">
        <v>73</v>
      </c>
      <c r="M153" s="609" t="s">
        <v>518</v>
      </c>
      <c r="N153" s="610" t="s">
        <v>104</v>
      </c>
      <c r="O153" s="473"/>
      <c r="P153" s="495"/>
      <c r="Q153" s="495"/>
    </row>
    <row r="154" spans="1:66" s="468" customFormat="1" ht="15" customHeight="1">
      <c r="A154" s="634">
        <v>44214</v>
      </c>
      <c r="B154" s="667" t="s">
        <v>235</v>
      </c>
      <c r="C154" s="668" t="s">
        <v>76</v>
      </c>
      <c r="D154" s="668" t="s">
        <v>148</v>
      </c>
      <c r="E154" s="669"/>
      <c r="F154" s="670">
        <v>200000</v>
      </c>
      <c r="G154" s="607">
        <f t="shared" si="2"/>
        <v>8557943.9992699996</v>
      </c>
      <c r="H154" s="608" t="s">
        <v>74</v>
      </c>
      <c r="I154" s="640">
        <v>3643399</v>
      </c>
      <c r="J154" s="608" t="s">
        <v>207</v>
      </c>
      <c r="K154" s="608" t="s">
        <v>75</v>
      </c>
      <c r="L154" s="608" t="s">
        <v>73</v>
      </c>
      <c r="M154" s="645" t="s">
        <v>519</v>
      </c>
      <c r="N154" s="625" t="s">
        <v>85</v>
      </c>
      <c r="O154" s="517"/>
      <c r="P154" s="540"/>
      <c r="Q154" s="540"/>
    </row>
    <row r="155" spans="1:66" ht="15" customHeight="1">
      <c r="A155" s="427">
        <v>44214</v>
      </c>
      <c r="B155" s="671" t="s">
        <v>236</v>
      </c>
      <c r="C155" s="656" t="s">
        <v>250</v>
      </c>
      <c r="D155" s="672"/>
      <c r="E155" s="657">
        <v>2495917</v>
      </c>
      <c r="F155" s="673"/>
      <c r="G155" s="607">
        <f t="shared" si="2"/>
        <v>11053860.99927</v>
      </c>
      <c r="H155" s="608" t="s">
        <v>74</v>
      </c>
      <c r="I155" s="619" t="s">
        <v>29</v>
      </c>
      <c r="J155" s="608" t="s">
        <v>251</v>
      </c>
      <c r="K155" s="603" t="s">
        <v>75</v>
      </c>
      <c r="L155" s="603" t="s">
        <v>73</v>
      </c>
      <c r="M155" s="609"/>
      <c r="N155" s="610"/>
      <c r="O155" s="473"/>
      <c r="P155" s="495"/>
      <c r="Q155" s="495"/>
    </row>
    <row r="156" spans="1:66" s="431" customFormat="1" ht="15" customHeight="1">
      <c r="A156" s="427">
        <v>44214</v>
      </c>
      <c r="B156" s="671" t="s">
        <v>237</v>
      </c>
      <c r="C156" s="619" t="s">
        <v>250</v>
      </c>
      <c r="D156" s="672"/>
      <c r="E156" s="657">
        <v>12940063</v>
      </c>
      <c r="F156" s="673"/>
      <c r="G156" s="607">
        <f t="shared" si="2"/>
        <v>23993923.99927</v>
      </c>
      <c r="H156" s="608" t="s">
        <v>74</v>
      </c>
      <c r="I156" s="619" t="s">
        <v>29</v>
      </c>
      <c r="J156" s="603" t="s">
        <v>50</v>
      </c>
      <c r="K156" s="619" t="s">
        <v>75</v>
      </c>
      <c r="L156" s="603" t="s">
        <v>73</v>
      </c>
      <c r="M156" s="609"/>
      <c r="N156" s="610"/>
      <c r="O156" s="473"/>
      <c r="P156" s="495"/>
    </row>
    <row r="157" spans="1:66" ht="15" hidden="1" customHeight="1">
      <c r="A157" s="503">
        <v>44214</v>
      </c>
      <c r="B157" s="496" t="s">
        <v>118</v>
      </c>
      <c r="C157" s="496" t="s">
        <v>147</v>
      </c>
      <c r="D157" s="496"/>
      <c r="E157" s="497"/>
      <c r="F157" s="499">
        <v>100000</v>
      </c>
      <c r="G157" s="507">
        <f t="shared" si="2"/>
        <v>23893923.99927</v>
      </c>
      <c r="H157" s="36" t="s">
        <v>78</v>
      </c>
      <c r="I157" s="514"/>
      <c r="J157" s="508"/>
      <c r="K157" s="504"/>
      <c r="L157" s="504"/>
      <c r="M157" s="473"/>
      <c r="N157" s="510"/>
      <c r="O157" s="473"/>
      <c r="P157" s="495"/>
    </row>
    <row r="158" spans="1:66" s="301" customFormat="1" ht="15" hidden="1" customHeight="1">
      <c r="A158" s="503">
        <v>44214</v>
      </c>
      <c r="B158" s="496" t="s">
        <v>118</v>
      </c>
      <c r="C158" s="496" t="s">
        <v>147</v>
      </c>
      <c r="D158" s="496"/>
      <c r="E158" s="497"/>
      <c r="F158" s="499">
        <v>10000</v>
      </c>
      <c r="G158" s="507">
        <f t="shared" si="2"/>
        <v>23883923.99927</v>
      </c>
      <c r="H158" s="36" t="s">
        <v>78</v>
      </c>
      <c r="I158" s="514"/>
      <c r="J158" s="508"/>
      <c r="K158" s="504"/>
      <c r="L158" s="504"/>
      <c r="M158" s="473"/>
      <c r="N158" s="510"/>
      <c r="O158" s="473"/>
      <c r="P158" s="495"/>
      <c r="Q158" s="495"/>
    </row>
    <row r="159" spans="1:66" s="431" customFormat="1" ht="15" customHeight="1">
      <c r="A159" s="427">
        <v>44214</v>
      </c>
      <c r="B159" s="656" t="s">
        <v>286</v>
      </c>
      <c r="C159" s="656" t="s">
        <v>26</v>
      </c>
      <c r="D159" s="656" t="s">
        <v>148</v>
      </c>
      <c r="E159" s="674"/>
      <c r="F159" s="670">
        <v>50000</v>
      </c>
      <c r="G159" s="607">
        <f t="shared" si="2"/>
        <v>23833923.99927</v>
      </c>
      <c r="H159" s="619" t="s">
        <v>78</v>
      </c>
      <c r="I159" s="610" t="s">
        <v>162</v>
      </c>
      <c r="J159" s="608" t="s">
        <v>220</v>
      </c>
      <c r="K159" s="603" t="s">
        <v>38</v>
      </c>
      <c r="L159" s="603" t="s">
        <v>73</v>
      </c>
      <c r="M159" s="623"/>
      <c r="N159" s="625"/>
      <c r="O159" s="517"/>
      <c r="P159" s="495"/>
      <c r="Q159" s="495"/>
    </row>
    <row r="160" spans="1:66" s="262" customFormat="1" ht="15" customHeight="1">
      <c r="A160" s="427">
        <v>44214</v>
      </c>
      <c r="B160" s="656" t="s">
        <v>287</v>
      </c>
      <c r="C160" s="656" t="s">
        <v>26</v>
      </c>
      <c r="D160" s="656" t="s">
        <v>31</v>
      </c>
      <c r="E160" s="665"/>
      <c r="F160" s="670">
        <v>20000</v>
      </c>
      <c r="G160" s="607">
        <f t="shared" si="2"/>
        <v>23813923.99927</v>
      </c>
      <c r="H160" s="619" t="s">
        <v>78</v>
      </c>
      <c r="I160" s="610" t="s">
        <v>162</v>
      </c>
      <c r="J160" s="608" t="s">
        <v>220</v>
      </c>
      <c r="K160" s="603" t="s">
        <v>38</v>
      </c>
      <c r="L160" s="603" t="s">
        <v>73</v>
      </c>
      <c r="M160" s="615"/>
      <c r="N160" s="610"/>
      <c r="O160" s="517"/>
      <c r="P160" s="495"/>
      <c r="Q160" s="4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</row>
    <row r="161" spans="1:66" ht="15" customHeight="1">
      <c r="A161" s="675">
        <v>44214</v>
      </c>
      <c r="B161" s="676" t="s">
        <v>399</v>
      </c>
      <c r="C161" s="676" t="s">
        <v>91</v>
      </c>
      <c r="D161" s="676" t="s">
        <v>19</v>
      </c>
      <c r="E161" s="666"/>
      <c r="F161" s="666">
        <v>20000</v>
      </c>
      <c r="G161" s="607">
        <f t="shared" si="2"/>
        <v>23793923.99927</v>
      </c>
      <c r="H161" s="677" t="s">
        <v>118</v>
      </c>
      <c r="I161" s="677" t="s">
        <v>79</v>
      </c>
      <c r="J161" s="608" t="s">
        <v>220</v>
      </c>
      <c r="K161" s="603" t="s">
        <v>75</v>
      </c>
      <c r="L161" s="603" t="s">
        <v>73</v>
      </c>
      <c r="M161" s="609" t="s">
        <v>520</v>
      </c>
      <c r="N161" s="610" t="s">
        <v>170</v>
      </c>
      <c r="O161" s="473"/>
      <c r="P161" s="495"/>
      <c r="Q161" s="495"/>
    </row>
    <row r="162" spans="1:66" ht="15" hidden="1" customHeight="1">
      <c r="A162" s="533">
        <v>44214</v>
      </c>
      <c r="B162" s="534" t="s">
        <v>410</v>
      </c>
      <c r="C162" s="36" t="s">
        <v>147</v>
      </c>
      <c r="D162" s="534"/>
      <c r="E162" s="526">
        <v>10000</v>
      </c>
      <c r="F162" s="526"/>
      <c r="G162" s="507">
        <f t="shared" si="2"/>
        <v>23803923.99927</v>
      </c>
      <c r="H162" s="534" t="s">
        <v>118</v>
      </c>
      <c r="I162" s="534"/>
      <c r="J162" s="508"/>
      <c r="K162" s="504"/>
      <c r="L162" s="504"/>
      <c r="M162" s="473"/>
      <c r="N162" s="510"/>
      <c r="O162" s="473"/>
      <c r="P162" s="495"/>
      <c r="Q162" s="495"/>
    </row>
    <row r="163" spans="1:66" ht="15" hidden="1" customHeight="1">
      <c r="A163" s="533">
        <v>44214</v>
      </c>
      <c r="B163" s="534" t="s">
        <v>410</v>
      </c>
      <c r="C163" s="36" t="s">
        <v>147</v>
      </c>
      <c r="D163" s="534"/>
      <c r="E163" s="526">
        <v>100000</v>
      </c>
      <c r="F163" s="526"/>
      <c r="G163" s="507">
        <f t="shared" si="2"/>
        <v>23903923.99927</v>
      </c>
      <c r="H163" s="534" t="s">
        <v>118</v>
      </c>
      <c r="I163" s="534"/>
      <c r="J163" s="508"/>
      <c r="K163" s="504"/>
      <c r="L163" s="504"/>
      <c r="M163" s="473"/>
      <c r="N163" s="510"/>
      <c r="O163" s="473"/>
      <c r="P163" s="495"/>
      <c r="Q163" s="431"/>
    </row>
    <row r="164" spans="1:66" ht="15" customHeight="1">
      <c r="A164" s="427">
        <v>44215</v>
      </c>
      <c r="B164" s="355" t="s">
        <v>238</v>
      </c>
      <c r="C164" s="615" t="s">
        <v>15</v>
      </c>
      <c r="D164" s="619" t="s">
        <v>19</v>
      </c>
      <c r="E164" s="643"/>
      <c r="F164" s="651">
        <v>1310000</v>
      </c>
      <c r="G164" s="607">
        <f t="shared" si="2"/>
        <v>22593923.99927</v>
      </c>
      <c r="H164" s="608" t="s">
        <v>74</v>
      </c>
      <c r="I164" s="619">
        <v>3643400</v>
      </c>
      <c r="J164" s="608" t="s">
        <v>207</v>
      </c>
      <c r="K164" s="603" t="s">
        <v>75</v>
      </c>
      <c r="L164" s="603" t="s">
        <v>73</v>
      </c>
      <c r="M164" s="609" t="s">
        <v>521</v>
      </c>
      <c r="N164" s="610" t="s">
        <v>151</v>
      </c>
      <c r="O164" s="473"/>
      <c r="P164" s="495"/>
      <c r="Q164" s="431"/>
    </row>
    <row r="165" spans="1:66" s="301" customFormat="1" ht="15" hidden="1" customHeight="1">
      <c r="A165" s="503">
        <v>44215</v>
      </c>
      <c r="B165" s="36" t="s">
        <v>84</v>
      </c>
      <c r="C165" s="36" t="s">
        <v>147</v>
      </c>
      <c r="D165" s="542"/>
      <c r="E165" s="470"/>
      <c r="F165" s="472">
        <v>100000</v>
      </c>
      <c r="G165" s="507">
        <f t="shared" si="2"/>
        <v>22493923.99927</v>
      </c>
      <c r="H165" s="36" t="s">
        <v>78</v>
      </c>
      <c r="I165" s="473"/>
      <c r="J165" s="522"/>
      <c r="K165" s="504"/>
      <c r="L165" s="504"/>
      <c r="M165" s="473"/>
      <c r="N165" s="510"/>
      <c r="O165" s="473"/>
      <c r="P165" s="495"/>
      <c r="Q165" s="431"/>
    </row>
    <row r="166" spans="1:66" ht="15" hidden="1" customHeight="1">
      <c r="A166" s="503">
        <v>44215</v>
      </c>
      <c r="B166" s="36" t="s">
        <v>84</v>
      </c>
      <c r="C166" s="36" t="s">
        <v>147</v>
      </c>
      <c r="D166" s="542"/>
      <c r="E166" s="470"/>
      <c r="F166" s="472">
        <v>2000</v>
      </c>
      <c r="G166" s="507">
        <f t="shared" si="2"/>
        <v>22491923.99927</v>
      </c>
      <c r="H166" s="36" t="s">
        <v>78</v>
      </c>
      <c r="I166" s="36"/>
      <c r="J166" s="504"/>
      <c r="K166" s="504"/>
      <c r="L166" s="504"/>
      <c r="M166" s="473"/>
      <c r="N166" s="510"/>
      <c r="O166" s="473"/>
      <c r="P166" s="495"/>
      <c r="Q166" s="431"/>
      <c r="R166" s="431"/>
      <c r="S166" s="431"/>
      <c r="T166" s="431"/>
      <c r="U166" s="431"/>
      <c r="V166" s="431"/>
      <c r="W166" s="431"/>
      <c r="X166" s="431"/>
      <c r="Y166" s="431"/>
      <c r="Z166" s="431"/>
      <c r="AA166" s="431"/>
      <c r="AB166" s="431"/>
      <c r="AC166" s="431"/>
      <c r="AD166" s="431"/>
      <c r="AE166" s="431"/>
      <c r="AF166" s="431"/>
      <c r="AG166" s="431"/>
      <c r="AH166" s="431"/>
      <c r="AI166" s="431"/>
      <c r="AJ166" s="431"/>
      <c r="AK166" s="431"/>
      <c r="AL166" s="431"/>
      <c r="AM166" s="431"/>
      <c r="AN166" s="431"/>
      <c r="AO166" s="431"/>
      <c r="AP166" s="431"/>
      <c r="AQ166" s="431"/>
      <c r="AR166" s="431"/>
      <c r="AS166" s="431"/>
      <c r="AT166" s="431"/>
      <c r="AU166" s="431"/>
      <c r="AV166" s="431"/>
      <c r="AW166" s="431"/>
      <c r="AX166" s="431"/>
      <c r="AY166" s="431"/>
      <c r="AZ166" s="431"/>
      <c r="BA166" s="431"/>
      <c r="BB166" s="431"/>
      <c r="BC166" s="431"/>
      <c r="BD166" s="431"/>
      <c r="BE166" s="431"/>
      <c r="BF166" s="431"/>
      <c r="BG166" s="431"/>
      <c r="BH166" s="431"/>
      <c r="BI166" s="431"/>
      <c r="BJ166" s="431"/>
      <c r="BK166" s="431"/>
      <c r="BL166" s="431"/>
      <c r="BM166" s="431"/>
      <c r="BN166" s="431"/>
    </row>
    <row r="167" spans="1:66" ht="15" hidden="1" customHeight="1">
      <c r="A167" s="503">
        <v>44215</v>
      </c>
      <c r="B167" s="36" t="s">
        <v>86</v>
      </c>
      <c r="C167" s="36" t="s">
        <v>147</v>
      </c>
      <c r="D167" s="36"/>
      <c r="E167" s="470"/>
      <c r="F167" s="470">
        <v>110000</v>
      </c>
      <c r="G167" s="507">
        <f t="shared" si="2"/>
        <v>22381923.99927</v>
      </c>
      <c r="H167" s="36" t="s">
        <v>78</v>
      </c>
      <c r="I167" s="510"/>
      <c r="J167" s="508"/>
      <c r="K167" s="504"/>
      <c r="L167" s="504"/>
      <c r="M167" s="473"/>
      <c r="N167" s="510"/>
      <c r="O167" s="473"/>
      <c r="P167" s="495"/>
    </row>
    <row r="168" spans="1:66" ht="15" hidden="1" customHeight="1">
      <c r="A168" s="503">
        <v>44215</v>
      </c>
      <c r="B168" s="36" t="s">
        <v>200</v>
      </c>
      <c r="C168" s="36" t="s">
        <v>147</v>
      </c>
      <c r="D168" s="542"/>
      <c r="E168" s="470"/>
      <c r="F168" s="472">
        <v>100000</v>
      </c>
      <c r="G168" s="507">
        <f t="shared" si="2"/>
        <v>22281923.99927</v>
      </c>
      <c r="H168" s="36" t="s">
        <v>78</v>
      </c>
      <c r="I168" s="36"/>
      <c r="J168" s="508"/>
      <c r="K168" s="504"/>
      <c r="L168" s="504"/>
      <c r="M168" s="473"/>
      <c r="N168" s="510"/>
      <c r="O168" s="473"/>
      <c r="P168" s="495"/>
    </row>
    <row r="169" spans="1:66">
      <c r="A169" s="427">
        <v>44215</v>
      </c>
      <c r="B169" s="619" t="s">
        <v>444</v>
      </c>
      <c r="C169" s="619" t="s">
        <v>26</v>
      </c>
      <c r="D169" s="678" t="s">
        <v>148</v>
      </c>
      <c r="E169" s="620"/>
      <c r="F169" s="621">
        <v>20000</v>
      </c>
      <c r="G169" s="607">
        <f t="shared" si="2"/>
        <v>22261923.99927</v>
      </c>
      <c r="H169" s="619" t="s">
        <v>78</v>
      </c>
      <c r="I169" s="610" t="s">
        <v>162</v>
      </c>
      <c r="J169" s="608" t="s">
        <v>220</v>
      </c>
      <c r="K169" s="603" t="s">
        <v>38</v>
      </c>
      <c r="L169" s="603" t="s">
        <v>73</v>
      </c>
      <c r="M169" s="615"/>
      <c r="N169" s="610"/>
      <c r="O169" s="473"/>
      <c r="P169" s="495"/>
    </row>
    <row r="170" spans="1:66" hidden="1">
      <c r="A170" s="503">
        <v>44215</v>
      </c>
      <c r="B170" s="504" t="s">
        <v>98</v>
      </c>
      <c r="C170" s="36" t="s">
        <v>147</v>
      </c>
      <c r="D170" s="549"/>
      <c r="E170" s="469">
        <v>102000</v>
      </c>
      <c r="F170" s="528"/>
      <c r="G170" s="507">
        <f t="shared" si="2"/>
        <v>22363923.99927</v>
      </c>
      <c r="H170" s="504" t="s">
        <v>84</v>
      </c>
      <c r="I170" s="504"/>
      <c r="J170" s="529"/>
      <c r="K170" s="529"/>
      <c r="L170" s="529"/>
      <c r="M170" s="529"/>
      <c r="N170" s="529"/>
      <c r="O170" s="504"/>
      <c r="P170" s="509"/>
      <c r="Q170" s="431"/>
    </row>
    <row r="171" spans="1:66">
      <c r="A171" s="427">
        <v>44215</v>
      </c>
      <c r="B171" s="603" t="s">
        <v>322</v>
      </c>
      <c r="C171" s="603" t="s">
        <v>91</v>
      </c>
      <c r="D171" s="678" t="s">
        <v>31</v>
      </c>
      <c r="E171" s="643"/>
      <c r="F171" s="637">
        <v>15000</v>
      </c>
      <c r="G171" s="607">
        <f t="shared" si="2"/>
        <v>22348923.99927</v>
      </c>
      <c r="H171" s="603" t="s">
        <v>84</v>
      </c>
      <c r="I171" s="603" t="s">
        <v>97</v>
      </c>
      <c r="J171" s="633" t="s">
        <v>220</v>
      </c>
      <c r="K171" s="608" t="s">
        <v>75</v>
      </c>
      <c r="L171" s="608" t="s">
        <v>73</v>
      </c>
      <c r="M171" s="609" t="s">
        <v>522</v>
      </c>
      <c r="N171" s="625" t="s">
        <v>170</v>
      </c>
      <c r="O171" s="473"/>
      <c r="P171" s="495"/>
      <c r="Q171" s="431"/>
    </row>
    <row r="172" spans="1:66" hidden="1">
      <c r="A172" s="503">
        <v>44215</v>
      </c>
      <c r="B172" s="504" t="s">
        <v>339</v>
      </c>
      <c r="C172" s="36" t="s">
        <v>147</v>
      </c>
      <c r="D172" s="36"/>
      <c r="E172" s="469">
        <v>110000</v>
      </c>
      <c r="F172" s="469"/>
      <c r="G172" s="507">
        <f t="shared" si="2"/>
        <v>22458923.99927</v>
      </c>
      <c r="H172" s="473" t="s">
        <v>197</v>
      </c>
      <c r="I172" s="504"/>
      <c r="J172" s="508"/>
      <c r="K172" s="504"/>
      <c r="L172" s="504"/>
      <c r="M172" s="473"/>
      <c r="N172" s="510"/>
      <c r="O172" s="473"/>
      <c r="P172" s="495"/>
    </row>
    <row r="173" spans="1:66" s="301" customFormat="1" hidden="1">
      <c r="A173" s="503">
        <v>44215</v>
      </c>
      <c r="B173" s="504" t="s">
        <v>390</v>
      </c>
      <c r="C173" s="36" t="s">
        <v>147</v>
      </c>
      <c r="D173" s="549"/>
      <c r="E173" s="506">
        <v>100000</v>
      </c>
      <c r="F173" s="532"/>
      <c r="G173" s="507">
        <f t="shared" si="2"/>
        <v>22558923.99927</v>
      </c>
      <c r="H173" s="504" t="s">
        <v>200</v>
      </c>
      <c r="I173" s="504"/>
      <c r="J173" s="508"/>
      <c r="K173" s="504"/>
      <c r="L173" s="504"/>
      <c r="M173" s="517"/>
      <c r="N173" s="520"/>
      <c r="O173" s="517"/>
      <c r="P173" s="495"/>
      <c r="Q173" s="4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</row>
    <row r="174" spans="1:66" s="262" customFormat="1">
      <c r="A174" s="427">
        <v>44215</v>
      </c>
      <c r="B174" s="603" t="s">
        <v>381</v>
      </c>
      <c r="C174" s="603" t="s">
        <v>91</v>
      </c>
      <c r="D174" s="679" t="s">
        <v>31</v>
      </c>
      <c r="E174" s="605"/>
      <c r="F174" s="644">
        <v>12000</v>
      </c>
      <c r="G174" s="607">
        <f t="shared" si="2"/>
        <v>22546923.99927</v>
      </c>
      <c r="H174" s="603" t="s">
        <v>200</v>
      </c>
      <c r="I174" s="603" t="s">
        <v>164</v>
      </c>
      <c r="J174" s="608" t="s">
        <v>220</v>
      </c>
      <c r="K174" s="603" t="s">
        <v>38</v>
      </c>
      <c r="L174" s="603" t="s">
        <v>73</v>
      </c>
      <c r="M174" s="615"/>
      <c r="N174" s="610"/>
      <c r="O174" s="455"/>
    </row>
    <row r="175" spans="1:66" s="262" customFormat="1" ht="15" customHeight="1">
      <c r="A175" s="427">
        <v>44215</v>
      </c>
      <c r="B175" s="603" t="s">
        <v>382</v>
      </c>
      <c r="C175" s="603" t="s">
        <v>163</v>
      </c>
      <c r="D175" s="615" t="s">
        <v>31</v>
      </c>
      <c r="E175" s="605"/>
      <c r="F175" s="644">
        <v>80000</v>
      </c>
      <c r="G175" s="607">
        <f t="shared" si="2"/>
        <v>22466923.99927</v>
      </c>
      <c r="H175" s="603" t="s">
        <v>200</v>
      </c>
      <c r="I175" s="603" t="s">
        <v>164</v>
      </c>
      <c r="J175" s="608" t="s">
        <v>220</v>
      </c>
      <c r="K175" s="603" t="s">
        <v>38</v>
      </c>
      <c r="L175" s="603" t="s">
        <v>73</v>
      </c>
      <c r="M175" s="615"/>
      <c r="N175" s="610"/>
      <c r="O175" s="455"/>
    </row>
    <row r="176" spans="1:66" ht="15" customHeight="1">
      <c r="A176" s="675">
        <v>44215</v>
      </c>
      <c r="B176" s="677" t="s">
        <v>401</v>
      </c>
      <c r="C176" s="677" t="s">
        <v>163</v>
      </c>
      <c r="D176" s="677" t="s">
        <v>19</v>
      </c>
      <c r="E176" s="631"/>
      <c r="F176" s="631">
        <v>70000</v>
      </c>
      <c r="G176" s="607">
        <f t="shared" si="2"/>
        <v>22396923.99927</v>
      </c>
      <c r="H176" s="677" t="s">
        <v>118</v>
      </c>
      <c r="I176" s="677" t="s">
        <v>162</v>
      </c>
      <c r="J176" s="608" t="s">
        <v>207</v>
      </c>
      <c r="K176" s="603" t="s">
        <v>75</v>
      </c>
      <c r="L176" s="603" t="s">
        <v>73</v>
      </c>
      <c r="M176" s="609" t="s">
        <v>523</v>
      </c>
      <c r="N176" s="610" t="s">
        <v>104</v>
      </c>
      <c r="O176" s="473"/>
      <c r="P176" s="495"/>
    </row>
    <row r="177" spans="1:66" ht="15" customHeight="1">
      <c r="A177" s="427">
        <v>44215</v>
      </c>
      <c r="B177" s="608" t="s">
        <v>456</v>
      </c>
      <c r="C177" s="603" t="s">
        <v>91</v>
      </c>
      <c r="D177" s="619" t="s">
        <v>31</v>
      </c>
      <c r="E177" s="643"/>
      <c r="F177" s="643">
        <v>10000</v>
      </c>
      <c r="G177" s="607">
        <f t="shared" si="2"/>
        <v>22386923.99927</v>
      </c>
      <c r="H177" s="615" t="s">
        <v>197</v>
      </c>
      <c r="I177" s="603" t="s">
        <v>94</v>
      </c>
      <c r="J177" s="608" t="s">
        <v>103</v>
      </c>
      <c r="K177" s="603" t="s">
        <v>75</v>
      </c>
      <c r="L177" s="603" t="s">
        <v>73</v>
      </c>
      <c r="M177" s="609" t="s">
        <v>524</v>
      </c>
      <c r="N177" s="610" t="s">
        <v>170</v>
      </c>
      <c r="O177" s="473"/>
      <c r="P177" s="541"/>
      <c r="Q177" s="43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301"/>
      <c r="BM177" s="301"/>
      <c r="BN177" s="301"/>
    </row>
    <row r="178" spans="1:66" s="357" customFormat="1" ht="15" customHeight="1">
      <c r="A178" s="634">
        <v>44216</v>
      </c>
      <c r="B178" s="653" t="s">
        <v>239</v>
      </c>
      <c r="C178" s="640" t="s">
        <v>76</v>
      </c>
      <c r="D178" s="640" t="s">
        <v>148</v>
      </c>
      <c r="E178" s="654"/>
      <c r="F178" s="621">
        <v>200000</v>
      </c>
      <c r="G178" s="607">
        <f t="shared" si="2"/>
        <v>22186923.99927</v>
      </c>
      <c r="H178" s="608" t="s">
        <v>74</v>
      </c>
      <c r="I178" s="640">
        <v>3643401</v>
      </c>
      <c r="J178" s="608" t="s">
        <v>207</v>
      </c>
      <c r="K178" s="608" t="s">
        <v>75</v>
      </c>
      <c r="L178" s="608" t="s">
        <v>73</v>
      </c>
      <c r="M178" s="645" t="s">
        <v>525</v>
      </c>
      <c r="N178" s="625" t="s">
        <v>85</v>
      </c>
      <c r="O178" s="517"/>
      <c r="P178" s="540"/>
      <c r="Q178" s="468"/>
    </row>
    <row r="179" spans="1:66" s="431" customFormat="1" ht="15" hidden="1" customHeight="1">
      <c r="A179" s="503">
        <v>44216</v>
      </c>
      <c r="B179" s="36" t="s">
        <v>150</v>
      </c>
      <c r="C179" s="36" t="s">
        <v>147</v>
      </c>
      <c r="D179" s="36"/>
      <c r="E179" s="470"/>
      <c r="F179" s="472">
        <v>90200</v>
      </c>
      <c r="G179" s="507">
        <f t="shared" si="2"/>
        <v>22096723.99927</v>
      </c>
      <c r="H179" s="36" t="s">
        <v>78</v>
      </c>
      <c r="I179" s="510"/>
      <c r="J179" s="508"/>
      <c r="K179" s="504"/>
      <c r="L179" s="504"/>
      <c r="M179" s="473"/>
      <c r="N179" s="510"/>
      <c r="O179" s="473"/>
      <c r="P179" s="495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</row>
    <row r="180" spans="1:66" ht="15" customHeight="1">
      <c r="A180" s="427">
        <v>44216</v>
      </c>
      <c r="B180" s="603" t="s">
        <v>323</v>
      </c>
      <c r="C180" s="603" t="s">
        <v>163</v>
      </c>
      <c r="D180" s="619" t="s">
        <v>31</v>
      </c>
      <c r="E180" s="643"/>
      <c r="F180" s="637">
        <v>80000</v>
      </c>
      <c r="G180" s="607">
        <f t="shared" si="2"/>
        <v>22016723.99927</v>
      </c>
      <c r="H180" s="603" t="s">
        <v>84</v>
      </c>
      <c r="I180" s="603" t="s">
        <v>164</v>
      </c>
      <c r="J180" s="608" t="s">
        <v>220</v>
      </c>
      <c r="K180" s="608" t="s">
        <v>75</v>
      </c>
      <c r="L180" s="608" t="s">
        <v>73</v>
      </c>
      <c r="M180" s="609" t="s">
        <v>526</v>
      </c>
      <c r="N180" s="625" t="s">
        <v>104</v>
      </c>
      <c r="O180" s="455"/>
      <c r="P180" s="495"/>
    </row>
    <row r="181" spans="1:66" ht="15" customHeight="1">
      <c r="A181" s="427">
        <v>44216</v>
      </c>
      <c r="B181" s="603" t="s">
        <v>335</v>
      </c>
      <c r="C181" s="603" t="s">
        <v>163</v>
      </c>
      <c r="D181" s="619" t="s">
        <v>31</v>
      </c>
      <c r="E181" s="643"/>
      <c r="F181" s="643">
        <v>80000</v>
      </c>
      <c r="G181" s="607">
        <f t="shared" si="2"/>
        <v>21936723.99927</v>
      </c>
      <c r="H181" s="615" t="s">
        <v>197</v>
      </c>
      <c r="I181" s="603" t="s">
        <v>162</v>
      </c>
      <c r="J181" s="608" t="s">
        <v>220</v>
      </c>
      <c r="K181" s="603" t="s">
        <v>75</v>
      </c>
      <c r="L181" s="603" t="s">
        <v>73</v>
      </c>
      <c r="M181" s="609" t="s">
        <v>527</v>
      </c>
      <c r="N181" s="610" t="s">
        <v>104</v>
      </c>
      <c r="O181" s="455"/>
      <c r="P181" s="495"/>
      <c r="Q181" s="431"/>
    </row>
    <row r="182" spans="1:66" s="301" customFormat="1" ht="15" hidden="1" customHeight="1">
      <c r="A182" s="503">
        <v>44216</v>
      </c>
      <c r="B182" s="544" t="s">
        <v>376</v>
      </c>
      <c r="C182" s="496" t="s">
        <v>147</v>
      </c>
      <c r="D182" s="36"/>
      <c r="E182" s="545">
        <v>90200</v>
      </c>
      <c r="F182" s="545"/>
      <c r="G182" s="507">
        <f t="shared" si="2"/>
        <v>22026923.99927</v>
      </c>
      <c r="H182" s="502" t="s">
        <v>150</v>
      </c>
      <c r="I182" s="502"/>
      <c r="J182" s="508"/>
      <c r="K182" s="504"/>
      <c r="L182" s="504"/>
      <c r="M182" s="546"/>
      <c r="N182" s="510"/>
      <c r="O182" s="504"/>
      <c r="P182" s="495"/>
      <c r="Q182" s="431"/>
    </row>
    <row r="183" spans="1:66" s="262" customFormat="1" ht="15" customHeight="1">
      <c r="A183" s="427">
        <v>44216</v>
      </c>
      <c r="B183" s="619" t="s">
        <v>367</v>
      </c>
      <c r="C183" s="608" t="s">
        <v>91</v>
      </c>
      <c r="D183" s="619" t="s">
        <v>148</v>
      </c>
      <c r="E183" s="639"/>
      <c r="F183" s="639">
        <v>10000</v>
      </c>
      <c r="G183" s="607">
        <f t="shared" si="2"/>
        <v>22016923.99927</v>
      </c>
      <c r="H183" s="640" t="s">
        <v>150</v>
      </c>
      <c r="I183" s="640" t="s">
        <v>94</v>
      </c>
      <c r="J183" s="608" t="s">
        <v>207</v>
      </c>
      <c r="K183" s="608" t="s">
        <v>75</v>
      </c>
      <c r="L183" s="603" t="s">
        <v>73</v>
      </c>
      <c r="M183" s="609" t="s">
        <v>528</v>
      </c>
      <c r="N183" s="615" t="s">
        <v>170</v>
      </c>
      <c r="O183" s="473"/>
      <c r="P183" s="495"/>
    </row>
    <row r="184" spans="1:66" ht="15" customHeight="1">
      <c r="A184" s="675">
        <v>44216</v>
      </c>
      <c r="B184" s="677" t="s">
        <v>400</v>
      </c>
      <c r="C184" s="677" t="s">
        <v>163</v>
      </c>
      <c r="D184" s="677" t="s">
        <v>19</v>
      </c>
      <c r="E184" s="631"/>
      <c r="F184" s="631">
        <v>15000</v>
      </c>
      <c r="G184" s="607">
        <f t="shared" si="2"/>
        <v>22001923.99927</v>
      </c>
      <c r="H184" s="677" t="s">
        <v>118</v>
      </c>
      <c r="I184" s="677" t="s">
        <v>79</v>
      </c>
      <c r="J184" s="608" t="s">
        <v>207</v>
      </c>
      <c r="K184" s="603" t="s">
        <v>75</v>
      </c>
      <c r="L184" s="603" t="s">
        <v>73</v>
      </c>
      <c r="M184" s="609" t="s">
        <v>529</v>
      </c>
      <c r="N184" s="610" t="s">
        <v>104</v>
      </c>
      <c r="O184" s="473"/>
      <c r="P184" s="495"/>
    </row>
    <row r="185" spans="1:66" s="431" customFormat="1" ht="15" hidden="1" customHeight="1">
      <c r="A185" s="503">
        <v>44217</v>
      </c>
      <c r="B185" s="29" t="s">
        <v>231</v>
      </c>
      <c r="C185" s="29" t="s">
        <v>147</v>
      </c>
      <c r="D185" s="29"/>
      <c r="E185" s="470"/>
      <c r="F185" s="470">
        <v>1200000</v>
      </c>
      <c r="G185" s="507">
        <f t="shared" si="2"/>
        <v>20801923.99927</v>
      </c>
      <c r="H185" s="508" t="s">
        <v>72</v>
      </c>
      <c r="I185" s="36">
        <v>3654422</v>
      </c>
      <c r="J185" s="508"/>
      <c r="K185" s="504"/>
      <c r="L185" s="504"/>
      <c r="M185" s="473"/>
      <c r="N185" s="510"/>
      <c r="O185" s="473"/>
      <c r="P185" s="495"/>
    </row>
    <row r="186" spans="1:66" ht="15" hidden="1" customHeight="1">
      <c r="A186" s="503">
        <v>44217</v>
      </c>
      <c r="B186" s="29" t="s">
        <v>232</v>
      </c>
      <c r="C186" s="29" t="s">
        <v>147</v>
      </c>
      <c r="D186" s="29"/>
      <c r="E186" s="470"/>
      <c r="F186" s="470">
        <v>800000</v>
      </c>
      <c r="G186" s="507">
        <f t="shared" si="2"/>
        <v>20001923.99927</v>
      </c>
      <c r="H186" s="508" t="s">
        <v>72</v>
      </c>
      <c r="I186" s="36">
        <v>3654423</v>
      </c>
      <c r="J186" s="508"/>
      <c r="K186" s="504"/>
      <c r="L186" s="504"/>
      <c r="M186" s="549"/>
      <c r="N186" s="510"/>
      <c r="O186" s="473"/>
      <c r="P186" s="495"/>
    </row>
    <row r="187" spans="1:66" s="301" customFormat="1" ht="15" customHeight="1">
      <c r="A187" s="427">
        <v>44217</v>
      </c>
      <c r="B187" s="619" t="s">
        <v>288</v>
      </c>
      <c r="C187" s="619" t="s">
        <v>93</v>
      </c>
      <c r="D187" s="219" t="s">
        <v>21</v>
      </c>
      <c r="E187" s="620"/>
      <c r="F187" s="621">
        <v>25000</v>
      </c>
      <c r="G187" s="607">
        <f t="shared" si="2"/>
        <v>19976923.99927</v>
      </c>
      <c r="H187" s="619" t="s">
        <v>78</v>
      </c>
      <c r="I187" s="610" t="s">
        <v>94</v>
      </c>
      <c r="J187" s="608" t="s">
        <v>220</v>
      </c>
      <c r="K187" s="603" t="s">
        <v>38</v>
      </c>
      <c r="L187" s="603" t="s">
        <v>73</v>
      </c>
      <c r="M187" s="615"/>
      <c r="N187" s="625"/>
      <c r="O187" s="473"/>
      <c r="P187" s="495"/>
      <c r="Q187" s="4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</row>
    <row r="188" spans="1:66" ht="15" customHeight="1">
      <c r="A188" s="427">
        <v>44217</v>
      </c>
      <c r="B188" s="619" t="s">
        <v>289</v>
      </c>
      <c r="C188" s="619" t="s">
        <v>30</v>
      </c>
      <c r="D188" s="219" t="s">
        <v>21</v>
      </c>
      <c r="E188" s="620"/>
      <c r="F188" s="621">
        <v>7000</v>
      </c>
      <c r="G188" s="607">
        <f t="shared" si="2"/>
        <v>19969923.99927</v>
      </c>
      <c r="H188" s="619" t="s">
        <v>78</v>
      </c>
      <c r="I188" s="610" t="s">
        <v>94</v>
      </c>
      <c r="J188" s="608" t="s">
        <v>251</v>
      </c>
      <c r="K188" s="603" t="s">
        <v>38</v>
      </c>
      <c r="L188" s="603" t="s">
        <v>73</v>
      </c>
      <c r="M188" s="615"/>
      <c r="N188" s="610"/>
      <c r="O188" s="473"/>
      <c r="P188" s="495"/>
    </row>
    <row r="189" spans="1:66" s="262" customFormat="1" ht="15" hidden="1" customHeight="1">
      <c r="A189" s="503">
        <v>44217</v>
      </c>
      <c r="B189" s="36" t="s">
        <v>72</v>
      </c>
      <c r="C189" s="36" t="s">
        <v>147</v>
      </c>
      <c r="D189" s="36"/>
      <c r="E189" s="470">
        <v>1200000</v>
      </c>
      <c r="F189" s="472"/>
      <c r="G189" s="507">
        <f t="shared" si="2"/>
        <v>21169923.99927</v>
      </c>
      <c r="H189" s="36" t="s">
        <v>78</v>
      </c>
      <c r="I189" s="510"/>
      <c r="J189" s="539"/>
      <c r="K189" s="504"/>
      <c r="L189" s="504"/>
      <c r="M189" s="473"/>
      <c r="N189" s="510"/>
      <c r="O189" s="510"/>
      <c r="P189" s="495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1"/>
      <c r="AD189" s="431"/>
      <c r="AE189" s="431"/>
      <c r="AF189" s="431"/>
      <c r="AG189" s="431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1"/>
      <c r="BB189" s="431"/>
      <c r="BC189" s="431"/>
      <c r="BD189" s="431"/>
      <c r="BE189" s="431"/>
      <c r="BF189" s="431"/>
      <c r="BG189" s="431"/>
      <c r="BH189" s="431"/>
      <c r="BI189" s="431"/>
      <c r="BJ189" s="431"/>
      <c r="BK189" s="431"/>
      <c r="BL189" s="431"/>
      <c r="BM189" s="431"/>
      <c r="BN189" s="431"/>
    </row>
    <row r="190" spans="1:66" ht="15" hidden="1" customHeight="1">
      <c r="A190" s="503">
        <v>44217</v>
      </c>
      <c r="B190" s="36" t="s">
        <v>72</v>
      </c>
      <c r="C190" s="36" t="s">
        <v>147</v>
      </c>
      <c r="D190" s="36"/>
      <c r="E190" s="470">
        <v>800000</v>
      </c>
      <c r="F190" s="472"/>
      <c r="G190" s="507">
        <f t="shared" si="2"/>
        <v>21969923.99927</v>
      </c>
      <c r="H190" s="36" t="s">
        <v>78</v>
      </c>
      <c r="I190" s="510"/>
      <c r="J190" s="517"/>
      <c r="K190" s="508"/>
      <c r="L190" s="508"/>
      <c r="M190" s="473"/>
      <c r="N190" s="520"/>
      <c r="O190" s="473"/>
      <c r="P190" s="495"/>
    </row>
    <row r="191" spans="1:66" ht="15" hidden="1" customHeight="1">
      <c r="A191" s="503">
        <v>44217</v>
      </c>
      <c r="B191" s="36" t="s">
        <v>200</v>
      </c>
      <c r="C191" s="36" t="s">
        <v>147</v>
      </c>
      <c r="D191" s="36"/>
      <c r="E191" s="470"/>
      <c r="F191" s="472">
        <v>227600</v>
      </c>
      <c r="G191" s="507">
        <f t="shared" si="2"/>
        <v>21742323.99927</v>
      </c>
      <c r="H191" s="36" t="s">
        <v>78</v>
      </c>
      <c r="I191" s="29"/>
      <c r="J191" s="539"/>
      <c r="K191" s="504"/>
      <c r="L191" s="504"/>
      <c r="M191" s="473"/>
      <c r="N191" s="510"/>
      <c r="O191" s="473"/>
      <c r="P191" s="495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1"/>
      <c r="AD191" s="431"/>
      <c r="AE191" s="431"/>
      <c r="AF191" s="431"/>
      <c r="AG191" s="431"/>
      <c r="AH191" s="431"/>
      <c r="AI191" s="431"/>
      <c r="AJ191" s="431"/>
      <c r="AK191" s="431"/>
      <c r="AL191" s="431"/>
      <c r="AM191" s="431"/>
      <c r="AN191" s="431"/>
      <c r="AO191" s="431"/>
      <c r="AP191" s="431"/>
      <c r="AQ191" s="431"/>
      <c r="AR191" s="431"/>
      <c r="AS191" s="431"/>
      <c r="AT191" s="431"/>
      <c r="AU191" s="431"/>
      <c r="AV191" s="431"/>
      <c r="AW191" s="431"/>
      <c r="AX191" s="431"/>
      <c r="AY191" s="431"/>
      <c r="AZ191" s="431"/>
      <c r="BA191" s="431"/>
      <c r="BB191" s="431"/>
      <c r="BC191" s="431"/>
      <c r="BD191" s="431"/>
      <c r="BE191" s="431"/>
      <c r="BF191" s="431"/>
      <c r="BG191" s="431"/>
      <c r="BH191" s="431"/>
      <c r="BI191" s="431"/>
      <c r="BJ191" s="431"/>
      <c r="BK191" s="431"/>
      <c r="BL191" s="431"/>
      <c r="BM191" s="431"/>
      <c r="BN191" s="431"/>
    </row>
    <row r="192" spans="1:66" s="262" customFormat="1" hidden="1">
      <c r="A192" s="503">
        <v>44217</v>
      </c>
      <c r="B192" s="36" t="s">
        <v>84</v>
      </c>
      <c r="C192" s="36" t="s">
        <v>147</v>
      </c>
      <c r="D192" s="36"/>
      <c r="E192" s="470"/>
      <c r="F192" s="472">
        <v>217000</v>
      </c>
      <c r="G192" s="507">
        <f t="shared" si="2"/>
        <v>21525323.99927</v>
      </c>
      <c r="H192" s="36" t="s">
        <v>78</v>
      </c>
      <c r="I192" s="29"/>
      <c r="J192" s="508"/>
      <c r="K192" s="504"/>
      <c r="L192" s="504"/>
      <c r="M192" s="509"/>
      <c r="N192" s="510"/>
      <c r="O192" s="473"/>
      <c r="P192" s="495"/>
    </row>
    <row r="193" spans="1:66" s="262" customFormat="1" ht="15" hidden="1" customHeight="1">
      <c r="A193" s="503">
        <v>44217</v>
      </c>
      <c r="B193" s="36" t="s">
        <v>86</v>
      </c>
      <c r="C193" s="36" t="s">
        <v>147</v>
      </c>
      <c r="D193" s="36"/>
      <c r="E193" s="470"/>
      <c r="F193" s="472">
        <v>247000</v>
      </c>
      <c r="G193" s="507">
        <f t="shared" si="2"/>
        <v>21278323.99927</v>
      </c>
      <c r="H193" s="36" t="s">
        <v>78</v>
      </c>
      <c r="I193" s="473"/>
      <c r="J193" s="508"/>
      <c r="K193" s="504"/>
      <c r="L193" s="504"/>
      <c r="M193" s="473"/>
      <c r="N193" s="510"/>
      <c r="O193" s="504"/>
      <c r="P193" s="495"/>
    </row>
    <row r="194" spans="1:66" s="464" customFormat="1" ht="15" hidden="1" customHeight="1">
      <c r="A194" s="503">
        <v>44217</v>
      </c>
      <c r="B194" s="36" t="s">
        <v>118</v>
      </c>
      <c r="C194" s="36" t="s">
        <v>147</v>
      </c>
      <c r="D194" s="36"/>
      <c r="E194" s="470"/>
      <c r="F194" s="472">
        <v>162900</v>
      </c>
      <c r="G194" s="507">
        <f t="shared" si="2"/>
        <v>21115423.99927</v>
      </c>
      <c r="H194" s="36" t="s">
        <v>78</v>
      </c>
      <c r="I194" s="473"/>
      <c r="J194" s="508"/>
      <c r="K194" s="504"/>
      <c r="L194" s="504"/>
      <c r="M194" s="509"/>
      <c r="N194" s="510"/>
      <c r="O194" s="473"/>
      <c r="P194" s="540"/>
    </row>
    <row r="195" spans="1:66" ht="15" customHeight="1">
      <c r="A195" s="427">
        <v>44217</v>
      </c>
      <c r="B195" s="619" t="s">
        <v>290</v>
      </c>
      <c r="C195" s="619" t="s">
        <v>80</v>
      </c>
      <c r="D195" s="219" t="s">
        <v>21</v>
      </c>
      <c r="E195" s="620"/>
      <c r="F195" s="620">
        <v>25640</v>
      </c>
      <c r="G195" s="607">
        <f t="shared" si="2"/>
        <v>21089783.99927</v>
      </c>
      <c r="H195" s="619" t="s">
        <v>78</v>
      </c>
      <c r="I195" s="610" t="s">
        <v>94</v>
      </c>
      <c r="J195" s="650" t="s">
        <v>103</v>
      </c>
      <c r="K195" s="603" t="s">
        <v>75</v>
      </c>
      <c r="L195" s="603" t="s">
        <v>73</v>
      </c>
      <c r="M195" s="609" t="s">
        <v>530</v>
      </c>
      <c r="N195" s="610" t="s">
        <v>172</v>
      </c>
      <c r="O195" s="473"/>
      <c r="P195" s="495"/>
      <c r="Q195" s="431"/>
    </row>
    <row r="196" spans="1:66" s="431" customFormat="1" ht="15" hidden="1" customHeight="1">
      <c r="A196" s="503">
        <v>44217</v>
      </c>
      <c r="B196" s="36" t="s">
        <v>177</v>
      </c>
      <c r="C196" s="36" t="s">
        <v>147</v>
      </c>
      <c r="D196" s="502"/>
      <c r="E196" s="470"/>
      <c r="F196" s="472">
        <v>5000</v>
      </c>
      <c r="G196" s="507">
        <f t="shared" si="2"/>
        <v>21084783.99927</v>
      </c>
      <c r="H196" s="36" t="s">
        <v>78</v>
      </c>
      <c r="I196" s="534"/>
      <c r="J196" s="517"/>
      <c r="K196" s="504"/>
      <c r="L196" s="504"/>
      <c r="M196" s="473"/>
      <c r="N196" s="510"/>
      <c r="O196" s="473"/>
      <c r="P196" s="495"/>
    </row>
    <row r="197" spans="1:66" ht="15" customHeight="1">
      <c r="A197" s="675">
        <v>44217</v>
      </c>
      <c r="B197" s="677" t="s">
        <v>402</v>
      </c>
      <c r="C197" s="677" t="s">
        <v>91</v>
      </c>
      <c r="D197" s="677" t="s">
        <v>19</v>
      </c>
      <c r="E197" s="631"/>
      <c r="F197" s="631">
        <v>10000</v>
      </c>
      <c r="G197" s="607">
        <f t="shared" si="2"/>
        <v>21074783.99927</v>
      </c>
      <c r="H197" s="677" t="s">
        <v>118</v>
      </c>
      <c r="I197" s="677" t="s">
        <v>79</v>
      </c>
      <c r="J197" s="608" t="s">
        <v>220</v>
      </c>
      <c r="K197" s="603" t="s">
        <v>75</v>
      </c>
      <c r="L197" s="603" t="s">
        <v>73</v>
      </c>
      <c r="M197" s="609" t="s">
        <v>531</v>
      </c>
      <c r="N197" s="610" t="s">
        <v>170</v>
      </c>
      <c r="O197" s="473"/>
      <c r="P197" s="495"/>
    </row>
    <row r="198" spans="1:66" ht="15" customHeight="1">
      <c r="A198" s="680">
        <v>44217</v>
      </c>
      <c r="B198" s="615" t="s">
        <v>414</v>
      </c>
      <c r="C198" s="677" t="s">
        <v>91</v>
      </c>
      <c r="D198" s="677" t="s">
        <v>19</v>
      </c>
      <c r="E198" s="681"/>
      <c r="F198" s="681">
        <v>4000</v>
      </c>
      <c r="G198" s="607">
        <f t="shared" si="2"/>
        <v>21070783.99927</v>
      </c>
      <c r="H198" s="615" t="s">
        <v>88</v>
      </c>
      <c r="I198" s="219" t="s">
        <v>162</v>
      </c>
      <c r="J198" s="650" t="s">
        <v>207</v>
      </c>
      <c r="K198" s="603" t="s">
        <v>75</v>
      </c>
      <c r="L198" s="603" t="s">
        <v>73</v>
      </c>
      <c r="M198" s="609" t="s">
        <v>532</v>
      </c>
      <c r="N198" s="610" t="s">
        <v>170</v>
      </c>
      <c r="O198" s="529"/>
      <c r="P198" s="495"/>
      <c r="Q198" s="431"/>
    </row>
    <row r="199" spans="1:66" s="464" customFormat="1" ht="15" customHeight="1">
      <c r="A199" s="427">
        <v>44217</v>
      </c>
      <c r="B199" s="619" t="s">
        <v>368</v>
      </c>
      <c r="C199" s="608" t="s">
        <v>91</v>
      </c>
      <c r="D199" s="619" t="s">
        <v>148</v>
      </c>
      <c r="E199" s="639"/>
      <c r="F199" s="639">
        <v>4000</v>
      </c>
      <c r="G199" s="607">
        <f t="shared" si="2"/>
        <v>21066783.99927</v>
      </c>
      <c r="H199" s="640" t="s">
        <v>150</v>
      </c>
      <c r="I199" s="640" t="s">
        <v>162</v>
      </c>
      <c r="J199" s="608" t="s">
        <v>220</v>
      </c>
      <c r="K199" s="608" t="s">
        <v>75</v>
      </c>
      <c r="L199" s="603" t="s">
        <v>73</v>
      </c>
      <c r="M199" s="609" t="s">
        <v>533</v>
      </c>
      <c r="N199" s="615" t="s">
        <v>170</v>
      </c>
      <c r="O199" s="473"/>
      <c r="P199" s="540"/>
      <c r="Q199" s="262"/>
    </row>
    <row r="200" spans="1:66" s="464" customFormat="1" ht="15" customHeight="1">
      <c r="A200" s="427">
        <v>44217</v>
      </c>
      <c r="B200" s="619" t="s">
        <v>372</v>
      </c>
      <c r="C200" s="608" t="s">
        <v>163</v>
      </c>
      <c r="D200" s="619" t="s">
        <v>148</v>
      </c>
      <c r="E200" s="639"/>
      <c r="F200" s="639">
        <v>20000</v>
      </c>
      <c r="G200" s="607">
        <f t="shared" si="2"/>
        <v>21046783.99927</v>
      </c>
      <c r="H200" s="640" t="s">
        <v>150</v>
      </c>
      <c r="I200" s="640" t="s">
        <v>162</v>
      </c>
      <c r="J200" s="608" t="s">
        <v>207</v>
      </c>
      <c r="K200" s="608" t="s">
        <v>75</v>
      </c>
      <c r="L200" s="603" t="s">
        <v>73</v>
      </c>
      <c r="M200" s="609" t="s">
        <v>534</v>
      </c>
      <c r="N200" s="615" t="s">
        <v>104</v>
      </c>
      <c r="O200" s="473"/>
      <c r="P200" s="540"/>
      <c r="Q200" s="262"/>
    </row>
    <row r="201" spans="1:66" s="431" customFormat="1" ht="15" hidden="1" customHeight="1">
      <c r="A201" s="503">
        <v>44217</v>
      </c>
      <c r="B201" s="504" t="s">
        <v>390</v>
      </c>
      <c r="C201" s="36" t="s">
        <v>147</v>
      </c>
      <c r="D201" s="473"/>
      <c r="E201" s="506">
        <v>227600</v>
      </c>
      <c r="F201" s="532"/>
      <c r="G201" s="507">
        <f t="shared" si="2"/>
        <v>21274383.99927</v>
      </c>
      <c r="H201" s="504" t="s">
        <v>200</v>
      </c>
      <c r="I201" s="504"/>
      <c r="J201" s="539"/>
      <c r="K201" s="504"/>
      <c r="L201" s="504"/>
      <c r="M201" s="473"/>
      <c r="N201" s="510"/>
      <c r="O201" s="473"/>
      <c r="P201" s="495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2"/>
      <c r="AH201" s="262"/>
      <c r="AI201" s="262"/>
      <c r="AJ201" s="262"/>
      <c r="AK201" s="262"/>
      <c r="AL201" s="262"/>
      <c r="AM201" s="262"/>
      <c r="AN201" s="262"/>
      <c r="AO201" s="262"/>
      <c r="AP201" s="262"/>
      <c r="AQ201" s="262"/>
      <c r="AR201" s="262"/>
      <c r="AS201" s="262"/>
      <c r="AT201" s="262"/>
      <c r="AU201" s="262"/>
      <c r="AV201" s="262"/>
      <c r="AW201" s="262"/>
      <c r="AX201" s="262"/>
      <c r="AY201" s="262"/>
      <c r="AZ201" s="262"/>
      <c r="BA201" s="262"/>
      <c r="BB201" s="262"/>
      <c r="BC201" s="262"/>
      <c r="BD201" s="262"/>
      <c r="BE201" s="262"/>
      <c r="BF201" s="262"/>
      <c r="BG201" s="262"/>
      <c r="BH201" s="262"/>
      <c r="BI201" s="262"/>
      <c r="BJ201" s="262"/>
      <c r="BK201" s="262"/>
      <c r="BL201" s="262"/>
      <c r="BM201" s="262"/>
      <c r="BN201" s="262"/>
    </row>
    <row r="202" spans="1:66" s="431" customFormat="1" ht="15" hidden="1" customHeight="1">
      <c r="A202" s="503">
        <v>44217</v>
      </c>
      <c r="B202" s="29" t="s">
        <v>206</v>
      </c>
      <c r="C202" s="36" t="s">
        <v>147</v>
      </c>
      <c r="D202" s="36"/>
      <c r="E202" s="37">
        <v>5000</v>
      </c>
      <c r="F202" s="37"/>
      <c r="G202" s="507">
        <f t="shared" si="2"/>
        <v>21279383.99927</v>
      </c>
      <c r="H202" s="29" t="s">
        <v>177</v>
      </c>
      <c r="I202" s="504"/>
      <c r="J202" s="508"/>
      <c r="K202" s="504"/>
      <c r="L202" s="504"/>
      <c r="M202" s="473"/>
      <c r="N202" s="510"/>
      <c r="O202" s="473"/>
      <c r="P202" s="495"/>
      <c r="Q202" s="131"/>
    </row>
    <row r="203" spans="1:66" s="431" customFormat="1" ht="15" hidden="1" customHeight="1">
      <c r="A203" s="533">
        <v>44217</v>
      </c>
      <c r="B203" s="551" t="s">
        <v>410</v>
      </c>
      <c r="C203" s="36" t="s">
        <v>147</v>
      </c>
      <c r="D203" s="534"/>
      <c r="E203" s="526">
        <v>162900</v>
      </c>
      <c r="F203" s="526"/>
      <c r="G203" s="507">
        <f t="shared" si="2"/>
        <v>21442283.99927</v>
      </c>
      <c r="H203" s="534" t="s">
        <v>118</v>
      </c>
      <c r="I203" s="534"/>
      <c r="J203" s="508"/>
      <c r="K203" s="504"/>
      <c r="L203" s="504"/>
      <c r="M203" s="509"/>
      <c r="N203" s="510"/>
      <c r="O203" s="473"/>
      <c r="P203" s="495"/>
    </row>
    <row r="204" spans="1:66" s="431" customFormat="1" ht="15" hidden="1" customHeight="1">
      <c r="A204" s="503">
        <v>44218</v>
      </c>
      <c r="B204" s="552" t="s">
        <v>87</v>
      </c>
      <c r="C204" s="36" t="s">
        <v>147</v>
      </c>
      <c r="D204" s="36"/>
      <c r="E204" s="470"/>
      <c r="F204" s="472">
        <v>10000</v>
      </c>
      <c r="G204" s="507">
        <f t="shared" si="2"/>
        <v>21432283.99927</v>
      </c>
      <c r="H204" s="36" t="s">
        <v>78</v>
      </c>
      <c r="I204" s="534"/>
      <c r="J204" s="508"/>
      <c r="K204" s="504"/>
      <c r="L204" s="504"/>
      <c r="M204" s="473"/>
      <c r="N204" s="510"/>
      <c r="O204" s="473"/>
      <c r="P204" s="495"/>
    </row>
    <row r="205" spans="1:66" s="431" customFormat="1" ht="15" hidden="1" customHeight="1">
      <c r="A205" s="503">
        <v>44218</v>
      </c>
      <c r="B205" s="552" t="s">
        <v>149</v>
      </c>
      <c r="C205" s="36" t="s">
        <v>147</v>
      </c>
      <c r="D205" s="502"/>
      <c r="E205" s="470"/>
      <c r="F205" s="472">
        <v>30000</v>
      </c>
      <c r="G205" s="507">
        <f t="shared" si="2"/>
        <v>21402283.99927</v>
      </c>
      <c r="H205" s="36" t="s">
        <v>78</v>
      </c>
      <c r="I205" s="510"/>
      <c r="J205" s="508"/>
      <c r="K205" s="504"/>
      <c r="L205" s="504"/>
      <c r="M205" s="473"/>
      <c r="N205" s="510"/>
      <c r="O205" s="473"/>
      <c r="P205" s="509"/>
      <c r="R205" s="301"/>
      <c r="S205" s="301"/>
      <c r="T205" s="301"/>
      <c r="U205" s="301"/>
      <c r="V205" s="301"/>
      <c r="W205" s="301"/>
      <c r="X205" s="301"/>
      <c r="Y205" s="301"/>
      <c r="Z205" s="301"/>
      <c r="AA205" s="301"/>
      <c r="AB205" s="301"/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M205" s="301"/>
      <c r="AN205" s="301"/>
      <c r="AO205" s="301"/>
      <c r="AP205" s="301"/>
      <c r="AQ205" s="301"/>
      <c r="AR205" s="301"/>
      <c r="AS205" s="301"/>
      <c r="AT205" s="301"/>
      <c r="AU205" s="301"/>
      <c r="AV205" s="301"/>
      <c r="AW205" s="301"/>
      <c r="AX205" s="301"/>
      <c r="AY205" s="301"/>
      <c r="AZ205" s="301"/>
      <c r="BA205" s="301"/>
      <c r="BB205" s="301"/>
      <c r="BC205" s="301"/>
      <c r="BD205" s="301"/>
      <c r="BE205" s="301"/>
      <c r="BF205" s="301"/>
      <c r="BG205" s="301"/>
      <c r="BH205" s="301"/>
      <c r="BI205" s="301"/>
      <c r="BJ205" s="301"/>
      <c r="BK205" s="301"/>
      <c r="BL205" s="301"/>
      <c r="BM205" s="301"/>
      <c r="BN205" s="301"/>
    </row>
    <row r="206" spans="1:66" s="431" customFormat="1" ht="15" hidden="1" customHeight="1">
      <c r="A206" s="503">
        <v>44218</v>
      </c>
      <c r="B206" s="553" t="s">
        <v>98</v>
      </c>
      <c r="C206" s="36" t="s">
        <v>147</v>
      </c>
      <c r="D206" s="473"/>
      <c r="E206" s="469">
        <v>217000</v>
      </c>
      <c r="F206" s="528"/>
      <c r="G206" s="507">
        <f t="shared" si="2"/>
        <v>21619283.99927</v>
      </c>
      <c r="H206" s="504" t="s">
        <v>84</v>
      </c>
      <c r="I206" s="504"/>
      <c r="J206" s="529"/>
      <c r="K206" s="529"/>
      <c r="L206" s="529"/>
      <c r="M206" s="529"/>
      <c r="N206" s="529"/>
      <c r="O206" s="473"/>
      <c r="P206" s="495"/>
    </row>
    <row r="207" spans="1:66" s="431" customFormat="1" ht="15" hidden="1" customHeight="1">
      <c r="A207" s="503">
        <v>44218</v>
      </c>
      <c r="B207" s="553" t="s">
        <v>339</v>
      </c>
      <c r="C207" s="36" t="s">
        <v>147</v>
      </c>
      <c r="D207" s="36"/>
      <c r="E207" s="469">
        <v>247000</v>
      </c>
      <c r="F207" s="469"/>
      <c r="G207" s="507">
        <f t="shared" si="2"/>
        <v>21866283.99927</v>
      </c>
      <c r="H207" s="473" t="s">
        <v>197</v>
      </c>
      <c r="I207" s="504"/>
      <c r="J207" s="508"/>
      <c r="K207" s="508"/>
      <c r="L207" s="508"/>
      <c r="M207" s="517"/>
      <c r="N207" s="520"/>
      <c r="O207" s="517"/>
      <c r="P207" s="495"/>
    </row>
    <row r="208" spans="1:66" s="431" customFormat="1" ht="15" hidden="1" customHeight="1">
      <c r="A208" s="503">
        <v>44218</v>
      </c>
      <c r="B208" s="554" t="s">
        <v>356</v>
      </c>
      <c r="C208" s="36" t="s">
        <v>147</v>
      </c>
      <c r="D208" s="36"/>
      <c r="E208" s="37">
        <v>30000</v>
      </c>
      <c r="F208" s="37"/>
      <c r="G208" s="507">
        <f t="shared" si="2"/>
        <v>21896283.99927</v>
      </c>
      <c r="H208" s="29" t="s">
        <v>149</v>
      </c>
      <c r="I208" s="29"/>
      <c r="J208" s="508"/>
      <c r="K208" s="504"/>
      <c r="L208" s="504"/>
      <c r="M208" s="473"/>
      <c r="N208" s="520"/>
      <c r="O208" s="473"/>
      <c r="P208" s="495"/>
    </row>
    <row r="209" spans="1:66" s="262" customFormat="1" ht="15" customHeight="1">
      <c r="A209" s="427">
        <v>44218</v>
      </c>
      <c r="B209" s="682" t="s">
        <v>370</v>
      </c>
      <c r="C209" s="608" t="s">
        <v>91</v>
      </c>
      <c r="D209" s="619" t="s">
        <v>148</v>
      </c>
      <c r="E209" s="639"/>
      <c r="F209" s="639">
        <v>8000</v>
      </c>
      <c r="G209" s="607">
        <f t="shared" si="2"/>
        <v>21888283.99927</v>
      </c>
      <c r="H209" s="640" t="s">
        <v>150</v>
      </c>
      <c r="I209" s="640" t="s">
        <v>94</v>
      </c>
      <c r="J209" s="608" t="s">
        <v>207</v>
      </c>
      <c r="K209" s="608" t="s">
        <v>75</v>
      </c>
      <c r="L209" s="603" t="s">
        <v>73</v>
      </c>
      <c r="M209" s="609" t="s">
        <v>535</v>
      </c>
      <c r="N209" s="615" t="s">
        <v>170</v>
      </c>
      <c r="O209" s="473"/>
      <c r="P209" s="495"/>
    </row>
    <row r="210" spans="1:66" s="262" customFormat="1" ht="15" customHeight="1">
      <c r="A210" s="675">
        <v>44218</v>
      </c>
      <c r="B210" s="683" t="s">
        <v>403</v>
      </c>
      <c r="C210" s="677" t="s">
        <v>163</v>
      </c>
      <c r="D210" s="677" t="s">
        <v>19</v>
      </c>
      <c r="E210" s="631"/>
      <c r="F210" s="631">
        <v>30000</v>
      </c>
      <c r="G210" s="607">
        <f t="shared" ref="G210:G273" si="3">G209+E210-F210</f>
        <v>21858283.99927</v>
      </c>
      <c r="H210" s="677" t="s">
        <v>118</v>
      </c>
      <c r="I210" s="677" t="s">
        <v>79</v>
      </c>
      <c r="J210" s="608" t="s">
        <v>207</v>
      </c>
      <c r="K210" s="603" t="s">
        <v>75</v>
      </c>
      <c r="L210" s="603" t="s">
        <v>73</v>
      </c>
      <c r="M210" s="609" t="s">
        <v>536</v>
      </c>
      <c r="N210" s="610" t="s">
        <v>104</v>
      </c>
      <c r="O210" s="473"/>
      <c r="P210" s="541"/>
    </row>
    <row r="211" spans="1:66" ht="15" hidden="1" customHeight="1">
      <c r="A211" s="550">
        <v>44218</v>
      </c>
      <c r="B211" s="554" t="s">
        <v>398</v>
      </c>
      <c r="C211" s="36" t="s">
        <v>147</v>
      </c>
      <c r="D211" s="29"/>
      <c r="E211" s="555">
        <v>10000</v>
      </c>
      <c r="F211" s="555"/>
      <c r="G211" s="507">
        <f t="shared" si="3"/>
        <v>21868283.99927</v>
      </c>
      <c r="H211" s="29" t="s">
        <v>87</v>
      </c>
      <c r="I211" s="29"/>
      <c r="J211" s="529"/>
      <c r="K211" s="529"/>
      <c r="L211" s="529"/>
      <c r="M211" s="529"/>
      <c r="N211" s="529"/>
      <c r="O211" s="529"/>
      <c r="P211" s="495"/>
    </row>
    <row r="212" spans="1:66" ht="15" customHeight="1">
      <c r="A212" s="675">
        <v>44219</v>
      </c>
      <c r="B212" s="683" t="s">
        <v>405</v>
      </c>
      <c r="C212" s="677" t="s">
        <v>91</v>
      </c>
      <c r="D212" s="677" t="s">
        <v>19</v>
      </c>
      <c r="E212" s="631"/>
      <c r="F212" s="631">
        <v>3000</v>
      </c>
      <c r="G212" s="607">
        <f t="shared" si="3"/>
        <v>21865283.99927</v>
      </c>
      <c r="H212" s="677" t="s">
        <v>118</v>
      </c>
      <c r="I212" s="677" t="s">
        <v>79</v>
      </c>
      <c r="J212" s="608" t="s">
        <v>220</v>
      </c>
      <c r="K212" s="603" t="s">
        <v>75</v>
      </c>
      <c r="L212" s="603" t="s">
        <v>73</v>
      </c>
      <c r="M212" s="609" t="s">
        <v>537</v>
      </c>
      <c r="N212" s="610" t="s">
        <v>170</v>
      </c>
      <c r="O212" s="473"/>
      <c r="P212" s="495"/>
    </row>
    <row r="213" spans="1:66" s="262" customFormat="1" ht="15" customHeight="1">
      <c r="A213" s="427">
        <v>44219</v>
      </c>
      <c r="B213" s="682" t="s">
        <v>369</v>
      </c>
      <c r="C213" s="608" t="s">
        <v>91</v>
      </c>
      <c r="D213" s="619" t="s">
        <v>148</v>
      </c>
      <c r="E213" s="639"/>
      <c r="F213" s="639">
        <v>6000</v>
      </c>
      <c r="G213" s="607">
        <f t="shared" si="3"/>
        <v>21859283.99927</v>
      </c>
      <c r="H213" s="640" t="s">
        <v>150</v>
      </c>
      <c r="I213" s="640" t="s">
        <v>162</v>
      </c>
      <c r="J213" s="608" t="s">
        <v>220</v>
      </c>
      <c r="K213" s="608" t="s">
        <v>75</v>
      </c>
      <c r="L213" s="603" t="s">
        <v>73</v>
      </c>
      <c r="M213" s="609" t="s">
        <v>538</v>
      </c>
      <c r="N213" s="615" t="s">
        <v>170</v>
      </c>
      <c r="O213" s="473"/>
      <c r="P213" s="495"/>
    </row>
    <row r="214" spans="1:66" s="262" customFormat="1" ht="15" customHeight="1">
      <c r="A214" s="427">
        <v>44219</v>
      </c>
      <c r="B214" s="682" t="s">
        <v>371</v>
      </c>
      <c r="C214" s="608" t="s">
        <v>163</v>
      </c>
      <c r="D214" s="619" t="s">
        <v>148</v>
      </c>
      <c r="E214" s="639"/>
      <c r="F214" s="639">
        <v>30000</v>
      </c>
      <c r="G214" s="607">
        <f t="shared" si="3"/>
        <v>21829283.99927</v>
      </c>
      <c r="H214" s="640" t="s">
        <v>150</v>
      </c>
      <c r="I214" s="640" t="s">
        <v>94</v>
      </c>
      <c r="J214" s="608" t="s">
        <v>207</v>
      </c>
      <c r="K214" s="608" t="s">
        <v>75</v>
      </c>
      <c r="L214" s="603" t="s">
        <v>73</v>
      </c>
      <c r="M214" s="609" t="s">
        <v>539</v>
      </c>
      <c r="N214" s="615" t="s">
        <v>104</v>
      </c>
      <c r="O214" s="473"/>
      <c r="P214" s="495"/>
    </row>
    <row r="215" spans="1:66" ht="15" customHeight="1">
      <c r="A215" s="675">
        <v>44219</v>
      </c>
      <c r="B215" s="683" t="s">
        <v>404</v>
      </c>
      <c r="C215" s="677" t="s">
        <v>163</v>
      </c>
      <c r="D215" s="677" t="s">
        <v>19</v>
      </c>
      <c r="E215" s="631"/>
      <c r="F215" s="631">
        <v>15000</v>
      </c>
      <c r="G215" s="607">
        <f t="shared" si="3"/>
        <v>21814283.99927</v>
      </c>
      <c r="H215" s="677" t="s">
        <v>118</v>
      </c>
      <c r="I215" s="677" t="s">
        <v>79</v>
      </c>
      <c r="J215" s="608" t="s">
        <v>207</v>
      </c>
      <c r="K215" s="603" t="s">
        <v>75</v>
      </c>
      <c r="L215" s="603" t="s">
        <v>73</v>
      </c>
      <c r="M215" s="609" t="s">
        <v>540</v>
      </c>
      <c r="N215" s="610" t="s">
        <v>104</v>
      </c>
      <c r="O215" s="473"/>
      <c r="P215" s="495"/>
      <c r="Q215" s="431"/>
    </row>
    <row r="216" spans="1:66" s="431" customFormat="1" ht="15" customHeight="1">
      <c r="A216" s="427">
        <v>44220</v>
      </c>
      <c r="B216" s="684" t="s">
        <v>457</v>
      </c>
      <c r="C216" s="603" t="s">
        <v>91</v>
      </c>
      <c r="D216" s="619" t="s">
        <v>31</v>
      </c>
      <c r="E216" s="643"/>
      <c r="F216" s="643">
        <v>5000</v>
      </c>
      <c r="G216" s="607">
        <f t="shared" si="3"/>
        <v>21809283.99927</v>
      </c>
      <c r="H216" s="615" t="s">
        <v>197</v>
      </c>
      <c r="I216" s="603" t="s">
        <v>94</v>
      </c>
      <c r="J216" s="608" t="s">
        <v>103</v>
      </c>
      <c r="K216" s="603" t="s">
        <v>75</v>
      </c>
      <c r="L216" s="603" t="s">
        <v>73</v>
      </c>
      <c r="M216" s="609" t="s">
        <v>541</v>
      </c>
      <c r="N216" s="610" t="s">
        <v>170</v>
      </c>
      <c r="O216" s="504"/>
      <c r="P216" s="541"/>
    </row>
    <row r="217" spans="1:66" ht="15" customHeight="1">
      <c r="A217" s="675">
        <v>44220</v>
      </c>
      <c r="B217" s="683" t="s">
        <v>409</v>
      </c>
      <c r="C217" s="677" t="s">
        <v>92</v>
      </c>
      <c r="D217" s="677" t="s">
        <v>19</v>
      </c>
      <c r="E217" s="631"/>
      <c r="F217" s="654">
        <v>5700</v>
      </c>
      <c r="G217" s="607">
        <f t="shared" si="3"/>
        <v>21803583.99927</v>
      </c>
      <c r="H217" s="677" t="s">
        <v>118</v>
      </c>
      <c r="I217" s="677" t="s">
        <v>162</v>
      </c>
      <c r="J217" s="608" t="s">
        <v>251</v>
      </c>
      <c r="K217" s="603" t="s">
        <v>38</v>
      </c>
      <c r="L217" s="603" t="s">
        <v>73</v>
      </c>
      <c r="M217" s="615"/>
      <c r="N217" s="610"/>
      <c r="O217" s="473"/>
      <c r="P217" s="495"/>
      <c r="Q217" s="495"/>
      <c r="R217" s="495"/>
    </row>
    <row r="218" spans="1:66" s="431" customFormat="1" ht="15" customHeight="1">
      <c r="A218" s="427">
        <v>44221</v>
      </c>
      <c r="B218" s="682" t="s">
        <v>252</v>
      </c>
      <c r="C218" s="619" t="s">
        <v>20</v>
      </c>
      <c r="D218" s="219" t="s">
        <v>31</v>
      </c>
      <c r="E218" s="643"/>
      <c r="F218" s="651">
        <f>50000</f>
        <v>50000</v>
      </c>
      <c r="G218" s="607">
        <f t="shared" si="3"/>
        <v>21753583.99927</v>
      </c>
      <c r="H218" s="608" t="s">
        <v>74</v>
      </c>
      <c r="I218" s="619">
        <v>3643402</v>
      </c>
      <c r="J218" s="608" t="s">
        <v>207</v>
      </c>
      <c r="K218" s="603" t="s">
        <v>75</v>
      </c>
      <c r="L218" s="603" t="s">
        <v>73</v>
      </c>
      <c r="M218" s="609" t="s">
        <v>542</v>
      </c>
      <c r="N218" s="610" t="s">
        <v>173</v>
      </c>
      <c r="O218" s="517"/>
      <c r="P218" s="495"/>
    </row>
    <row r="219" spans="1:66" s="301" customFormat="1" ht="15" customHeight="1">
      <c r="A219" s="427">
        <v>44221</v>
      </c>
      <c r="B219" s="682" t="s">
        <v>253</v>
      </c>
      <c r="C219" s="619" t="s">
        <v>20</v>
      </c>
      <c r="D219" s="219" t="s">
        <v>148</v>
      </c>
      <c r="E219" s="643"/>
      <c r="F219" s="651">
        <f>50000+22000</f>
        <v>72000</v>
      </c>
      <c r="G219" s="607">
        <f t="shared" si="3"/>
        <v>21681583.99927</v>
      </c>
      <c r="H219" s="608" t="s">
        <v>74</v>
      </c>
      <c r="I219" s="619">
        <v>3643402</v>
      </c>
      <c r="J219" s="608" t="s">
        <v>207</v>
      </c>
      <c r="K219" s="603" t="s">
        <v>75</v>
      </c>
      <c r="L219" s="603" t="s">
        <v>73</v>
      </c>
      <c r="M219" s="609" t="s">
        <v>543</v>
      </c>
      <c r="N219" s="610" t="s">
        <v>173</v>
      </c>
      <c r="O219" s="517"/>
      <c r="P219" s="495"/>
      <c r="Q219" s="431"/>
    </row>
    <row r="220" spans="1:66" s="301" customFormat="1" ht="15" customHeight="1">
      <c r="A220" s="427">
        <v>44221</v>
      </c>
      <c r="B220" s="682" t="s">
        <v>254</v>
      </c>
      <c r="C220" s="619" t="s">
        <v>20</v>
      </c>
      <c r="D220" s="219" t="s">
        <v>77</v>
      </c>
      <c r="E220" s="643"/>
      <c r="F220" s="651">
        <v>10000</v>
      </c>
      <c r="G220" s="607">
        <f t="shared" si="3"/>
        <v>21671583.99927</v>
      </c>
      <c r="H220" s="608" t="s">
        <v>74</v>
      </c>
      <c r="I220" s="619">
        <v>3643402</v>
      </c>
      <c r="J220" s="608" t="s">
        <v>207</v>
      </c>
      <c r="K220" s="603" t="s">
        <v>75</v>
      </c>
      <c r="L220" s="603" t="s">
        <v>73</v>
      </c>
      <c r="M220" s="609" t="s">
        <v>544</v>
      </c>
      <c r="N220" s="610" t="s">
        <v>173</v>
      </c>
      <c r="O220" s="517"/>
      <c r="P220" s="495"/>
      <c r="Q220" s="495"/>
      <c r="R220" s="495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</row>
    <row r="221" spans="1:66" s="301" customFormat="1" ht="15" customHeight="1">
      <c r="A221" s="427">
        <v>44221</v>
      </c>
      <c r="B221" s="682" t="s">
        <v>255</v>
      </c>
      <c r="C221" s="619" t="s">
        <v>20</v>
      </c>
      <c r="D221" s="219" t="s">
        <v>19</v>
      </c>
      <c r="E221" s="643"/>
      <c r="F221" s="651">
        <f>45000+11000</f>
        <v>56000</v>
      </c>
      <c r="G221" s="607">
        <f t="shared" si="3"/>
        <v>21615583.99927</v>
      </c>
      <c r="H221" s="608" t="s">
        <v>74</v>
      </c>
      <c r="I221" s="619">
        <v>3643402</v>
      </c>
      <c r="J221" s="608" t="s">
        <v>207</v>
      </c>
      <c r="K221" s="603" t="s">
        <v>75</v>
      </c>
      <c r="L221" s="603" t="s">
        <v>73</v>
      </c>
      <c r="M221" s="609" t="s">
        <v>545</v>
      </c>
      <c r="N221" s="610" t="s">
        <v>173</v>
      </c>
      <c r="O221" s="517"/>
      <c r="P221" s="556"/>
      <c r="Q221" s="495"/>
      <c r="R221" s="495"/>
      <c r="S221" s="431"/>
      <c r="T221" s="431"/>
      <c r="U221" s="431"/>
      <c r="V221" s="431"/>
      <c r="W221" s="431"/>
      <c r="X221" s="431"/>
      <c r="Y221" s="431"/>
      <c r="Z221" s="431"/>
      <c r="AA221" s="431"/>
      <c r="AB221" s="431"/>
      <c r="AC221" s="431"/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1"/>
      <c r="AO221" s="431"/>
      <c r="AP221" s="431"/>
      <c r="AQ221" s="431"/>
      <c r="AR221" s="431"/>
      <c r="AS221" s="431"/>
      <c r="AT221" s="431"/>
      <c r="AU221" s="431"/>
      <c r="AV221" s="431"/>
      <c r="AW221" s="431"/>
      <c r="AX221" s="431"/>
      <c r="AY221" s="431"/>
      <c r="AZ221" s="431"/>
      <c r="BA221" s="431"/>
      <c r="BB221" s="431"/>
      <c r="BC221" s="431"/>
      <c r="BD221" s="431"/>
      <c r="BE221" s="431"/>
      <c r="BF221" s="431"/>
      <c r="BG221" s="431"/>
      <c r="BH221" s="431"/>
      <c r="BI221" s="431"/>
      <c r="BJ221" s="431"/>
      <c r="BK221" s="431"/>
      <c r="BL221" s="431"/>
      <c r="BM221" s="431"/>
      <c r="BN221" s="431"/>
    </row>
    <row r="222" spans="1:66" s="431" customFormat="1" ht="15" customHeight="1">
      <c r="A222" s="427">
        <v>44221</v>
      </c>
      <c r="B222" s="685" t="s">
        <v>256</v>
      </c>
      <c r="C222" s="617" t="s">
        <v>20</v>
      </c>
      <c r="D222" s="219" t="s">
        <v>31</v>
      </c>
      <c r="E222" s="657"/>
      <c r="F222" s="673">
        <f>20000+32000</f>
        <v>52000</v>
      </c>
      <c r="G222" s="607">
        <f t="shared" si="3"/>
        <v>21563583.99927</v>
      </c>
      <c r="H222" s="608" t="s">
        <v>74</v>
      </c>
      <c r="I222" s="619">
        <v>3643403</v>
      </c>
      <c r="J222" s="608" t="s">
        <v>207</v>
      </c>
      <c r="K222" s="603" t="s">
        <v>75</v>
      </c>
      <c r="L222" s="603" t="s">
        <v>73</v>
      </c>
      <c r="M222" s="609" t="s">
        <v>546</v>
      </c>
      <c r="N222" s="610" t="s">
        <v>173</v>
      </c>
      <c r="O222" s="473"/>
      <c r="P222" s="509"/>
    </row>
    <row r="223" spans="1:66" s="301" customFormat="1" ht="15" customHeight="1">
      <c r="A223" s="427">
        <v>44221</v>
      </c>
      <c r="B223" s="619" t="s">
        <v>257</v>
      </c>
      <c r="C223" s="619" t="s">
        <v>20</v>
      </c>
      <c r="D223" s="660" t="s">
        <v>148</v>
      </c>
      <c r="E223" s="643"/>
      <c r="F223" s="651">
        <f>50000+33000</f>
        <v>83000</v>
      </c>
      <c r="G223" s="607">
        <f t="shared" si="3"/>
        <v>21480583.99927</v>
      </c>
      <c r="H223" s="608" t="s">
        <v>74</v>
      </c>
      <c r="I223" s="619">
        <v>3643403</v>
      </c>
      <c r="J223" s="608" t="s">
        <v>207</v>
      </c>
      <c r="K223" s="603" t="s">
        <v>75</v>
      </c>
      <c r="L223" s="603" t="s">
        <v>73</v>
      </c>
      <c r="M223" s="609" t="s">
        <v>547</v>
      </c>
      <c r="N223" s="610" t="s">
        <v>173</v>
      </c>
      <c r="O223" s="473"/>
      <c r="P223" s="546"/>
      <c r="Q223" s="386"/>
    </row>
    <row r="224" spans="1:66" s="301" customFormat="1" ht="15" customHeight="1">
      <c r="A224" s="427">
        <v>44221</v>
      </c>
      <c r="B224" s="619" t="s">
        <v>258</v>
      </c>
      <c r="C224" s="619" t="s">
        <v>20</v>
      </c>
      <c r="D224" s="660" t="s">
        <v>77</v>
      </c>
      <c r="E224" s="643"/>
      <c r="F224" s="651">
        <v>11000</v>
      </c>
      <c r="G224" s="607">
        <f t="shared" si="3"/>
        <v>21469583.99927</v>
      </c>
      <c r="H224" s="608" t="s">
        <v>74</v>
      </c>
      <c r="I224" s="619">
        <v>3643403</v>
      </c>
      <c r="J224" s="608" t="s">
        <v>207</v>
      </c>
      <c r="K224" s="603" t="s">
        <v>75</v>
      </c>
      <c r="L224" s="603" t="s">
        <v>73</v>
      </c>
      <c r="M224" s="609" t="s">
        <v>548</v>
      </c>
      <c r="N224" s="610" t="s">
        <v>173</v>
      </c>
      <c r="O224" s="473"/>
      <c r="P224" s="509"/>
      <c r="Q224" s="431"/>
    </row>
    <row r="225" spans="1:17" s="301" customFormat="1" ht="15" customHeight="1">
      <c r="A225" s="427">
        <v>44221</v>
      </c>
      <c r="B225" s="619" t="s">
        <v>259</v>
      </c>
      <c r="C225" s="619" t="s">
        <v>20</v>
      </c>
      <c r="D225" s="660" t="s">
        <v>19</v>
      </c>
      <c r="E225" s="643"/>
      <c r="F225" s="651">
        <f>20000+22000</f>
        <v>42000</v>
      </c>
      <c r="G225" s="607">
        <f t="shared" si="3"/>
        <v>21427583.99927</v>
      </c>
      <c r="H225" s="608" t="s">
        <v>74</v>
      </c>
      <c r="I225" s="619">
        <v>3643403</v>
      </c>
      <c r="J225" s="608" t="s">
        <v>207</v>
      </c>
      <c r="K225" s="603" t="s">
        <v>75</v>
      </c>
      <c r="L225" s="603" t="s">
        <v>73</v>
      </c>
      <c r="M225" s="609" t="s">
        <v>549</v>
      </c>
      <c r="N225" s="622" t="s">
        <v>173</v>
      </c>
      <c r="O225" s="505"/>
      <c r="P225" s="495"/>
      <c r="Q225" s="431"/>
    </row>
    <row r="226" spans="1:17" s="301" customFormat="1" ht="15" customHeight="1">
      <c r="A226" s="427">
        <v>44221</v>
      </c>
      <c r="B226" s="355" t="s">
        <v>592</v>
      </c>
      <c r="C226" s="615" t="s">
        <v>15</v>
      </c>
      <c r="D226" s="668" t="s">
        <v>31</v>
      </c>
      <c r="E226" s="643"/>
      <c r="F226" s="651">
        <v>191000</v>
      </c>
      <c r="G226" s="607">
        <f t="shared" si="3"/>
        <v>21236583.99927</v>
      </c>
      <c r="H226" s="608" t="s">
        <v>74</v>
      </c>
      <c r="I226" s="619">
        <v>3643404</v>
      </c>
      <c r="J226" s="608" t="s">
        <v>50</v>
      </c>
      <c r="K226" s="603" t="s">
        <v>75</v>
      </c>
      <c r="L226" s="603" t="s">
        <v>73</v>
      </c>
      <c r="M226" s="609" t="s">
        <v>550</v>
      </c>
      <c r="N226" s="610" t="s">
        <v>102</v>
      </c>
      <c r="O226" s="473"/>
      <c r="P226" s="495"/>
      <c r="Q226" s="431"/>
    </row>
    <row r="227" spans="1:17" s="301" customFormat="1" ht="15" customHeight="1">
      <c r="A227" s="427">
        <v>44221</v>
      </c>
      <c r="B227" s="355" t="s">
        <v>241</v>
      </c>
      <c r="C227" s="615" t="s">
        <v>15</v>
      </c>
      <c r="D227" s="656" t="s">
        <v>148</v>
      </c>
      <c r="E227" s="643"/>
      <c r="F227" s="651">
        <v>308000</v>
      </c>
      <c r="G227" s="607">
        <f t="shared" si="3"/>
        <v>20928583.99927</v>
      </c>
      <c r="H227" s="608" t="s">
        <v>74</v>
      </c>
      <c r="I227" s="619">
        <v>3643405</v>
      </c>
      <c r="J227" s="608" t="s">
        <v>50</v>
      </c>
      <c r="K227" s="603" t="s">
        <v>75</v>
      </c>
      <c r="L227" s="603" t="s">
        <v>73</v>
      </c>
      <c r="M227" s="609" t="s">
        <v>556</v>
      </c>
      <c r="N227" s="610" t="s">
        <v>99</v>
      </c>
      <c r="O227" s="473"/>
      <c r="P227" s="495"/>
      <c r="Q227" s="431"/>
    </row>
    <row r="228" spans="1:17" s="262" customFormat="1" ht="15" customHeight="1">
      <c r="A228" s="427">
        <v>44221</v>
      </c>
      <c r="B228" s="355" t="s">
        <v>242</v>
      </c>
      <c r="C228" s="615" t="s">
        <v>15</v>
      </c>
      <c r="D228" s="656" t="s">
        <v>148</v>
      </c>
      <c r="E228" s="643"/>
      <c r="F228" s="651">
        <v>193600</v>
      </c>
      <c r="G228" s="607">
        <f t="shared" si="3"/>
        <v>20734983.99927</v>
      </c>
      <c r="H228" s="608" t="s">
        <v>74</v>
      </c>
      <c r="I228" s="619">
        <v>3643406</v>
      </c>
      <c r="J228" s="608" t="s">
        <v>50</v>
      </c>
      <c r="K228" s="603" t="s">
        <v>75</v>
      </c>
      <c r="L228" s="603" t="s">
        <v>73</v>
      </c>
      <c r="M228" s="609" t="s">
        <v>551</v>
      </c>
      <c r="N228" s="610" t="s">
        <v>99</v>
      </c>
      <c r="O228" s="473"/>
      <c r="P228" s="495"/>
    </row>
    <row r="229" spans="1:17" s="357" customFormat="1" ht="15" customHeight="1">
      <c r="A229" s="427">
        <v>44221</v>
      </c>
      <c r="B229" s="355" t="s">
        <v>243</v>
      </c>
      <c r="C229" s="615" t="s">
        <v>15</v>
      </c>
      <c r="D229" s="656" t="s">
        <v>148</v>
      </c>
      <c r="E229" s="643"/>
      <c r="F229" s="651">
        <v>193600</v>
      </c>
      <c r="G229" s="607">
        <f t="shared" si="3"/>
        <v>20541383.99927</v>
      </c>
      <c r="H229" s="608" t="s">
        <v>74</v>
      </c>
      <c r="I229" s="619">
        <v>3643407</v>
      </c>
      <c r="J229" s="608" t="s">
        <v>50</v>
      </c>
      <c r="K229" s="603" t="s">
        <v>75</v>
      </c>
      <c r="L229" s="603" t="s">
        <v>73</v>
      </c>
      <c r="M229" s="609" t="s">
        <v>552</v>
      </c>
      <c r="N229" s="610" t="s">
        <v>99</v>
      </c>
      <c r="O229" s="473"/>
      <c r="P229" s="540"/>
      <c r="Q229" s="431"/>
    </row>
    <row r="230" spans="1:17" s="357" customFormat="1" ht="15" customHeight="1">
      <c r="A230" s="427">
        <v>44221</v>
      </c>
      <c r="B230" s="355" t="s">
        <v>244</v>
      </c>
      <c r="C230" s="615" t="s">
        <v>15</v>
      </c>
      <c r="D230" s="656" t="s">
        <v>148</v>
      </c>
      <c r="E230" s="643"/>
      <c r="F230" s="651">
        <v>356500</v>
      </c>
      <c r="G230" s="607">
        <f t="shared" si="3"/>
        <v>20184883.99927</v>
      </c>
      <c r="H230" s="608" t="s">
        <v>74</v>
      </c>
      <c r="I230" s="619">
        <v>3643408</v>
      </c>
      <c r="J230" s="608" t="s">
        <v>207</v>
      </c>
      <c r="K230" s="603" t="s">
        <v>75</v>
      </c>
      <c r="L230" s="603" t="s">
        <v>73</v>
      </c>
      <c r="M230" s="609" t="s">
        <v>553</v>
      </c>
      <c r="N230" s="610" t="s">
        <v>99</v>
      </c>
      <c r="O230" s="473"/>
      <c r="P230" s="540"/>
      <c r="Q230" s="431"/>
    </row>
    <row r="231" spans="1:17" s="301" customFormat="1" ht="15" customHeight="1">
      <c r="A231" s="427">
        <v>44221</v>
      </c>
      <c r="B231" s="355" t="s">
        <v>245</v>
      </c>
      <c r="C231" s="615" t="s">
        <v>15</v>
      </c>
      <c r="D231" s="656" t="s">
        <v>19</v>
      </c>
      <c r="E231" s="643"/>
      <c r="F231" s="651">
        <v>400000</v>
      </c>
      <c r="G231" s="607">
        <f t="shared" si="3"/>
        <v>19784883.99927</v>
      </c>
      <c r="H231" s="608" t="s">
        <v>74</v>
      </c>
      <c r="I231" s="619">
        <v>3643409</v>
      </c>
      <c r="J231" s="608" t="s">
        <v>207</v>
      </c>
      <c r="K231" s="603" t="s">
        <v>75</v>
      </c>
      <c r="L231" s="603" t="s">
        <v>73</v>
      </c>
      <c r="M231" s="609" t="s">
        <v>554</v>
      </c>
      <c r="N231" s="610" t="s">
        <v>101</v>
      </c>
      <c r="O231" s="473"/>
      <c r="P231" s="495"/>
    </row>
    <row r="232" spans="1:17" s="301" customFormat="1" ht="15" customHeight="1">
      <c r="A232" s="427">
        <v>44221</v>
      </c>
      <c r="B232" s="355" t="s">
        <v>246</v>
      </c>
      <c r="C232" s="615" t="s">
        <v>15</v>
      </c>
      <c r="D232" s="656" t="s">
        <v>19</v>
      </c>
      <c r="E232" s="643"/>
      <c r="F232" s="651">
        <v>275000</v>
      </c>
      <c r="G232" s="607">
        <f t="shared" si="3"/>
        <v>19509883.99927</v>
      </c>
      <c r="H232" s="608" t="s">
        <v>74</v>
      </c>
      <c r="I232" s="619">
        <v>3643410</v>
      </c>
      <c r="J232" s="608" t="s">
        <v>50</v>
      </c>
      <c r="K232" s="603" t="s">
        <v>75</v>
      </c>
      <c r="L232" s="603" t="s">
        <v>73</v>
      </c>
      <c r="M232" s="609" t="s">
        <v>555</v>
      </c>
      <c r="N232" s="610" t="s">
        <v>101</v>
      </c>
      <c r="O232" s="473"/>
      <c r="P232" s="495"/>
    </row>
    <row r="233" spans="1:17" s="431" customFormat="1" ht="15" customHeight="1">
      <c r="A233" s="427">
        <v>44221</v>
      </c>
      <c r="B233" s="355" t="s">
        <v>247</v>
      </c>
      <c r="C233" s="615" t="s">
        <v>15</v>
      </c>
      <c r="D233" s="656" t="s">
        <v>148</v>
      </c>
      <c r="E233" s="643"/>
      <c r="F233" s="651">
        <v>326000</v>
      </c>
      <c r="G233" s="607">
        <f t="shared" si="3"/>
        <v>19183883.99927</v>
      </c>
      <c r="H233" s="608" t="s">
        <v>74</v>
      </c>
      <c r="I233" s="619" t="s">
        <v>161</v>
      </c>
      <c r="J233" s="608" t="s">
        <v>50</v>
      </c>
      <c r="K233" s="603" t="s">
        <v>75</v>
      </c>
      <c r="L233" s="603" t="s">
        <v>73</v>
      </c>
      <c r="M233" s="609" t="s">
        <v>557</v>
      </c>
      <c r="N233" s="610" t="s">
        <v>99</v>
      </c>
      <c r="O233" s="473"/>
      <c r="P233" s="495"/>
    </row>
    <row r="234" spans="1:17" ht="15" customHeight="1">
      <c r="A234" s="427">
        <v>44221</v>
      </c>
      <c r="B234" s="355" t="s">
        <v>248</v>
      </c>
      <c r="C234" s="615" t="s">
        <v>15</v>
      </c>
      <c r="D234" s="660" t="s">
        <v>77</v>
      </c>
      <c r="E234" s="643"/>
      <c r="F234" s="651">
        <v>171500</v>
      </c>
      <c r="G234" s="607">
        <f t="shared" si="3"/>
        <v>19012383.99927</v>
      </c>
      <c r="H234" s="608" t="s">
        <v>74</v>
      </c>
      <c r="I234" s="619" t="s">
        <v>161</v>
      </c>
      <c r="J234" s="608" t="s">
        <v>50</v>
      </c>
      <c r="K234" s="603" t="s">
        <v>75</v>
      </c>
      <c r="L234" s="603" t="s">
        <v>73</v>
      </c>
      <c r="M234" s="609" t="s">
        <v>558</v>
      </c>
      <c r="N234" s="610" t="s">
        <v>100</v>
      </c>
      <c r="O234" s="517"/>
      <c r="P234" s="495"/>
      <c r="Q234" s="431"/>
    </row>
    <row r="235" spans="1:17" s="431" customFormat="1" ht="15" hidden="1" customHeight="1">
      <c r="A235" s="503">
        <v>44221</v>
      </c>
      <c r="B235" s="36" t="s">
        <v>177</v>
      </c>
      <c r="C235" s="36" t="s">
        <v>147</v>
      </c>
      <c r="D235" s="496"/>
      <c r="E235" s="470"/>
      <c r="F235" s="472">
        <v>10000</v>
      </c>
      <c r="G235" s="507">
        <f t="shared" si="3"/>
        <v>19002383.99927</v>
      </c>
      <c r="H235" s="36" t="s">
        <v>78</v>
      </c>
      <c r="I235" s="504"/>
      <c r="J235" s="508"/>
      <c r="K235" s="504"/>
      <c r="L235" s="504"/>
      <c r="M235" s="509"/>
      <c r="N235" s="510"/>
      <c r="O235" s="473"/>
      <c r="P235" s="495"/>
    </row>
    <row r="236" spans="1:17" ht="15" customHeight="1">
      <c r="A236" s="675">
        <v>44221</v>
      </c>
      <c r="B236" s="677" t="s">
        <v>451</v>
      </c>
      <c r="C236" s="677" t="s">
        <v>91</v>
      </c>
      <c r="D236" s="676" t="s">
        <v>19</v>
      </c>
      <c r="E236" s="631"/>
      <c r="F236" s="631">
        <v>5000</v>
      </c>
      <c r="G236" s="607">
        <f t="shared" si="3"/>
        <v>18997383.99927</v>
      </c>
      <c r="H236" s="677" t="s">
        <v>118</v>
      </c>
      <c r="I236" s="677" t="s">
        <v>162</v>
      </c>
      <c r="J236" s="608" t="s">
        <v>220</v>
      </c>
      <c r="K236" s="603" t="s">
        <v>75</v>
      </c>
      <c r="L236" s="603" t="s">
        <v>73</v>
      </c>
      <c r="M236" s="609" t="s">
        <v>559</v>
      </c>
      <c r="N236" s="610" t="s">
        <v>170</v>
      </c>
      <c r="O236" s="473"/>
      <c r="P236" s="495"/>
      <c r="Q236" s="431"/>
    </row>
    <row r="237" spans="1:17" ht="15" customHeight="1">
      <c r="A237" s="675">
        <v>44221</v>
      </c>
      <c r="B237" s="677" t="s">
        <v>407</v>
      </c>
      <c r="C237" s="677" t="s">
        <v>91</v>
      </c>
      <c r="D237" s="676" t="s">
        <v>19</v>
      </c>
      <c r="E237" s="631"/>
      <c r="F237" s="631">
        <v>12000</v>
      </c>
      <c r="G237" s="607">
        <f t="shared" si="3"/>
        <v>18985383.99927</v>
      </c>
      <c r="H237" s="677" t="s">
        <v>118</v>
      </c>
      <c r="I237" s="677" t="s">
        <v>79</v>
      </c>
      <c r="J237" s="608" t="s">
        <v>220</v>
      </c>
      <c r="K237" s="603" t="s">
        <v>75</v>
      </c>
      <c r="L237" s="603" t="s">
        <v>73</v>
      </c>
      <c r="M237" s="609" t="s">
        <v>560</v>
      </c>
      <c r="N237" s="610" t="s">
        <v>170</v>
      </c>
      <c r="O237" s="473"/>
      <c r="P237" s="495"/>
    </row>
    <row r="238" spans="1:17" s="431" customFormat="1" ht="15" customHeight="1">
      <c r="A238" s="427">
        <v>44221</v>
      </c>
      <c r="B238" s="603" t="s">
        <v>324</v>
      </c>
      <c r="C238" s="603" t="s">
        <v>91</v>
      </c>
      <c r="D238" s="656" t="s">
        <v>31</v>
      </c>
      <c r="E238" s="643"/>
      <c r="F238" s="637">
        <v>5000</v>
      </c>
      <c r="G238" s="607">
        <f t="shared" si="3"/>
        <v>18980383.99927</v>
      </c>
      <c r="H238" s="603" t="s">
        <v>84</v>
      </c>
      <c r="I238" s="603" t="s">
        <v>97</v>
      </c>
      <c r="J238" s="633" t="s">
        <v>103</v>
      </c>
      <c r="K238" s="608" t="s">
        <v>75</v>
      </c>
      <c r="L238" s="608" t="s">
        <v>73</v>
      </c>
      <c r="M238" s="609" t="s">
        <v>561</v>
      </c>
      <c r="N238" s="625" t="s">
        <v>170</v>
      </c>
      <c r="O238" s="473"/>
      <c r="P238" s="495"/>
    </row>
    <row r="239" spans="1:17" ht="15" customHeight="1">
      <c r="A239" s="427">
        <v>44221</v>
      </c>
      <c r="B239" s="603" t="s">
        <v>341</v>
      </c>
      <c r="C239" s="603" t="s">
        <v>163</v>
      </c>
      <c r="D239" s="656" t="s">
        <v>31</v>
      </c>
      <c r="E239" s="643"/>
      <c r="F239" s="643">
        <v>75000</v>
      </c>
      <c r="G239" s="607">
        <f t="shared" si="3"/>
        <v>18905383.99927</v>
      </c>
      <c r="H239" s="615" t="s">
        <v>197</v>
      </c>
      <c r="I239" s="603" t="s">
        <v>94</v>
      </c>
      <c r="J239" s="608" t="s">
        <v>220</v>
      </c>
      <c r="K239" s="603" t="s">
        <v>75</v>
      </c>
      <c r="L239" s="603" t="s">
        <v>73</v>
      </c>
      <c r="M239" s="609" t="s">
        <v>562</v>
      </c>
      <c r="N239" s="610" t="s">
        <v>104</v>
      </c>
      <c r="O239" s="473"/>
      <c r="P239" s="495"/>
      <c r="Q239" s="431"/>
    </row>
    <row r="240" spans="1:17" s="262" customFormat="1" ht="15" customHeight="1">
      <c r="A240" s="427">
        <v>44221</v>
      </c>
      <c r="B240" s="619" t="s">
        <v>311</v>
      </c>
      <c r="C240" s="619" t="s">
        <v>91</v>
      </c>
      <c r="D240" s="656" t="s">
        <v>148</v>
      </c>
      <c r="E240" s="646"/>
      <c r="F240" s="651">
        <v>44000</v>
      </c>
      <c r="G240" s="607">
        <f t="shared" si="3"/>
        <v>18861383.99927</v>
      </c>
      <c r="H240" s="608" t="s">
        <v>81</v>
      </c>
      <c r="I240" s="219" t="s">
        <v>162</v>
      </c>
      <c r="J240" s="608" t="s">
        <v>207</v>
      </c>
      <c r="K240" s="603" t="s">
        <v>75</v>
      </c>
      <c r="L240" s="603" t="s">
        <v>73</v>
      </c>
      <c r="M240" s="609" t="s">
        <v>593</v>
      </c>
      <c r="N240" s="610" t="s">
        <v>170</v>
      </c>
      <c r="O240" s="473"/>
      <c r="P240" s="495"/>
      <c r="Q240" s="431"/>
    </row>
    <row r="241" spans="1:17" s="262" customFormat="1" ht="15" customHeight="1">
      <c r="A241" s="427">
        <v>44221</v>
      </c>
      <c r="B241" s="611" t="s">
        <v>395</v>
      </c>
      <c r="C241" s="611" t="s">
        <v>396</v>
      </c>
      <c r="D241" s="686" t="s">
        <v>393</v>
      </c>
      <c r="E241" s="613"/>
      <c r="F241" s="687">
        <v>2000</v>
      </c>
      <c r="G241" s="607">
        <f t="shared" si="3"/>
        <v>18859383.99927</v>
      </c>
      <c r="H241" s="615" t="s">
        <v>120</v>
      </c>
      <c r="I241" s="603" t="s">
        <v>164</v>
      </c>
      <c r="J241" s="608" t="s">
        <v>251</v>
      </c>
      <c r="K241" s="603" t="s">
        <v>75</v>
      </c>
      <c r="L241" s="603" t="s">
        <v>73</v>
      </c>
      <c r="M241" s="609" t="s">
        <v>594</v>
      </c>
      <c r="N241" s="610" t="s">
        <v>170</v>
      </c>
      <c r="O241" s="473"/>
      <c r="P241" s="495"/>
    </row>
    <row r="242" spans="1:17" s="262" customFormat="1" ht="15" customHeight="1">
      <c r="A242" s="427">
        <v>44221</v>
      </c>
      <c r="B242" s="603" t="s">
        <v>383</v>
      </c>
      <c r="C242" s="603" t="s">
        <v>163</v>
      </c>
      <c r="D242" s="386" t="s">
        <v>31</v>
      </c>
      <c r="E242" s="605"/>
      <c r="F242" s="644">
        <v>75000</v>
      </c>
      <c r="G242" s="607">
        <f t="shared" si="3"/>
        <v>18784383.99927</v>
      </c>
      <c r="H242" s="603" t="s">
        <v>200</v>
      </c>
      <c r="I242" s="603" t="s">
        <v>164</v>
      </c>
      <c r="J242" s="608" t="s">
        <v>220</v>
      </c>
      <c r="K242" s="603" t="s">
        <v>38</v>
      </c>
      <c r="L242" s="603" t="s">
        <v>73</v>
      </c>
      <c r="M242" s="615"/>
      <c r="N242" s="610"/>
      <c r="O242" s="455"/>
    </row>
    <row r="243" spans="1:17" ht="15" customHeight="1">
      <c r="A243" s="427">
        <v>44221</v>
      </c>
      <c r="B243" s="603" t="s">
        <v>384</v>
      </c>
      <c r="C243" s="603" t="s">
        <v>91</v>
      </c>
      <c r="D243" s="386" t="s">
        <v>31</v>
      </c>
      <c r="E243" s="605"/>
      <c r="F243" s="644">
        <v>5000</v>
      </c>
      <c r="G243" s="607">
        <f t="shared" si="3"/>
        <v>18779383.99927</v>
      </c>
      <c r="H243" s="603" t="s">
        <v>200</v>
      </c>
      <c r="I243" s="603" t="s">
        <v>164</v>
      </c>
      <c r="J243" s="608" t="s">
        <v>103</v>
      </c>
      <c r="K243" s="603" t="s">
        <v>38</v>
      </c>
      <c r="L243" s="603" t="s">
        <v>73</v>
      </c>
      <c r="M243" s="615"/>
      <c r="N243" s="610"/>
      <c r="O243" s="473"/>
      <c r="P243" s="495"/>
      <c r="Q243" s="431"/>
    </row>
    <row r="244" spans="1:17" ht="15" customHeight="1">
      <c r="A244" s="675">
        <v>44221</v>
      </c>
      <c r="B244" s="677" t="s">
        <v>406</v>
      </c>
      <c r="C244" s="677" t="s">
        <v>163</v>
      </c>
      <c r="D244" s="676" t="s">
        <v>19</v>
      </c>
      <c r="E244" s="631"/>
      <c r="F244" s="631">
        <v>30000</v>
      </c>
      <c r="G244" s="607">
        <f t="shared" si="3"/>
        <v>18749383.99927</v>
      </c>
      <c r="H244" s="677" t="s">
        <v>118</v>
      </c>
      <c r="I244" s="677" t="s">
        <v>79</v>
      </c>
      <c r="J244" s="608" t="s">
        <v>207</v>
      </c>
      <c r="K244" s="603" t="s">
        <v>75</v>
      </c>
      <c r="L244" s="603" t="s">
        <v>73</v>
      </c>
      <c r="M244" s="609" t="s">
        <v>563</v>
      </c>
      <c r="N244" s="610" t="s">
        <v>104</v>
      </c>
      <c r="O244" s="473"/>
      <c r="P244" s="495"/>
      <c r="Q244" s="431"/>
    </row>
    <row r="245" spans="1:17" s="262" customFormat="1" ht="15" customHeight="1">
      <c r="A245" s="427">
        <v>44222</v>
      </c>
      <c r="B245" s="603" t="s">
        <v>328</v>
      </c>
      <c r="C245" s="603" t="s">
        <v>95</v>
      </c>
      <c r="D245" s="656" t="s">
        <v>31</v>
      </c>
      <c r="E245" s="643"/>
      <c r="F245" s="637">
        <v>13500</v>
      </c>
      <c r="G245" s="607">
        <f t="shared" si="3"/>
        <v>18735883.99927</v>
      </c>
      <c r="H245" s="603" t="s">
        <v>84</v>
      </c>
      <c r="I245" s="603" t="s">
        <v>164</v>
      </c>
      <c r="J245" s="608" t="s">
        <v>220</v>
      </c>
      <c r="K245" s="603" t="s">
        <v>38</v>
      </c>
      <c r="L245" s="603" t="s">
        <v>73</v>
      </c>
      <c r="M245" s="688"/>
      <c r="N245" s="688"/>
      <c r="O245" s="455"/>
    </row>
    <row r="246" spans="1:17" s="468" customFormat="1" ht="15" customHeight="1">
      <c r="A246" s="427">
        <v>44222</v>
      </c>
      <c r="B246" s="603" t="s">
        <v>336</v>
      </c>
      <c r="C246" s="603" t="s">
        <v>93</v>
      </c>
      <c r="D246" s="689" t="s">
        <v>21</v>
      </c>
      <c r="E246" s="643"/>
      <c r="F246" s="643">
        <v>1000</v>
      </c>
      <c r="G246" s="607">
        <f t="shared" si="3"/>
        <v>18734883.99927</v>
      </c>
      <c r="H246" s="615" t="s">
        <v>197</v>
      </c>
      <c r="I246" s="603" t="s">
        <v>94</v>
      </c>
      <c r="J246" s="608" t="s">
        <v>103</v>
      </c>
      <c r="K246" s="603" t="s">
        <v>38</v>
      </c>
      <c r="L246" s="603" t="s">
        <v>73</v>
      </c>
      <c r="M246" s="615"/>
      <c r="N246" s="610"/>
      <c r="O246" s="473"/>
      <c r="P246" s="540"/>
      <c r="Q246" s="431"/>
    </row>
    <row r="247" spans="1:17" ht="15" customHeight="1">
      <c r="A247" s="427">
        <v>44222</v>
      </c>
      <c r="B247" s="603" t="s">
        <v>389</v>
      </c>
      <c r="C247" s="603" t="s">
        <v>95</v>
      </c>
      <c r="D247" s="386" t="s">
        <v>31</v>
      </c>
      <c r="E247" s="605"/>
      <c r="F247" s="644">
        <v>6000</v>
      </c>
      <c r="G247" s="607">
        <f t="shared" si="3"/>
        <v>18728883.99927</v>
      </c>
      <c r="H247" s="603" t="s">
        <v>200</v>
      </c>
      <c r="I247" s="603" t="s">
        <v>164</v>
      </c>
      <c r="J247" s="608" t="s">
        <v>103</v>
      </c>
      <c r="K247" s="603" t="s">
        <v>38</v>
      </c>
      <c r="L247" s="603" t="s">
        <v>73</v>
      </c>
      <c r="M247" s="615"/>
      <c r="N247" s="610"/>
      <c r="O247" s="473"/>
      <c r="P247" s="495"/>
    </row>
    <row r="248" spans="1:17" ht="15" hidden="1" customHeight="1">
      <c r="A248" s="503">
        <v>44222</v>
      </c>
      <c r="B248" s="29" t="s">
        <v>206</v>
      </c>
      <c r="C248" s="467" t="s">
        <v>147</v>
      </c>
      <c r="D248" s="36"/>
      <c r="E248" s="37">
        <v>10000</v>
      </c>
      <c r="F248" s="37"/>
      <c r="G248" s="507">
        <f t="shared" si="3"/>
        <v>18738883.99927</v>
      </c>
      <c r="H248" s="29" t="s">
        <v>177</v>
      </c>
      <c r="I248" s="504"/>
      <c r="J248" s="508"/>
      <c r="K248" s="504"/>
      <c r="L248" s="504"/>
      <c r="M248" s="473"/>
      <c r="N248" s="510"/>
      <c r="O248" s="473"/>
      <c r="P248" s="495"/>
      <c r="Q248" s="431"/>
    </row>
    <row r="249" spans="1:17" s="431" customFormat="1" ht="15" customHeight="1">
      <c r="A249" s="675">
        <v>44222</v>
      </c>
      <c r="B249" s="677" t="s">
        <v>408</v>
      </c>
      <c r="C249" s="677" t="s">
        <v>163</v>
      </c>
      <c r="D249" s="676" t="s">
        <v>19</v>
      </c>
      <c r="E249" s="631"/>
      <c r="F249" s="631">
        <v>15000</v>
      </c>
      <c r="G249" s="607">
        <f t="shared" si="3"/>
        <v>18723883.99927</v>
      </c>
      <c r="H249" s="677" t="s">
        <v>118</v>
      </c>
      <c r="I249" s="677" t="s">
        <v>79</v>
      </c>
      <c r="J249" s="608" t="s">
        <v>207</v>
      </c>
      <c r="K249" s="603" t="s">
        <v>75</v>
      </c>
      <c r="L249" s="603" t="s">
        <v>73</v>
      </c>
      <c r="M249" s="609" t="s">
        <v>564</v>
      </c>
      <c r="N249" s="610" t="s">
        <v>104</v>
      </c>
      <c r="O249" s="473"/>
      <c r="P249" s="495"/>
    </row>
    <row r="250" spans="1:17" ht="15" customHeight="1">
      <c r="A250" s="427">
        <v>44223</v>
      </c>
      <c r="B250" s="642" t="s">
        <v>229</v>
      </c>
      <c r="C250" s="219" t="s">
        <v>26</v>
      </c>
      <c r="D250" s="219" t="s">
        <v>77</v>
      </c>
      <c r="E250" s="651"/>
      <c r="F250" s="620">
        <v>90000</v>
      </c>
      <c r="G250" s="607">
        <f t="shared" si="3"/>
        <v>18633883.99927</v>
      </c>
      <c r="H250" s="608" t="s">
        <v>72</v>
      </c>
      <c r="I250" s="619">
        <v>3654425</v>
      </c>
      <c r="J250" s="608" t="s">
        <v>220</v>
      </c>
      <c r="K250" s="603" t="s">
        <v>38</v>
      </c>
      <c r="L250" s="603" t="s">
        <v>73</v>
      </c>
      <c r="M250" s="615"/>
      <c r="N250" s="610"/>
      <c r="O250" s="473"/>
      <c r="P250" s="495"/>
      <c r="Q250" s="431"/>
    </row>
    <row r="251" spans="1:17" s="262" customFormat="1" ht="15" customHeight="1">
      <c r="A251" s="427">
        <v>44223</v>
      </c>
      <c r="B251" s="619" t="s">
        <v>297</v>
      </c>
      <c r="C251" s="619" t="s">
        <v>295</v>
      </c>
      <c r="D251" s="619" t="s">
        <v>599</v>
      </c>
      <c r="E251" s="620"/>
      <c r="F251" s="621">
        <v>30000</v>
      </c>
      <c r="G251" s="607">
        <f t="shared" si="3"/>
        <v>18603883.99927</v>
      </c>
      <c r="H251" s="619" t="s">
        <v>78</v>
      </c>
      <c r="I251" s="219" t="s">
        <v>94</v>
      </c>
      <c r="J251" s="608" t="s">
        <v>220</v>
      </c>
      <c r="K251" s="603" t="s">
        <v>38</v>
      </c>
      <c r="L251" s="603" t="s">
        <v>73</v>
      </c>
      <c r="M251" s="615"/>
      <c r="N251" s="610"/>
      <c r="O251" s="455"/>
    </row>
    <row r="252" spans="1:17" s="431" customFormat="1" ht="15" hidden="1" customHeight="1">
      <c r="A252" s="503">
        <v>44223</v>
      </c>
      <c r="B252" s="36" t="s">
        <v>149</v>
      </c>
      <c r="C252" s="36" t="s">
        <v>147</v>
      </c>
      <c r="D252" s="36"/>
      <c r="E252" s="470"/>
      <c r="F252" s="472">
        <v>81400</v>
      </c>
      <c r="G252" s="507">
        <f t="shared" si="3"/>
        <v>18522483.99927</v>
      </c>
      <c r="H252" s="36" t="s">
        <v>78</v>
      </c>
      <c r="I252" s="29"/>
      <c r="J252" s="508"/>
      <c r="K252" s="508"/>
      <c r="L252" s="508"/>
      <c r="M252" s="473"/>
      <c r="N252" s="520"/>
      <c r="O252" s="473"/>
      <c r="P252" s="495"/>
      <c r="Q252" s="131"/>
    </row>
    <row r="253" spans="1:17" s="262" customFormat="1" ht="15" customHeight="1">
      <c r="A253" s="427">
        <v>44223</v>
      </c>
      <c r="B253" s="619" t="s">
        <v>597</v>
      </c>
      <c r="C253" s="619" t="s">
        <v>76</v>
      </c>
      <c r="D253" s="619" t="s">
        <v>148</v>
      </c>
      <c r="E253" s="620"/>
      <c r="F253" s="621">
        <v>74000</v>
      </c>
      <c r="G253" s="607">
        <f t="shared" si="3"/>
        <v>18448483.99927</v>
      </c>
      <c r="H253" s="619" t="s">
        <v>78</v>
      </c>
      <c r="I253" s="610" t="s">
        <v>94</v>
      </c>
      <c r="J253" s="623" t="s">
        <v>207</v>
      </c>
      <c r="K253" s="608" t="s">
        <v>75</v>
      </c>
      <c r="L253" s="608" t="s">
        <v>73</v>
      </c>
      <c r="M253" s="609" t="s">
        <v>565</v>
      </c>
      <c r="N253" s="625" t="s">
        <v>85</v>
      </c>
      <c r="O253" s="473"/>
      <c r="P253" s="495"/>
    </row>
    <row r="254" spans="1:17" s="431" customFormat="1" ht="15" customHeight="1">
      <c r="A254" s="427">
        <v>44223</v>
      </c>
      <c r="B254" s="619" t="s">
        <v>292</v>
      </c>
      <c r="C254" s="619" t="s">
        <v>30</v>
      </c>
      <c r="D254" s="619" t="s">
        <v>21</v>
      </c>
      <c r="E254" s="620"/>
      <c r="F254" s="620">
        <v>110000</v>
      </c>
      <c r="G254" s="607">
        <f t="shared" si="3"/>
        <v>18338483.99927</v>
      </c>
      <c r="H254" s="619" t="s">
        <v>78</v>
      </c>
      <c r="I254" s="610" t="s">
        <v>94</v>
      </c>
      <c r="J254" s="608" t="s">
        <v>220</v>
      </c>
      <c r="K254" s="603" t="s">
        <v>38</v>
      </c>
      <c r="L254" s="603" t="s">
        <v>73</v>
      </c>
      <c r="M254" s="615"/>
      <c r="N254" s="610"/>
      <c r="O254" s="473"/>
      <c r="P254" s="495"/>
    </row>
    <row r="255" spans="1:17" s="431" customFormat="1" ht="15" customHeight="1">
      <c r="A255" s="427">
        <v>44223</v>
      </c>
      <c r="B255" s="619" t="s">
        <v>293</v>
      </c>
      <c r="C255" s="619" t="s">
        <v>17</v>
      </c>
      <c r="D255" s="219" t="s">
        <v>21</v>
      </c>
      <c r="E255" s="620"/>
      <c r="F255" s="621">
        <v>61000</v>
      </c>
      <c r="G255" s="607">
        <f t="shared" si="3"/>
        <v>18277483.99927</v>
      </c>
      <c r="H255" s="619" t="s">
        <v>78</v>
      </c>
      <c r="I255" s="610" t="s">
        <v>94</v>
      </c>
      <c r="J255" s="608" t="s">
        <v>220</v>
      </c>
      <c r="K255" s="608" t="s">
        <v>75</v>
      </c>
      <c r="L255" s="603" t="s">
        <v>73</v>
      </c>
      <c r="M255" s="609" t="s">
        <v>566</v>
      </c>
      <c r="N255" s="609" t="s">
        <v>179</v>
      </c>
      <c r="O255" s="473"/>
      <c r="P255" s="495"/>
    </row>
    <row r="256" spans="1:17" s="431" customFormat="1" ht="15" customHeight="1">
      <c r="A256" s="427">
        <v>44223</v>
      </c>
      <c r="B256" s="219" t="s">
        <v>350</v>
      </c>
      <c r="C256" s="608" t="s">
        <v>91</v>
      </c>
      <c r="D256" s="619" t="s">
        <v>148</v>
      </c>
      <c r="E256" s="639"/>
      <c r="F256" s="639">
        <v>10000</v>
      </c>
      <c r="G256" s="607">
        <f t="shared" si="3"/>
        <v>18267483.99927</v>
      </c>
      <c r="H256" s="219" t="s">
        <v>149</v>
      </c>
      <c r="I256" s="219" t="s">
        <v>164</v>
      </c>
      <c r="J256" s="608" t="s">
        <v>220</v>
      </c>
      <c r="K256" s="603" t="s">
        <v>75</v>
      </c>
      <c r="L256" s="603" t="s">
        <v>73</v>
      </c>
      <c r="M256" s="609" t="s">
        <v>567</v>
      </c>
      <c r="N256" s="610" t="s">
        <v>170</v>
      </c>
      <c r="O256" s="473"/>
      <c r="P256" s="495"/>
    </row>
    <row r="257" spans="1:18" ht="15" customHeight="1">
      <c r="A257" s="427">
        <v>44223</v>
      </c>
      <c r="B257" s="603" t="s">
        <v>331</v>
      </c>
      <c r="C257" s="603" t="s">
        <v>163</v>
      </c>
      <c r="D257" s="619" t="s">
        <v>31</v>
      </c>
      <c r="E257" s="643"/>
      <c r="F257" s="637">
        <v>30000</v>
      </c>
      <c r="G257" s="607">
        <f t="shared" si="3"/>
        <v>18237483.99927</v>
      </c>
      <c r="H257" s="603" t="s">
        <v>84</v>
      </c>
      <c r="I257" s="603" t="s">
        <v>97</v>
      </c>
      <c r="J257" s="608" t="s">
        <v>220</v>
      </c>
      <c r="K257" s="608" t="s">
        <v>75</v>
      </c>
      <c r="L257" s="608" t="s">
        <v>73</v>
      </c>
      <c r="M257" s="609" t="s">
        <v>568</v>
      </c>
      <c r="N257" s="625" t="s">
        <v>104</v>
      </c>
      <c r="O257" s="473"/>
      <c r="P257" s="495"/>
    </row>
    <row r="258" spans="1:18" s="431" customFormat="1" ht="15" customHeight="1">
      <c r="A258" s="427">
        <v>44223</v>
      </c>
      <c r="B258" s="603" t="s">
        <v>325</v>
      </c>
      <c r="C258" s="603" t="s">
        <v>91</v>
      </c>
      <c r="D258" s="619" t="s">
        <v>31</v>
      </c>
      <c r="E258" s="643"/>
      <c r="F258" s="637">
        <v>5000</v>
      </c>
      <c r="G258" s="607">
        <f t="shared" si="3"/>
        <v>18232483.99927</v>
      </c>
      <c r="H258" s="603" t="s">
        <v>84</v>
      </c>
      <c r="I258" s="603" t="s">
        <v>97</v>
      </c>
      <c r="J258" s="633" t="s">
        <v>103</v>
      </c>
      <c r="K258" s="608" t="s">
        <v>75</v>
      </c>
      <c r="L258" s="608" t="s">
        <v>73</v>
      </c>
      <c r="M258" s="609" t="s">
        <v>569</v>
      </c>
      <c r="N258" s="625" t="s">
        <v>170</v>
      </c>
      <c r="O258" s="473"/>
      <c r="P258" s="495"/>
    </row>
    <row r="259" spans="1:18" s="431" customFormat="1" ht="15" customHeight="1">
      <c r="A259" s="427">
        <v>44223</v>
      </c>
      <c r="B259" s="608" t="s">
        <v>452</v>
      </c>
      <c r="C259" s="603" t="s">
        <v>93</v>
      </c>
      <c r="D259" s="690" t="s">
        <v>21</v>
      </c>
      <c r="E259" s="643"/>
      <c r="F259" s="643">
        <v>2000</v>
      </c>
      <c r="G259" s="607">
        <f t="shared" si="3"/>
        <v>18230483.99927</v>
      </c>
      <c r="H259" s="615" t="s">
        <v>197</v>
      </c>
      <c r="I259" s="603" t="s">
        <v>94</v>
      </c>
      <c r="J259" s="608" t="s">
        <v>103</v>
      </c>
      <c r="K259" s="603" t="s">
        <v>38</v>
      </c>
      <c r="L259" s="603" t="s">
        <v>73</v>
      </c>
      <c r="M259" s="609"/>
      <c r="N259" s="610"/>
      <c r="O259" s="504"/>
      <c r="P259" s="495"/>
    </row>
    <row r="260" spans="1:18" s="262" customFormat="1" ht="15" customHeight="1">
      <c r="A260" s="427">
        <v>44223</v>
      </c>
      <c r="B260" s="603" t="s">
        <v>338</v>
      </c>
      <c r="C260" s="603" t="s">
        <v>95</v>
      </c>
      <c r="D260" s="619" t="s">
        <v>31</v>
      </c>
      <c r="E260" s="643"/>
      <c r="F260" s="643">
        <v>61500</v>
      </c>
      <c r="G260" s="607">
        <f t="shared" si="3"/>
        <v>18168983.99927</v>
      </c>
      <c r="H260" s="615" t="s">
        <v>197</v>
      </c>
      <c r="I260" s="603" t="s">
        <v>162</v>
      </c>
      <c r="J260" s="608" t="s">
        <v>220</v>
      </c>
      <c r="K260" s="603" t="s">
        <v>38</v>
      </c>
      <c r="L260" s="603" t="s">
        <v>73</v>
      </c>
      <c r="M260" s="615"/>
      <c r="N260" s="610"/>
      <c r="O260" s="455"/>
    </row>
    <row r="261" spans="1:18" s="431" customFormat="1" ht="15" hidden="1" customHeight="1">
      <c r="A261" s="503">
        <v>44223</v>
      </c>
      <c r="B261" s="29" t="s">
        <v>356</v>
      </c>
      <c r="C261" s="36" t="s">
        <v>147</v>
      </c>
      <c r="D261" s="36"/>
      <c r="E261" s="37">
        <v>81400</v>
      </c>
      <c r="F261" s="37"/>
      <c r="G261" s="507">
        <f t="shared" si="3"/>
        <v>18250383.99927</v>
      </c>
      <c r="H261" s="29" t="s">
        <v>149</v>
      </c>
      <c r="I261" s="29"/>
      <c r="J261" s="508"/>
      <c r="K261" s="504"/>
      <c r="L261" s="504"/>
      <c r="M261" s="473"/>
      <c r="N261" s="515"/>
      <c r="O261" s="473"/>
      <c r="P261" s="495"/>
    </row>
    <row r="262" spans="1:18" s="262" customFormat="1" ht="15" customHeight="1">
      <c r="A262" s="427">
        <v>44223</v>
      </c>
      <c r="B262" s="603" t="s">
        <v>386</v>
      </c>
      <c r="C262" s="603" t="s">
        <v>91</v>
      </c>
      <c r="D262" s="615" t="s">
        <v>31</v>
      </c>
      <c r="E262" s="605"/>
      <c r="F262" s="644">
        <v>10000</v>
      </c>
      <c r="G262" s="607">
        <f t="shared" si="3"/>
        <v>18240383.99927</v>
      </c>
      <c r="H262" s="603" t="s">
        <v>200</v>
      </c>
      <c r="I262" s="603" t="s">
        <v>164</v>
      </c>
      <c r="J262" s="608" t="s">
        <v>220</v>
      </c>
      <c r="K262" s="603" t="s">
        <v>38</v>
      </c>
      <c r="L262" s="603" t="s">
        <v>73</v>
      </c>
      <c r="M262" s="615"/>
      <c r="N262" s="610"/>
      <c r="O262" s="455"/>
    </row>
    <row r="263" spans="1:18" ht="15" customHeight="1">
      <c r="A263" s="427">
        <v>44223</v>
      </c>
      <c r="B263" s="608" t="s">
        <v>458</v>
      </c>
      <c r="C263" s="608" t="s">
        <v>91</v>
      </c>
      <c r="D263" s="619" t="s">
        <v>31</v>
      </c>
      <c r="E263" s="654"/>
      <c r="F263" s="654">
        <v>15000</v>
      </c>
      <c r="G263" s="607">
        <f t="shared" si="3"/>
        <v>18225383.99927</v>
      </c>
      <c r="H263" s="615" t="s">
        <v>197</v>
      </c>
      <c r="I263" s="603" t="s">
        <v>94</v>
      </c>
      <c r="J263" s="608" t="s">
        <v>220</v>
      </c>
      <c r="K263" s="603" t="s">
        <v>75</v>
      </c>
      <c r="L263" s="603" t="s">
        <v>73</v>
      </c>
      <c r="M263" s="609" t="s">
        <v>570</v>
      </c>
      <c r="N263" s="610" t="s">
        <v>170</v>
      </c>
      <c r="O263" s="473"/>
      <c r="P263" s="495"/>
    </row>
    <row r="264" spans="1:18" ht="15" hidden="1" customHeight="1">
      <c r="A264" s="503">
        <v>44224</v>
      </c>
      <c r="B264" s="36" t="s">
        <v>150</v>
      </c>
      <c r="C264" s="36" t="s">
        <v>147</v>
      </c>
      <c r="D264" s="36"/>
      <c r="E264" s="470"/>
      <c r="F264" s="472">
        <v>70000</v>
      </c>
      <c r="G264" s="507">
        <f t="shared" si="3"/>
        <v>18155383.99927</v>
      </c>
      <c r="H264" s="36" t="s">
        <v>78</v>
      </c>
      <c r="I264" s="29"/>
      <c r="J264" s="522"/>
      <c r="K264" s="504"/>
      <c r="L264" s="504"/>
      <c r="M264" s="473"/>
      <c r="N264" s="510"/>
      <c r="O264" s="473"/>
      <c r="P264" s="495"/>
    </row>
    <row r="265" spans="1:18" ht="15" customHeight="1">
      <c r="A265" s="427">
        <v>44224</v>
      </c>
      <c r="B265" s="619" t="s">
        <v>298</v>
      </c>
      <c r="C265" s="619" t="s">
        <v>93</v>
      </c>
      <c r="D265" s="219" t="s">
        <v>21</v>
      </c>
      <c r="E265" s="620"/>
      <c r="F265" s="621">
        <v>65000</v>
      </c>
      <c r="G265" s="607">
        <f t="shared" si="3"/>
        <v>18090383.99927</v>
      </c>
      <c r="H265" s="619" t="s">
        <v>78</v>
      </c>
      <c r="I265" s="610" t="s">
        <v>94</v>
      </c>
      <c r="J265" s="623" t="s">
        <v>207</v>
      </c>
      <c r="K265" s="603" t="s">
        <v>75</v>
      </c>
      <c r="L265" s="603" t="s">
        <v>73</v>
      </c>
      <c r="M265" s="609" t="s">
        <v>571</v>
      </c>
      <c r="N265" s="610" t="s">
        <v>171</v>
      </c>
      <c r="O265" s="473"/>
      <c r="P265" s="495"/>
    </row>
    <row r="266" spans="1:18" ht="15" customHeight="1">
      <c r="A266" s="427">
        <v>44224</v>
      </c>
      <c r="B266" s="619" t="s">
        <v>294</v>
      </c>
      <c r="C266" s="619" t="s">
        <v>93</v>
      </c>
      <c r="D266" s="219" t="s">
        <v>21</v>
      </c>
      <c r="E266" s="620"/>
      <c r="F266" s="621">
        <v>45000</v>
      </c>
      <c r="G266" s="607">
        <f t="shared" si="3"/>
        <v>18045383.99927</v>
      </c>
      <c r="H266" s="619" t="s">
        <v>78</v>
      </c>
      <c r="I266" s="610" t="s">
        <v>94</v>
      </c>
      <c r="J266" s="623" t="s">
        <v>207</v>
      </c>
      <c r="K266" s="603" t="s">
        <v>75</v>
      </c>
      <c r="L266" s="603" t="s">
        <v>73</v>
      </c>
      <c r="M266" s="609" t="s">
        <v>572</v>
      </c>
      <c r="N266" s="610" t="s">
        <v>171</v>
      </c>
      <c r="O266" s="473"/>
      <c r="P266" s="495"/>
      <c r="Q266" s="431"/>
    </row>
    <row r="267" spans="1:18" ht="15" customHeight="1">
      <c r="A267" s="427">
        <v>44224</v>
      </c>
      <c r="B267" s="619" t="s">
        <v>199</v>
      </c>
      <c r="C267" s="619" t="s">
        <v>30</v>
      </c>
      <c r="D267" s="219" t="s">
        <v>21</v>
      </c>
      <c r="E267" s="620"/>
      <c r="F267" s="621">
        <v>12000</v>
      </c>
      <c r="G267" s="607">
        <f t="shared" si="3"/>
        <v>18033383.99927</v>
      </c>
      <c r="H267" s="619" t="s">
        <v>78</v>
      </c>
      <c r="I267" s="610" t="s">
        <v>94</v>
      </c>
      <c r="J267" s="608" t="s">
        <v>220</v>
      </c>
      <c r="K267" s="603" t="s">
        <v>38</v>
      </c>
      <c r="L267" s="603" t="s">
        <v>73</v>
      </c>
      <c r="M267" s="615"/>
      <c r="N267" s="610"/>
      <c r="O267" s="473"/>
      <c r="P267" s="495"/>
    </row>
    <row r="268" spans="1:18" ht="15" hidden="1" customHeight="1">
      <c r="A268" s="503">
        <v>44224</v>
      </c>
      <c r="B268" s="36" t="s">
        <v>96</v>
      </c>
      <c r="C268" s="36" t="s">
        <v>147</v>
      </c>
      <c r="D268" s="36"/>
      <c r="E268" s="470"/>
      <c r="F268" s="472">
        <v>135600</v>
      </c>
      <c r="G268" s="507">
        <f t="shared" si="3"/>
        <v>17897783.99927</v>
      </c>
      <c r="H268" s="36" t="s">
        <v>78</v>
      </c>
      <c r="I268" s="515"/>
      <c r="J268" s="508"/>
      <c r="K268" s="504"/>
      <c r="L268" s="504"/>
      <c r="M268" s="473"/>
      <c r="N268" s="510"/>
      <c r="O268" s="473"/>
      <c r="P268" s="495"/>
    </row>
    <row r="269" spans="1:18" ht="15" hidden="1" customHeight="1">
      <c r="A269" s="503">
        <v>44224</v>
      </c>
      <c r="B269" s="36" t="s">
        <v>150</v>
      </c>
      <c r="C269" s="36" t="s">
        <v>147</v>
      </c>
      <c r="D269" s="36"/>
      <c r="E269" s="470"/>
      <c r="F269" s="472">
        <v>154400</v>
      </c>
      <c r="G269" s="507">
        <f t="shared" si="3"/>
        <v>17743383.99927</v>
      </c>
      <c r="H269" s="36" t="s">
        <v>78</v>
      </c>
      <c r="I269" s="504"/>
      <c r="J269" s="508"/>
      <c r="K269" s="504"/>
      <c r="L269" s="504"/>
      <c r="M269" s="473"/>
      <c r="N269" s="510"/>
      <c r="O269" s="473"/>
      <c r="P269" s="495"/>
      <c r="Q269" s="495"/>
      <c r="R269" s="495"/>
    </row>
    <row r="270" spans="1:18" ht="15" hidden="1" customHeight="1">
      <c r="A270" s="503">
        <v>44224</v>
      </c>
      <c r="B270" s="36" t="s">
        <v>87</v>
      </c>
      <c r="C270" s="36" t="s">
        <v>147</v>
      </c>
      <c r="D270" s="36"/>
      <c r="E270" s="470"/>
      <c r="F270" s="472">
        <v>10000</v>
      </c>
      <c r="G270" s="507">
        <f t="shared" si="3"/>
        <v>17733383.99927</v>
      </c>
      <c r="H270" s="36" t="s">
        <v>78</v>
      </c>
      <c r="I270" s="514"/>
      <c r="J270" s="508"/>
      <c r="K270" s="504"/>
      <c r="L270" s="504"/>
      <c r="M270" s="473"/>
      <c r="N270" s="510"/>
      <c r="O270" s="473"/>
      <c r="P270" s="495"/>
    </row>
    <row r="271" spans="1:18" ht="15" customHeight="1">
      <c r="A271" s="427">
        <v>44224</v>
      </c>
      <c r="B271" s="608" t="s">
        <v>342</v>
      </c>
      <c r="C271" s="608" t="s">
        <v>163</v>
      </c>
      <c r="D271" s="619" t="s">
        <v>31</v>
      </c>
      <c r="E271" s="654"/>
      <c r="F271" s="654">
        <v>45000</v>
      </c>
      <c r="G271" s="607">
        <f t="shared" si="3"/>
        <v>17688383.99927</v>
      </c>
      <c r="H271" s="615" t="s">
        <v>197</v>
      </c>
      <c r="I271" s="603" t="s">
        <v>94</v>
      </c>
      <c r="J271" s="608" t="s">
        <v>220</v>
      </c>
      <c r="K271" s="603" t="s">
        <v>75</v>
      </c>
      <c r="L271" s="603" t="s">
        <v>73</v>
      </c>
      <c r="M271" s="609" t="s">
        <v>573</v>
      </c>
      <c r="N271" s="610" t="s">
        <v>104</v>
      </c>
      <c r="O271" s="473"/>
      <c r="P271" s="495"/>
    </row>
    <row r="272" spans="1:18" s="262" customFormat="1" ht="15" customHeight="1">
      <c r="A272" s="427">
        <v>44224</v>
      </c>
      <c r="B272" s="219" t="s">
        <v>397</v>
      </c>
      <c r="C272" s="619" t="s">
        <v>91</v>
      </c>
      <c r="D272" s="619" t="s">
        <v>19</v>
      </c>
      <c r="E272" s="639"/>
      <c r="F272" s="639">
        <v>30500</v>
      </c>
      <c r="G272" s="607">
        <f t="shared" si="3"/>
        <v>17657883.99927</v>
      </c>
      <c r="H272" s="219" t="s">
        <v>177</v>
      </c>
      <c r="I272" s="603" t="s">
        <v>162</v>
      </c>
      <c r="J272" s="608" t="s">
        <v>207</v>
      </c>
      <c r="K272" s="603" t="s">
        <v>75</v>
      </c>
      <c r="L272" s="603" t="s">
        <v>73</v>
      </c>
      <c r="M272" s="609" t="s">
        <v>574</v>
      </c>
      <c r="N272" s="610" t="s">
        <v>170</v>
      </c>
      <c r="O272" s="473"/>
      <c r="P272" s="495"/>
    </row>
    <row r="273" spans="1:66" s="262" customFormat="1" ht="15" customHeight="1">
      <c r="A273" s="675">
        <v>44224</v>
      </c>
      <c r="B273" s="608" t="s">
        <v>447</v>
      </c>
      <c r="C273" s="677" t="s">
        <v>91</v>
      </c>
      <c r="D273" s="677" t="s">
        <v>19</v>
      </c>
      <c r="E273" s="631"/>
      <c r="F273" s="631">
        <v>86000</v>
      </c>
      <c r="G273" s="607">
        <f t="shared" si="3"/>
        <v>17571883.99927</v>
      </c>
      <c r="H273" s="677" t="s">
        <v>118</v>
      </c>
      <c r="I273" s="677" t="s">
        <v>162</v>
      </c>
      <c r="J273" s="608" t="s">
        <v>207</v>
      </c>
      <c r="K273" s="603" t="s">
        <v>75</v>
      </c>
      <c r="L273" s="603" t="s">
        <v>73</v>
      </c>
      <c r="M273" s="609" t="s">
        <v>575</v>
      </c>
      <c r="N273" s="610" t="s">
        <v>170</v>
      </c>
      <c r="O273" s="510"/>
      <c r="P273" s="495"/>
    </row>
    <row r="274" spans="1:66" ht="15" customHeight="1">
      <c r="A274" s="427">
        <v>44224</v>
      </c>
      <c r="B274" s="660" t="s">
        <v>352</v>
      </c>
      <c r="C274" s="650" t="s">
        <v>163</v>
      </c>
      <c r="D274" s="656" t="s">
        <v>148</v>
      </c>
      <c r="E274" s="661"/>
      <c r="F274" s="661">
        <v>20000</v>
      </c>
      <c r="G274" s="607">
        <f t="shared" ref="G274:G301" si="4">G273+E274-F274</f>
        <v>17551883.99927</v>
      </c>
      <c r="H274" s="219" t="s">
        <v>149</v>
      </c>
      <c r="I274" s="219" t="s">
        <v>164</v>
      </c>
      <c r="J274" s="608" t="s">
        <v>207</v>
      </c>
      <c r="K274" s="603" t="s">
        <v>75</v>
      </c>
      <c r="L274" s="603" t="s">
        <v>73</v>
      </c>
      <c r="M274" s="609" t="s">
        <v>576</v>
      </c>
      <c r="N274" s="610" t="s">
        <v>104</v>
      </c>
      <c r="O274" s="473"/>
      <c r="P274" s="495"/>
      <c r="Q274" s="495"/>
      <c r="R274" s="495"/>
    </row>
    <row r="275" spans="1:66" ht="15" customHeight="1">
      <c r="A275" s="642">
        <v>44224</v>
      </c>
      <c r="B275" s="603" t="s">
        <v>326</v>
      </c>
      <c r="C275" s="603" t="s">
        <v>91</v>
      </c>
      <c r="D275" s="619" t="s">
        <v>31</v>
      </c>
      <c r="E275" s="643"/>
      <c r="F275" s="637">
        <v>15000</v>
      </c>
      <c r="G275" s="607">
        <f t="shared" si="4"/>
        <v>17536883.99927</v>
      </c>
      <c r="H275" s="603" t="s">
        <v>84</v>
      </c>
      <c r="I275" s="603" t="s">
        <v>97</v>
      </c>
      <c r="J275" s="608" t="s">
        <v>220</v>
      </c>
      <c r="K275" s="603" t="s">
        <v>75</v>
      </c>
      <c r="L275" s="603" t="s">
        <v>73</v>
      </c>
      <c r="M275" s="609" t="s">
        <v>577</v>
      </c>
      <c r="N275" s="610" t="s">
        <v>170</v>
      </c>
      <c r="O275" s="473"/>
      <c r="P275" s="495"/>
      <c r="Q275" s="431"/>
    </row>
    <row r="276" spans="1:66" s="262" customFormat="1" ht="15" customHeight="1">
      <c r="A276" s="642">
        <v>44224</v>
      </c>
      <c r="B276" s="619" t="s">
        <v>358</v>
      </c>
      <c r="C276" s="608" t="s">
        <v>91</v>
      </c>
      <c r="D276" s="619" t="s">
        <v>148</v>
      </c>
      <c r="E276" s="639"/>
      <c r="F276" s="639">
        <v>22000</v>
      </c>
      <c r="G276" s="607">
        <f t="shared" si="4"/>
        <v>17514883.99927</v>
      </c>
      <c r="H276" s="640" t="s">
        <v>150</v>
      </c>
      <c r="I276" s="640" t="s">
        <v>94</v>
      </c>
      <c r="J276" s="608" t="s">
        <v>207</v>
      </c>
      <c r="K276" s="608" t="s">
        <v>75</v>
      </c>
      <c r="L276" s="603" t="s">
        <v>73</v>
      </c>
      <c r="M276" s="609" t="s">
        <v>578</v>
      </c>
      <c r="N276" s="615" t="s">
        <v>170</v>
      </c>
      <c r="O276" s="473"/>
      <c r="P276" s="495"/>
    </row>
    <row r="277" spans="1:66" ht="15" hidden="1" customHeight="1">
      <c r="A277" s="537">
        <v>44224</v>
      </c>
      <c r="B277" s="29" t="s">
        <v>376</v>
      </c>
      <c r="C277" s="36" t="s">
        <v>147</v>
      </c>
      <c r="D277" s="36"/>
      <c r="E277" s="37">
        <v>70000</v>
      </c>
      <c r="F277" s="37"/>
      <c r="G277" s="507">
        <f t="shared" si="4"/>
        <v>17584883.99927</v>
      </c>
      <c r="H277" s="502" t="s">
        <v>150</v>
      </c>
      <c r="I277" s="502"/>
      <c r="J277" s="508"/>
      <c r="K277" s="504"/>
      <c r="L277" s="504"/>
      <c r="M277" s="473"/>
      <c r="N277" s="473"/>
      <c r="O277" s="473"/>
      <c r="P277" s="495"/>
      <c r="Q277" s="431"/>
    </row>
    <row r="278" spans="1:66" s="262" customFormat="1" ht="15" customHeight="1">
      <c r="A278" s="642">
        <v>44224</v>
      </c>
      <c r="B278" s="619" t="s">
        <v>373</v>
      </c>
      <c r="C278" s="608" t="s">
        <v>163</v>
      </c>
      <c r="D278" s="619" t="s">
        <v>148</v>
      </c>
      <c r="E278" s="691"/>
      <c r="F278" s="691">
        <v>60000</v>
      </c>
      <c r="G278" s="607">
        <f t="shared" si="4"/>
        <v>17524883.99927</v>
      </c>
      <c r="H278" s="640" t="s">
        <v>150</v>
      </c>
      <c r="I278" s="640" t="s">
        <v>162</v>
      </c>
      <c r="J278" s="608" t="s">
        <v>207</v>
      </c>
      <c r="K278" s="608" t="s">
        <v>75</v>
      </c>
      <c r="L278" s="603" t="s">
        <v>73</v>
      </c>
      <c r="M278" s="609" t="s">
        <v>579</v>
      </c>
      <c r="N278" s="623" t="s">
        <v>104</v>
      </c>
      <c r="O278" s="517"/>
      <c r="P278" s="495"/>
    </row>
    <row r="279" spans="1:66" s="262" customFormat="1" ht="15" customHeight="1">
      <c r="A279" s="642">
        <v>44224</v>
      </c>
      <c r="B279" s="603" t="s">
        <v>385</v>
      </c>
      <c r="C279" s="603" t="s">
        <v>163</v>
      </c>
      <c r="D279" s="615" t="s">
        <v>31</v>
      </c>
      <c r="E279" s="605"/>
      <c r="F279" s="644">
        <v>45000</v>
      </c>
      <c r="G279" s="607">
        <f t="shared" si="4"/>
        <v>17479883.99927</v>
      </c>
      <c r="H279" s="603" t="s">
        <v>200</v>
      </c>
      <c r="I279" s="603" t="s">
        <v>164</v>
      </c>
      <c r="J279" s="608" t="s">
        <v>220</v>
      </c>
      <c r="K279" s="603" t="s">
        <v>38</v>
      </c>
      <c r="L279" s="603" t="s">
        <v>73</v>
      </c>
      <c r="M279" s="615"/>
      <c r="N279" s="610"/>
      <c r="O279" s="455"/>
    </row>
    <row r="280" spans="1:66" ht="15" customHeight="1">
      <c r="A280" s="642">
        <v>44224</v>
      </c>
      <c r="B280" s="603" t="s">
        <v>332</v>
      </c>
      <c r="C280" s="677" t="s">
        <v>163</v>
      </c>
      <c r="D280" s="619" t="s">
        <v>31</v>
      </c>
      <c r="E280" s="643"/>
      <c r="F280" s="637">
        <v>90000</v>
      </c>
      <c r="G280" s="607">
        <f t="shared" si="4"/>
        <v>17389883.99927</v>
      </c>
      <c r="H280" s="603" t="s">
        <v>84</v>
      </c>
      <c r="I280" s="603" t="s">
        <v>97</v>
      </c>
      <c r="J280" s="608" t="s">
        <v>220</v>
      </c>
      <c r="K280" s="603" t="s">
        <v>75</v>
      </c>
      <c r="L280" s="603" t="s">
        <v>73</v>
      </c>
      <c r="M280" s="609" t="s">
        <v>580</v>
      </c>
      <c r="N280" s="625" t="s">
        <v>104</v>
      </c>
      <c r="O280" s="473"/>
      <c r="P280" s="495"/>
      <c r="Q280" s="431"/>
    </row>
    <row r="281" spans="1:66" ht="15" customHeight="1">
      <c r="A281" s="692">
        <v>44224</v>
      </c>
      <c r="B281" s="619" t="s">
        <v>412</v>
      </c>
      <c r="C281" s="219" t="s">
        <v>93</v>
      </c>
      <c r="D281" s="219" t="s">
        <v>77</v>
      </c>
      <c r="E281" s="130"/>
      <c r="F281" s="130">
        <v>3900</v>
      </c>
      <c r="G281" s="607">
        <f t="shared" si="4"/>
        <v>17385983.99927</v>
      </c>
      <c r="H281" s="219" t="s">
        <v>87</v>
      </c>
      <c r="I281" s="219" t="s">
        <v>94</v>
      </c>
      <c r="J281" s="608" t="s">
        <v>103</v>
      </c>
      <c r="K281" s="608" t="s">
        <v>75</v>
      </c>
      <c r="L281" s="603" t="s">
        <v>73</v>
      </c>
      <c r="M281" s="609" t="s">
        <v>581</v>
      </c>
      <c r="N281" s="693" t="s">
        <v>448</v>
      </c>
      <c r="O281" s="529"/>
      <c r="P281" s="495"/>
      <c r="Q281" s="495"/>
      <c r="R281" s="495"/>
      <c r="S281" s="431"/>
      <c r="T281" s="431"/>
      <c r="U281" s="431"/>
      <c r="V281" s="431"/>
      <c r="W281" s="431"/>
      <c r="X281" s="431"/>
      <c r="Y281" s="431"/>
      <c r="Z281" s="431"/>
      <c r="AA281" s="431"/>
      <c r="AB281" s="431"/>
      <c r="AC281" s="431"/>
      <c r="AD281" s="431"/>
      <c r="AE281" s="431"/>
      <c r="AF281" s="431"/>
      <c r="AG281" s="431"/>
      <c r="AH281" s="431"/>
      <c r="AI281" s="431"/>
      <c r="AJ281" s="431"/>
      <c r="AK281" s="431"/>
      <c r="AL281" s="431"/>
      <c r="AM281" s="431"/>
      <c r="AN281" s="431"/>
      <c r="AO281" s="431"/>
      <c r="AP281" s="431"/>
      <c r="AQ281" s="431"/>
      <c r="AR281" s="431"/>
      <c r="AS281" s="431"/>
      <c r="AT281" s="431"/>
      <c r="AU281" s="431"/>
      <c r="AV281" s="431"/>
      <c r="AW281" s="431"/>
      <c r="AX281" s="431"/>
      <c r="AY281" s="431"/>
      <c r="AZ281" s="431"/>
      <c r="BA281" s="431"/>
      <c r="BB281" s="431"/>
      <c r="BC281" s="431"/>
      <c r="BD281" s="431"/>
      <c r="BE281" s="431"/>
      <c r="BF281" s="431"/>
      <c r="BG281" s="431"/>
      <c r="BH281" s="431"/>
      <c r="BI281" s="431"/>
      <c r="BJ281" s="431"/>
      <c r="BK281" s="431"/>
      <c r="BL281" s="431"/>
      <c r="BM281" s="431"/>
      <c r="BN281" s="431"/>
    </row>
    <row r="282" spans="1:66" ht="15" customHeight="1">
      <c r="A282" s="642">
        <v>44224</v>
      </c>
      <c r="B282" s="608" t="s">
        <v>337</v>
      </c>
      <c r="C282" s="608" t="s">
        <v>91</v>
      </c>
      <c r="D282" s="619" t="s">
        <v>31</v>
      </c>
      <c r="E282" s="654"/>
      <c r="F282" s="654">
        <v>125500</v>
      </c>
      <c r="G282" s="607">
        <f t="shared" si="4"/>
        <v>17260483.99927</v>
      </c>
      <c r="H282" s="615" t="s">
        <v>197</v>
      </c>
      <c r="I282" s="603" t="s">
        <v>162</v>
      </c>
      <c r="J282" s="608" t="s">
        <v>220</v>
      </c>
      <c r="K282" s="603" t="s">
        <v>75</v>
      </c>
      <c r="L282" s="603" t="s">
        <v>73</v>
      </c>
      <c r="M282" s="609" t="s">
        <v>581</v>
      </c>
      <c r="N282" s="610" t="s">
        <v>170</v>
      </c>
      <c r="O282" s="473"/>
      <c r="P282" s="495"/>
      <c r="Q282" s="431"/>
    </row>
    <row r="283" spans="1:66" ht="15" hidden="1" customHeight="1">
      <c r="A283" s="537">
        <v>44225</v>
      </c>
      <c r="B283" s="36" t="s">
        <v>301</v>
      </c>
      <c r="C283" s="36" t="s">
        <v>147</v>
      </c>
      <c r="D283" s="36"/>
      <c r="E283" s="23">
        <v>135600</v>
      </c>
      <c r="F283" s="524"/>
      <c r="G283" s="507">
        <f t="shared" si="4"/>
        <v>17396083.99927</v>
      </c>
      <c r="H283" s="508" t="s">
        <v>96</v>
      </c>
      <c r="I283" s="504"/>
      <c r="J283" s="508"/>
      <c r="K283" s="504"/>
      <c r="L283" s="504"/>
      <c r="M283" s="473"/>
      <c r="N283" s="510"/>
      <c r="O283" s="473"/>
      <c r="P283" s="495"/>
      <c r="Q283" s="431"/>
    </row>
    <row r="284" spans="1:66" ht="15" customHeight="1">
      <c r="A284" s="642">
        <v>44225</v>
      </c>
      <c r="B284" s="619" t="s">
        <v>446</v>
      </c>
      <c r="C284" s="619" t="s">
        <v>203</v>
      </c>
      <c r="D284" s="619" t="s">
        <v>148</v>
      </c>
      <c r="E284" s="646"/>
      <c r="F284" s="621">
        <v>70000</v>
      </c>
      <c r="G284" s="607">
        <f t="shared" si="4"/>
        <v>17326083.99927</v>
      </c>
      <c r="H284" s="608" t="s">
        <v>96</v>
      </c>
      <c r="I284" s="219" t="s">
        <v>162</v>
      </c>
      <c r="J284" s="633" t="s">
        <v>207</v>
      </c>
      <c r="K284" s="603" t="s">
        <v>75</v>
      </c>
      <c r="L284" s="603" t="s">
        <v>73</v>
      </c>
      <c r="M284" s="609" t="s">
        <v>582</v>
      </c>
      <c r="N284" s="610" t="s">
        <v>104</v>
      </c>
      <c r="O284" s="473"/>
      <c r="P284" s="495"/>
      <c r="Q284" s="495"/>
      <c r="R284" s="495"/>
      <c r="S284" s="301"/>
      <c r="T284" s="301"/>
      <c r="U284" s="301"/>
      <c r="V284" s="301"/>
      <c r="W284" s="301"/>
      <c r="X284" s="301"/>
      <c r="Y284" s="301"/>
      <c r="Z284" s="301"/>
      <c r="AA284" s="301"/>
      <c r="AB284" s="301"/>
      <c r="AC284" s="301"/>
      <c r="AD284" s="301"/>
      <c r="AE284" s="301"/>
      <c r="AF284" s="301"/>
      <c r="AG284" s="301"/>
      <c r="AH284" s="301"/>
      <c r="AI284" s="301"/>
      <c r="AJ284" s="301"/>
      <c r="AK284" s="301"/>
      <c r="AL284" s="301"/>
      <c r="AM284" s="301"/>
      <c r="AN284" s="301"/>
      <c r="AO284" s="301"/>
      <c r="AP284" s="301"/>
      <c r="AQ284" s="301"/>
      <c r="AR284" s="301"/>
      <c r="AS284" s="301"/>
      <c r="AT284" s="301"/>
      <c r="AU284" s="301"/>
      <c r="AV284" s="301"/>
      <c r="AW284" s="301"/>
      <c r="AX284" s="301"/>
      <c r="AY284" s="301"/>
      <c r="AZ284" s="301"/>
      <c r="BA284" s="301"/>
      <c r="BB284" s="301"/>
      <c r="BC284" s="301"/>
      <c r="BD284" s="301"/>
      <c r="BE284" s="301"/>
      <c r="BF284" s="301"/>
      <c r="BG284" s="301"/>
      <c r="BH284" s="301"/>
      <c r="BI284" s="301"/>
      <c r="BJ284" s="301"/>
      <c r="BK284" s="301"/>
      <c r="BL284" s="301"/>
      <c r="BM284" s="301"/>
      <c r="BN284" s="301"/>
    </row>
    <row r="285" spans="1:66" ht="15" customHeight="1">
      <c r="A285" s="642">
        <v>44225</v>
      </c>
      <c r="B285" s="219" t="s">
        <v>353</v>
      </c>
      <c r="C285" s="608" t="s">
        <v>91</v>
      </c>
      <c r="D285" s="619" t="s">
        <v>148</v>
      </c>
      <c r="E285" s="639"/>
      <c r="F285" s="639">
        <v>10000</v>
      </c>
      <c r="G285" s="607">
        <f t="shared" si="4"/>
        <v>17316083.99927</v>
      </c>
      <c r="H285" s="219" t="s">
        <v>149</v>
      </c>
      <c r="I285" s="219" t="s">
        <v>164</v>
      </c>
      <c r="J285" s="608" t="s">
        <v>220</v>
      </c>
      <c r="K285" s="603" t="s">
        <v>75</v>
      </c>
      <c r="L285" s="603" t="s">
        <v>73</v>
      </c>
      <c r="M285" s="609" t="s">
        <v>583</v>
      </c>
      <c r="N285" s="610" t="s">
        <v>170</v>
      </c>
      <c r="O285" s="473"/>
      <c r="P285" s="495"/>
      <c r="Q285" s="431"/>
    </row>
    <row r="286" spans="1:66" s="262" customFormat="1" ht="15" customHeight="1">
      <c r="A286" s="642">
        <v>44225</v>
      </c>
      <c r="B286" s="619" t="s">
        <v>300</v>
      </c>
      <c r="C286" s="619" t="s">
        <v>91</v>
      </c>
      <c r="D286" s="619" t="s">
        <v>148</v>
      </c>
      <c r="E286" s="646"/>
      <c r="F286" s="639">
        <v>35000</v>
      </c>
      <c r="G286" s="607">
        <f t="shared" si="4"/>
        <v>17281083.99927</v>
      </c>
      <c r="H286" s="608" t="s">
        <v>96</v>
      </c>
      <c r="I286" s="219" t="s">
        <v>94</v>
      </c>
      <c r="J286" s="608" t="s">
        <v>207</v>
      </c>
      <c r="K286" s="603" t="s">
        <v>75</v>
      </c>
      <c r="L286" s="603" t="s">
        <v>73</v>
      </c>
      <c r="M286" s="609" t="s">
        <v>584</v>
      </c>
      <c r="N286" s="610" t="s">
        <v>170</v>
      </c>
      <c r="O286" s="473"/>
      <c r="P286" s="495"/>
    </row>
    <row r="287" spans="1:66" ht="15" customHeight="1">
      <c r="A287" s="642">
        <v>44225</v>
      </c>
      <c r="B287" s="619" t="s">
        <v>299</v>
      </c>
      <c r="C287" s="619" t="s">
        <v>91</v>
      </c>
      <c r="D287" s="619" t="s">
        <v>148</v>
      </c>
      <c r="E287" s="646"/>
      <c r="F287" s="639">
        <v>20000</v>
      </c>
      <c r="G287" s="607">
        <f t="shared" si="4"/>
        <v>17261083.99927</v>
      </c>
      <c r="H287" s="608" t="s">
        <v>96</v>
      </c>
      <c r="I287" s="219" t="s">
        <v>94</v>
      </c>
      <c r="J287" s="608" t="s">
        <v>207</v>
      </c>
      <c r="K287" s="603" t="s">
        <v>75</v>
      </c>
      <c r="L287" s="603" t="s">
        <v>73</v>
      </c>
      <c r="M287" s="609" t="s">
        <v>585</v>
      </c>
      <c r="N287" s="610" t="s">
        <v>170</v>
      </c>
      <c r="O287" s="473"/>
      <c r="P287" s="495"/>
      <c r="Q287" s="431"/>
    </row>
    <row r="288" spans="1:66" ht="15" customHeight="1">
      <c r="A288" s="692">
        <v>44225</v>
      </c>
      <c r="B288" s="219" t="s">
        <v>413</v>
      </c>
      <c r="C288" s="219" t="s">
        <v>91</v>
      </c>
      <c r="D288" s="219" t="s">
        <v>77</v>
      </c>
      <c r="E288" s="130"/>
      <c r="F288" s="130">
        <v>17500</v>
      </c>
      <c r="G288" s="607">
        <f t="shared" si="4"/>
        <v>17243583.99927</v>
      </c>
      <c r="H288" s="219" t="s">
        <v>87</v>
      </c>
      <c r="I288" s="219" t="s">
        <v>162</v>
      </c>
      <c r="J288" s="608" t="s">
        <v>207</v>
      </c>
      <c r="K288" s="603" t="s">
        <v>75</v>
      </c>
      <c r="L288" s="603" t="s">
        <v>73</v>
      </c>
      <c r="M288" s="609" t="s">
        <v>586</v>
      </c>
      <c r="N288" s="610" t="s">
        <v>170</v>
      </c>
      <c r="O288" s="529"/>
      <c r="P288" s="495"/>
      <c r="Q288" s="495"/>
      <c r="R288" s="495"/>
    </row>
    <row r="289" spans="1:66" ht="15" customHeight="1">
      <c r="A289" s="642">
        <v>44225</v>
      </c>
      <c r="B289" s="219" t="s">
        <v>351</v>
      </c>
      <c r="C289" s="608" t="s">
        <v>163</v>
      </c>
      <c r="D289" s="619" t="s">
        <v>148</v>
      </c>
      <c r="E289" s="639"/>
      <c r="F289" s="639">
        <v>30000</v>
      </c>
      <c r="G289" s="607">
        <f t="shared" si="4"/>
        <v>17213583.99927</v>
      </c>
      <c r="H289" s="219" t="s">
        <v>149</v>
      </c>
      <c r="I289" s="219" t="s">
        <v>164</v>
      </c>
      <c r="J289" s="608" t="s">
        <v>207</v>
      </c>
      <c r="K289" s="603" t="s">
        <v>75</v>
      </c>
      <c r="L289" s="603" t="s">
        <v>73</v>
      </c>
      <c r="M289" s="609" t="s">
        <v>587</v>
      </c>
      <c r="N289" s="610" t="s">
        <v>104</v>
      </c>
      <c r="O289" s="473"/>
      <c r="P289" s="495"/>
      <c r="Q289" s="431"/>
    </row>
    <row r="290" spans="1:66" s="262" customFormat="1" ht="15" customHeight="1">
      <c r="A290" s="642">
        <v>44225</v>
      </c>
      <c r="B290" s="603" t="s">
        <v>387</v>
      </c>
      <c r="C290" s="603" t="s">
        <v>91</v>
      </c>
      <c r="D290" s="615" t="s">
        <v>31</v>
      </c>
      <c r="E290" s="605"/>
      <c r="F290" s="644">
        <v>77300</v>
      </c>
      <c r="G290" s="607">
        <f t="shared" si="4"/>
        <v>17136283.99927</v>
      </c>
      <c r="H290" s="603" t="s">
        <v>200</v>
      </c>
      <c r="I290" s="603" t="s">
        <v>164</v>
      </c>
      <c r="J290" s="608" t="s">
        <v>220</v>
      </c>
      <c r="K290" s="603" t="s">
        <v>38</v>
      </c>
      <c r="L290" s="603" t="s">
        <v>73</v>
      </c>
      <c r="M290" s="615"/>
      <c r="N290" s="610"/>
      <c r="O290" s="455"/>
    </row>
    <row r="291" spans="1:66" ht="15" customHeight="1">
      <c r="A291" s="642">
        <v>44225</v>
      </c>
      <c r="B291" s="603" t="s">
        <v>388</v>
      </c>
      <c r="C291" s="677" t="s">
        <v>15</v>
      </c>
      <c r="D291" s="615" t="s">
        <v>31</v>
      </c>
      <c r="E291" s="605"/>
      <c r="F291" s="644">
        <v>4000</v>
      </c>
      <c r="G291" s="607">
        <f t="shared" si="4"/>
        <v>17132283.99927</v>
      </c>
      <c r="H291" s="603" t="s">
        <v>200</v>
      </c>
      <c r="I291" s="603" t="s">
        <v>164</v>
      </c>
      <c r="J291" s="608" t="s">
        <v>103</v>
      </c>
      <c r="K291" s="603" t="s">
        <v>38</v>
      </c>
      <c r="L291" s="603" t="s">
        <v>73</v>
      </c>
      <c r="M291" s="615"/>
      <c r="N291" s="610"/>
      <c r="O291" s="473"/>
      <c r="P291" s="495"/>
      <c r="Q291" s="495"/>
      <c r="R291" s="495"/>
    </row>
    <row r="292" spans="1:66" ht="15" customHeight="1">
      <c r="A292" s="642">
        <v>44225</v>
      </c>
      <c r="B292" s="603" t="s">
        <v>327</v>
      </c>
      <c r="C292" s="603" t="s">
        <v>91</v>
      </c>
      <c r="D292" s="619" t="s">
        <v>31</v>
      </c>
      <c r="E292" s="643"/>
      <c r="F292" s="637">
        <v>75000</v>
      </c>
      <c r="G292" s="607">
        <f t="shared" si="4"/>
        <v>17057283.99927</v>
      </c>
      <c r="H292" s="603" t="s">
        <v>84</v>
      </c>
      <c r="I292" s="603" t="s">
        <v>164</v>
      </c>
      <c r="J292" s="608" t="s">
        <v>220</v>
      </c>
      <c r="K292" s="603" t="s">
        <v>75</v>
      </c>
      <c r="L292" s="603" t="s">
        <v>73</v>
      </c>
      <c r="M292" s="609" t="s">
        <v>588</v>
      </c>
      <c r="N292" s="610" t="s">
        <v>170</v>
      </c>
      <c r="O292" s="473"/>
      <c r="P292" s="495"/>
      <c r="Q292" s="431"/>
    </row>
    <row r="293" spans="1:66" ht="15" hidden="1" customHeight="1">
      <c r="A293" s="557">
        <v>44225</v>
      </c>
      <c r="B293" s="29" t="s">
        <v>398</v>
      </c>
      <c r="C293" s="36" t="s">
        <v>147</v>
      </c>
      <c r="D293" s="29"/>
      <c r="E293" s="555">
        <v>10000</v>
      </c>
      <c r="F293" s="555"/>
      <c r="G293" s="507">
        <f t="shared" si="4"/>
        <v>17067283.99927</v>
      </c>
      <c r="H293" s="29" t="s">
        <v>87</v>
      </c>
      <c r="I293" s="29"/>
      <c r="J293" s="529"/>
      <c r="K293" s="529"/>
      <c r="L293" s="529"/>
      <c r="M293" s="529"/>
      <c r="N293" s="529"/>
      <c r="O293" s="529"/>
      <c r="P293" s="495"/>
      <c r="Q293" s="495"/>
      <c r="R293" s="495"/>
    </row>
    <row r="294" spans="1:66" ht="15" hidden="1" customHeight="1">
      <c r="A294" s="558">
        <v>44225</v>
      </c>
      <c r="B294" s="29" t="s">
        <v>184</v>
      </c>
      <c r="C294" s="29" t="s">
        <v>147</v>
      </c>
      <c r="D294" s="36"/>
      <c r="E294" s="37"/>
      <c r="F294" s="37"/>
      <c r="G294" s="507">
        <f t="shared" si="4"/>
        <v>17067283.99927</v>
      </c>
      <c r="H294" s="29" t="s">
        <v>157</v>
      </c>
      <c r="I294" s="504"/>
      <c r="J294" s="508"/>
      <c r="K294" s="504"/>
      <c r="L294" s="504"/>
      <c r="M294" s="473"/>
      <c r="N294" s="510"/>
      <c r="O294" s="473"/>
      <c r="P294" s="495"/>
      <c r="Q294" s="431"/>
    </row>
    <row r="295" spans="1:66" ht="15" hidden="1" customHeight="1">
      <c r="A295" s="558">
        <v>44225</v>
      </c>
      <c r="B295" s="29" t="s">
        <v>185</v>
      </c>
      <c r="C295" s="29" t="s">
        <v>147</v>
      </c>
      <c r="D295" s="36"/>
      <c r="E295" s="37"/>
      <c r="F295" s="37"/>
      <c r="G295" s="507">
        <f t="shared" si="4"/>
        <v>17067283.99927</v>
      </c>
      <c r="H295" s="29" t="s">
        <v>158</v>
      </c>
      <c r="I295" s="504"/>
      <c r="J295" s="508"/>
      <c r="K295" s="504"/>
      <c r="L295" s="504"/>
      <c r="M295" s="473"/>
      <c r="N295" s="510"/>
      <c r="O295" s="473"/>
      <c r="P295" s="495"/>
      <c r="Q295" s="431"/>
    </row>
    <row r="296" spans="1:66" ht="15" customHeight="1">
      <c r="A296" s="642">
        <v>44226</v>
      </c>
      <c r="B296" s="219" t="s">
        <v>354</v>
      </c>
      <c r="C296" s="608" t="s">
        <v>91</v>
      </c>
      <c r="D296" s="619" t="s">
        <v>148</v>
      </c>
      <c r="E296" s="639"/>
      <c r="F296" s="639">
        <v>80900</v>
      </c>
      <c r="G296" s="607">
        <f t="shared" si="4"/>
        <v>16986383.99927</v>
      </c>
      <c r="H296" s="219" t="s">
        <v>149</v>
      </c>
      <c r="I296" s="219" t="s">
        <v>164</v>
      </c>
      <c r="J296" s="608" t="s">
        <v>207</v>
      </c>
      <c r="K296" s="603" t="s">
        <v>75</v>
      </c>
      <c r="L296" s="603" t="s">
        <v>73</v>
      </c>
      <c r="M296" s="609" t="s">
        <v>589</v>
      </c>
      <c r="N296" s="610" t="s">
        <v>170</v>
      </c>
      <c r="O296" s="473"/>
      <c r="P296" s="495"/>
      <c r="Q296" s="431"/>
    </row>
    <row r="297" spans="1:66" ht="15" customHeight="1">
      <c r="A297" s="642">
        <v>44227</v>
      </c>
      <c r="B297" s="219" t="s">
        <v>230</v>
      </c>
      <c r="C297" s="219" t="s">
        <v>28</v>
      </c>
      <c r="D297" s="219" t="s">
        <v>21</v>
      </c>
      <c r="E297" s="643"/>
      <c r="F297" s="621">
        <f>7265+3805+2811</f>
        <v>13881</v>
      </c>
      <c r="G297" s="607">
        <f t="shared" si="4"/>
        <v>16972502.99927</v>
      </c>
      <c r="H297" s="608" t="s">
        <v>72</v>
      </c>
      <c r="I297" s="619" t="s">
        <v>29</v>
      </c>
      <c r="J297" s="608" t="s">
        <v>220</v>
      </c>
      <c r="K297" s="603" t="s">
        <v>38</v>
      </c>
      <c r="L297" s="603" t="s">
        <v>73</v>
      </c>
      <c r="M297" s="615"/>
      <c r="N297" s="610"/>
      <c r="O297" s="473"/>
      <c r="P297" s="495"/>
      <c r="Q297" s="431"/>
    </row>
    <row r="298" spans="1:66" ht="15" customHeight="1">
      <c r="A298" s="642">
        <v>44227</v>
      </c>
      <c r="B298" s="355" t="s">
        <v>249</v>
      </c>
      <c r="C298" s="219" t="s">
        <v>28</v>
      </c>
      <c r="D298" s="219" t="s">
        <v>21</v>
      </c>
      <c r="E298" s="643"/>
      <c r="F298" s="651">
        <f>2811+5000+10665</f>
        <v>18476</v>
      </c>
      <c r="G298" s="607">
        <f t="shared" si="4"/>
        <v>16954026.99927</v>
      </c>
      <c r="H298" s="608" t="s">
        <v>74</v>
      </c>
      <c r="I298" s="619" t="s">
        <v>29</v>
      </c>
      <c r="J298" s="608" t="s">
        <v>207</v>
      </c>
      <c r="K298" s="603" t="s">
        <v>75</v>
      </c>
      <c r="L298" s="603" t="s">
        <v>73</v>
      </c>
      <c r="M298" s="609" t="s">
        <v>590</v>
      </c>
      <c r="N298" s="610" t="s">
        <v>172</v>
      </c>
      <c r="O298" s="473"/>
      <c r="P298" s="495"/>
      <c r="Q298" s="495"/>
      <c r="R298" s="495"/>
    </row>
    <row r="299" spans="1:66" ht="15" hidden="1" customHeight="1">
      <c r="A299" s="537">
        <v>44227</v>
      </c>
      <c r="B299" s="29" t="s">
        <v>376</v>
      </c>
      <c r="C299" s="36" t="s">
        <v>147</v>
      </c>
      <c r="D299" s="36"/>
      <c r="E299" s="37">
        <v>154400</v>
      </c>
      <c r="F299" s="37"/>
      <c r="G299" s="507">
        <f t="shared" si="4"/>
        <v>17108426.99927</v>
      </c>
      <c r="H299" s="502" t="s">
        <v>150</v>
      </c>
      <c r="I299" s="502"/>
      <c r="J299" s="508"/>
      <c r="K299" s="504"/>
      <c r="L299" s="504"/>
      <c r="M299" s="473"/>
      <c r="N299" s="510"/>
      <c r="O299" s="473"/>
      <c r="P299" s="495"/>
      <c r="R299" s="431"/>
      <c r="S299" s="431"/>
      <c r="T299" s="431"/>
      <c r="U299" s="431"/>
      <c r="V299" s="431"/>
      <c r="W299" s="431"/>
      <c r="X299" s="431"/>
      <c r="Y299" s="431"/>
      <c r="Z299" s="431"/>
      <c r="AA299" s="431"/>
      <c r="AB299" s="431"/>
      <c r="AC299" s="431"/>
      <c r="AD299" s="431"/>
      <c r="AE299" s="431"/>
      <c r="AF299" s="431"/>
      <c r="AG299" s="431"/>
      <c r="AH299" s="431"/>
      <c r="AI299" s="431"/>
      <c r="AJ299" s="431"/>
      <c r="AK299" s="431"/>
      <c r="AL299" s="431"/>
      <c r="AM299" s="431"/>
      <c r="AN299" s="431"/>
      <c r="AO299" s="431"/>
      <c r="AP299" s="431"/>
      <c r="AQ299" s="431"/>
      <c r="AR299" s="431"/>
      <c r="AS299" s="431"/>
      <c r="AT299" s="431"/>
      <c r="AU299" s="431"/>
      <c r="AV299" s="431"/>
      <c r="AW299" s="431"/>
      <c r="AX299" s="431"/>
      <c r="AY299" s="431"/>
      <c r="AZ299" s="431"/>
      <c r="BA299" s="431"/>
      <c r="BB299" s="431"/>
      <c r="BC299" s="431"/>
      <c r="BD299" s="431"/>
      <c r="BE299" s="431"/>
      <c r="BF299" s="431"/>
      <c r="BG299" s="431"/>
      <c r="BH299" s="431"/>
      <c r="BI299" s="431"/>
      <c r="BJ299" s="431"/>
      <c r="BK299" s="431"/>
      <c r="BL299" s="431"/>
      <c r="BM299" s="431"/>
      <c r="BN299" s="431"/>
    </row>
    <row r="300" spans="1:66" ht="15" customHeight="1">
      <c r="A300" s="642">
        <v>44227</v>
      </c>
      <c r="B300" s="619" t="s">
        <v>374</v>
      </c>
      <c r="C300" s="619" t="s">
        <v>92</v>
      </c>
      <c r="D300" s="615" t="s">
        <v>148</v>
      </c>
      <c r="E300" s="639"/>
      <c r="F300" s="639">
        <v>22500</v>
      </c>
      <c r="G300" s="607">
        <f t="shared" si="4"/>
        <v>17085926.99927</v>
      </c>
      <c r="H300" s="640" t="s">
        <v>150</v>
      </c>
      <c r="I300" s="640" t="s">
        <v>162</v>
      </c>
      <c r="J300" s="608" t="s">
        <v>220</v>
      </c>
      <c r="K300" s="694" t="s">
        <v>38</v>
      </c>
      <c r="L300" s="603" t="s">
        <v>73</v>
      </c>
      <c r="M300" s="615"/>
      <c r="N300" s="610"/>
      <c r="O300" s="473"/>
      <c r="P300" s="495"/>
      <c r="Q300" s="431"/>
    </row>
    <row r="301" spans="1:66" s="262" customFormat="1" ht="15" customHeight="1">
      <c r="A301" s="537">
        <v>44227</v>
      </c>
      <c r="B301" s="36" t="s">
        <v>375</v>
      </c>
      <c r="C301" s="508" t="s">
        <v>91</v>
      </c>
      <c r="D301" s="36" t="s">
        <v>148</v>
      </c>
      <c r="E301" s="37"/>
      <c r="F301" s="37">
        <v>87500</v>
      </c>
      <c r="G301" s="507">
        <f t="shared" si="4"/>
        <v>16998426.99927</v>
      </c>
      <c r="H301" s="502" t="s">
        <v>150</v>
      </c>
      <c r="I301" s="502" t="s">
        <v>162</v>
      </c>
      <c r="J301" s="508" t="s">
        <v>207</v>
      </c>
      <c r="K301" s="508" t="s">
        <v>75</v>
      </c>
      <c r="L301" s="504" t="s">
        <v>73</v>
      </c>
      <c r="M301" s="509" t="s">
        <v>591</v>
      </c>
      <c r="N301" s="473" t="s">
        <v>170</v>
      </c>
      <c r="O301" s="473"/>
      <c r="P301" s="495"/>
    </row>
    <row r="302" spans="1:66" s="357" customFormat="1" ht="22.5" hidden="1" customHeight="1">
      <c r="A302" s="359"/>
      <c r="B302" s="359"/>
      <c r="C302" s="359"/>
      <c r="D302" s="359"/>
      <c r="E302" s="364"/>
      <c r="F302" s="364"/>
      <c r="G302" s="360"/>
      <c r="H302" s="360"/>
      <c r="I302" s="368"/>
      <c r="J302" s="361"/>
      <c r="K302" s="359"/>
      <c r="L302" s="359"/>
      <c r="M302" s="359"/>
      <c r="N302" s="359"/>
      <c r="O302" s="359"/>
      <c r="P302" s="359"/>
    </row>
  </sheetData>
  <autoFilter ref="A11:GT302">
    <filterColumn colId="2">
      <filters>
        <filter val="Bank fees"/>
        <filter val="Bonus"/>
        <filter val="Court fees"/>
        <filter val="Donation"/>
        <filter val="Fligh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expenses"/>
        <filter val="Travel Subsistence"/>
        <filter val="Trust building"/>
      </filters>
    </filterColumn>
    <filterColumn colId="10"/>
    <filterColumn colId="13"/>
  </autoFilter>
  <sortState ref="A12:O298">
    <sortCondition ref="A12:A298"/>
  </sortState>
  <mergeCells count="1">
    <mergeCell ref="A1:O1"/>
  </mergeCells>
  <dataValidations count="21">
    <dataValidation type="list" allowBlank="1" showInputMessage="1" showErrorMessage="1" sqref="C84 C99:C100 C76 C62 C16 C146 C105:C108 C137 C130:C131 C68:C70 C111:C114">
      <formula1>#REF!</formula1>
    </dataValidation>
    <dataValidation type="list" allowBlank="1" showInputMessage="1" showErrorMessage="1" sqref="C97 C57:C60 C79 C85 C104 C123">
      <formula1>$N$3857:$N$3877</formula1>
    </dataValidation>
    <dataValidation type="list" allowBlank="1" showInputMessage="1" showErrorMessage="1" sqref="C230">
      <formula1>$N$3934:$N$3954</formula1>
    </dataValidation>
    <dataValidation type="list" showInputMessage="1" showErrorMessage="1" sqref="C115 C67 C96 C93">
      <formula1>$N$516:$N$536</formula1>
    </dataValidation>
    <dataValidation type="list" allowBlank="1" showInputMessage="1" showErrorMessage="1" sqref="C19">
      <formula1>$N$3863:$N$3883</formula1>
    </dataValidation>
    <dataValidation type="list" allowBlank="1" showInputMessage="1" showErrorMessage="1" sqref="C31:C32 C36 C50:C51">
      <formula1>$N$3871:$N$3891</formula1>
    </dataValidation>
    <dataValidation type="list" allowBlank="1" showInputMessage="1" showErrorMessage="1" sqref="C37">
      <formula1>$N$31:$N$569</formula1>
    </dataValidation>
    <dataValidation type="list" allowBlank="1" showInputMessage="1" showErrorMessage="1" sqref="C38:C39">
      <formula1>$N$31:$N$566</formula1>
    </dataValidation>
    <dataValidation type="list" allowBlank="1" showInputMessage="1" showErrorMessage="1" sqref="C41:C42 C48 C44">
      <formula1>$N$31:$N$563</formula1>
    </dataValidation>
    <dataValidation type="list" allowBlank="1" showInputMessage="1" showErrorMessage="1" sqref="C141:C143">
      <formula1>$N$11:$N$18</formula1>
    </dataValidation>
    <dataValidation type="list" showInputMessage="1" showErrorMessage="1" sqref="C161">
      <formula1>$K$457:$K$477</formula1>
    </dataValidation>
    <dataValidation type="list" showInputMessage="1" showErrorMessage="1" sqref="C160">
      <formula1>$K$477:$K$497</formula1>
    </dataValidation>
    <dataValidation type="list" showInputMessage="1" showErrorMessage="1" sqref="C157:C159 C152:C155 C150 C148">
      <formula1>$N$494:$N$514</formula1>
    </dataValidation>
    <dataValidation type="list" allowBlank="1" showInputMessage="1" showErrorMessage="1" sqref="C162 C176:C182 C173:C174 C168:C171 C165:C166">
      <formula1>$N$22:$N$589</formula1>
    </dataValidation>
    <dataValidation type="list" allowBlank="1" showInputMessage="1" showErrorMessage="1" sqref="C202">
      <formula1>$L$3865:$L$3885</formula1>
    </dataValidation>
    <dataValidation type="list" allowBlank="1" showInputMessage="1" showErrorMessage="1" sqref="C188 C183">
      <formula1>$L$3895:$L$3915</formula1>
    </dataValidation>
    <dataValidation type="list" allowBlank="1" showInputMessage="1" showErrorMessage="1" sqref="C187 C193 C189:C191 C195:C201 C185 C213 C205 C217:C221 C207:C211 C224:C226 C235:C236 C233 C249 C228:C229 C238:C244 C246">
      <formula1>$N$3925:$N$3945</formula1>
    </dataValidation>
    <dataValidation type="list" allowBlank="1" showInputMessage="1" showErrorMessage="1" sqref="C248 C301 C222">
      <formula1>#REF!</formula1>
    </dataValidation>
    <dataValidation type="list" allowBlank="1" showInputMessage="1" showErrorMessage="1" sqref="C266 C250 C252:C253 C255 C257:C259 C261:C264">
      <formula1>$N$23:$N$103</formula1>
    </dataValidation>
    <dataValidation type="list" allowBlank="1" showInputMessage="1" showErrorMessage="1" sqref="D267:D269">
      <formula1>Départements</formula1>
    </dataValidation>
    <dataValidation type="list" allowBlank="1" showInputMessage="1" showErrorMessage="1" sqref="C267:C268">
      <formula1>Dépenses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8"/>
  <sheetViews>
    <sheetView workbookViewId="0">
      <selection activeCell="E19" sqref="E19:F19"/>
    </sheetView>
  </sheetViews>
  <sheetFormatPr baseColWidth="10" defaultColWidth="17.42578125" defaultRowHeight="15"/>
  <cols>
    <col min="1" max="1" width="7" customWidth="1"/>
    <col min="2" max="2" width="0.7109375" customWidth="1"/>
    <col min="3" max="3" width="9.42578125" customWidth="1"/>
    <col min="4" max="4" width="28" customWidth="1"/>
    <col min="5" max="5" width="8.42578125" customWidth="1"/>
    <col min="6" max="6" width="7.140625" customWidth="1"/>
    <col min="7" max="7" width="1" customWidth="1"/>
    <col min="8" max="8" width="9.5703125" customWidth="1"/>
    <col min="9" max="9" width="9.42578125" customWidth="1"/>
    <col min="10" max="10" width="9.42578125" style="1" customWidth="1"/>
    <col min="11" max="11" width="8.5703125" customWidth="1"/>
  </cols>
  <sheetData>
    <row r="2" spans="1:12">
      <c r="A2" s="2" t="s">
        <v>0</v>
      </c>
      <c r="B2" s="2"/>
      <c r="C2" s="3"/>
      <c r="D2" s="3"/>
      <c r="E2" s="3"/>
      <c r="F2" s="3"/>
      <c r="G2" s="3"/>
      <c r="H2" s="3"/>
      <c r="I2" s="3"/>
      <c r="J2" s="4"/>
      <c r="K2" s="3"/>
      <c r="L2" s="3"/>
    </row>
    <row r="3" spans="1:12">
      <c r="A3" s="5"/>
      <c r="B3" s="5"/>
      <c r="C3" s="6" t="s">
        <v>1</v>
      </c>
      <c r="D3" s="6"/>
      <c r="E3" s="7"/>
      <c r="F3" s="7"/>
      <c r="G3" s="7"/>
      <c r="H3" s="7"/>
      <c r="I3" s="8"/>
      <c r="J3" s="9"/>
      <c r="K3" s="7"/>
      <c r="L3" s="7"/>
    </row>
    <row r="4" spans="1:12">
      <c r="A4" s="5"/>
      <c r="B4" s="5"/>
      <c r="C4" s="6" t="s">
        <v>24</v>
      </c>
      <c r="D4" s="6"/>
      <c r="E4" s="7"/>
      <c r="F4" s="7"/>
      <c r="G4" s="7"/>
      <c r="H4" s="7"/>
      <c r="I4" s="8"/>
      <c r="J4" s="9"/>
      <c r="K4" s="7"/>
      <c r="L4" s="7"/>
    </row>
    <row r="5" spans="1:12">
      <c r="A5" s="5"/>
      <c r="B5" s="5"/>
      <c r="C5" s="6" t="s">
        <v>3</v>
      </c>
      <c r="D5" s="6"/>
      <c r="E5" s="7"/>
      <c r="F5" s="7"/>
      <c r="G5" s="7"/>
      <c r="H5" s="7"/>
      <c r="I5" s="8"/>
      <c r="J5" s="9"/>
      <c r="K5" s="7"/>
      <c r="L5" s="7"/>
    </row>
    <row r="6" spans="1:12">
      <c r="A6" s="5"/>
      <c r="B6" s="5"/>
      <c r="C6" s="7"/>
      <c r="D6" s="10"/>
      <c r="E6" s="11"/>
      <c r="F6" s="11"/>
      <c r="G6" s="11"/>
      <c r="H6" s="11"/>
      <c r="I6" s="8"/>
      <c r="J6" s="9"/>
      <c r="K6" s="12"/>
      <c r="L6" s="7"/>
    </row>
    <row r="7" spans="1:12">
      <c r="A7" s="5"/>
      <c r="B7" s="5"/>
      <c r="C7" s="7"/>
      <c r="D7" s="10"/>
      <c r="E7" s="13" t="s">
        <v>423</v>
      </c>
      <c r="F7" s="13"/>
      <c r="G7" s="13"/>
      <c r="H7" s="13"/>
      <c r="I7" s="7"/>
      <c r="J7" s="14"/>
      <c r="K7" s="12"/>
      <c r="L7" s="7"/>
    </row>
    <row r="8" spans="1:12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</row>
    <row r="9" spans="1:12" ht="22.5" customHeight="1">
      <c r="A9" s="15" t="s">
        <v>4</v>
      </c>
      <c r="B9" s="16" t="s">
        <v>5</v>
      </c>
      <c r="C9" s="17" t="s">
        <v>6</v>
      </c>
      <c r="D9" s="18" t="s">
        <v>7</v>
      </c>
      <c r="E9" s="17" t="s">
        <v>8</v>
      </c>
      <c r="F9" s="18" t="s">
        <v>9</v>
      </c>
      <c r="G9" s="19" t="s">
        <v>10</v>
      </c>
      <c r="H9" s="18" t="s">
        <v>11</v>
      </c>
      <c r="I9" s="20" t="s">
        <v>25</v>
      </c>
      <c r="J9" s="21" t="s">
        <v>13</v>
      </c>
      <c r="K9" s="22" t="s">
        <v>14</v>
      </c>
    </row>
    <row r="10" spans="1:12">
      <c r="A10" s="35">
        <v>44197</v>
      </c>
      <c r="B10" s="29"/>
      <c r="C10" s="36"/>
      <c r="D10" s="29" t="s">
        <v>424</v>
      </c>
      <c r="E10" s="29"/>
      <c r="F10" s="29"/>
      <c r="G10" s="29"/>
      <c r="H10" s="130">
        <f>+'[25]Décembre '!H21</f>
        <v>11284555</v>
      </c>
      <c r="I10" s="37"/>
      <c r="J10" s="220">
        <f>+H10</f>
        <v>11284555</v>
      </c>
      <c r="K10" s="312"/>
    </row>
    <row r="11" spans="1:12">
      <c r="A11" s="35">
        <v>44200</v>
      </c>
      <c r="B11" s="27"/>
      <c r="C11" s="36" t="s">
        <v>29</v>
      </c>
      <c r="D11" s="29" t="s">
        <v>425</v>
      </c>
      <c r="E11" s="219" t="s">
        <v>28</v>
      </c>
      <c r="F11" s="219" t="s">
        <v>21</v>
      </c>
      <c r="G11" s="27"/>
      <c r="H11" s="351"/>
      <c r="I11" s="218">
        <v>2811</v>
      </c>
      <c r="J11" s="220">
        <f>+J10+H11-I11</f>
        <v>11281744</v>
      </c>
      <c r="K11" s="312"/>
    </row>
    <row r="12" spans="1:12">
      <c r="A12" s="35">
        <v>43834</v>
      </c>
      <c r="B12" s="27"/>
      <c r="C12" s="36">
        <v>3654417</v>
      </c>
      <c r="D12" s="29" t="s">
        <v>225</v>
      </c>
      <c r="E12" s="27" t="s">
        <v>176</v>
      </c>
      <c r="F12" s="27" t="s">
        <v>18</v>
      </c>
      <c r="G12" s="27"/>
      <c r="H12" s="351"/>
      <c r="I12" s="218">
        <v>1000000</v>
      </c>
      <c r="J12" s="220">
        <f t="shared" ref="J12:J20" si="0">+J11+H12-I12</f>
        <v>10281744</v>
      </c>
      <c r="K12" s="312"/>
    </row>
    <row r="13" spans="1:12">
      <c r="A13" s="35">
        <v>43834</v>
      </c>
      <c r="B13" s="27" t="s">
        <v>426</v>
      </c>
      <c r="C13" s="36" t="s">
        <v>29</v>
      </c>
      <c r="D13" s="29" t="s">
        <v>427</v>
      </c>
      <c r="E13" s="219" t="s">
        <v>28</v>
      </c>
      <c r="F13" s="219" t="s">
        <v>21</v>
      </c>
      <c r="G13" s="27"/>
      <c r="H13" s="351"/>
      <c r="I13" s="218">
        <v>3805</v>
      </c>
      <c r="J13" s="220">
        <f t="shared" si="0"/>
        <v>10277939</v>
      </c>
      <c r="K13" s="312"/>
    </row>
    <row r="14" spans="1:12">
      <c r="A14" s="35">
        <v>44203</v>
      </c>
      <c r="B14" s="27"/>
      <c r="C14" s="36">
        <v>3654418</v>
      </c>
      <c r="D14" s="29" t="s">
        <v>226</v>
      </c>
      <c r="E14" s="27" t="s">
        <v>176</v>
      </c>
      <c r="F14" s="27" t="s">
        <v>18</v>
      </c>
      <c r="G14" s="27"/>
      <c r="H14" s="351"/>
      <c r="I14" s="218">
        <v>1000000</v>
      </c>
      <c r="J14" s="220">
        <f t="shared" si="0"/>
        <v>9277939</v>
      </c>
      <c r="K14" s="312"/>
    </row>
    <row r="15" spans="1:12">
      <c r="A15" s="35">
        <v>44207</v>
      </c>
      <c r="B15" s="27"/>
      <c r="C15" s="36">
        <v>3654419</v>
      </c>
      <c r="D15" s="29" t="s">
        <v>227</v>
      </c>
      <c r="E15" s="27" t="s">
        <v>176</v>
      </c>
      <c r="F15" s="27" t="s">
        <v>18</v>
      </c>
      <c r="G15" s="27"/>
      <c r="H15" s="351"/>
      <c r="I15" s="218">
        <v>1500000</v>
      </c>
      <c r="J15" s="220">
        <f t="shared" si="0"/>
        <v>7777939</v>
      </c>
      <c r="K15" s="312"/>
    </row>
    <row r="16" spans="1:12">
      <c r="A16" s="35">
        <v>44211</v>
      </c>
      <c r="B16" s="27"/>
      <c r="C16" s="36">
        <v>3654420</v>
      </c>
      <c r="D16" s="29" t="s">
        <v>228</v>
      </c>
      <c r="E16" s="27" t="s">
        <v>26</v>
      </c>
      <c r="F16" s="27" t="s">
        <v>182</v>
      </c>
      <c r="G16" s="27"/>
      <c r="H16" s="351"/>
      <c r="I16" s="218">
        <v>170000</v>
      </c>
      <c r="J16" s="220">
        <f t="shared" si="0"/>
        <v>7607939</v>
      </c>
      <c r="K16" s="312"/>
    </row>
    <row r="17" spans="1:12">
      <c r="A17" s="35">
        <v>44217</v>
      </c>
      <c r="B17" s="27"/>
      <c r="C17" s="36" t="s">
        <v>428</v>
      </c>
      <c r="D17" s="29" t="s">
        <v>429</v>
      </c>
      <c r="E17" s="27" t="s">
        <v>176</v>
      </c>
      <c r="F17" s="27" t="s">
        <v>18</v>
      </c>
      <c r="G17" s="27"/>
      <c r="H17" s="351"/>
      <c r="I17" s="218">
        <v>2000000</v>
      </c>
      <c r="J17" s="220">
        <f t="shared" si="0"/>
        <v>5607939</v>
      </c>
      <c r="K17" s="312"/>
    </row>
    <row r="18" spans="1:12">
      <c r="A18" s="35">
        <v>44223</v>
      </c>
      <c r="B18" s="27"/>
      <c r="C18" s="36">
        <v>3654425</v>
      </c>
      <c r="D18" s="29" t="s">
        <v>229</v>
      </c>
      <c r="E18" s="27" t="s">
        <v>26</v>
      </c>
      <c r="F18" s="27" t="s">
        <v>182</v>
      </c>
      <c r="G18" s="27"/>
      <c r="H18" s="351"/>
      <c r="I18" s="218">
        <v>90000</v>
      </c>
      <c r="J18" s="220">
        <f t="shared" si="0"/>
        <v>5517939</v>
      </c>
      <c r="K18" s="312"/>
    </row>
    <row r="19" spans="1:12">
      <c r="A19" s="35">
        <v>6</v>
      </c>
      <c r="B19" s="27"/>
      <c r="C19" s="36" t="s">
        <v>29</v>
      </c>
      <c r="D19" s="29" t="s">
        <v>430</v>
      </c>
      <c r="E19" s="219" t="s">
        <v>28</v>
      </c>
      <c r="F19" s="219" t="s">
        <v>21</v>
      </c>
      <c r="G19" s="27"/>
      <c r="H19" s="351"/>
      <c r="I19" s="218">
        <v>7265</v>
      </c>
      <c r="J19" s="220">
        <f t="shared" si="0"/>
        <v>5510674</v>
      </c>
      <c r="K19" s="312"/>
    </row>
    <row r="20" spans="1:12">
      <c r="A20" s="35"/>
      <c r="B20" s="27"/>
      <c r="C20" s="474"/>
      <c r="D20" s="29"/>
      <c r="E20" s="27"/>
      <c r="F20" s="27"/>
      <c r="G20" s="390"/>
      <c r="H20" s="475"/>
      <c r="I20" s="218"/>
      <c r="J20" s="220">
        <f t="shared" si="0"/>
        <v>5510674</v>
      </c>
      <c r="K20" s="23"/>
    </row>
    <row r="21" spans="1:12">
      <c r="A21" s="29"/>
      <c r="B21" s="29"/>
      <c r="C21" s="30" t="s">
        <v>27</v>
      </c>
      <c r="D21" s="30"/>
      <c r="E21" s="30"/>
      <c r="F21" s="30"/>
      <c r="G21" s="30"/>
      <c r="H21" s="31">
        <f>SUM(H10:H20)</f>
        <v>11284555</v>
      </c>
      <c r="I21" s="31">
        <f>SUM(I10:I20)</f>
        <v>5773881</v>
      </c>
      <c r="J21" s="37"/>
      <c r="K21" s="29"/>
    </row>
    <row r="22" spans="1:12">
      <c r="A22" s="3"/>
      <c r="B22" s="3"/>
      <c r="C22" s="28" t="s">
        <v>22</v>
      </c>
      <c r="D22" s="28"/>
      <c r="E22" s="28"/>
      <c r="F22" s="28"/>
      <c r="G22" s="28"/>
      <c r="H22" s="28"/>
      <c r="I22" s="31">
        <f>SUM(I20:I21)</f>
        <v>5773881</v>
      </c>
      <c r="J22" s="3"/>
      <c r="K22" s="3"/>
    </row>
    <row r="23" spans="1:12" ht="17.25" customHeight="1">
      <c r="A23" s="3"/>
      <c r="B23" s="3"/>
      <c r="C23" s="32" t="s">
        <v>23</v>
      </c>
      <c r="D23" s="32"/>
      <c r="E23" s="32"/>
      <c r="F23" s="32"/>
      <c r="G23" s="32"/>
      <c r="H23" s="33">
        <f>+H21-I22</f>
        <v>5510674</v>
      </c>
      <c r="I23" s="38"/>
      <c r="J23" s="3"/>
      <c r="K23" s="3"/>
      <c r="L23" s="34"/>
    </row>
    <row r="24" spans="1:12">
      <c r="K24" s="24"/>
      <c r="L24" s="34"/>
    </row>
    <row r="25" spans="1:12">
      <c r="K25" s="24"/>
    </row>
    <row r="26" spans="1:12">
      <c r="K26" s="24"/>
    </row>
    <row r="27" spans="1:12">
      <c r="K27" s="24"/>
    </row>
    <row r="28" spans="1:12">
      <c r="K28" s="24"/>
    </row>
    <row r="29" spans="1:12">
      <c r="K29" s="24"/>
      <c r="L29" s="34"/>
    </row>
    <row r="30" spans="1:12">
      <c r="K30" s="24"/>
    </row>
    <row r="31" spans="1:12">
      <c r="K31" s="24"/>
    </row>
    <row r="32" spans="1:12">
      <c r="K32" s="24"/>
    </row>
    <row r="33" spans="11:11">
      <c r="K33" s="24"/>
    </row>
    <row r="34" spans="11:11">
      <c r="K34" s="24"/>
    </row>
    <row r="35" spans="11:11">
      <c r="K35" s="24"/>
    </row>
    <row r="36" spans="11:11">
      <c r="K36" s="24"/>
    </row>
    <row r="37" spans="11:11">
      <c r="K37" s="24"/>
    </row>
    <row r="38" spans="11:11">
      <c r="K3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31"/>
  <sheetViews>
    <sheetView topLeftCell="A11" workbookViewId="0">
      <selection activeCell="E33" sqref="E33"/>
    </sheetView>
  </sheetViews>
  <sheetFormatPr baseColWidth="10" defaultColWidth="11.42578125" defaultRowHeight="15"/>
  <cols>
    <col min="3" max="3" width="35.7109375" customWidth="1"/>
    <col min="5" max="5" width="13.7109375" customWidth="1"/>
    <col min="9" max="9" width="14.42578125" bestFit="1" customWidth="1"/>
    <col min="10" max="10" width="25.5703125" customWidth="1"/>
    <col min="15" max="15" width="15.28515625" bestFit="1" customWidth="1"/>
  </cols>
  <sheetData>
    <row r="1" spans="1:11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>
      <c r="A2" s="39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>
      <c r="A4" s="40"/>
      <c r="B4" s="41"/>
      <c r="C4" s="41"/>
      <c r="D4" s="41"/>
      <c r="E4" s="41"/>
      <c r="F4" s="41"/>
      <c r="G4" s="41"/>
      <c r="H4" s="41"/>
      <c r="I4" s="40"/>
      <c r="J4" s="41"/>
      <c r="K4" s="40"/>
    </row>
    <row r="5" spans="1:11">
      <c r="A5" s="42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3"/>
    </row>
    <row r="6" spans="1:11">
      <c r="A6" s="44" t="s">
        <v>33</v>
      </c>
      <c r="B6" s="45" t="s">
        <v>34</v>
      </c>
      <c r="C6" s="45"/>
      <c r="D6" s="46"/>
      <c r="E6" s="45"/>
      <c r="F6" s="45"/>
      <c r="G6" s="45"/>
      <c r="H6" s="41"/>
      <c r="I6" s="41"/>
      <c r="J6" s="41"/>
      <c r="K6" s="40"/>
    </row>
    <row r="7" spans="1:11">
      <c r="A7" s="45"/>
      <c r="B7" s="45"/>
      <c r="C7" s="45"/>
      <c r="D7" s="45"/>
      <c r="E7" s="45"/>
      <c r="F7" s="45"/>
      <c r="G7" s="45"/>
      <c r="H7" s="41"/>
      <c r="I7" s="41"/>
      <c r="J7" s="41"/>
      <c r="K7" s="40"/>
    </row>
    <row r="8" spans="1:11">
      <c r="A8" s="47"/>
      <c r="B8" s="45"/>
      <c r="C8" s="45"/>
      <c r="D8" s="45"/>
      <c r="E8" s="45"/>
      <c r="F8" s="45"/>
      <c r="G8" s="45"/>
      <c r="H8" s="48" t="s">
        <v>35</v>
      </c>
      <c r="I8" s="49"/>
      <c r="J8" s="50"/>
      <c r="K8" s="40"/>
    </row>
    <row r="9" spans="1:11">
      <c r="A9" s="47"/>
      <c r="B9" s="45"/>
      <c r="C9" s="45"/>
      <c r="D9" s="45"/>
      <c r="E9" s="45"/>
      <c r="F9" s="45"/>
      <c r="G9" s="45"/>
      <c r="H9" s="51" t="s">
        <v>1</v>
      </c>
      <c r="I9" s="52"/>
      <c r="J9" s="53"/>
      <c r="K9" s="40"/>
    </row>
    <row r="10" spans="1:11">
      <c r="A10" s="45"/>
      <c r="B10" s="45"/>
      <c r="C10" s="45"/>
      <c r="D10" s="45"/>
      <c r="E10" s="45"/>
      <c r="F10" s="45"/>
      <c r="G10" s="41"/>
      <c r="H10" s="54" t="s">
        <v>24</v>
      </c>
      <c r="I10" s="55"/>
      <c r="J10" s="56"/>
      <c r="K10" s="40"/>
    </row>
    <row r="11" spans="1:11">
      <c r="A11" s="40"/>
      <c r="B11" s="57" t="s">
        <v>36</v>
      </c>
      <c r="C11" s="58"/>
      <c r="D11" s="58"/>
      <c r="E11" s="58"/>
      <c r="F11" s="58"/>
      <c r="G11" s="58"/>
      <c r="H11" s="59" t="s">
        <v>37</v>
      </c>
      <c r="I11" s="60" t="s">
        <v>38</v>
      </c>
      <c r="J11" s="61"/>
      <c r="K11" s="40"/>
    </row>
    <row r="12" spans="1:11">
      <c r="A12" s="40"/>
      <c r="B12" s="57" t="s">
        <v>39</v>
      </c>
      <c r="C12" s="58"/>
      <c r="D12" s="58"/>
      <c r="E12" s="58"/>
      <c r="F12" s="62">
        <v>44225</v>
      </c>
      <c r="G12" s="45"/>
      <c r="H12" s="41"/>
      <c r="I12" s="41"/>
      <c r="J12" s="41"/>
      <c r="K12" s="40"/>
    </row>
    <row r="13" spans="1:11" ht="15.75" thickBo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.75" thickBot="1">
      <c r="A14" s="595" t="s">
        <v>40</v>
      </c>
      <c r="B14" s="596"/>
      <c r="C14" s="596"/>
      <c r="D14" s="596"/>
      <c r="E14" s="597"/>
      <c r="F14" s="598" t="s">
        <v>35</v>
      </c>
      <c r="G14" s="599"/>
      <c r="H14" s="599"/>
      <c r="I14" s="599"/>
      <c r="J14" s="600"/>
      <c r="K14" s="40"/>
    </row>
    <row r="15" spans="1:11" ht="15.75" thickTop="1">
      <c r="A15" s="63"/>
      <c r="B15" s="64"/>
      <c r="C15" s="64"/>
      <c r="D15" s="64"/>
      <c r="E15" s="65"/>
      <c r="F15" s="66"/>
      <c r="G15" s="67" t="s">
        <v>41</v>
      </c>
      <c r="H15" s="67" t="s">
        <v>41</v>
      </c>
      <c r="I15" s="67" t="s">
        <v>41</v>
      </c>
      <c r="J15" s="68" t="s">
        <v>41</v>
      </c>
      <c r="K15" s="40"/>
    </row>
    <row r="16" spans="1:11" ht="15.75" thickBot="1">
      <c r="A16" s="69" t="s">
        <v>4</v>
      </c>
      <c r="B16" s="70" t="s">
        <v>42</v>
      </c>
      <c r="C16" s="71" t="s">
        <v>7</v>
      </c>
      <c r="D16" s="72" t="s">
        <v>11</v>
      </c>
      <c r="E16" s="73" t="s">
        <v>12</v>
      </c>
      <c r="F16" s="74" t="s">
        <v>4</v>
      </c>
      <c r="G16" s="75" t="s">
        <v>42</v>
      </c>
      <c r="H16" s="76" t="s">
        <v>7</v>
      </c>
      <c r="I16" s="75" t="s">
        <v>11</v>
      </c>
      <c r="J16" s="77" t="s">
        <v>12</v>
      </c>
      <c r="K16" s="78"/>
    </row>
    <row r="17" spans="1:15" ht="15.75" thickTop="1">
      <c r="A17" s="79"/>
      <c r="B17" s="80"/>
      <c r="C17" s="64"/>
      <c r="D17" s="80"/>
      <c r="E17" s="65"/>
      <c r="F17" s="81"/>
      <c r="G17" s="82"/>
      <c r="H17" s="83"/>
      <c r="I17" s="82"/>
      <c r="J17" s="68"/>
      <c r="K17" s="78"/>
      <c r="O17" s="84"/>
    </row>
    <row r="18" spans="1:15">
      <c r="A18" s="79"/>
      <c r="B18" s="80"/>
      <c r="C18" s="64"/>
      <c r="D18" s="80"/>
      <c r="E18" s="65"/>
      <c r="F18" s="85"/>
      <c r="G18" s="82"/>
      <c r="H18" s="83"/>
      <c r="I18" s="86"/>
      <c r="J18" s="68"/>
      <c r="K18" s="40"/>
    </row>
    <row r="19" spans="1:15">
      <c r="A19" s="87">
        <v>44197</v>
      </c>
      <c r="B19" s="80"/>
      <c r="C19" s="88" t="s">
        <v>43</v>
      </c>
      <c r="D19" s="89">
        <f>+'[26]COMPTE PRINCIPAL 34'!H10</f>
        <v>11284555</v>
      </c>
      <c r="E19" s="90"/>
      <c r="F19" s="85">
        <f>A19</f>
        <v>44197</v>
      </c>
      <c r="G19" s="82"/>
      <c r="H19" s="91" t="s">
        <v>44</v>
      </c>
      <c r="I19" s="92"/>
      <c r="J19" s="93">
        <f>+'[26]COMPTE PRINCIPAL 34'!H10</f>
        <v>11284555</v>
      </c>
      <c r="K19" s="40"/>
    </row>
    <row r="20" spans="1:15">
      <c r="A20" s="87"/>
      <c r="B20" s="80"/>
      <c r="C20" s="88"/>
      <c r="D20" s="89"/>
      <c r="E20" s="90"/>
      <c r="F20" s="94"/>
      <c r="G20" s="95"/>
      <c r="H20" s="96"/>
      <c r="I20" s="97"/>
      <c r="J20" s="93"/>
      <c r="K20" s="40"/>
    </row>
    <row r="21" spans="1:15">
      <c r="A21" s="87"/>
      <c r="B21" s="80"/>
      <c r="C21" s="88"/>
      <c r="D21" s="89"/>
      <c r="E21" s="90"/>
      <c r="F21" s="94"/>
      <c r="G21" s="98"/>
      <c r="H21" s="96"/>
      <c r="I21" s="99"/>
      <c r="J21" s="93"/>
      <c r="K21" s="40"/>
    </row>
    <row r="22" spans="1:15">
      <c r="A22" s="87"/>
      <c r="B22" s="80"/>
      <c r="C22" s="88"/>
      <c r="D22" s="89"/>
      <c r="E22" s="90"/>
      <c r="F22" s="100"/>
      <c r="G22" s="82"/>
      <c r="H22" s="91"/>
      <c r="I22" s="92"/>
      <c r="J22" s="93"/>
      <c r="K22" s="40"/>
    </row>
    <row r="23" spans="1:15" ht="15.75" thickBot="1">
      <c r="A23" s="87"/>
      <c r="B23" s="80"/>
      <c r="C23" s="88"/>
      <c r="D23" s="89"/>
      <c r="E23" s="90"/>
      <c r="F23" s="100"/>
      <c r="G23" s="82"/>
      <c r="H23" s="91"/>
      <c r="I23" s="92"/>
      <c r="J23" s="93"/>
      <c r="K23" s="40"/>
    </row>
    <row r="24" spans="1:15" ht="15.75" thickBot="1">
      <c r="A24" s="101">
        <f>F12</f>
        <v>44225</v>
      </c>
      <c r="B24" s="80"/>
      <c r="C24" s="88" t="s">
        <v>43</v>
      </c>
      <c r="D24" s="102">
        <f>+'[26]COMPTE PRINCIPAL 34'!H20</f>
        <v>5510674</v>
      </c>
      <c r="E24" s="90"/>
      <c r="F24" s="103">
        <f>F12</f>
        <v>44225</v>
      </c>
      <c r="G24" s="82"/>
      <c r="H24" s="91" t="s">
        <v>44</v>
      </c>
      <c r="I24" s="92"/>
      <c r="J24" s="104">
        <f>+'[26]COMPTE PRINCIPAL 34'!H20</f>
        <v>5510674</v>
      </c>
      <c r="K24" s="40"/>
    </row>
    <row r="25" spans="1:15" ht="15.75" thickBot="1">
      <c r="A25" s="105"/>
      <c r="B25" s="106"/>
      <c r="C25" s="107"/>
      <c r="D25" s="106"/>
      <c r="E25" s="108"/>
      <c r="F25" s="109"/>
      <c r="G25" s="110"/>
      <c r="H25" s="111"/>
      <c r="I25" s="112"/>
      <c r="J25" s="113"/>
      <c r="K25" s="40"/>
    </row>
    <row r="26" spans="1:15">
      <c r="A26" s="41"/>
      <c r="B26" s="41"/>
      <c r="C26" s="41" t="s">
        <v>45</v>
      </c>
      <c r="D26" s="41"/>
      <c r="E26" s="114">
        <f>J24-D24</f>
        <v>0</v>
      </c>
      <c r="F26" s="115"/>
      <c r="G26" s="41"/>
      <c r="H26" s="41"/>
      <c r="I26" s="41"/>
      <c r="J26" s="41"/>
      <c r="K26" s="40"/>
    </row>
    <row r="27" spans="1:15">
      <c r="A27" s="41"/>
      <c r="B27" s="41"/>
      <c r="C27" s="41"/>
      <c r="D27" s="41"/>
      <c r="E27" s="116"/>
      <c r="F27" s="116"/>
      <c r="G27" s="41"/>
      <c r="H27" s="41"/>
      <c r="I27" s="117"/>
      <c r="J27" s="41"/>
      <c r="K27" s="40"/>
    </row>
    <row r="28" spans="1:15">
      <c r="A28" s="47"/>
      <c r="B28" s="45"/>
      <c r="C28" s="45" t="s">
        <v>46</v>
      </c>
      <c r="D28" s="47"/>
      <c r="E28" s="47"/>
      <c r="F28" s="45"/>
      <c r="G28" s="47"/>
      <c r="H28" s="45" t="s">
        <v>51</v>
      </c>
      <c r="I28" s="47"/>
      <c r="J28" s="78"/>
      <c r="K28" s="40"/>
    </row>
    <row r="29" spans="1: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0"/>
    </row>
    <row r="30" spans="1:15">
      <c r="A30" s="118"/>
      <c r="B30" s="118"/>
      <c r="C30" s="119" t="s">
        <v>47</v>
      </c>
      <c r="D30" s="118"/>
      <c r="E30" s="118"/>
      <c r="F30" s="118"/>
      <c r="G30" s="118"/>
      <c r="H30" s="119" t="s">
        <v>53</v>
      </c>
      <c r="I30" s="118"/>
      <c r="J30" s="118"/>
      <c r="K30" s="40"/>
    </row>
    <row r="31" spans="1:15">
      <c r="A31" s="118"/>
      <c r="B31" s="118"/>
      <c r="C31" s="120" t="s">
        <v>48</v>
      </c>
      <c r="D31" s="120"/>
      <c r="E31" s="120"/>
      <c r="F31" s="40"/>
      <c r="G31" s="118"/>
      <c r="H31" s="120" t="s">
        <v>48</v>
      </c>
      <c r="I31" s="118"/>
      <c r="J31" s="118"/>
      <c r="K31" s="40"/>
    </row>
  </sheetData>
  <mergeCells count="2">
    <mergeCell ref="A14:E14"/>
    <mergeCell ref="F14: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7"/>
  <sheetViews>
    <sheetView topLeftCell="A19" workbookViewId="0">
      <selection activeCell="H18" sqref="H18"/>
    </sheetView>
  </sheetViews>
  <sheetFormatPr baseColWidth="10" defaultColWidth="11.42578125" defaultRowHeight="15"/>
  <cols>
    <col min="1" max="1" width="6.85546875" style="434" customWidth="1"/>
    <col min="2" max="2" width="1.140625" style="434" customWidth="1"/>
    <col min="3" max="3" width="9.5703125" style="434" customWidth="1"/>
    <col min="4" max="4" width="51.5703125" style="434" customWidth="1"/>
    <col min="5" max="5" width="12.28515625" style="434" customWidth="1"/>
    <col min="6" max="6" width="10.140625" style="434" customWidth="1"/>
    <col min="7" max="7" width="0.5703125" style="434" customWidth="1"/>
    <col min="8" max="8" width="12.140625" style="434" customWidth="1"/>
    <col min="9" max="9" width="11.140625" style="437" customWidth="1"/>
    <col min="10" max="10" width="13.140625" style="434" customWidth="1"/>
    <col min="11" max="11" width="11.42578125" style="434"/>
    <col min="12" max="12" width="13.85546875" style="440" bestFit="1" customWidth="1"/>
    <col min="13" max="13" width="12.7109375" style="440" bestFit="1" customWidth="1"/>
    <col min="14" max="37" width="11.42578125" style="440"/>
    <col min="38" max="16384" width="11.42578125" style="434"/>
  </cols>
  <sheetData>
    <row r="1" spans="1:13">
      <c r="A1" s="313"/>
      <c r="B1" s="313"/>
      <c r="C1" s="313"/>
      <c r="D1" s="313"/>
      <c r="E1" s="313"/>
      <c r="F1" s="313"/>
      <c r="G1" s="313"/>
      <c r="H1" s="313"/>
      <c r="I1" s="314"/>
      <c r="J1" s="313"/>
      <c r="K1" s="313"/>
      <c r="L1" s="439"/>
    </row>
    <row r="2" spans="1:13">
      <c r="A2" s="315" t="s">
        <v>0</v>
      </c>
      <c r="B2" s="316"/>
      <c r="C2" s="316"/>
      <c r="D2" s="316"/>
      <c r="E2" s="316"/>
      <c r="F2" s="316"/>
      <c r="G2" s="316"/>
      <c r="H2" s="316"/>
      <c r="I2" s="317"/>
      <c r="J2" s="316"/>
      <c r="K2" s="316"/>
      <c r="L2" s="439"/>
    </row>
    <row r="3" spans="1:13">
      <c r="A3" s="318"/>
      <c r="B3" s="319" t="s">
        <v>1</v>
      </c>
      <c r="C3" s="319"/>
      <c r="D3" s="320"/>
      <c r="E3" s="320"/>
      <c r="F3" s="320"/>
      <c r="G3" s="320"/>
      <c r="H3" s="321"/>
      <c r="I3" s="322"/>
      <c r="J3" s="320"/>
      <c r="K3" s="320"/>
      <c r="L3" s="439"/>
    </row>
    <row r="4" spans="1:13">
      <c r="A4" s="318"/>
      <c r="B4" s="319" t="s">
        <v>2</v>
      </c>
      <c r="C4" s="319"/>
      <c r="D4" s="320"/>
      <c r="E4" s="320"/>
      <c r="F4" s="320"/>
      <c r="G4" s="320"/>
      <c r="H4" s="321"/>
      <c r="I4" s="322"/>
      <c r="J4" s="320"/>
      <c r="K4" s="320"/>
      <c r="L4" s="439"/>
    </row>
    <row r="5" spans="1:13">
      <c r="A5" s="318"/>
      <c r="B5" s="319" t="s">
        <v>3</v>
      </c>
      <c r="C5" s="319"/>
      <c r="D5" s="320"/>
      <c r="E5" s="320"/>
      <c r="F5" s="320"/>
      <c r="G5" s="320"/>
      <c r="H5" s="321"/>
      <c r="I5" s="322"/>
      <c r="J5" s="320"/>
      <c r="K5" s="320"/>
      <c r="L5" s="439"/>
    </row>
    <row r="6" spans="1:13">
      <c r="A6" s="318"/>
      <c r="B6" s="320"/>
      <c r="C6" s="323"/>
      <c r="D6" s="324"/>
      <c r="E6" s="324"/>
      <c r="F6" s="324"/>
      <c r="G6" s="324"/>
      <c r="H6" s="321"/>
      <c r="I6" s="322"/>
      <c r="J6" s="325"/>
      <c r="K6" s="320"/>
      <c r="L6" s="439"/>
    </row>
    <row r="7" spans="1:13">
      <c r="A7" s="318"/>
      <c r="B7" s="320"/>
      <c r="C7" s="323"/>
      <c r="D7" s="326" t="s">
        <v>423</v>
      </c>
      <c r="E7" s="326"/>
      <c r="F7" s="326"/>
      <c r="G7" s="326"/>
      <c r="H7" s="320"/>
      <c r="I7" s="327"/>
      <c r="J7" s="325"/>
      <c r="K7" s="320"/>
      <c r="L7" s="439"/>
    </row>
    <row r="8" spans="1:13">
      <c r="A8" s="316"/>
      <c r="B8" s="316"/>
      <c r="C8" s="316"/>
      <c r="D8" s="316"/>
      <c r="E8" s="316"/>
      <c r="F8" s="316"/>
      <c r="G8" s="316"/>
      <c r="H8" s="316"/>
      <c r="I8" s="317"/>
      <c r="J8" s="316"/>
      <c r="K8" s="316"/>
      <c r="L8" s="439"/>
    </row>
    <row r="9" spans="1:13" ht="29.25" customHeight="1">
      <c r="A9" s="328" t="s">
        <v>4</v>
      </c>
      <c r="B9" s="329" t="s">
        <v>5</v>
      </c>
      <c r="C9" s="330" t="s">
        <v>6</v>
      </c>
      <c r="D9" s="331" t="s">
        <v>7</v>
      </c>
      <c r="E9" s="331" t="s">
        <v>8</v>
      </c>
      <c r="F9" s="331" t="s">
        <v>9</v>
      </c>
      <c r="G9" s="332" t="s">
        <v>10</v>
      </c>
      <c r="H9" s="331" t="s">
        <v>11</v>
      </c>
      <c r="I9" s="333" t="s">
        <v>12</v>
      </c>
      <c r="J9" s="334" t="s">
        <v>13</v>
      </c>
      <c r="K9" s="335" t="s">
        <v>14</v>
      </c>
      <c r="L9" s="439"/>
    </row>
    <row r="10" spans="1:13" ht="17.25" customHeight="1">
      <c r="A10" s="391">
        <v>44197</v>
      </c>
      <c r="B10" s="392"/>
      <c r="C10" s="393"/>
      <c r="D10" s="392" t="s">
        <v>431</v>
      </c>
      <c r="E10" s="392"/>
      <c r="F10" s="392"/>
      <c r="G10" s="392"/>
      <c r="H10" s="384">
        <f>+'[27]Décembre 2020'!H36</f>
        <v>2158645</v>
      </c>
      <c r="I10" s="387"/>
      <c r="J10" s="394">
        <f>+H10</f>
        <v>2158645</v>
      </c>
      <c r="K10" s="395"/>
      <c r="L10" s="441"/>
      <c r="M10" s="442"/>
    </row>
    <row r="11" spans="1:13" ht="17.25" customHeight="1">
      <c r="A11" s="391">
        <v>44200</v>
      </c>
      <c r="B11" s="396"/>
      <c r="C11" s="476" t="s">
        <v>29</v>
      </c>
      <c r="D11" s="392" t="s">
        <v>432</v>
      </c>
      <c r="E11" s="219" t="s">
        <v>28</v>
      </c>
      <c r="F11" s="219" t="s">
        <v>21</v>
      </c>
      <c r="G11" s="392"/>
      <c r="H11" s="384"/>
      <c r="I11" s="387">
        <v>2811</v>
      </c>
      <c r="J11" s="394">
        <f>+J10+H11-I11</f>
        <v>2155834</v>
      </c>
      <c r="K11" s="395"/>
      <c r="L11" s="441"/>
      <c r="M11" s="442"/>
    </row>
    <row r="12" spans="1:13" ht="17.25" customHeight="1">
      <c r="A12" s="391">
        <v>44207</v>
      </c>
      <c r="B12" s="396"/>
      <c r="C12" s="476">
        <v>3643397</v>
      </c>
      <c r="D12" s="397" t="s">
        <v>433</v>
      </c>
      <c r="E12" s="390" t="s">
        <v>15</v>
      </c>
      <c r="F12" s="390" t="s">
        <v>18</v>
      </c>
      <c r="G12" s="392"/>
      <c r="H12" s="384"/>
      <c r="I12" s="387">
        <v>1181285</v>
      </c>
      <c r="J12" s="394">
        <f t="shared" ref="J12:J33" si="0">+J11+H12-I12</f>
        <v>974549</v>
      </c>
      <c r="K12" s="395"/>
      <c r="L12" s="441"/>
      <c r="M12" s="442"/>
    </row>
    <row r="13" spans="1:13" ht="17.25" customHeight="1">
      <c r="A13" s="391">
        <v>44207</v>
      </c>
      <c r="B13" s="396"/>
      <c r="C13" s="476" t="s">
        <v>161</v>
      </c>
      <c r="D13" s="397" t="s">
        <v>233</v>
      </c>
      <c r="E13" s="248" t="s">
        <v>17</v>
      </c>
      <c r="F13" s="337" t="s">
        <v>18</v>
      </c>
      <c r="G13" s="392"/>
      <c r="H13" s="387"/>
      <c r="I13" s="384">
        <v>500000</v>
      </c>
      <c r="J13" s="394">
        <f t="shared" si="0"/>
        <v>474549</v>
      </c>
      <c r="K13" s="395"/>
      <c r="L13" s="441"/>
      <c r="M13" s="442"/>
    </row>
    <row r="14" spans="1:13" ht="17.25" customHeight="1">
      <c r="A14" s="391">
        <v>44207</v>
      </c>
      <c r="B14" s="396"/>
      <c r="C14" s="476" t="s">
        <v>29</v>
      </c>
      <c r="D14" s="397" t="s">
        <v>434</v>
      </c>
      <c r="E14" s="219" t="s">
        <v>28</v>
      </c>
      <c r="F14" s="219" t="s">
        <v>21</v>
      </c>
      <c r="G14" s="392"/>
      <c r="H14" s="387"/>
      <c r="I14" s="384">
        <v>5000</v>
      </c>
      <c r="J14" s="394">
        <f t="shared" si="0"/>
        <v>469549</v>
      </c>
      <c r="K14" s="395"/>
      <c r="L14" s="441"/>
      <c r="M14" s="442"/>
    </row>
    <row r="15" spans="1:13" ht="17.25" customHeight="1">
      <c r="A15" s="391">
        <v>44208</v>
      </c>
      <c r="B15" s="396"/>
      <c r="C15" s="476">
        <v>3643398</v>
      </c>
      <c r="D15" s="397" t="s">
        <v>234</v>
      </c>
      <c r="E15" s="399" t="s">
        <v>218</v>
      </c>
      <c r="F15" s="399" t="s">
        <v>16</v>
      </c>
      <c r="G15" s="392"/>
      <c r="H15" s="387"/>
      <c r="I15" s="384">
        <v>200000</v>
      </c>
      <c r="J15" s="394">
        <f t="shared" si="0"/>
        <v>269549</v>
      </c>
      <c r="K15" s="395"/>
      <c r="L15" s="441"/>
      <c r="M15" s="442"/>
    </row>
    <row r="16" spans="1:13" ht="17.25" customHeight="1">
      <c r="A16" s="391">
        <v>44214</v>
      </c>
      <c r="B16" s="396"/>
      <c r="C16" s="476">
        <v>3643399</v>
      </c>
      <c r="D16" s="397" t="s">
        <v>235</v>
      </c>
      <c r="E16" s="256" t="s">
        <v>218</v>
      </c>
      <c r="F16" s="336" t="s">
        <v>16</v>
      </c>
      <c r="G16" s="396"/>
      <c r="H16" s="398"/>
      <c r="I16" s="384">
        <v>200000</v>
      </c>
      <c r="J16" s="394">
        <f t="shared" si="0"/>
        <v>69549</v>
      </c>
      <c r="K16" s="395"/>
      <c r="L16" s="441"/>
      <c r="M16" s="442"/>
    </row>
    <row r="17" spans="1:16" ht="17.25" customHeight="1">
      <c r="A17" s="391">
        <v>44214</v>
      </c>
      <c r="B17" s="396"/>
      <c r="C17" s="476" t="s">
        <v>29</v>
      </c>
      <c r="D17" s="397" t="s">
        <v>236</v>
      </c>
      <c r="E17" s="248"/>
      <c r="F17" s="337"/>
      <c r="G17" s="396"/>
      <c r="H17" s="398">
        <v>2495917</v>
      </c>
      <c r="I17" s="384"/>
      <c r="J17" s="394">
        <f t="shared" si="0"/>
        <v>2565466</v>
      </c>
      <c r="K17" s="395"/>
      <c r="L17" s="441"/>
      <c r="M17" s="442"/>
    </row>
    <row r="18" spans="1:16" ht="17.25" customHeight="1">
      <c r="A18" s="391">
        <v>44214</v>
      </c>
      <c r="B18" s="396"/>
      <c r="C18" s="476" t="s">
        <v>29</v>
      </c>
      <c r="D18" s="397" t="s">
        <v>237</v>
      </c>
      <c r="E18" s="256"/>
      <c r="F18" s="336"/>
      <c r="G18" s="396"/>
      <c r="H18" s="398">
        <v>12940063</v>
      </c>
      <c r="I18" s="384"/>
      <c r="J18" s="394">
        <f t="shared" si="0"/>
        <v>15505529</v>
      </c>
      <c r="K18" s="395"/>
      <c r="L18" s="441"/>
      <c r="M18" s="442"/>
    </row>
    <row r="19" spans="1:16" ht="17.25" customHeight="1">
      <c r="A19" s="391">
        <v>44215</v>
      </c>
      <c r="B19" s="396"/>
      <c r="C19" s="476">
        <v>3643400</v>
      </c>
      <c r="D19" s="397" t="s">
        <v>238</v>
      </c>
      <c r="E19" s="256" t="s">
        <v>15</v>
      </c>
      <c r="F19" s="336" t="s">
        <v>19</v>
      </c>
      <c r="G19" s="396"/>
      <c r="H19" s="398"/>
      <c r="I19" s="384">
        <v>1310000</v>
      </c>
      <c r="J19" s="394">
        <f t="shared" si="0"/>
        <v>14195529</v>
      </c>
      <c r="K19" s="395"/>
      <c r="L19" s="441"/>
      <c r="M19" s="442"/>
    </row>
    <row r="20" spans="1:16" ht="17.25" customHeight="1">
      <c r="A20" s="391">
        <v>44216</v>
      </c>
      <c r="B20" s="396"/>
      <c r="C20" s="476">
        <v>3643401</v>
      </c>
      <c r="D20" s="397" t="s">
        <v>239</v>
      </c>
      <c r="E20" s="399" t="s">
        <v>218</v>
      </c>
      <c r="F20" s="399" t="s">
        <v>16</v>
      </c>
      <c r="G20" s="396"/>
      <c r="H20" s="398"/>
      <c r="I20" s="384">
        <v>200000</v>
      </c>
      <c r="J20" s="394">
        <f t="shared" si="0"/>
        <v>13995529</v>
      </c>
      <c r="K20" s="395"/>
      <c r="L20" s="441"/>
      <c r="M20" s="442"/>
    </row>
    <row r="21" spans="1:16" ht="17.25" customHeight="1">
      <c r="A21" s="391">
        <v>44221</v>
      </c>
      <c r="B21" s="396"/>
      <c r="C21" s="476">
        <v>3643402</v>
      </c>
      <c r="D21" s="443" t="s">
        <v>435</v>
      </c>
      <c r="E21" s="390" t="s">
        <v>20</v>
      </c>
      <c r="F21" s="337" t="s">
        <v>21</v>
      </c>
      <c r="G21" s="396"/>
      <c r="H21" s="398"/>
      <c r="I21" s="384">
        <v>188000</v>
      </c>
      <c r="J21" s="394">
        <f t="shared" si="0"/>
        <v>13807529</v>
      </c>
      <c r="K21" s="395"/>
      <c r="L21" s="441"/>
      <c r="M21" s="442"/>
    </row>
    <row r="22" spans="1:16" ht="17.25" customHeight="1">
      <c r="A22" s="391">
        <v>44221</v>
      </c>
      <c r="B22" s="396"/>
      <c r="C22" s="476">
        <v>3643403</v>
      </c>
      <c r="D22" s="443" t="s">
        <v>436</v>
      </c>
      <c r="E22" s="390" t="s">
        <v>20</v>
      </c>
      <c r="F22" s="337" t="s">
        <v>21</v>
      </c>
      <c r="G22" s="396"/>
      <c r="H22" s="398"/>
      <c r="I22" s="384">
        <v>188000</v>
      </c>
      <c r="J22" s="394">
        <f t="shared" si="0"/>
        <v>13619529</v>
      </c>
      <c r="K22" s="395"/>
      <c r="L22" s="441"/>
      <c r="M22" s="442"/>
    </row>
    <row r="23" spans="1:16" ht="17.25" customHeight="1">
      <c r="A23" s="391">
        <v>44221</v>
      </c>
      <c r="B23" s="396"/>
      <c r="C23" s="476">
        <v>3643404</v>
      </c>
      <c r="D23" s="397" t="s">
        <v>240</v>
      </c>
      <c r="E23" s="390" t="s">
        <v>15</v>
      </c>
      <c r="F23" s="336" t="s">
        <v>180</v>
      </c>
      <c r="G23" s="396"/>
      <c r="H23" s="398"/>
      <c r="I23" s="384">
        <v>191000</v>
      </c>
      <c r="J23" s="394">
        <f t="shared" si="0"/>
        <v>13428529</v>
      </c>
      <c r="K23" s="395"/>
      <c r="L23" s="441"/>
      <c r="M23" s="442"/>
    </row>
    <row r="24" spans="1:16" ht="17.25" customHeight="1">
      <c r="A24" s="391">
        <v>44221</v>
      </c>
      <c r="B24" s="396"/>
      <c r="C24" s="476">
        <v>3643405</v>
      </c>
      <c r="D24" s="397" t="s">
        <v>241</v>
      </c>
      <c r="E24" s="390" t="s">
        <v>15</v>
      </c>
      <c r="F24" s="337" t="s">
        <v>16</v>
      </c>
      <c r="G24" s="396"/>
      <c r="H24" s="398"/>
      <c r="I24" s="384">
        <v>308000</v>
      </c>
      <c r="J24" s="394">
        <f t="shared" si="0"/>
        <v>13120529</v>
      </c>
      <c r="K24" s="395"/>
      <c r="L24" s="441"/>
      <c r="M24" s="442"/>
    </row>
    <row r="25" spans="1:16" ht="17.25" customHeight="1">
      <c r="A25" s="391">
        <v>44221</v>
      </c>
      <c r="B25" s="396"/>
      <c r="C25" s="476">
        <v>3643406</v>
      </c>
      <c r="D25" s="397" t="s">
        <v>242</v>
      </c>
      <c r="E25" s="256" t="s">
        <v>15</v>
      </c>
      <c r="F25" s="336" t="s">
        <v>16</v>
      </c>
      <c r="G25" s="396"/>
      <c r="H25" s="398"/>
      <c r="I25" s="384">
        <v>193600</v>
      </c>
      <c r="J25" s="394">
        <f t="shared" si="0"/>
        <v>12926929</v>
      </c>
      <c r="K25" s="395"/>
      <c r="L25" s="441"/>
      <c r="M25" s="442"/>
    </row>
    <row r="26" spans="1:16" ht="17.25" customHeight="1">
      <c r="A26" s="391">
        <v>44221</v>
      </c>
      <c r="B26" s="396"/>
      <c r="C26" s="476">
        <v>3643407</v>
      </c>
      <c r="D26" s="397" t="s">
        <v>243</v>
      </c>
      <c r="E26" s="248" t="s">
        <v>15</v>
      </c>
      <c r="F26" s="337" t="s">
        <v>16</v>
      </c>
      <c r="G26" s="396"/>
      <c r="H26" s="398"/>
      <c r="I26" s="400">
        <v>193600</v>
      </c>
      <c r="J26" s="394">
        <f t="shared" si="0"/>
        <v>12733329</v>
      </c>
      <c r="K26" s="395"/>
      <c r="L26" s="441"/>
      <c r="M26" s="442"/>
    </row>
    <row r="27" spans="1:16" ht="17.25" customHeight="1">
      <c r="A27" s="391">
        <v>44221</v>
      </c>
      <c r="B27" s="396"/>
      <c r="C27" s="476">
        <v>3643408</v>
      </c>
      <c r="D27" s="397" t="s">
        <v>244</v>
      </c>
      <c r="E27" s="399" t="s">
        <v>15</v>
      </c>
      <c r="F27" s="399" t="s">
        <v>16</v>
      </c>
      <c r="G27" s="396"/>
      <c r="H27" s="398"/>
      <c r="I27" s="384">
        <v>356500</v>
      </c>
      <c r="J27" s="394">
        <f t="shared" si="0"/>
        <v>12376829</v>
      </c>
      <c r="K27" s="395"/>
      <c r="L27" s="441"/>
      <c r="M27" s="442"/>
    </row>
    <row r="28" spans="1:16" ht="17.25" customHeight="1">
      <c r="A28" s="391">
        <v>44221</v>
      </c>
      <c r="B28" s="396"/>
      <c r="C28" s="476">
        <v>3643409</v>
      </c>
      <c r="D28" s="397" t="s">
        <v>245</v>
      </c>
      <c r="E28" s="256" t="s">
        <v>15</v>
      </c>
      <c r="F28" s="336" t="s">
        <v>19</v>
      </c>
      <c r="G28" s="396"/>
      <c r="H28" s="398"/>
      <c r="I28" s="384">
        <v>400000</v>
      </c>
      <c r="J28" s="394">
        <f t="shared" si="0"/>
        <v>11976829</v>
      </c>
      <c r="K28" s="395"/>
      <c r="L28" s="441"/>
      <c r="M28" s="442"/>
    </row>
    <row r="29" spans="1:16" ht="17.25" customHeight="1">
      <c r="A29" s="391">
        <v>44221</v>
      </c>
      <c r="B29" s="396"/>
      <c r="C29" s="476">
        <v>3643410</v>
      </c>
      <c r="D29" s="397" t="s">
        <v>246</v>
      </c>
      <c r="E29" s="248" t="s">
        <v>15</v>
      </c>
      <c r="F29" s="337" t="s">
        <v>19</v>
      </c>
      <c r="G29" s="396"/>
      <c r="H29" s="398"/>
      <c r="I29" s="384">
        <v>275000</v>
      </c>
      <c r="J29" s="394">
        <f t="shared" si="0"/>
        <v>11701829</v>
      </c>
      <c r="K29" s="395"/>
      <c r="L29" s="441"/>
      <c r="M29" s="442"/>
      <c r="P29" s="440" t="s">
        <v>41</v>
      </c>
    </row>
    <row r="30" spans="1:16" ht="17.25" customHeight="1">
      <c r="A30" s="391">
        <v>44221</v>
      </c>
      <c r="B30" s="396"/>
      <c r="C30" s="476" t="s">
        <v>161</v>
      </c>
      <c r="D30" s="397" t="s">
        <v>247</v>
      </c>
      <c r="E30" s="390" t="s">
        <v>15</v>
      </c>
      <c r="F30" s="390" t="s">
        <v>16</v>
      </c>
      <c r="G30" s="396"/>
      <c r="H30" s="398"/>
      <c r="I30" s="384">
        <v>326000</v>
      </c>
      <c r="J30" s="394">
        <f t="shared" si="0"/>
        <v>11375829</v>
      </c>
      <c r="K30" s="395"/>
      <c r="L30" s="441"/>
      <c r="M30" s="442"/>
    </row>
    <row r="31" spans="1:16" ht="17.25" customHeight="1">
      <c r="A31" s="391">
        <v>44221</v>
      </c>
      <c r="B31" s="396"/>
      <c r="C31" s="476" t="s">
        <v>161</v>
      </c>
      <c r="D31" s="397" t="s">
        <v>248</v>
      </c>
      <c r="E31" s="390" t="s">
        <v>15</v>
      </c>
      <c r="F31" s="337" t="s">
        <v>77</v>
      </c>
      <c r="G31" s="396"/>
      <c r="H31" s="398"/>
      <c r="I31" s="384">
        <v>171500</v>
      </c>
      <c r="J31" s="394">
        <f t="shared" si="0"/>
        <v>11204329</v>
      </c>
      <c r="K31" s="395"/>
      <c r="L31" s="441"/>
      <c r="M31" s="442"/>
    </row>
    <row r="32" spans="1:16" ht="17.25" customHeight="1">
      <c r="A32" s="391">
        <v>44222</v>
      </c>
      <c r="B32" s="396"/>
      <c r="C32" s="476" t="s">
        <v>29</v>
      </c>
      <c r="D32" s="355" t="s">
        <v>434</v>
      </c>
      <c r="E32" s="219" t="s">
        <v>28</v>
      </c>
      <c r="F32" s="219" t="s">
        <v>21</v>
      </c>
      <c r="G32" s="396"/>
      <c r="H32" s="398"/>
      <c r="I32" s="384">
        <v>10665</v>
      </c>
      <c r="J32" s="394">
        <f t="shared" si="0"/>
        <v>11193664</v>
      </c>
      <c r="K32" s="395"/>
      <c r="L32" s="441"/>
      <c r="M32" s="442"/>
    </row>
    <row r="33" spans="1:13" ht="17.25" customHeight="1">
      <c r="A33" s="391"/>
      <c r="B33" s="396"/>
      <c r="C33" s="476"/>
      <c r="D33" s="443"/>
      <c r="E33" s="390"/>
      <c r="F33" s="337"/>
      <c r="G33" s="396"/>
      <c r="H33" s="398"/>
      <c r="I33" s="384"/>
      <c r="J33" s="394">
        <f t="shared" si="0"/>
        <v>11193664</v>
      </c>
      <c r="K33" s="395"/>
      <c r="L33" s="441"/>
      <c r="M33" s="442"/>
    </row>
    <row r="34" spans="1:13" s="440" customFormat="1">
      <c r="A34" s="477"/>
      <c r="B34" s="477"/>
      <c r="C34" s="478" t="s">
        <v>437</v>
      </c>
      <c r="D34" s="479"/>
      <c r="E34" s="478"/>
      <c r="F34" s="478"/>
      <c r="G34" s="478"/>
      <c r="H34" s="480">
        <f>SUM(H10:H33)</f>
        <v>17594625</v>
      </c>
      <c r="I34" s="481"/>
      <c r="J34" s="482"/>
      <c r="K34" s="401"/>
      <c r="L34" s="439"/>
    </row>
    <row r="35" spans="1:13" s="440" customFormat="1">
      <c r="A35" s="316"/>
      <c r="B35" s="316"/>
      <c r="C35" s="478" t="s">
        <v>22</v>
      </c>
      <c r="D35" s="483"/>
      <c r="E35" s="484"/>
      <c r="F35" s="484"/>
      <c r="G35" s="484"/>
      <c r="H35" s="484"/>
      <c r="I35" s="485">
        <f>SUM(I10:I34)</f>
        <v>6400961</v>
      </c>
      <c r="J35" s="316"/>
      <c r="K35" s="316"/>
      <c r="L35" s="439"/>
    </row>
    <row r="36" spans="1:13" s="440" customFormat="1" ht="23.25" customHeight="1">
      <c r="A36" s="316"/>
      <c r="B36" s="316"/>
      <c r="C36" s="486" t="s">
        <v>23</v>
      </c>
      <c r="D36" s="484"/>
      <c r="E36" s="486"/>
      <c r="F36" s="486"/>
      <c r="G36" s="486"/>
      <c r="H36" s="487">
        <f>+H34-I35</f>
        <v>11193664</v>
      </c>
      <c r="I36" s="488"/>
      <c r="J36" s="316"/>
      <c r="K36" s="316"/>
      <c r="L36" s="441"/>
    </row>
    <row r="37" spans="1:13" s="440" customFormat="1">
      <c r="A37" s="313"/>
      <c r="B37" s="313"/>
      <c r="C37" s="313"/>
      <c r="D37" s="489"/>
      <c r="E37" s="313"/>
      <c r="F37" s="313"/>
      <c r="G37" s="313"/>
      <c r="H37" s="313"/>
      <c r="I37" s="314"/>
      <c r="J37" s="441"/>
      <c r="K37" s="444"/>
      <c r="L37" s="439"/>
      <c r="M37" s="445"/>
    </row>
    <row r="38" spans="1:13" s="440" customFormat="1">
      <c r="A38" s="434"/>
      <c r="B38" s="434"/>
      <c r="C38" s="434"/>
      <c r="D38" s="490"/>
      <c r="E38" s="490"/>
      <c r="F38" s="490"/>
      <c r="G38" s="434"/>
      <c r="H38" s="434"/>
      <c r="I38" s="437"/>
      <c r="J38" s="442"/>
      <c r="K38" s="434"/>
    </row>
    <row r="39" spans="1:13" s="440" customFormat="1">
      <c r="A39" s="434"/>
      <c r="B39" s="434"/>
      <c r="C39" s="434"/>
      <c r="D39" s="434"/>
      <c r="E39" s="434"/>
      <c r="F39" s="434"/>
      <c r="G39" s="434"/>
      <c r="H39" s="434"/>
      <c r="I39" s="437"/>
      <c r="J39" s="442"/>
      <c r="K39" s="434"/>
    </row>
    <row r="40" spans="1:13" s="440" customFormat="1">
      <c r="A40" s="434"/>
      <c r="B40" s="434"/>
      <c r="C40" s="434"/>
      <c r="D40" s="434"/>
      <c r="E40" s="434"/>
      <c r="F40" s="434"/>
      <c r="G40" s="434"/>
      <c r="H40" s="434"/>
      <c r="I40" s="437"/>
      <c r="J40" s="442"/>
      <c r="K40" s="434"/>
    </row>
    <row r="41" spans="1:13" s="440" customFormat="1">
      <c r="A41" s="434"/>
      <c r="B41" s="434"/>
      <c r="C41" s="434"/>
      <c r="D41" s="434"/>
      <c r="E41" s="434"/>
      <c r="F41" s="434"/>
      <c r="G41" s="434"/>
      <c r="H41" s="434"/>
      <c r="I41" s="437"/>
      <c r="J41" s="442"/>
      <c r="K41" s="434"/>
    </row>
    <row r="42" spans="1:13" s="440" customFormat="1">
      <c r="A42" s="434"/>
      <c r="B42" s="434"/>
      <c r="C42" s="434"/>
      <c r="D42" s="434"/>
      <c r="E42" s="434"/>
      <c r="F42" s="434"/>
      <c r="G42" s="434"/>
      <c r="H42" s="434"/>
      <c r="I42" s="437"/>
      <c r="J42" s="442"/>
      <c r="K42" s="434"/>
    </row>
    <row r="43" spans="1:13" s="440" customFormat="1">
      <c r="A43" s="434"/>
      <c r="B43" s="434"/>
      <c r="C43" s="434"/>
      <c r="D43" s="434"/>
      <c r="E43" s="434"/>
      <c r="F43" s="434"/>
      <c r="G43" s="434"/>
      <c r="H43" s="434"/>
      <c r="I43" s="437"/>
      <c r="J43" s="442"/>
      <c r="K43" s="434"/>
    </row>
    <row r="44" spans="1:13" s="440" customFormat="1">
      <c r="A44" s="434"/>
      <c r="B44" s="434"/>
      <c r="C44" s="434"/>
      <c r="D44" s="434"/>
      <c r="E44" s="434"/>
      <c r="F44" s="434"/>
      <c r="G44" s="434"/>
      <c r="H44" s="434"/>
      <c r="I44" s="437"/>
      <c r="J44" s="442"/>
      <c r="K44" s="434"/>
    </row>
    <row r="45" spans="1:13" s="440" customFormat="1">
      <c r="A45" s="434"/>
      <c r="B45" s="434"/>
      <c r="C45" s="434"/>
      <c r="D45" s="434"/>
      <c r="E45" s="434"/>
      <c r="F45" s="434"/>
      <c r="G45" s="434"/>
      <c r="H45" s="434"/>
      <c r="I45" s="437"/>
      <c r="J45" s="442"/>
      <c r="K45" s="434"/>
    </row>
    <row r="46" spans="1:13">
      <c r="J46" s="442"/>
    </row>
    <row r="47" spans="1:13">
      <c r="J47" s="4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topLeftCell="A11" workbookViewId="0">
      <selection activeCell="D33" sqref="D33"/>
    </sheetView>
  </sheetViews>
  <sheetFormatPr baseColWidth="10" defaultColWidth="11.42578125" defaultRowHeight="15"/>
  <cols>
    <col min="3" max="3" width="42.85546875" customWidth="1"/>
    <col min="7" max="7" width="10.28515625" customWidth="1"/>
    <col min="8" max="8" width="42.28515625" customWidth="1"/>
    <col min="9" max="9" width="14.42578125" bestFit="1" customWidth="1"/>
  </cols>
  <sheetData>
    <row r="1" spans="1:11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>
      <c r="A2" s="39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>
      <c r="A4" s="40"/>
      <c r="B4" s="41"/>
      <c r="C4" s="41"/>
      <c r="D4" s="41"/>
      <c r="E4" s="41"/>
      <c r="F4" s="41"/>
      <c r="G4" s="41"/>
      <c r="H4" s="41"/>
      <c r="I4" s="40"/>
      <c r="J4" s="41"/>
      <c r="K4" s="40"/>
    </row>
    <row r="5" spans="1:11">
      <c r="A5" s="42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3"/>
    </row>
    <row r="6" spans="1:11">
      <c r="A6" s="44" t="s">
        <v>33</v>
      </c>
      <c r="B6" s="45" t="s">
        <v>34</v>
      </c>
      <c r="C6" s="45"/>
      <c r="D6" s="46"/>
      <c r="E6" s="45"/>
      <c r="F6" s="45"/>
      <c r="G6" s="45"/>
      <c r="H6" s="41"/>
      <c r="I6" s="41"/>
      <c r="J6" s="41"/>
      <c r="K6" s="40"/>
    </row>
    <row r="7" spans="1:11">
      <c r="A7" s="45"/>
      <c r="B7" s="45"/>
      <c r="C7" s="45"/>
      <c r="D7" s="45"/>
      <c r="E7" s="45"/>
      <c r="F7" s="45"/>
      <c r="G7" s="45"/>
      <c r="H7" s="41"/>
      <c r="I7" s="41"/>
      <c r="J7" s="41"/>
      <c r="K7" s="40"/>
    </row>
    <row r="8" spans="1:11">
      <c r="A8" s="47"/>
      <c r="B8" s="45"/>
      <c r="C8" s="45"/>
      <c r="D8" s="45"/>
      <c r="E8" s="45"/>
      <c r="F8" s="45"/>
      <c r="G8" s="45"/>
      <c r="H8" s="48" t="s">
        <v>35</v>
      </c>
      <c r="I8" s="49"/>
      <c r="J8" s="50"/>
      <c r="K8" s="40"/>
    </row>
    <row r="9" spans="1:11">
      <c r="A9" s="47"/>
      <c r="B9" s="45"/>
      <c r="C9" s="45"/>
      <c r="D9" s="45"/>
      <c r="E9" s="45"/>
      <c r="F9" s="45"/>
      <c r="G9" s="45"/>
      <c r="H9" s="51" t="s">
        <v>1</v>
      </c>
      <c r="I9" s="52"/>
      <c r="J9" s="53"/>
      <c r="K9" s="40"/>
    </row>
    <row r="10" spans="1:11">
      <c r="A10" s="45"/>
      <c r="B10" s="45"/>
      <c r="C10" s="45"/>
      <c r="D10" s="45"/>
      <c r="E10" s="45"/>
      <c r="F10" s="45"/>
      <c r="G10" s="41"/>
      <c r="H10" s="54" t="s">
        <v>2</v>
      </c>
      <c r="I10" s="55"/>
      <c r="J10" s="56"/>
      <c r="K10" s="40"/>
    </row>
    <row r="11" spans="1:11">
      <c r="A11" s="40"/>
      <c r="B11" s="57" t="s">
        <v>36</v>
      </c>
      <c r="C11" s="58"/>
      <c r="D11" s="58"/>
      <c r="E11" s="58"/>
      <c r="F11" s="58"/>
      <c r="G11" s="58"/>
      <c r="H11" s="59" t="s">
        <v>37</v>
      </c>
      <c r="I11" s="60" t="s">
        <v>38</v>
      </c>
      <c r="J11" s="61"/>
      <c r="K11" s="40"/>
    </row>
    <row r="12" spans="1:11">
      <c r="A12" s="40"/>
      <c r="B12" s="57" t="s">
        <v>39</v>
      </c>
      <c r="C12" s="58"/>
      <c r="D12" s="58"/>
      <c r="E12" s="58"/>
      <c r="F12" s="62">
        <v>44225</v>
      </c>
      <c r="G12" s="45"/>
      <c r="H12" s="41"/>
      <c r="I12" s="41"/>
      <c r="J12" s="41"/>
      <c r="K12" s="40"/>
    </row>
    <row r="13" spans="1:11" ht="15.75" thickBo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.75" thickBot="1">
      <c r="A14" s="595" t="s">
        <v>40</v>
      </c>
      <c r="B14" s="596"/>
      <c r="C14" s="596"/>
      <c r="D14" s="596"/>
      <c r="E14" s="597"/>
      <c r="F14" s="598" t="s">
        <v>35</v>
      </c>
      <c r="G14" s="599"/>
      <c r="H14" s="599"/>
      <c r="I14" s="599"/>
      <c r="J14" s="600"/>
      <c r="K14" s="40"/>
    </row>
    <row r="15" spans="1:11" ht="15.75" thickTop="1">
      <c r="A15" s="63"/>
      <c r="B15" s="64"/>
      <c r="C15" s="64"/>
      <c r="D15" s="64"/>
      <c r="E15" s="65"/>
      <c r="F15" s="66"/>
      <c r="G15" s="67" t="s">
        <v>41</v>
      </c>
      <c r="H15" s="67" t="s">
        <v>41</v>
      </c>
      <c r="I15" s="67" t="s">
        <v>41</v>
      </c>
      <c r="J15" s="68" t="s">
        <v>41</v>
      </c>
      <c r="K15" s="40"/>
    </row>
    <row r="16" spans="1:11" ht="15.75" thickBot="1">
      <c r="A16" s="69" t="s">
        <v>4</v>
      </c>
      <c r="B16" s="70" t="s">
        <v>42</v>
      </c>
      <c r="C16" s="71" t="s">
        <v>7</v>
      </c>
      <c r="D16" s="221" t="s">
        <v>11</v>
      </c>
      <c r="E16" s="73" t="s">
        <v>12</v>
      </c>
      <c r="F16" s="222" t="s">
        <v>4</v>
      </c>
      <c r="G16" s="223" t="s">
        <v>42</v>
      </c>
      <c r="H16" s="76" t="s">
        <v>7</v>
      </c>
      <c r="I16" s="223" t="s">
        <v>11</v>
      </c>
      <c r="J16" s="77" t="s">
        <v>12</v>
      </c>
      <c r="K16" s="78"/>
    </row>
    <row r="17" spans="1:11" ht="15.75" thickTop="1">
      <c r="A17" s="79"/>
      <c r="B17" s="80"/>
      <c r="C17" s="64"/>
      <c r="D17" s="224"/>
      <c r="E17" s="64"/>
      <c r="F17" s="225"/>
      <c r="G17" s="226"/>
      <c r="H17" s="83"/>
      <c r="I17" s="226"/>
      <c r="J17" s="68"/>
      <c r="K17" s="78"/>
    </row>
    <row r="18" spans="1:11">
      <c r="A18" s="79"/>
      <c r="B18" s="80"/>
      <c r="C18" s="64"/>
      <c r="D18" s="80"/>
      <c r="E18" s="64"/>
      <c r="F18" s="227"/>
      <c r="G18" s="82"/>
      <c r="H18" s="83"/>
      <c r="I18" s="86"/>
      <c r="J18" s="68"/>
      <c r="K18" s="40"/>
    </row>
    <row r="19" spans="1:11">
      <c r="A19" s="87">
        <v>44197</v>
      </c>
      <c r="B19" s="80"/>
      <c r="C19" s="88" t="s">
        <v>43</v>
      </c>
      <c r="D19" s="89">
        <f>+'[26]SOUS COMPTE BCI 56'!H10</f>
        <v>2158645</v>
      </c>
      <c r="E19" s="123"/>
      <c r="F19" s="227">
        <f>+A19</f>
        <v>44197</v>
      </c>
      <c r="G19" s="82"/>
      <c r="H19" s="83" t="s">
        <v>44</v>
      </c>
      <c r="I19" s="92"/>
      <c r="J19" s="93">
        <f>+'[26]SOUS COMPTE BCI 56'!H10</f>
        <v>2158645</v>
      </c>
      <c r="K19" s="40"/>
    </row>
    <row r="20" spans="1:11">
      <c r="A20" s="491">
        <v>44225</v>
      </c>
      <c r="B20" s="492">
        <v>3643411</v>
      </c>
      <c r="C20" s="493" t="s">
        <v>438</v>
      </c>
      <c r="D20" s="494"/>
      <c r="E20" s="342">
        <v>400000</v>
      </c>
      <c r="F20" s="229"/>
      <c r="G20" s="230"/>
      <c r="H20" s="228"/>
      <c r="I20" s="231"/>
      <c r="J20" s="93"/>
      <c r="K20" s="40"/>
    </row>
    <row r="21" spans="1:11">
      <c r="A21" s="338"/>
      <c r="B21" s="339"/>
      <c r="C21" s="340"/>
      <c r="D21" s="341"/>
      <c r="E21" s="342"/>
      <c r="F21" s="229"/>
      <c r="G21" s="230"/>
      <c r="H21" s="228"/>
      <c r="I21" s="231"/>
      <c r="J21" s="93"/>
      <c r="K21" s="40"/>
    </row>
    <row r="22" spans="1:11">
      <c r="A22" s="87"/>
      <c r="B22" s="80"/>
      <c r="C22" s="88"/>
      <c r="D22" s="89"/>
      <c r="E22" s="123"/>
      <c r="F22" s="227"/>
      <c r="G22" s="82"/>
      <c r="H22" s="83"/>
      <c r="I22" s="92"/>
      <c r="J22" s="93"/>
      <c r="K22" s="40"/>
    </row>
    <row r="23" spans="1:11" ht="15.75" thickBot="1">
      <c r="A23" s="87"/>
      <c r="B23" s="80"/>
      <c r="C23" s="88"/>
      <c r="D23" s="232"/>
      <c r="E23" s="123"/>
      <c r="F23" s="227"/>
      <c r="G23" s="82"/>
      <c r="H23" s="83"/>
      <c r="I23" s="92"/>
      <c r="J23" s="93"/>
      <c r="K23" s="40"/>
    </row>
    <row r="24" spans="1:11" ht="15.75" thickBot="1">
      <c r="A24" s="101">
        <f>F12</f>
        <v>44225</v>
      </c>
      <c r="B24" s="80"/>
      <c r="C24" s="88" t="s">
        <v>43</v>
      </c>
      <c r="D24" s="233">
        <v>10793664</v>
      </c>
      <c r="E24" s="123"/>
      <c r="F24" s="234">
        <f>F12</f>
        <v>44225</v>
      </c>
      <c r="G24" s="82"/>
      <c r="H24" s="83" t="s">
        <v>44</v>
      </c>
      <c r="I24" s="92"/>
      <c r="J24" s="235">
        <f>+'[26]SOUS COMPTE BCI 56'!H33</f>
        <v>11193664</v>
      </c>
      <c r="K24" s="40"/>
    </row>
    <row r="25" spans="1:11" ht="15.75" thickBot="1">
      <c r="A25" s="105"/>
      <c r="B25" s="106"/>
      <c r="C25" s="107"/>
      <c r="D25" s="106"/>
      <c r="E25" s="236"/>
      <c r="F25" s="237"/>
      <c r="G25" s="238"/>
      <c r="H25" s="111"/>
      <c r="I25" s="239"/>
      <c r="J25" s="113"/>
      <c r="K25" s="40"/>
    </row>
    <row r="26" spans="1:11">
      <c r="A26" s="122"/>
      <c r="B26" s="64"/>
      <c r="C26" s="88" t="s">
        <v>49</v>
      </c>
      <c r="D26" s="64"/>
      <c r="E26" s="123">
        <f>+E20</f>
        <v>400000</v>
      </c>
      <c r="F26" s="124"/>
      <c r="G26" s="67"/>
      <c r="H26" s="83"/>
      <c r="I26" s="125"/>
      <c r="J26" s="67"/>
      <c r="K26" s="40"/>
    </row>
    <row r="27" spans="1:11">
      <c r="A27" s="41"/>
      <c r="B27" s="41"/>
      <c r="C27" s="41" t="s">
        <v>45</v>
      </c>
      <c r="D27" s="41"/>
      <c r="E27" s="126">
        <f>+D24+E26</f>
        <v>11193664</v>
      </c>
      <c r="F27" s="127"/>
      <c r="G27" s="128"/>
      <c r="H27" s="41"/>
      <c r="I27" s="41"/>
      <c r="J27" s="41"/>
      <c r="K27" s="40"/>
    </row>
    <row r="28" spans="1:11">
      <c r="A28" s="41"/>
      <c r="B28" s="41"/>
      <c r="C28" s="41"/>
      <c r="D28" s="41"/>
      <c r="E28" s="116"/>
      <c r="F28" s="116"/>
      <c r="G28" s="41"/>
      <c r="H28" s="117"/>
      <c r="I28" s="117"/>
      <c r="J28" s="41"/>
      <c r="K28" s="40"/>
    </row>
    <row r="29" spans="1:11">
      <c r="A29" s="47"/>
      <c r="B29" s="45"/>
      <c r="C29" s="45" t="s">
        <v>46</v>
      </c>
      <c r="D29" s="47"/>
      <c r="E29" s="129"/>
      <c r="F29" s="45"/>
      <c r="G29" s="47"/>
      <c r="H29" s="45" t="s">
        <v>51</v>
      </c>
      <c r="I29" s="47"/>
      <c r="J29" s="78"/>
      <c r="K29" s="40"/>
    </row>
    <row r="30" spans="1:1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0"/>
    </row>
    <row r="31" spans="1:11">
      <c r="A31" s="118"/>
      <c r="B31" s="118"/>
      <c r="C31" s="119" t="s">
        <v>47</v>
      </c>
      <c r="D31" s="118"/>
      <c r="E31" s="118"/>
      <c r="F31" s="118"/>
      <c r="G31" s="118"/>
      <c r="H31" s="119" t="s">
        <v>52</v>
      </c>
      <c r="I31" s="118"/>
      <c r="J31" s="118"/>
      <c r="K31" s="40"/>
    </row>
    <row r="32" spans="1:11">
      <c r="A32" s="118"/>
      <c r="B32" s="118"/>
      <c r="C32" s="120" t="s">
        <v>48</v>
      </c>
      <c r="D32" s="120"/>
      <c r="E32" s="120"/>
      <c r="F32" s="40"/>
      <c r="G32" s="118"/>
      <c r="H32" s="120" t="s">
        <v>48</v>
      </c>
      <c r="I32" s="118"/>
      <c r="J32" s="118"/>
      <c r="K32" s="40"/>
    </row>
  </sheetData>
  <mergeCells count="2">
    <mergeCell ref="A14:E14"/>
    <mergeCell ref="F14:J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theme="4" tint="-0.249977111117893"/>
  </sheetPr>
  <dimension ref="A1:AE112"/>
  <sheetViews>
    <sheetView topLeftCell="A41" workbookViewId="0">
      <selection activeCell="A20" sqref="A20:F91"/>
    </sheetView>
  </sheetViews>
  <sheetFormatPr baseColWidth="10" defaultRowHeight="15"/>
  <cols>
    <col min="1" max="1" width="11.7109375" customWidth="1"/>
    <col min="2" max="2" width="46.85546875" customWidth="1"/>
    <col min="3" max="3" width="15" customWidth="1"/>
    <col min="4" max="4" width="12.7109375" customWidth="1"/>
    <col min="5" max="5" width="12.28515625" style="84" customWidth="1"/>
    <col min="6" max="6" width="11.85546875" style="84" customWidth="1"/>
    <col min="7" max="7" width="12.5703125" style="84" customWidth="1"/>
    <col min="8" max="8" width="11" customWidth="1"/>
    <col min="9" max="9" width="15.7109375" hidden="1" customWidth="1"/>
    <col min="10" max="10" width="2" hidden="1" customWidth="1"/>
    <col min="11" max="11" width="11.42578125" hidden="1" customWidth="1"/>
    <col min="12" max="12" width="12.85546875" hidden="1" customWidth="1"/>
    <col min="15" max="15" width="11.42578125" style="1"/>
    <col min="16" max="16" width="24.42578125" style="1" customWidth="1"/>
    <col min="17" max="18" width="11.42578125" style="343"/>
    <col min="19" max="19" width="13" style="343" bestFit="1" customWidth="1"/>
    <col min="20" max="20" width="16.28515625" style="1" customWidth="1"/>
    <col min="21" max="27" width="11.42578125" style="1"/>
  </cols>
  <sheetData>
    <row r="1" spans="1:27" ht="18.75">
      <c r="A1" s="601" t="s">
        <v>136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3" spans="1:27">
      <c r="B3" s="25" t="s">
        <v>54</v>
      </c>
      <c r="C3" s="25" t="s">
        <v>215</v>
      </c>
    </row>
    <row r="4" spans="1:27" ht="18.75">
      <c r="A4" s="601" t="s">
        <v>136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</row>
    <row r="5" spans="1:27">
      <c r="B5" s="25" t="s">
        <v>56</v>
      </c>
      <c r="C5" s="191">
        <f>+E95</f>
        <v>5562150</v>
      </c>
      <c r="M5" s="1"/>
      <c r="N5" s="1"/>
    </row>
    <row r="6" spans="1:27">
      <c r="B6" s="25" t="s">
        <v>57</v>
      </c>
      <c r="C6" s="191">
        <f>+F95</f>
        <v>5245434</v>
      </c>
      <c r="M6" s="1"/>
      <c r="N6" s="1"/>
    </row>
    <row r="7" spans="1:27">
      <c r="B7" s="25" t="s">
        <v>58</v>
      </c>
      <c r="C7" s="191">
        <f>C5-C6</f>
        <v>316716</v>
      </c>
      <c r="M7" s="1"/>
      <c r="N7" s="1"/>
    </row>
    <row r="11" spans="1:27" s="241" customFormat="1">
      <c r="A11" s="182" t="s">
        <v>4</v>
      </c>
      <c r="B11" s="182" t="s">
        <v>59</v>
      </c>
      <c r="C11" s="182" t="s">
        <v>60</v>
      </c>
      <c r="D11" s="182" t="s">
        <v>61</v>
      </c>
      <c r="E11" s="183" t="s">
        <v>62</v>
      </c>
      <c r="F11" s="183" t="s">
        <v>63</v>
      </c>
      <c r="G11" s="183" t="s">
        <v>64</v>
      </c>
      <c r="H11" s="182" t="s">
        <v>65</v>
      </c>
      <c r="I11" s="182" t="s">
        <v>66</v>
      </c>
      <c r="J11" s="182" t="s">
        <v>67</v>
      </c>
      <c r="K11" s="182" t="s">
        <v>69</v>
      </c>
      <c r="L11" s="182" t="s">
        <v>70</v>
      </c>
      <c r="M11" s="182"/>
      <c r="N11" s="182"/>
      <c r="O11" s="240"/>
      <c r="P11" s="240"/>
      <c r="Q11" s="344"/>
      <c r="R11" s="344"/>
      <c r="S11" s="344"/>
      <c r="T11" s="240"/>
      <c r="U11" s="240"/>
      <c r="V11" s="240"/>
      <c r="W11" s="240"/>
      <c r="X11" s="240"/>
      <c r="Y11" s="240"/>
      <c r="Z11" s="240"/>
      <c r="AA11" s="240"/>
    </row>
    <row r="12" spans="1:27" s="1" customFormat="1">
      <c r="A12" s="242">
        <v>44197</v>
      </c>
      <c r="B12" s="243" t="s">
        <v>439</v>
      </c>
      <c r="C12" s="187"/>
      <c r="D12" s="187"/>
      <c r="E12" s="244">
        <f>+'[28]caisse Décembre 2020'!C7</f>
        <v>62150</v>
      </c>
      <c r="F12" s="245"/>
      <c r="G12" s="244">
        <f>+E12</f>
        <v>62150</v>
      </c>
      <c r="H12" s="246" t="s">
        <v>78</v>
      </c>
      <c r="I12" s="246"/>
      <c r="J12" s="246"/>
      <c r="K12" s="246"/>
      <c r="L12" s="246"/>
      <c r="M12" s="246"/>
      <c r="N12" s="246"/>
      <c r="Q12" s="343"/>
      <c r="R12" s="343"/>
      <c r="S12" s="343"/>
    </row>
    <row r="13" spans="1:27" s="1" customFormat="1" hidden="1">
      <c r="A13" s="242">
        <v>44200</v>
      </c>
      <c r="B13" s="247" t="s">
        <v>72</v>
      </c>
      <c r="C13" s="248" t="s">
        <v>147</v>
      </c>
      <c r="D13" s="248" t="s">
        <v>18</v>
      </c>
      <c r="E13" s="249">
        <v>1000000</v>
      </c>
      <c r="F13" s="250"/>
      <c r="G13" s="249">
        <f>+G12+E13-F13</f>
        <v>1062150</v>
      </c>
      <c r="H13" s="248" t="s">
        <v>78</v>
      </c>
      <c r="I13" s="248"/>
      <c r="J13" s="248"/>
      <c r="K13" s="248"/>
      <c r="L13" s="248"/>
      <c r="M13" s="248"/>
      <c r="N13" s="248"/>
      <c r="Q13" s="343"/>
      <c r="R13" s="343"/>
      <c r="S13" s="343"/>
    </row>
    <row r="14" spans="1:27" s="346" customFormat="1" hidden="1">
      <c r="A14" s="242">
        <v>44200</v>
      </c>
      <c r="B14" s="248" t="s">
        <v>118</v>
      </c>
      <c r="C14" s="252" t="s">
        <v>147</v>
      </c>
      <c r="D14" s="252" t="s">
        <v>16</v>
      </c>
      <c r="E14" s="249"/>
      <c r="F14" s="249">
        <v>20000</v>
      </c>
      <c r="G14" s="249">
        <f t="shared" ref="G14:G77" si="0">+G13+E14-F14</f>
        <v>1042150</v>
      </c>
      <c r="H14" s="252" t="s">
        <v>78</v>
      </c>
      <c r="I14" s="248"/>
      <c r="J14" s="248"/>
      <c r="K14" s="248"/>
      <c r="L14" s="248"/>
      <c r="M14" s="345"/>
      <c r="N14" s="345"/>
      <c r="Q14" s="347"/>
      <c r="R14" s="347"/>
      <c r="S14" s="347"/>
    </row>
    <row r="15" spans="1:27" s="186" customFormat="1" hidden="1">
      <c r="A15" s="388">
        <v>44200</v>
      </c>
      <c r="B15" s="247" t="s">
        <v>149</v>
      </c>
      <c r="C15" s="248" t="s">
        <v>147</v>
      </c>
      <c r="D15" s="248" t="s">
        <v>16</v>
      </c>
      <c r="E15" s="185"/>
      <c r="F15" s="348">
        <v>20000</v>
      </c>
      <c r="G15" s="249">
        <f t="shared" si="0"/>
        <v>1022150</v>
      </c>
      <c r="H15" s="184" t="s">
        <v>78</v>
      </c>
      <c r="I15" s="184"/>
      <c r="J15" s="184"/>
      <c r="K15" s="184"/>
      <c r="L15" s="184"/>
      <c r="M15" s="184"/>
      <c r="N15" s="184"/>
      <c r="Q15" s="349"/>
      <c r="R15" s="349"/>
      <c r="S15" s="349"/>
    </row>
    <row r="16" spans="1:27" s="1" customFormat="1" hidden="1">
      <c r="A16" s="389">
        <v>44200</v>
      </c>
      <c r="B16" s="253" t="s">
        <v>141</v>
      </c>
      <c r="C16" s="248" t="s">
        <v>147</v>
      </c>
      <c r="D16" s="248" t="s">
        <v>16</v>
      </c>
      <c r="E16" s="433"/>
      <c r="F16" s="348">
        <v>100000</v>
      </c>
      <c r="G16" s="249">
        <f t="shared" si="0"/>
        <v>922150</v>
      </c>
      <c r="H16" s="248" t="s">
        <v>78</v>
      </c>
      <c r="I16" s="248"/>
      <c r="J16" s="248"/>
      <c r="K16" s="248"/>
      <c r="L16" s="248"/>
      <c r="M16" s="248"/>
      <c r="N16" s="248"/>
      <c r="Q16" s="343"/>
      <c r="R16" s="343"/>
      <c r="S16" s="343"/>
    </row>
    <row r="17" spans="1:19" s="1" customFormat="1" hidden="1">
      <c r="A17" s="242">
        <v>44200</v>
      </c>
      <c r="B17" s="247" t="s">
        <v>150</v>
      </c>
      <c r="C17" s="248" t="s">
        <v>147</v>
      </c>
      <c r="D17" s="248" t="s">
        <v>16</v>
      </c>
      <c r="E17" s="249"/>
      <c r="F17" s="348">
        <v>65000</v>
      </c>
      <c r="G17" s="249">
        <f t="shared" si="0"/>
        <v>857150</v>
      </c>
      <c r="H17" s="248" t="s">
        <v>78</v>
      </c>
      <c r="I17" s="248"/>
      <c r="J17" s="248"/>
      <c r="K17" s="248"/>
      <c r="L17" s="248"/>
      <c r="M17" s="248"/>
      <c r="N17" s="248"/>
      <c r="Q17" s="343"/>
      <c r="R17" s="343"/>
      <c r="S17" s="343"/>
    </row>
    <row r="18" spans="1:19" s="1" customFormat="1" hidden="1">
      <c r="A18" s="242">
        <v>44200</v>
      </c>
      <c r="B18" s="247" t="s">
        <v>84</v>
      </c>
      <c r="C18" s="248" t="s">
        <v>147</v>
      </c>
      <c r="D18" s="248" t="s">
        <v>31</v>
      </c>
      <c r="E18" s="249"/>
      <c r="F18" s="348">
        <v>20000</v>
      </c>
      <c r="G18" s="249">
        <f t="shared" si="0"/>
        <v>837150</v>
      </c>
      <c r="H18" s="248" t="s">
        <v>78</v>
      </c>
      <c r="I18" s="248"/>
      <c r="J18" s="248"/>
      <c r="K18" s="248"/>
      <c r="L18" s="248"/>
      <c r="M18" s="248"/>
      <c r="N18" s="248"/>
      <c r="Q18" s="343"/>
      <c r="R18" s="343"/>
      <c r="S18" s="343"/>
    </row>
    <row r="19" spans="1:19" s="1" customFormat="1" hidden="1">
      <c r="A19" s="242">
        <v>44200</v>
      </c>
      <c r="B19" s="247" t="s">
        <v>84</v>
      </c>
      <c r="C19" s="248" t="s">
        <v>147</v>
      </c>
      <c r="D19" s="248" t="s">
        <v>31</v>
      </c>
      <c r="E19" s="249"/>
      <c r="F19" s="348">
        <v>100000</v>
      </c>
      <c r="G19" s="249">
        <f t="shared" si="0"/>
        <v>737150</v>
      </c>
      <c r="H19" s="248" t="s">
        <v>78</v>
      </c>
      <c r="I19" s="248"/>
      <c r="J19" s="248"/>
      <c r="K19" s="248"/>
      <c r="L19" s="248"/>
      <c r="M19" s="248"/>
      <c r="N19" s="248"/>
      <c r="Q19" s="343"/>
      <c r="R19" s="343"/>
      <c r="S19" s="343"/>
    </row>
    <row r="20" spans="1:19" s="1" customFormat="1">
      <c r="A20" s="242">
        <v>44200</v>
      </c>
      <c r="B20" s="247" t="s">
        <v>269</v>
      </c>
      <c r="C20" s="248" t="s">
        <v>196</v>
      </c>
      <c r="D20" s="248" t="s">
        <v>18</v>
      </c>
      <c r="E20" s="249"/>
      <c r="F20" s="348">
        <v>89175</v>
      </c>
      <c r="G20" s="249">
        <f t="shared" si="0"/>
        <v>647975</v>
      </c>
      <c r="H20" s="248" t="s">
        <v>78</v>
      </c>
      <c r="I20" s="248"/>
      <c r="J20" s="248"/>
      <c r="K20" s="248"/>
      <c r="L20" s="248"/>
      <c r="M20" s="248"/>
      <c r="N20" s="248"/>
      <c r="Q20" s="343"/>
      <c r="R20" s="343"/>
      <c r="S20" s="343"/>
    </row>
    <row r="21" spans="1:19" s="1" customFormat="1">
      <c r="A21" s="242">
        <v>44200</v>
      </c>
      <c r="B21" s="247" t="s">
        <v>270</v>
      </c>
      <c r="C21" s="248" t="s">
        <v>17</v>
      </c>
      <c r="D21" s="248" t="s">
        <v>18</v>
      </c>
      <c r="E21" s="249"/>
      <c r="F21" s="348">
        <v>13000</v>
      </c>
      <c r="G21" s="249">
        <f t="shared" si="0"/>
        <v>634975</v>
      </c>
      <c r="H21" s="248" t="s">
        <v>78</v>
      </c>
      <c r="I21" s="248"/>
      <c r="J21" s="248"/>
      <c r="K21" s="248"/>
      <c r="L21" s="248"/>
      <c r="M21" s="248"/>
      <c r="N21" s="248"/>
      <c r="Q21" s="343"/>
      <c r="R21" s="343"/>
      <c r="S21" s="343"/>
    </row>
    <row r="22" spans="1:19" s="1" customFormat="1" hidden="1">
      <c r="A22" s="242">
        <v>44200</v>
      </c>
      <c r="B22" s="247" t="s">
        <v>271</v>
      </c>
      <c r="C22" s="248" t="s">
        <v>147</v>
      </c>
      <c r="D22" s="248" t="s">
        <v>16</v>
      </c>
      <c r="E22" s="249"/>
      <c r="F22" s="348">
        <v>50000</v>
      </c>
      <c r="G22" s="249">
        <f t="shared" si="0"/>
        <v>584975</v>
      </c>
      <c r="H22" s="248" t="s">
        <v>78</v>
      </c>
      <c r="I22" s="248"/>
      <c r="J22" s="248"/>
      <c r="K22" s="248"/>
      <c r="L22" s="248"/>
      <c r="M22" s="248"/>
      <c r="N22" s="248"/>
      <c r="Q22" s="343"/>
      <c r="R22" s="343"/>
      <c r="S22" s="343"/>
    </row>
    <row r="23" spans="1:19" s="1" customFormat="1">
      <c r="A23" s="242">
        <v>44200</v>
      </c>
      <c r="B23" s="247" t="s">
        <v>272</v>
      </c>
      <c r="C23" s="248" t="s">
        <v>26</v>
      </c>
      <c r="D23" s="248" t="s">
        <v>31</v>
      </c>
      <c r="E23" s="249"/>
      <c r="F23" s="348">
        <v>10000</v>
      </c>
      <c r="G23" s="249">
        <f t="shared" si="0"/>
        <v>574975</v>
      </c>
      <c r="H23" s="248" t="s">
        <v>78</v>
      </c>
      <c r="I23" s="248"/>
      <c r="J23" s="248"/>
      <c r="K23" s="248"/>
      <c r="L23" s="248"/>
      <c r="M23" s="248"/>
      <c r="N23" s="248"/>
      <c r="Q23" s="343"/>
      <c r="R23" s="343"/>
      <c r="S23" s="343"/>
    </row>
    <row r="24" spans="1:19" s="1" customFormat="1" hidden="1">
      <c r="A24" s="388">
        <v>44200</v>
      </c>
      <c r="B24" s="247" t="s">
        <v>200</v>
      </c>
      <c r="C24" s="248" t="s">
        <v>147</v>
      </c>
      <c r="D24" s="248" t="s">
        <v>31</v>
      </c>
      <c r="E24" s="249"/>
      <c r="F24" s="348">
        <v>45000</v>
      </c>
      <c r="G24" s="249">
        <f t="shared" si="0"/>
        <v>529975</v>
      </c>
      <c r="H24" s="248" t="s">
        <v>78</v>
      </c>
      <c r="I24" s="248"/>
      <c r="J24" s="248"/>
      <c r="K24" s="248"/>
      <c r="L24" s="248"/>
      <c r="M24" s="248"/>
      <c r="N24" s="248"/>
      <c r="Q24" s="343"/>
      <c r="R24" s="343"/>
      <c r="S24" s="343"/>
    </row>
    <row r="25" spans="1:19" s="1" customFormat="1" hidden="1">
      <c r="A25" s="242">
        <v>44200</v>
      </c>
      <c r="B25" s="247" t="s">
        <v>86</v>
      </c>
      <c r="C25" s="248" t="s">
        <v>147</v>
      </c>
      <c r="D25" s="248" t="s">
        <v>31</v>
      </c>
      <c r="E25" s="249"/>
      <c r="F25" s="348">
        <v>55000</v>
      </c>
      <c r="G25" s="249">
        <f t="shared" si="0"/>
        <v>474975</v>
      </c>
      <c r="H25" s="248" t="s">
        <v>78</v>
      </c>
      <c r="I25" s="248"/>
      <c r="J25" s="248"/>
      <c r="K25" s="248"/>
      <c r="L25" s="248"/>
      <c r="M25" s="248"/>
      <c r="N25" s="248"/>
      <c r="Q25" s="343"/>
      <c r="R25" s="343"/>
      <c r="S25" s="343"/>
    </row>
    <row r="26" spans="1:19" s="1" customFormat="1">
      <c r="A26" s="242">
        <v>44200</v>
      </c>
      <c r="B26" s="247" t="s">
        <v>273</v>
      </c>
      <c r="C26" s="248" t="s">
        <v>26</v>
      </c>
      <c r="D26" s="248" t="s">
        <v>31</v>
      </c>
      <c r="E26" s="249"/>
      <c r="F26" s="348">
        <v>30000</v>
      </c>
      <c r="G26" s="249">
        <f t="shared" si="0"/>
        <v>444975</v>
      </c>
      <c r="H26" s="248" t="s">
        <v>78</v>
      </c>
      <c r="I26" s="248"/>
      <c r="J26" s="248"/>
      <c r="K26" s="248"/>
      <c r="L26" s="248"/>
      <c r="M26" s="248"/>
      <c r="N26" s="248"/>
      <c r="Q26" s="343"/>
      <c r="R26" s="343"/>
      <c r="S26" s="343"/>
    </row>
    <row r="27" spans="1:19" s="1" customFormat="1">
      <c r="A27" s="242">
        <v>44200</v>
      </c>
      <c r="B27" s="247" t="s">
        <v>274</v>
      </c>
      <c r="C27" s="248" t="s">
        <v>26</v>
      </c>
      <c r="D27" s="248" t="s">
        <v>31</v>
      </c>
      <c r="E27" s="249"/>
      <c r="F27" s="348">
        <v>25000</v>
      </c>
      <c r="G27" s="249">
        <f t="shared" si="0"/>
        <v>419975</v>
      </c>
      <c r="H27" s="248" t="s">
        <v>78</v>
      </c>
      <c r="I27" s="248"/>
      <c r="J27" s="248"/>
      <c r="K27" s="248"/>
      <c r="L27" s="248"/>
      <c r="M27" s="248"/>
      <c r="N27" s="248"/>
      <c r="Q27" s="343"/>
      <c r="R27" s="343"/>
      <c r="S27" s="343"/>
    </row>
    <row r="28" spans="1:19" s="1" customFormat="1">
      <c r="A28" s="242">
        <v>44200</v>
      </c>
      <c r="B28" s="247" t="s">
        <v>275</v>
      </c>
      <c r="C28" s="248" t="s">
        <v>26</v>
      </c>
      <c r="D28" s="248" t="s">
        <v>16</v>
      </c>
      <c r="E28" s="249"/>
      <c r="F28" s="348">
        <v>10000</v>
      </c>
      <c r="G28" s="249">
        <f t="shared" si="0"/>
        <v>409975</v>
      </c>
      <c r="H28" s="248" t="s">
        <v>78</v>
      </c>
      <c r="I28" s="248"/>
      <c r="J28" s="248"/>
      <c r="K28" s="248"/>
      <c r="L28" s="248"/>
      <c r="M28" s="248"/>
      <c r="N28" s="248"/>
      <c r="Q28" s="343"/>
      <c r="R28" s="343"/>
      <c r="S28" s="343"/>
    </row>
    <row r="29" spans="1:19" s="1" customFormat="1">
      <c r="A29" s="242">
        <v>44200</v>
      </c>
      <c r="B29" s="247" t="s">
        <v>276</v>
      </c>
      <c r="C29" s="248" t="s">
        <v>26</v>
      </c>
      <c r="D29" s="248" t="s">
        <v>16</v>
      </c>
      <c r="E29" s="249"/>
      <c r="F29" s="348">
        <v>30000</v>
      </c>
      <c r="G29" s="249">
        <f t="shared" si="0"/>
        <v>379975</v>
      </c>
      <c r="H29" s="248" t="s">
        <v>78</v>
      </c>
      <c r="I29" s="248"/>
      <c r="J29" s="248"/>
      <c r="K29" s="248"/>
      <c r="L29" s="248"/>
      <c r="M29" s="248"/>
      <c r="N29" s="248"/>
      <c r="Q29" s="343"/>
      <c r="R29" s="343"/>
      <c r="S29" s="343"/>
    </row>
    <row r="30" spans="1:19" s="1" customFormat="1">
      <c r="A30" s="242">
        <v>44200</v>
      </c>
      <c r="B30" s="247" t="s">
        <v>277</v>
      </c>
      <c r="C30" s="248" t="s">
        <v>26</v>
      </c>
      <c r="D30" s="248" t="s">
        <v>16</v>
      </c>
      <c r="E30" s="249"/>
      <c r="F30" s="348">
        <v>10000</v>
      </c>
      <c r="G30" s="249">
        <f t="shared" si="0"/>
        <v>369975</v>
      </c>
      <c r="H30" s="248" t="s">
        <v>78</v>
      </c>
      <c r="I30" s="248"/>
      <c r="J30" s="248"/>
      <c r="K30" s="248"/>
      <c r="L30" s="248"/>
      <c r="M30" s="248"/>
      <c r="N30" s="248"/>
      <c r="Q30" s="343"/>
      <c r="R30" s="343"/>
      <c r="S30" s="343"/>
    </row>
    <row r="31" spans="1:19" s="1" customFormat="1" hidden="1">
      <c r="A31" s="242">
        <v>44200</v>
      </c>
      <c r="B31" s="247" t="s">
        <v>149</v>
      </c>
      <c r="C31" s="248" t="s">
        <v>147</v>
      </c>
      <c r="D31" s="248" t="s">
        <v>16</v>
      </c>
      <c r="E31" s="249"/>
      <c r="F31" s="348">
        <v>20000</v>
      </c>
      <c r="G31" s="249">
        <f t="shared" si="0"/>
        <v>349975</v>
      </c>
      <c r="H31" s="248" t="s">
        <v>78</v>
      </c>
      <c r="I31" s="248"/>
      <c r="J31" s="248"/>
      <c r="K31" s="248"/>
      <c r="L31" s="248"/>
      <c r="M31" s="248"/>
      <c r="N31" s="248"/>
      <c r="Q31" s="343"/>
      <c r="R31" s="343"/>
      <c r="S31" s="343"/>
    </row>
    <row r="32" spans="1:19" s="1" customFormat="1">
      <c r="A32" s="242">
        <v>44202</v>
      </c>
      <c r="B32" s="248" t="s">
        <v>278</v>
      </c>
      <c r="C32" s="248" t="s">
        <v>76</v>
      </c>
      <c r="D32" s="257" t="s">
        <v>16</v>
      </c>
      <c r="E32" s="185"/>
      <c r="F32" s="348">
        <v>76000</v>
      </c>
      <c r="G32" s="249">
        <f t="shared" si="0"/>
        <v>273975</v>
      </c>
      <c r="H32" s="248" t="s">
        <v>78</v>
      </c>
      <c r="I32" s="248"/>
      <c r="J32" s="248"/>
      <c r="K32" s="248"/>
      <c r="L32" s="248"/>
      <c r="M32" s="248"/>
      <c r="N32" s="248"/>
      <c r="Q32" s="343"/>
      <c r="R32" s="343"/>
      <c r="S32" s="343"/>
    </row>
    <row r="33" spans="1:19" s="1" customFormat="1" hidden="1">
      <c r="A33" s="242">
        <v>44202</v>
      </c>
      <c r="B33" s="247" t="s">
        <v>150</v>
      </c>
      <c r="C33" s="248" t="s">
        <v>147</v>
      </c>
      <c r="D33" s="248" t="s">
        <v>16</v>
      </c>
      <c r="E33" s="249"/>
      <c r="F33" s="348">
        <v>146300</v>
      </c>
      <c r="G33" s="249">
        <f t="shared" si="0"/>
        <v>127675</v>
      </c>
      <c r="H33" s="248" t="s">
        <v>78</v>
      </c>
      <c r="I33" s="248"/>
      <c r="J33" s="248"/>
      <c r="K33" s="248"/>
      <c r="L33" s="248"/>
      <c r="M33" s="248"/>
      <c r="N33" s="248"/>
      <c r="Q33" s="343"/>
      <c r="R33" s="343"/>
      <c r="S33" s="343"/>
    </row>
    <row r="34" spans="1:19" s="1" customFormat="1">
      <c r="A34" s="389">
        <v>44202</v>
      </c>
      <c r="B34" s="247" t="s">
        <v>198</v>
      </c>
      <c r="C34" s="248" t="s">
        <v>80</v>
      </c>
      <c r="D34" s="248" t="s">
        <v>18</v>
      </c>
      <c r="E34" s="250"/>
      <c r="F34" s="348">
        <v>4390</v>
      </c>
      <c r="G34" s="249">
        <f t="shared" si="0"/>
        <v>123285</v>
      </c>
      <c r="H34" s="248" t="s">
        <v>78</v>
      </c>
      <c r="I34" s="248"/>
      <c r="J34" s="248"/>
      <c r="K34" s="248"/>
      <c r="L34" s="248"/>
      <c r="M34" s="248"/>
      <c r="N34" s="248"/>
      <c r="Q34" s="343"/>
      <c r="R34" s="343"/>
      <c r="S34" s="343"/>
    </row>
    <row r="35" spans="1:19" s="1" customFormat="1" hidden="1">
      <c r="A35" s="242">
        <v>44203</v>
      </c>
      <c r="B35" s="247" t="s">
        <v>72</v>
      </c>
      <c r="C35" s="248" t="s">
        <v>147</v>
      </c>
      <c r="D35" s="248" t="s">
        <v>18</v>
      </c>
      <c r="E35" s="249">
        <v>1000000</v>
      </c>
      <c r="F35" s="348"/>
      <c r="G35" s="249">
        <f t="shared" si="0"/>
        <v>1123285</v>
      </c>
      <c r="H35" s="248" t="s">
        <v>78</v>
      </c>
      <c r="I35" s="248"/>
      <c r="J35" s="248"/>
      <c r="K35" s="248"/>
      <c r="L35" s="248"/>
      <c r="M35" s="248"/>
      <c r="N35" s="248"/>
      <c r="Q35" s="343"/>
      <c r="R35" s="343"/>
      <c r="S35" s="343"/>
    </row>
    <row r="36" spans="1:19" s="1" customFormat="1" hidden="1">
      <c r="A36" s="242">
        <v>44203</v>
      </c>
      <c r="B36" s="247" t="s">
        <v>197</v>
      </c>
      <c r="C36" s="248" t="s">
        <v>147</v>
      </c>
      <c r="D36" s="248" t="s">
        <v>31</v>
      </c>
      <c r="E36" s="249"/>
      <c r="F36" s="348">
        <v>282600</v>
      </c>
      <c r="G36" s="249">
        <f t="shared" si="0"/>
        <v>840685</v>
      </c>
      <c r="H36" s="248" t="s">
        <v>78</v>
      </c>
      <c r="I36" s="248"/>
      <c r="J36" s="248"/>
      <c r="K36" s="248"/>
      <c r="L36" s="248"/>
      <c r="M36" s="248"/>
      <c r="N36" s="248"/>
      <c r="O36" s="251"/>
      <c r="Q36" s="343"/>
      <c r="R36" s="343"/>
      <c r="S36" s="343"/>
    </row>
    <row r="37" spans="1:19" s="1" customFormat="1" hidden="1">
      <c r="A37" s="242">
        <v>44203</v>
      </c>
      <c r="B37" s="247" t="s">
        <v>200</v>
      </c>
      <c r="C37" s="248" t="s">
        <v>147</v>
      </c>
      <c r="D37" s="248" t="s">
        <v>31</v>
      </c>
      <c r="E37" s="249"/>
      <c r="F37" s="348">
        <v>250000</v>
      </c>
      <c r="G37" s="249">
        <f t="shared" si="0"/>
        <v>590685</v>
      </c>
      <c r="H37" s="248" t="s">
        <v>78</v>
      </c>
      <c r="I37" s="248"/>
      <c r="J37" s="248"/>
      <c r="K37" s="248"/>
      <c r="L37" s="248"/>
      <c r="M37" s="248"/>
      <c r="N37" s="248"/>
      <c r="O37" s="251"/>
      <c r="Q37" s="343"/>
      <c r="R37" s="343"/>
      <c r="S37" s="343"/>
    </row>
    <row r="38" spans="1:19" s="1" customFormat="1" hidden="1">
      <c r="A38" s="242">
        <v>44203</v>
      </c>
      <c r="B38" s="247" t="s">
        <v>84</v>
      </c>
      <c r="C38" s="248" t="s">
        <v>147</v>
      </c>
      <c r="D38" s="248" t="s">
        <v>31</v>
      </c>
      <c r="E38" s="249"/>
      <c r="F38" s="348">
        <v>200000</v>
      </c>
      <c r="G38" s="249">
        <f t="shared" si="0"/>
        <v>390685</v>
      </c>
      <c r="H38" s="248" t="s">
        <v>78</v>
      </c>
      <c r="I38" s="248"/>
      <c r="J38" s="248"/>
      <c r="K38" s="248"/>
      <c r="L38" s="248"/>
      <c r="M38" s="248"/>
      <c r="N38" s="248"/>
      <c r="O38" s="251"/>
      <c r="Q38" s="343"/>
      <c r="R38" s="343"/>
      <c r="S38" s="343"/>
    </row>
    <row r="39" spans="1:19" s="1" customFormat="1" hidden="1">
      <c r="A39" s="242">
        <v>44203</v>
      </c>
      <c r="B39" s="248" t="s">
        <v>150</v>
      </c>
      <c r="C39" s="248" t="s">
        <v>147</v>
      </c>
      <c r="D39" s="248" t="s">
        <v>16</v>
      </c>
      <c r="E39" s="249"/>
      <c r="F39" s="348">
        <v>83100</v>
      </c>
      <c r="G39" s="249">
        <f t="shared" si="0"/>
        <v>307585</v>
      </c>
      <c r="H39" s="248" t="s">
        <v>78</v>
      </c>
      <c r="I39" s="248"/>
      <c r="J39" s="248"/>
      <c r="K39" s="248"/>
      <c r="L39" s="248"/>
      <c r="M39" s="248"/>
      <c r="N39" s="248"/>
      <c r="Q39" s="343"/>
      <c r="R39" s="343"/>
      <c r="S39" s="343"/>
    </row>
    <row r="40" spans="1:19" s="346" customFormat="1">
      <c r="A40" s="242">
        <v>44203</v>
      </c>
      <c r="B40" s="247" t="s">
        <v>279</v>
      </c>
      <c r="C40" s="257" t="s">
        <v>80</v>
      </c>
      <c r="D40" s="257" t="s">
        <v>18</v>
      </c>
      <c r="E40" s="249"/>
      <c r="F40" s="348">
        <v>24475</v>
      </c>
      <c r="G40" s="249">
        <f t="shared" si="0"/>
        <v>283110</v>
      </c>
      <c r="H40" s="248" t="s">
        <v>78</v>
      </c>
      <c r="I40" s="248"/>
      <c r="J40" s="248"/>
      <c r="K40" s="248"/>
      <c r="L40" s="248"/>
      <c r="M40" s="345"/>
      <c r="N40" s="345"/>
      <c r="Q40" s="347"/>
      <c r="R40" s="347"/>
      <c r="S40" s="347"/>
    </row>
    <row r="41" spans="1:19" s="1" customFormat="1">
      <c r="A41" s="242">
        <v>44204</v>
      </c>
      <c r="B41" s="247" t="s">
        <v>440</v>
      </c>
      <c r="C41" s="248" t="s">
        <v>17</v>
      </c>
      <c r="D41" s="248" t="s">
        <v>18</v>
      </c>
      <c r="E41" s="249"/>
      <c r="F41" s="348">
        <v>50000</v>
      </c>
      <c r="G41" s="249">
        <f t="shared" si="0"/>
        <v>233110</v>
      </c>
      <c r="H41" s="248" t="s">
        <v>78</v>
      </c>
      <c r="I41" s="248"/>
      <c r="J41" s="248"/>
      <c r="K41" s="248"/>
      <c r="L41" s="248"/>
      <c r="M41" s="248"/>
      <c r="N41" s="248"/>
      <c r="Q41" s="343"/>
      <c r="R41" s="343"/>
      <c r="S41" s="343"/>
    </row>
    <row r="42" spans="1:19" s="1" customFormat="1" hidden="1">
      <c r="A42" s="242">
        <v>44204</v>
      </c>
      <c r="B42" s="247" t="s">
        <v>177</v>
      </c>
      <c r="C42" s="248" t="s">
        <v>147</v>
      </c>
      <c r="D42" s="248" t="s">
        <v>19</v>
      </c>
      <c r="E42" s="249"/>
      <c r="F42" s="348">
        <v>5000</v>
      </c>
      <c r="G42" s="249">
        <f t="shared" si="0"/>
        <v>228110</v>
      </c>
      <c r="H42" s="248" t="s">
        <v>78</v>
      </c>
      <c r="I42" s="248"/>
      <c r="J42" s="248"/>
      <c r="K42" s="248"/>
      <c r="L42" s="248"/>
      <c r="M42" s="248"/>
      <c r="N42" s="248"/>
      <c r="Q42" s="343"/>
      <c r="R42" s="343"/>
      <c r="S42" s="343"/>
    </row>
    <row r="43" spans="1:19" s="1" customFormat="1" hidden="1">
      <c r="A43" s="242">
        <v>44204</v>
      </c>
      <c r="B43" s="247" t="s">
        <v>149</v>
      </c>
      <c r="C43" s="248" t="s">
        <v>147</v>
      </c>
      <c r="D43" s="257" t="s">
        <v>16</v>
      </c>
      <c r="E43" s="249"/>
      <c r="F43" s="348">
        <v>50000</v>
      </c>
      <c r="G43" s="249">
        <f t="shared" si="0"/>
        <v>178110</v>
      </c>
      <c r="H43" s="248" t="s">
        <v>78</v>
      </c>
      <c r="I43" s="248"/>
      <c r="J43" s="248"/>
      <c r="K43" s="248"/>
      <c r="L43" s="248"/>
      <c r="M43" s="248"/>
      <c r="N43" s="248"/>
      <c r="Q43" s="343"/>
      <c r="R43" s="343"/>
      <c r="S43" s="343"/>
    </row>
    <row r="44" spans="1:19" s="1" customFormat="1" hidden="1">
      <c r="A44" s="389">
        <v>44204</v>
      </c>
      <c r="B44" s="247" t="s">
        <v>141</v>
      </c>
      <c r="C44" s="248" t="s">
        <v>147</v>
      </c>
      <c r="D44" s="247" t="s">
        <v>16</v>
      </c>
      <c r="E44" s="250"/>
      <c r="F44" s="348">
        <v>50000</v>
      </c>
      <c r="G44" s="249">
        <f t="shared" si="0"/>
        <v>128110</v>
      </c>
      <c r="H44" s="248" t="s">
        <v>78</v>
      </c>
      <c r="I44" s="248"/>
      <c r="J44" s="248"/>
      <c r="K44" s="248"/>
      <c r="L44" s="248"/>
      <c r="M44" s="248"/>
      <c r="N44" s="248"/>
      <c r="Q44" s="343"/>
      <c r="R44" s="343"/>
      <c r="S44" s="343"/>
    </row>
    <row r="45" spans="1:19" s="240" customFormat="1">
      <c r="A45" s="242">
        <v>44207</v>
      </c>
      <c r="B45" s="247" t="s">
        <v>441</v>
      </c>
      <c r="C45" s="248" t="s">
        <v>17</v>
      </c>
      <c r="D45" s="248" t="s">
        <v>18</v>
      </c>
      <c r="E45" s="249"/>
      <c r="F45" s="348">
        <v>30000</v>
      </c>
      <c r="G45" s="249">
        <f t="shared" si="0"/>
        <v>98110</v>
      </c>
      <c r="H45" s="248" t="s">
        <v>78</v>
      </c>
      <c r="I45" s="248"/>
      <c r="J45" s="248"/>
      <c r="K45" s="248"/>
      <c r="L45" s="248"/>
      <c r="M45" s="248"/>
      <c r="N45" s="248"/>
      <c r="Q45" s="344"/>
      <c r="R45" s="344"/>
      <c r="S45" s="343"/>
    </row>
    <row r="46" spans="1:19" s="240" customFormat="1" hidden="1">
      <c r="A46" s="242">
        <v>44207</v>
      </c>
      <c r="B46" s="247" t="s">
        <v>72</v>
      </c>
      <c r="C46" s="248" t="s">
        <v>147</v>
      </c>
      <c r="D46" s="248" t="s">
        <v>18</v>
      </c>
      <c r="E46" s="249">
        <v>1500000</v>
      </c>
      <c r="F46" s="348"/>
      <c r="G46" s="249">
        <f t="shared" si="0"/>
        <v>1598110</v>
      </c>
      <c r="H46" s="248" t="s">
        <v>78</v>
      </c>
      <c r="I46" s="248"/>
      <c r="J46" s="248"/>
      <c r="K46" s="248"/>
      <c r="L46" s="248"/>
      <c r="M46" s="248"/>
      <c r="N46" s="248"/>
      <c r="Q46" s="344"/>
      <c r="R46" s="344"/>
      <c r="S46" s="343"/>
    </row>
    <row r="47" spans="1:19" s="240" customFormat="1">
      <c r="A47" s="242">
        <v>44207</v>
      </c>
      <c r="B47" s="247" t="s">
        <v>280</v>
      </c>
      <c r="C47" s="248" t="s">
        <v>26</v>
      </c>
      <c r="D47" s="248" t="s">
        <v>16</v>
      </c>
      <c r="E47" s="249"/>
      <c r="F47" s="348">
        <v>25000</v>
      </c>
      <c r="G47" s="249">
        <f t="shared" si="0"/>
        <v>1573110</v>
      </c>
      <c r="H47" s="248" t="s">
        <v>78</v>
      </c>
      <c r="I47" s="248"/>
      <c r="J47" s="248"/>
      <c r="K47" s="248"/>
      <c r="L47" s="248"/>
      <c r="M47" s="248"/>
      <c r="N47" s="248"/>
      <c r="Q47" s="344"/>
      <c r="R47" s="344"/>
      <c r="S47" s="343"/>
    </row>
    <row r="48" spans="1:19" s="240" customFormat="1" hidden="1">
      <c r="A48" s="242">
        <v>44207</v>
      </c>
      <c r="B48" s="247" t="s">
        <v>177</v>
      </c>
      <c r="C48" s="248" t="s">
        <v>147</v>
      </c>
      <c r="D48" s="248" t="s">
        <v>19</v>
      </c>
      <c r="E48" s="249"/>
      <c r="F48" s="348">
        <v>10000</v>
      </c>
      <c r="G48" s="249">
        <f t="shared" si="0"/>
        <v>1563110</v>
      </c>
      <c r="H48" s="248" t="s">
        <v>78</v>
      </c>
      <c r="I48" s="248"/>
      <c r="J48" s="248"/>
      <c r="K48" s="248"/>
      <c r="L48" s="248"/>
      <c r="M48" s="248"/>
      <c r="N48" s="248"/>
      <c r="O48" s="254"/>
      <c r="P48" s="602"/>
      <c r="Q48" s="602"/>
      <c r="R48" s="602"/>
      <c r="S48" s="344"/>
    </row>
    <row r="49" spans="1:31" s="240" customFormat="1">
      <c r="A49" s="242">
        <v>44207</v>
      </c>
      <c r="B49" s="247" t="s">
        <v>281</v>
      </c>
      <c r="C49" s="248" t="s">
        <v>17</v>
      </c>
      <c r="D49" s="248" t="s">
        <v>18</v>
      </c>
      <c r="E49" s="249"/>
      <c r="F49" s="348">
        <v>47294</v>
      </c>
      <c r="G49" s="249">
        <f t="shared" si="0"/>
        <v>1515816</v>
      </c>
      <c r="H49" s="248" t="s">
        <v>78</v>
      </c>
      <c r="I49" s="248"/>
      <c r="J49" s="248"/>
      <c r="K49" s="248"/>
      <c r="L49" s="248"/>
      <c r="M49" s="248"/>
      <c r="N49" s="248"/>
      <c r="Q49" s="344"/>
      <c r="R49" s="344"/>
      <c r="S49" s="344"/>
    </row>
    <row r="50" spans="1:31" s="240" customFormat="1">
      <c r="A50" s="242">
        <v>44207</v>
      </c>
      <c r="B50" s="247" t="s">
        <v>278</v>
      </c>
      <c r="C50" s="248" t="s">
        <v>76</v>
      </c>
      <c r="D50" s="248" t="s">
        <v>16</v>
      </c>
      <c r="E50" s="249"/>
      <c r="F50" s="348">
        <v>104000</v>
      </c>
      <c r="G50" s="249">
        <f t="shared" si="0"/>
        <v>1411816</v>
      </c>
      <c r="H50" s="248" t="s">
        <v>78</v>
      </c>
      <c r="I50" s="248"/>
      <c r="J50" s="248"/>
      <c r="K50" s="248"/>
      <c r="L50" s="248"/>
      <c r="M50" s="248"/>
      <c r="N50" s="248"/>
      <c r="Q50" s="344"/>
      <c r="R50" s="344"/>
      <c r="S50" s="344"/>
    </row>
    <row r="51" spans="1:31" s="240" customFormat="1" hidden="1">
      <c r="A51" s="242">
        <v>44208</v>
      </c>
      <c r="B51" s="247" t="s">
        <v>141</v>
      </c>
      <c r="C51" s="248" t="s">
        <v>147</v>
      </c>
      <c r="D51" s="248" t="s">
        <v>16</v>
      </c>
      <c r="E51" s="249"/>
      <c r="F51" s="348">
        <v>368600</v>
      </c>
      <c r="G51" s="249">
        <f t="shared" si="0"/>
        <v>1043216</v>
      </c>
      <c r="H51" s="248" t="s">
        <v>78</v>
      </c>
      <c r="I51" s="248"/>
      <c r="J51" s="248"/>
      <c r="K51" s="248"/>
      <c r="L51" s="248"/>
      <c r="M51" s="248"/>
      <c r="N51" s="248"/>
      <c r="Q51" s="344"/>
      <c r="R51" s="344"/>
      <c r="S51" s="344"/>
    </row>
    <row r="52" spans="1:31" s="240" customFormat="1">
      <c r="A52" s="389">
        <v>44208</v>
      </c>
      <c r="B52" s="247" t="s">
        <v>282</v>
      </c>
      <c r="C52" s="248" t="s">
        <v>80</v>
      </c>
      <c r="D52" s="247" t="s">
        <v>18</v>
      </c>
      <c r="E52" s="249"/>
      <c r="F52" s="348">
        <v>11060</v>
      </c>
      <c r="G52" s="249">
        <f t="shared" si="0"/>
        <v>1032156</v>
      </c>
      <c r="H52" s="248" t="s">
        <v>78</v>
      </c>
      <c r="I52" s="248"/>
      <c r="J52" s="248"/>
      <c r="K52" s="248"/>
      <c r="L52" s="248"/>
      <c r="M52" s="248"/>
      <c r="N52" s="248"/>
      <c r="Q52" s="344"/>
      <c r="R52" s="344"/>
      <c r="S52" s="344"/>
    </row>
    <row r="53" spans="1:31" s="240" customFormat="1">
      <c r="A53" s="242">
        <v>44208</v>
      </c>
      <c r="B53" s="247" t="s">
        <v>283</v>
      </c>
      <c r="C53" s="248" t="s">
        <v>26</v>
      </c>
      <c r="D53" s="248" t="s">
        <v>16</v>
      </c>
      <c r="E53" s="249"/>
      <c r="F53" s="348">
        <v>20000</v>
      </c>
      <c r="G53" s="249">
        <f t="shared" si="0"/>
        <v>1012156</v>
      </c>
      <c r="H53" s="248" t="s">
        <v>78</v>
      </c>
      <c r="I53" s="248"/>
      <c r="J53" s="248"/>
      <c r="K53" s="248"/>
      <c r="L53" s="248"/>
      <c r="M53" s="248"/>
      <c r="N53" s="248"/>
      <c r="Q53" s="344"/>
      <c r="R53" s="344"/>
      <c r="S53" s="344"/>
    </row>
    <row r="54" spans="1:31" s="240" customFormat="1" hidden="1">
      <c r="A54" s="242">
        <v>44209</v>
      </c>
      <c r="B54" s="247" t="s">
        <v>150</v>
      </c>
      <c r="C54" s="248" t="s">
        <v>147</v>
      </c>
      <c r="D54" s="248" t="s">
        <v>16</v>
      </c>
      <c r="E54" s="249"/>
      <c r="F54" s="348">
        <v>90200</v>
      </c>
      <c r="G54" s="249">
        <f t="shared" si="0"/>
        <v>921956</v>
      </c>
      <c r="H54" s="248" t="s">
        <v>78</v>
      </c>
      <c r="I54" s="256"/>
      <c r="J54" s="248"/>
      <c r="K54" s="248"/>
      <c r="L54" s="248"/>
      <c r="M54" s="248"/>
      <c r="N54" s="248"/>
      <c r="Q54" s="344"/>
      <c r="R54" s="344"/>
      <c r="S54" s="344"/>
      <c r="Z54" s="242">
        <v>44188</v>
      </c>
      <c r="AA54" s="247" t="s">
        <v>217</v>
      </c>
      <c r="AB54" s="248" t="s">
        <v>15</v>
      </c>
      <c r="AC54" s="248" t="s">
        <v>16</v>
      </c>
      <c r="AD54" s="255"/>
      <c r="AE54" s="348">
        <v>882</v>
      </c>
    </row>
    <row r="55" spans="1:31" s="240" customFormat="1" hidden="1">
      <c r="A55" s="242">
        <v>44210</v>
      </c>
      <c r="B55" s="247" t="s">
        <v>118</v>
      </c>
      <c r="C55" s="248" t="s">
        <v>147</v>
      </c>
      <c r="D55" s="248" t="s">
        <v>16</v>
      </c>
      <c r="E55" s="249"/>
      <c r="F55" s="348">
        <v>15000</v>
      </c>
      <c r="G55" s="249">
        <f t="shared" si="0"/>
        <v>906956</v>
      </c>
      <c r="H55" s="248" t="s">
        <v>78</v>
      </c>
      <c r="I55" s="256"/>
      <c r="J55" s="248"/>
      <c r="K55" s="248"/>
      <c r="L55" s="248"/>
      <c r="M55" s="248"/>
      <c r="N55" s="248"/>
      <c r="Q55" s="344"/>
      <c r="R55" s="344"/>
      <c r="S55" s="344"/>
    </row>
    <row r="56" spans="1:31" s="240" customFormat="1">
      <c r="A56" s="242">
        <v>44210</v>
      </c>
      <c r="B56" s="247" t="s">
        <v>284</v>
      </c>
      <c r="C56" s="248" t="s">
        <v>17</v>
      </c>
      <c r="D56" s="247" t="s">
        <v>18</v>
      </c>
      <c r="E56" s="249"/>
      <c r="F56" s="348">
        <v>120000</v>
      </c>
      <c r="G56" s="249">
        <f t="shared" si="0"/>
        <v>786956</v>
      </c>
      <c r="H56" s="248" t="s">
        <v>78</v>
      </c>
      <c r="I56" s="218"/>
      <c r="J56" s="248"/>
      <c r="K56" s="248"/>
      <c r="L56" s="248"/>
      <c r="M56" s="248"/>
      <c r="N56" s="248"/>
      <c r="Q56" s="344"/>
      <c r="R56" s="344"/>
      <c r="S56" s="344"/>
    </row>
    <row r="57" spans="1:31" s="240" customFormat="1">
      <c r="A57" s="242">
        <v>44210</v>
      </c>
      <c r="B57" s="247" t="s">
        <v>285</v>
      </c>
      <c r="C57" s="248" t="s">
        <v>17</v>
      </c>
      <c r="D57" s="248" t="s">
        <v>18</v>
      </c>
      <c r="E57" s="249"/>
      <c r="F57" s="348">
        <v>1000</v>
      </c>
      <c r="G57" s="249">
        <f t="shared" si="0"/>
        <v>785956</v>
      </c>
      <c r="H57" s="248" t="s">
        <v>78</v>
      </c>
      <c r="I57" s="218"/>
      <c r="J57" s="248"/>
      <c r="K57" s="248"/>
      <c r="L57" s="248"/>
      <c r="M57" s="248"/>
      <c r="N57" s="248"/>
      <c r="Q57" s="344"/>
      <c r="R57" s="344"/>
      <c r="S57" s="344"/>
    </row>
    <row r="58" spans="1:31" s="240" customFormat="1" hidden="1">
      <c r="A58" s="242">
        <v>44211</v>
      </c>
      <c r="B58" s="248" t="s">
        <v>141</v>
      </c>
      <c r="C58" s="248" t="s">
        <v>147</v>
      </c>
      <c r="D58" s="247" t="s">
        <v>16</v>
      </c>
      <c r="E58" s="255"/>
      <c r="F58" s="348">
        <v>50000</v>
      </c>
      <c r="G58" s="249">
        <f t="shared" si="0"/>
        <v>735956</v>
      </c>
      <c r="H58" s="248" t="s">
        <v>78</v>
      </c>
      <c r="I58" s="218"/>
      <c r="J58" s="248"/>
      <c r="K58" s="248"/>
      <c r="L58" s="248"/>
      <c r="M58" s="248"/>
      <c r="N58" s="248"/>
      <c r="O58" s="254"/>
      <c r="Q58" s="344"/>
      <c r="R58" s="344"/>
      <c r="S58" s="344"/>
    </row>
    <row r="59" spans="1:31" s="240" customFormat="1">
      <c r="A59" s="242">
        <v>44211</v>
      </c>
      <c r="B59" s="248" t="s">
        <v>282</v>
      </c>
      <c r="C59" s="248" t="s">
        <v>80</v>
      </c>
      <c r="D59" s="247" t="s">
        <v>18</v>
      </c>
      <c r="E59" s="255"/>
      <c r="F59" s="348">
        <v>1500</v>
      </c>
      <c r="G59" s="249">
        <f t="shared" si="0"/>
        <v>734456</v>
      </c>
      <c r="H59" s="248" t="s">
        <v>78</v>
      </c>
      <c r="I59" s="218"/>
      <c r="J59" s="248"/>
      <c r="K59" s="248"/>
      <c r="L59" s="248"/>
      <c r="M59" s="248"/>
      <c r="N59" s="248"/>
      <c r="O59" s="254"/>
      <c r="Q59" s="344"/>
      <c r="R59" s="344"/>
      <c r="S59" s="344"/>
    </row>
    <row r="60" spans="1:31" s="240" customFormat="1" hidden="1">
      <c r="A60" s="242">
        <v>44214</v>
      </c>
      <c r="B60" s="248" t="s">
        <v>90</v>
      </c>
      <c r="C60" s="248" t="s">
        <v>147</v>
      </c>
      <c r="D60" s="248" t="s">
        <v>16</v>
      </c>
      <c r="E60" s="255"/>
      <c r="F60" s="348">
        <v>100000</v>
      </c>
      <c r="G60" s="249">
        <f t="shared" si="0"/>
        <v>634456</v>
      </c>
      <c r="H60" s="248" t="s">
        <v>78</v>
      </c>
      <c r="I60" s="218"/>
      <c r="J60" s="248"/>
      <c r="K60" s="248"/>
      <c r="L60" s="248"/>
      <c r="M60" s="248"/>
      <c r="N60" s="248"/>
      <c r="Q60" s="344"/>
      <c r="R60" s="344"/>
      <c r="S60" s="344"/>
    </row>
    <row r="61" spans="1:31" s="240" customFormat="1" hidden="1">
      <c r="A61" s="242">
        <v>44214</v>
      </c>
      <c r="B61" s="248" t="s">
        <v>118</v>
      </c>
      <c r="C61" s="248" t="s">
        <v>147</v>
      </c>
      <c r="D61" s="248" t="s">
        <v>16</v>
      </c>
      <c r="E61" s="255"/>
      <c r="F61" s="348">
        <v>10000</v>
      </c>
      <c r="G61" s="249">
        <f t="shared" si="0"/>
        <v>624456</v>
      </c>
      <c r="H61" s="248" t="s">
        <v>78</v>
      </c>
      <c r="I61" s="218"/>
      <c r="J61" s="248"/>
      <c r="K61" s="248"/>
      <c r="L61" s="248"/>
      <c r="M61" s="248"/>
      <c r="N61" s="248"/>
      <c r="Q61" s="344"/>
      <c r="R61" s="344"/>
      <c r="S61" s="344"/>
    </row>
    <row r="62" spans="1:31" s="240" customFormat="1">
      <c r="A62" s="242">
        <v>44214</v>
      </c>
      <c r="B62" s="248" t="s">
        <v>286</v>
      </c>
      <c r="C62" s="248" t="s">
        <v>26</v>
      </c>
      <c r="D62" s="248" t="s">
        <v>16</v>
      </c>
      <c r="E62" s="255"/>
      <c r="F62" s="348">
        <v>50000</v>
      </c>
      <c r="G62" s="249">
        <f t="shared" si="0"/>
        <v>574456</v>
      </c>
      <c r="H62" s="248" t="s">
        <v>78</v>
      </c>
      <c r="I62" s="218"/>
      <c r="J62" s="248"/>
      <c r="K62" s="248"/>
      <c r="L62" s="248"/>
      <c r="M62" s="248"/>
      <c r="N62" s="248"/>
      <c r="Q62" s="344"/>
      <c r="R62" s="344"/>
      <c r="S62" s="344"/>
    </row>
    <row r="63" spans="1:31" s="240" customFormat="1">
      <c r="A63" s="435">
        <v>44214</v>
      </c>
      <c r="B63" s="248" t="s">
        <v>287</v>
      </c>
      <c r="C63" s="248" t="s">
        <v>26</v>
      </c>
      <c r="D63" s="436" t="s">
        <v>31</v>
      </c>
      <c r="E63" s="437"/>
      <c r="F63" s="438">
        <v>20000</v>
      </c>
      <c r="G63" s="249">
        <f t="shared" si="0"/>
        <v>554456</v>
      </c>
      <c r="H63" s="248" t="s">
        <v>78</v>
      </c>
      <c r="I63" s="218"/>
      <c r="J63" s="248"/>
      <c r="K63" s="248"/>
      <c r="L63" s="248"/>
      <c r="M63" s="248"/>
      <c r="N63" s="248"/>
      <c r="O63" s="254"/>
      <c r="Q63" s="344"/>
      <c r="R63" s="344"/>
      <c r="S63" s="344"/>
    </row>
    <row r="64" spans="1:31" s="240" customFormat="1" hidden="1">
      <c r="A64" s="242">
        <v>43849</v>
      </c>
      <c r="B64" s="248" t="s">
        <v>84</v>
      </c>
      <c r="C64" s="248" t="s">
        <v>147</v>
      </c>
      <c r="D64" s="248" t="s">
        <v>31</v>
      </c>
      <c r="E64" s="255"/>
      <c r="F64" s="348">
        <v>100000</v>
      </c>
      <c r="G64" s="249">
        <f t="shared" si="0"/>
        <v>454456</v>
      </c>
      <c r="H64" s="248" t="s">
        <v>78</v>
      </c>
      <c r="I64" s="218"/>
      <c r="J64" s="248"/>
      <c r="K64" s="248"/>
      <c r="L64" s="248"/>
      <c r="M64" s="248"/>
      <c r="N64" s="248"/>
      <c r="O64" s="254"/>
      <c r="Q64" s="344"/>
      <c r="R64" s="344"/>
      <c r="S64" s="344"/>
    </row>
    <row r="65" spans="1:27" s="258" customFormat="1" hidden="1">
      <c r="A65" s="242">
        <v>44215</v>
      </c>
      <c r="B65" s="248" t="s">
        <v>84</v>
      </c>
      <c r="C65" s="248" t="s">
        <v>147</v>
      </c>
      <c r="D65" s="248" t="s">
        <v>31</v>
      </c>
      <c r="E65" s="249"/>
      <c r="F65" s="348">
        <v>2000</v>
      </c>
      <c r="G65" s="249">
        <f t="shared" si="0"/>
        <v>452456</v>
      </c>
      <c r="H65" s="248" t="s">
        <v>78</v>
      </c>
      <c r="I65" s="218"/>
      <c r="J65" s="248"/>
      <c r="K65" s="248"/>
      <c r="L65" s="248"/>
      <c r="M65" s="248"/>
      <c r="N65" s="248"/>
      <c r="O65" s="240"/>
      <c r="P65" s="240"/>
      <c r="Q65" s="344"/>
      <c r="R65" s="344"/>
      <c r="S65" s="344"/>
      <c r="T65" s="240"/>
      <c r="U65" s="240"/>
      <c r="V65" s="240"/>
      <c r="W65" s="240"/>
      <c r="X65" s="240"/>
      <c r="Y65" s="240"/>
      <c r="Z65" s="240"/>
      <c r="AA65" s="240"/>
    </row>
    <row r="66" spans="1:27" s="258" customFormat="1" hidden="1">
      <c r="A66" s="242">
        <v>44215</v>
      </c>
      <c r="B66" s="248" t="s">
        <v>86</v>
      </c>
      <c r="C66" s="248" t="s">
        <v>147</v>
      </c>
      <c r="D66" s="248" t="s">
        <v>31</v>
      </c>
      <c r="E66" s="255"/>
      <c r="F66" s="255">
        <v>110000</v>
      </c>
      <c r="G66" s="249">
        <f t="shared" si="0"/>
        <v>342456</v>
      </c>
      <c r="H66" s="248" t="s">
        <v>78</v>
      </c>
      <c r="I66" s="218"/>
      <c r="J66" s="248"/>
      <c r="K66" s="248"/>
      <c r="L66" s="248"/>
      <c r="M66" s="248"/>
      <c r="N66" s="248"/>
      <c r="O66" s="240"/>
      <c r="P66" s="240"/>
      <c r="Q66" s="344"/>
      <c r="R66" s="344"/>
      <c r="S66" s="344"/>
      <c r="T66" s="240"/>
      <c r="U66" s="240"/>
      <c r="V66" s="240"/>
      <c r="W66" s="240"/>
      <c r="X66" s="240"/>
      <c r="Y66" s="240"/>
      <c r="Z66" s="240"/>
      <c r="AA66" s="240"/>
    </row>
    <row r="67" spans="1:27" s="258" customFormat="1" hidden="1">
      <c r="A67" s="242">
        <v>44215</v>
      </c>
      <c r="B67" s="248" t="s">
        <v>200</v>
      </c>
      <c r="C67" s="248" t="s">
        <v>147</v>
      </c>
      <c r="D67" s="248" t="s">
        <v>31</v>
      </c>
      <c r="E67" s="255"/>
      <c r="F67" s="348">
        <v>100000</v>
      </c>
      <c r="G67" s="249">
        <f t="shared" si="0"/>
        <v>242456</v>
      </c>
      <c r="H67" s="248" t="s">
        <v>78</v>
      </c>
      <c r="I67" s="218"/>
      <c r="J67" s="248"/>
      <c r="K67" s="248"/>
      <c r="L67" s="248"/>
      <c r="M67" s="248"/>
      <c r="N67" s="248"/>
      <c r="O67" s="240"/>
      <c r="P67" s="240"/>
      <c r="Q67" s="344"/>
      <c r="R67" s="344"/>
      <c r="S67" s="344"/>
      <c r="T67" s="240"/>
      <c r="U67" s="240"/>
      <c r="V67" s="240"/>
      <c r="W67" s="240"/>
      <c r="X67" s="240"/>
      <c r="Y67" s="240"/>
      <c r="Z67" s="240"/>
      <c r="AA67" s="240"/>
    </row>
    <row r="68" spans="1:27" s="258" customFormat="1">
      <c r="A68" s="242">
        <v>44215</v>
      </c>
      <c r="B68" s="248" t="s">
        <v>149</v>
      </c>
      <c r="C68" s="248" t="s">
        <v>26</v>
      </c>
      <c r="D68" s="248" t="s">
        <v>16</v>
      </c>
      <c r="E68" s="255"/>
      <c r="F68" s="348">
        <v>20000</v>
      </c>
      <c r="G68" s="249">
        <f t="shared" si="0"/>
        <v>222456</v>
      </c>
      <c r="H68" s="248" t="s">
        <v>78</v>
      </c>
      <c r="I68" s="218"/>
      <c r="J68" s="248"/>
      <c r="K68" s="248"/>
      <c r="L68" s="248"/>
      <c r="M68" s="248"/>
      <c r="N68" s="248"/>
      <c r="O68" s="240"/>
      <c r="P68" s="240"/>
      <c r="Q68" s="344"/>
      <c r="R68" s="344"/>
      <c r="S68" s="344"/>
      <c r="T68" s="240"/>
      <c r="U68" s="240"/>
      <c r="V68" s="240"/>
      <c r="W68" s="240"/>
      <c r="X68" s="240"/>
      <c r="Y68" s="240"/>
      <c r="Z68" s="240"/>
      <c r="AA68" s="240"/>
    </row>
    <row r="69" spans="1:27" s="258" customFormat="1" hidden="1">
      <c r="A69" s="242">
        <v>44216</v>
      </c>
      <c r="B69" s="248" t="s">
        <v>150</v>
      </c>
      <c r="C69" s="248" t="s">
        <v>147</v>
      </c>
      <c r="D69" s="248" t="s">
        <v>16</v>
      </c>
      <c r="E69" s="249"/>
      <c r="F69" s="348">
        <v>90200</v>
      </c>
      <c r="G69" s="249">
        <f t="shared" si="0"/>
        <v>132256</v>
      </c>
      <c r="H69" s="248" t="s">
        <v>78</v>
      </c>
      <c r="I69" s="218"/>
      <c r="J69" s="248"/>
      <c r="K69" s="248"/>
      <c r="L69" s="248"/>
      <c r="M69" s="248"/>
      <c r="N69" s="248"/>
      <c r="O69" s="240"/>
      <c r="P69" s="240"/>
      <c r="Q69" s="344"/>
      <c r="R69" s="344"/>
      <c r="S69" s="344"/>
      <c r="T69" s="240"/>
      <c r="U69" s="240"/>
      <c r="V69" s="240"/>
      <c r="W69" s="240"/>
      <c r="X69" s="240"/>
      <c r="Y69" s="240"/>
      <c r="Z69" s="240"/>
      <c r="AA69" s="240"/>
    </row>
    <row r="70" spans="1:27" s="258" customFormat="1">
      <c r="A70" s="242">
        <v>44217</v>
      </c>
      <c r="B70" s="248" t="s">
        <v>288</v>
      </c>
      <c r="C70" s="248" t="s">
        <v>17</v>
      </c>
      <c r="D70" s="248" t="s">
        <v>18</v>
      </c>
      <c r="E70" s="249"/>
      <c r="F70" s="348">
        <v>25000</v>
      </c>
      <c r="G70" s="249">
        <f t="shared" si="0"/>
        <v>107256</v>
      </c>
      <c r="H70" s="248" t="s">
        <v>78</v>
      </c>
      <c r="I70" s="218"/>
      <c r="J70" s="248"/>
      <c r="K70" s="248"/>
      <c r="L70" s="248"/>
      <c r="M70" s="248"/>
      <c r="N70" s="248"/>
      <c r="O70" s="240"/>
      <c r="P70" s="240"/>
      <c r="Q70" s="344"/>
      <c r="R70" s="344"/>
      <c r="S70" s="344"/>
      <c r="T70" s="240"/>
      <c r="U70" s="240"/>
      <c r="V70" s="240"/>
      <c r="W70" s="240"/>
      <c r="X70" s="240"/>
      <c r="Y70" s="240"/>
      <c r="Z70" s="240"/>
      <c r="AA70" s="240"/>
    </row>
    <row r="71" spans="1:27" s="258" customFormat="1">
      <c r="A71" s="242">
        <v>44217</v>
      </c>
      <c r="B71" s="248" t="s">
        <v>289</v>
      </c>
      <c r="C71" s="248" t="s">
        <v>17</v>
      </c>
      <c r="D71" s="248" t="s">
        <v>18</v>
      </c>
      <c r="E71" s="249"/>
      <c r="F71" s="348">
        <v>7000</v>
      </c>
      <c r="G71" s="249">
        <f t="shared" si="0"/>
        <v>100256</v>
      </c>
      <c r="H71" s="248" t="s">
        <v>78</v>
      </c>
      <c r="I71" s="218"/>
      <c r="J71" s="248"/>
      <c r="K71" s="248"/>
      <c r="L71" s="248"/>
      <c r="M71" s="248"/>
      <c r="N71" s="248"/>
      <c r="O71" s="240"/>
      <c r="P71" s="240"/>
      <c r="Q71" s="344"/>
      <c r="R71" s="344"/>
      <c r="S71" s="344"/>
      <c r="T71" s="240"/>
      <c r="U71" s="240"/>
      <c r="V71" s="240"/>
      <c r="W71" s="240"/>
      <c r="X71" s="240"/>
      <c r="Y71" s="240"/>
      <c r="Z71" s="240"/>
      <c r="AA71" s="240"/>
    </row>
    <row r="72" spans="1:27" s="258" customFormat="1" hidden="1">
      <c r="A72" s="242">
        <v>44217</v>
      </c>
      <c r="B72" s="248" t="s">
        <v>72</v>
      </c>
      <c r="C72" s="248" t="s">
        <v>147</v>
      </c>
      <c r="D72" s="248" t="s">
        <v>18</v>
      </c>
      <c r="E72" s="249">
        <v>1200000</v>
      </c>
      <c r="F72" s="348"/>
      <c r="G72" s="249">
        <f t="shared" si="0"/>
        <v>1300256</v>
      </c>
      <c r="H72" s="248" t="s">
        <v>78</v>
      </c>
      <c r="I72" s="218"/>
      <c r="J72" s="248"/>
      <c r="K72" s="248"/>
      <c r="L72" s="248"/>
      <c r="M72" s="248"/>
      <c r="N72" s="248"/>
      <c r="O72" s="240"/>
      <c r="P72" s="240"/>
      <c r="Q72" s="344"/>
      <c r="R72" s="344"/>
      <c r="S72" s="344"/>
      <c r="T72" s="240"/>
      <c r="U72" s="240"/>
      <c r="V72" s="240"/>
      <c r="W72" s="240"/>
      <c r="X72" s="240"/>
      <c r="Y72" s="240"/>
      <c r="Z72" s="240"/>
      <c r="AA72" s="240"/>
    </row>
    <row r="73" spans="1:27" s="258" customFormat="1" hidden="1">
      <c r="A73" s="242">
        <v>44217</v>
      </c>
      <c r="B73" s="248" t="s">
        <v>72</v>
      </c>
      <c r="C73" s="248" t="s">
        <v>147</v>
      </c>
      <c r="D73" s="248" t="s">
        <v>18</v>
      </c>
      <c r="E73" s="249">
        <v>800000</v>
      </c>
      <c r="F73" s="348"/>
      <c r="G73" s="249">
        <f t="shared" si="0"/>
        <v>2100256</v>
      </c>
      <c r="H73" s="248" t="s">
        <v>78</v>
      </c>
      <c r="I73" s="218"/>
      <c r="J73" s="248"/>
      <c r="K73" s="248"/>
      <c r="L73" s="248"/>
      <c r="M73" s="248"/>
      <c r="N73" s="248"/>
      <c r="O73" s="240"/>
      <c r="P73" s="240"/>
      <c r="Q73" s="344"/>
      <c r="R73" s="344"/>
      <c r="S73" s="344"/>
      <c r="T73" s="240"/>
      <c r="U73" s="240"/>
      <c r="V73" s="240"/>
      <c r="W73" s="240"/>
      <c r="X73" s="240"/>
      <c r="Y73" s="240"/>
      <c r="Z73" s="240"/>
      <c r="AA73" s="240"/>
    </row>
    <row r="74" spans="1:27" s="258" customFormat="1" hidden="1">
      <c r="A74" s="242">
        <v>44217</v>
      </c>
      <c r="B74" s="248" t="s">
        <v>200</v>
      </c>
      <c r="C74" s="248" t="s">
        <v>147</v>
      </c>
      <c r="D74" s="248" t="s">
        <v>31</v>
      </c>
      <c r="E74" s="249"/>
      <c r="F74" s="348">
        <v>227600</v>
      </c>
      <c r="G74" s="249">
        <f t="shared" si="0"/>
        <v>1872656</v>
      </c>
      <c r="H74" s="248" t="s">
        <v>78</v>
      </c>
      <c r="I74" s="218"/>
      <c r="J74" s="248"/>
      <c r="K74" s="248"/>
      <c r="L74" s="248"/>
      <c r="M74" s="248"/>
      <c r="N74" s="248"/>
      <c r="O74" s="240"/>
      <c r="P74" s="240"/>
      <c r="Q74" s="344"/>
      <c r="R74" s="344"/>
      <c r="S74" s="344"/>
      <c r="T74" s="240"/>
      <c r="U74" s="240"/>
      <c r="V74" s="240"/>
      <c r="W74" s="240"/>
      <c r="X74" s="240"/>
      <c r="Y74" s="240"/>
      <c r="Z74" s="240"/>
      <c r="AA74" s="240"/>
    </row>
    <row r="75" spans="1:27" s="258" customFormat="1" hidden="1">
      <c r="A75" s="242">
        <v>44217</v>
      </c>
      <c r="B75" s="248" t="s">
        <v>84</v>
      </c>
      <c r="C75" s="248" t="s">
        <v>147</v>
      </c>
      <c r="D75" s="248" t="s">
        <v>31</v>
      </c>
      <c r="E75" s="249"/>
      <c r="F75" s="348">
        <v>217000</v>
      </c>
      <c r="G75" s="249">
        <f t="shared" si="0"/>
        <v>1655656</v>
      </c>
      <c r="H75" s="248" t="s">
        <v>78</v>
      </c>
      <c r="I75" s="218"/>
      <c r="J75" s="248"/>
      <c r="K75" s="248"/>
      <c r="L75" s="248"/>
      <c r="M75" s="248"/>
      <c r="N75" s="248"/>
      <c r="O75" s="240"/>
      <c r="P75" s="240"/>
      <c r="Q75" s="344"/>
      <c r="R75" s="344"/>
      <c r="S75" s="344"/>
      <c r="T75" s="240"/>
      <c r="U75" s="240"/>
      <c r="V75" s="240"/>
      <c r="W75" s="240"/>
      <c r="X75" s="240"/>
      <c r="Y75" s="240"/>
      <c r="Z75" s="240"/>
      <c r="AA75" s="240"/>
    </row>
    <row r="76" spans="1:27" s="258" customFormat="1" hidden="1">
      <c r="A76" s="242">
        <v>44217</v>
      </c>
      <c r="B76" s="248" t="s">
        <v>86</v>
      </c>
      <c r="C76" s="248" t="s">
        <v>147</v>
      </c>
      <c r="D76" s="247" t="s">
        <v>31</v>
      </c>
      <c r="E76" s="249"/>
      <c r="F76" s="348">
        <v>247000</v>
      </c>
      <c r="G76" s="249">
        <f t="shared" si="0"/>
        <v>1408656</v>
      </c>
      <c r="H76" s="248" t="s">
        <v>78</v>
      </c>
      <c r="I76" s="218"/>
      <c r="J76" s="248"/>
      <c r="K76" s="248"/>
      <c r="L76" s="248"/>
      <c r="M76" s="248"/>
      <c r="N76" s="248"/>
      <c r="O76" s="240"/>
      <c r="P76" s="240"/>
      <c r="Q76" s="344"/>
      <c r="R76" s="344"/>
      <c r="S76" s="344"/>
      <c r="T76" s="240"/>
      <c r="U76" s="240"/>
      <c r="V76" s="240"/>
      <c r="W76" s="240"/>
      <c r="X76" s="240"/>
      <c r="Y76" s="240"/>
      <c r="Z76" s="240"/>
      <c r="AA76" s="240"/>
    </row>
    <row r="77" spans="1:27" s="258" customFormat="1" hidden="1">
      <c r="A77" s="242">
        <v>44217</v>
      </c>
      <c r="B77" s="248" t="s">
        <v>118</v>
      </c>
      <c r="C77" s="248" t="s">
        <v>147</v>
      </c>
      <c r="D77" s="248" t="s">
        <v>16</v>
      </c>
      <c r="E77" s="249"/>
      <c r="F77" s="348">
        <v>162900</v>
      </c>
      <c r="G77" s="249">
        <f t="shared" si="0"/>
        <v>1245756</v>
      </c>
      <c r="H77" s="248" t="s">
        <v>78</v>
      </c>
      <c r="I77" s="218"/>
      <c r="J77" s="248"/>
      <c r="K77" s="248"/>
      <c r="L77" s="248"/>
      <c r="M77" s="248"/>
      <c r="N77" s="248"/>
      <c r="O77" s="240"/>
      <c r="P77" s="240"/>
      <c r="Q77" s="344"/>
      <c r="R77" s="344"/>
      <c r="S77" s="344"/>
      <c r="T77" s="240"/>
      <c r="U77" s="240"/>
      <c r="V77" s="240"/>
      <c r="W77" s="240"/>
      <c r="X77" s="240"/>
      <c r="Y77" s="240"/>
      <c r="Z77" s="240"/>
      <c r="AA77" s="240"/>
    </row>
    <row r="78" spans="1:27" s="258" customFormat="1">
      <c r="A78" s="242">
        <v>44217</v>
      </c>
      <c r="B78" s="248" t="s">
        <v>290</v>
      </c>
      <c r="C78" s="248" t="s">
        <v>80</v>
      </c>
      <c r="D78" s="248" t="s">
        <v>18</v>
      </c>
      <c r="E78" s="249"/>
      <c r="F78" s="250">
        <v>25640</v>
      </c>
      <c r="G78" s="249">
        <f t="shared" ref="G78:G94" si="1">+G77+E78-F78</f>
        <v>1220116</v>
      </c>
      <c r="H78" s="248" t="s">
        <v>78</v>
      </c>
      <c r="I78" s="218"/>
      <c r="J78" s="248"/>
      <c r="K78" s="248"/>
      <c r="L78" s="248"/>
      <c r="M78" s="248"/>
      <c r="N78" s="248"/>
      <c r="O78" s="240"/>
      <c r="P78" s="240"/>
      <c r="Q78" s="344"/>
      <c r="R78" s="344"/>
      <c r="S78" s="344"/>
      <c r="T78" s="240"/>
      <c r="U78" s="240"/>
      <c r="V78" s="240"/>
      <c r="W78" s="240"/>
      <c r="X78" s="240"/>
      <c r="Y78" s="240"/>
      <c r="Z78" s="240"/>
      <c r="AA78" s="240"/>
    </row>
    <row r="79" spans="1:27" s="258" customFormat="1" hidden="1">
      <c r="A79" s="242">
        <v>44217</v>
      </c>
      <c r="B79" s="248" t="s">
        <v>177</v>
      </c>
      <c r="C79" s="248" t="s">
        <v>147</v>
      </c>
      <c r="D79" s="257" t="s">
        <v>19</v>
      </c>
      <c r="E79" s="249"/>
      <c r="F79" s="348">
        <v>5000</v>
      </c>
      <c r="G79" s="249">
        <f t="shared" si="1"/>
        <v>1215116</v>
      </c>
      <c r="H79" s="248" t="s">
        <v>78</v>
      </c>
      <c r="I79" s="218"/>
      <c r="J79" s="248"/>
      <c r="K79" s="248"/>
      <c r="L79" s="248"/>
      <c r="M79" s="248"/>
      <c r="N79" s="248"/>
      <c r="O79" s="240"/>
      <c r="P79" s="240"/>
      <c r="Q79" s="344"/>
      <c r="R79" s="344"/>
      <c r="S79" s="344"/>
      <c r="T79" s="240"/>
      <c r="U79" s="240"/>
      <c r="V79" s="240"/>
      <c r="W79" s="240"/>
      <c r="X79" s="240"/>
      <c r="Y79" s="240"/>
      <c r="Z79" s="240"/>
      <c r="AA79" s="240"/>
    </row>
    <row r="80" spans="1:27" s="258" customFormat="1" hidden="1">
      <c r="A80" s="242">
        <v>44218</v>
      </c>
      <c r="B80" s="248" t="s">
        <v>87</v>
      </c>
      <c r="C80" s="248" t="s">
        <v>147</v>
      </c>
      <c r="D80" s="248" t="s">
        <v>216</v>
      </c>
      <c r="E80" s="249"/>
      <c r="F80" s="348">
        <v>10000</v>
      </c>
      <c r="G80" s="249">
        <f t="shared" si="1"/>
        <v>1205116</v>
      </c>
      <c r="H80" s="248" t="s">
        <v>78</v>
      </c>
      <c r="I80" s="218"/>
      <c r="J80" s="248"/>
      <c r="K80" s="248"/>
      <c r="L80" s="248"/>
      <c r="M80" s="248"/>
      <c r="N80" s="248"/>
      <c r="O80" s="240"/>
      <c r="P80" s="240"/>
      <c r="Q80" s="344"/>
      <c r="R80" s="344"/>
      <c r="S80" s="344"/>
      <c r="T80" s="240"/>
      <c r="U80" s="240"/>
      <c r="V80" s="240"/>
      <c r="W80" s="240"/>
      <c r="X80" s="240"/>
      <c r="Y80" s="240"/>
      <c r="Z80" s="240"/>
      <c r="AA80" s="240"/>
    </row>
    <row r="81" spans="1:27" s="258" customFormat="1" hidden="1">
      <c r="A81" s="242">
        <v>44218</v>
      </c>
      <c r="B81" s="248" t="s">
        <v>149</v>
      </c>
      <c r="C81" s="248" t="s">
        <v>147</v>
      </c>
      <c r="D81" s="257" t="s">
        <v>16</v>
      </c>
      <c r="E81" s="249"/>
      <c r="F81" s="348">
        <v>30000</v>
      </c>
      <c r="G81" s="249">
        <f t="shared" si="1"/>
        <v>1175116</v>
      </c>
      <c r="H81" s="248" t="s">
        <v>78</v>
      </c>
      <c r="I81" s="218"/>
      <c r="J81" s="248"/>
      <c r="K81" s="248"/>
      <c r="L81" s="248"/>
      <c r="M81" s="248"/>
      <c r="N81" s="248"/>
      <c r="O81" s="240"/>
      <c r="P81" s="240"/>
      <c r="Q81" s="344"/>
      <c r="R81" s="344"/>
      <c r="S81" s="344"/>
      <c r="T81" s="240"/>
      <c r="U81" s="240"/>
      <c r="V81" s="240"/>
      <c r="W81" s="240"/>
      <c r="X81" s="240"/>
      <c r="Y81" s="240"/>
      <c r="Z81" s="240"/>
      <c r="AA81" s="240"/>
    </row>
    <row r="82" spans="1:27" s="258" customFormat="1" hidden="1">
      <c r="A82" s="242">
        <v>44221</v>
      </c>
      <c r="B82" s="248" t="s">
        <v>177</v>
      </c>
      <c r="C82" s="248" t="s">
        <v>147</v>
      </c>
      <c r="D82" s="248" t="s">
        <v>19</v>
      </c>
      <c r="E82" s="249"/>
      <c r="F82" s="348">
        <v>10000</v>
      </c>
      <c r="G82" s="249">
        <f t="shared" si="1"/>
        <v>1165116</v>
      </c>
      <c r="H82" s="248" t="s">
        <v>78</v>
      </c>
      <c r="I82" s="218"/>
      <c r="J82" s="248"/>
      <c r="K82" s="248"/>
      <c r="L82" s="248"/>
      <c r="M82" s="248"/>
      <c r="N82" s="248"/>
      <c r="O82" s="240"/>
      <c r="P82" s="240"/>
      <c r="Q82" s="344"/>
      <c r="R82" s="344"/>
      <c r="S82" s="344"/>
      <c r="T82" s="240"/>
      <c r="U82" s="240"/>
      <c r="V82" s="240"/>
      <c r="W82" s="240"/>
      <c r="X82" s="240"/>
      <c r="Y82" s="240"/>
      <c r="Z82" s="240"/>
      <c r="AA82" s="240"/>
    </row>
    <row r="83" spans="1:27" s="258" customFormat="1">
      <c r="A83" s="242">
        <v>44223</v>
      </c>
      <c r="B83" s="247" t="s">
        <v>442</v>
      </c>
      <c r="C83" s="248" t="s">
        <v>17</v>
      </c>
      <c r="D83" s="248" t="s">
        <v>18</v>
      </c>
      <c r="E83" s="249"/>
      <c r="F83" s="348">
        <v>30000</v>
      </c>
      <c r="G83" s="249">
        <f t="shared" si="1"/>
        <v>1135116</v>
      </c>
      <c r="H83" s="248" t="s">
        <v>78</v>
      </c>
      <c r="I83" s="218"/>
      <c r="J83" s="248"/>
      <c r="K83" s="248"/>
      <c r="L83" s="248"/>
      <c r="M83" s="248"/>
      <c r="N83" s="248"/>
      <c r="O83" s="240"/>
      <c r="P83" s="240"/>
      <c r="Q83" s="344"/>
      <c r="R83" s="344"/>
      <c r="S83" s="344"/>
      <c r="T83" s="240"/>
      <c r="U83" s="240"/>
      <c r="V83" s="240"/>
      <c r="W83" s="240"/>
      <c r="X83" s="240"/>
      <c r="Y83" s="240"/>
      <c r="Z83" s="240"/>
      <c r="AA83" s="240"/>
    </row>
    <row r="84" spans="1:27" s="258" customFormat="1" hidden="1">
      <c r="A84" s="242">
        <v>44223</v>
      </c>
      <c r="B84" s="248" t="s">
        <v>149</v>
      </c>
      <c r="C84" s="248" t="s">
        <v>147</v>
      </c>
      <c r="D84" s="247" t="s">
        <v>16</v>
      </c>
      <c r="E84" s="249"/>
      <c r="F84" s="348">
        <v>81400</v>
      </c>
      <c r="G84" s="249">
        <f t="shared" si="1"/>
        <v>1053716</v>
      </c>
      <c r="H84" s="248" t="s">
        <v>78</v>
      </c>
      <c r="I84" s="218"/>
      <c r="J84" s="248"/>
      <c r="K84" s="248"/>
      <c r="L84" s="248"/>
      <c r="M84" s="248"/>
      <c r="N84" s="248"/>
      <c r="O84" s="240"/>
      <c r="P84" s="240"/>
      <c r="Q84" s="344"/>
      <c r="R84" s="344"/>
      <c r="S84" s="344"/>
      <c r="T84" s="240"/>
      <c r="U84" s="240"/>
      <c r="V84" s="240"/>
      <c r="W84" s="240"/>
      <c r="X84" s="240"/>
      <c r="Y84" s="240"/>
      <c r="Z84" s="240"/>
      <c r="AA84" s="240"/>
    </row>
    <row r="85" spans="1:27" s="258" customFormat="1">
      <c r="A85" s="242">
        <v>44223</v>
      </c>
      <c r="B85" s="248" t="s">
        <v>291</v>
      </c>
      <c r="C85" s="248" t="s">
        <v>76</v>
      </c>
      <c r="D85" s="248" t="s">
        <v>16</v>
      </c>
      <c r="E85" s="249"/>
      <c r="F85" s="348">
        <v>74000</v>
      </c>
      <c r="G85" s="249">
        <f t="shared" si="1"/>
        <v>979716</v>
      </c>
      <c r="H85" s="248" t="s">
        <v>78</v>
      </c>
      <c r="I85" s="218"/>
      <c r="J85" s="248"/>
      <c r="K85" s="248"/>
      <c r="L85" s="248"/>
      <c r="M85" s="248"/>
      <c r="N85" s="248"/>
      <c r="O85" s="240"/>
      <c r="P85" s="240"/>
      <c r="Q85" s="344"/>
      <c r="R85" s="344"/>
      <c r="S85" s="344"/>
      <c r="T85" s="240"/>
      <c r="U85" s="240"/>
      <c r="V85" s="240"/>
      <c r="W85" s="240"/>
      <c r="X85" s="240"/>
      <c r="Y85" s="240"/>
      <c r="Z85" s="240"/>
      <c r="AA85" s="240"/>
    </row>
    <row r="86" spans="1:27" s="258" customFormat="1">
      <c r="A86" s="242">
        <v>44223</v>
      </c>
      <c r="B86" s="247" t="s">
        <v>292</v>
      </c>
      <c r="C86" s="248" t="s">
        <v>30</v>
      </c>
      <c r="D86" s="248" t="s">
        <v>21</v>
      </c>
      <c r="E86" s="255"/>
      <c r="F86" s="255">
        <v>110000</v>
      </c>
      <c r="G86" s="249">
        <f t="shared" si="1"/>
        <v>869716</v>
      </c>
      <c r="H86" s="248" t="s">
        <v>78</v>
      </c>
      <c r="I86" s="218"/>
      <c r="J86" s="248"/>
      <c r="K86" s="248"/>
      <c r="L86" s="248"/>
      <c r="M86" s="248"/>
      <c r="N86" s="248"/>
      <c r="O86" s="240"/>
      <c r="P86" s="240"/>
      <c r="Q86" s="344"/>
      <c r="R86" s="344"/>
      <c r="S86" s="344"/>
      <c r="T86" s="240"/>
      <c r="U86" s="240"/>
      <c r="V86" s="240"/>
      <c r="W86" s="240"/>
      <c r="X86" s="240"/>
      <c r="Y86" s="240"/>
      <c r="Z86" s="240"/>
      <c r="AA86" s="240"/>
    </row>
    <row r="87" spans="1:27" s="258" customFormat="1">
      <c r="A87" s="242">
        <v>44223</v>
      </c>
      <c r="B87" s="248" t="s">
        <v>293</v>
      </c>
      <c r="C87" s="248" t="s">
        <v>17</v>
      </c>
      <c r="D87" s="248" t="s">
        <v>18</v>
      </c>
      <c r="E87" s="249"/>
      <c r="F87" s="348">
        <v>61000</v>
      </c>
      <c r="G87" s="249">
        <f t="shared" si="1"/>
        <v>808716</v>
      </c>
      <c r="H87" s="248" t="s">
        <v>78</v>
      </c>
      <c r="I87" s="218"/>
      <c r="J87" s="248"/>
      <c r="K87" s="248"/>
      <c r="L87" s="248"/>
      <c r="M87" s="248"/>
      <c r="N87" s="248"/>
      <c r="O87" s="240"/>
      <c r="P87" s="240"/>
      <c r="Q87" s="344"/>
      <c r="R87" s="344"/>
      <c r="S87" s="344"/>
      <c r="T87" s="240"/>
      <c r="U87" s="240"/>
      <c r="V87" s="240"/>
      <c r="W87" s="240"/>
      <c r="X87" s="240"/>
      <c r="Y87" s="240"/>
      <c r="Z87" s="240"/>
      <c r="AA87" s="240"/>
    </row>
    <row r="88" spans="1:27" s="258" customFormat="1" hidden="1">
      <c r="A88" s="242">
        <v>44224</v>
      </c>
      <c r="B88" s="248" t="s">
        <v>150</v>
      </c>
      <c r="C88" s="248" t="s">
        <v>147</v>
      </c>
      <c r="D88" s="248" t="s">
        <v>16</v>
      </c>
      <c r="E88" s="249"/>
      <c r="F88" s="348">
        <v>70000</v>
      </c>
      <c r="G88" s="249">
        <f t="shared" si="1"/>
        <v>738716</v>
      </c>
      <c r="H88" s="248" t="s">
        <v>78</v>
      </c>
      <c r="I88" s="218"/>
      <c r="J88" s="248"/>
      <c r="K88" s="248"/>
      <c r="L88" s="248"/>
      <c r="M88" s="248"/>
      <c r="N88" s="248"/>
      <c r="O88" s="240"/>
      <c r="P88" s="240"/>
      <c r="Q88" s="344"/>
      <c r="R88" s="344"/>
      <c r="S88" s="344"/>
      <c r="T88" s="240"/>
      <c r="U88" s="240"/>
      <c r="V88" s="240"/>
      <c r="W88" s="240"/>
      <c r="X88" s="240"/>
      <c r="Y88" s="240"/>
      <c r="Z88" s="240"/>
      <c r="AA88" s="240"/>
    </row>
    <row r="89" spans="1:27" s="258" customFormat="1">
      <c r="A89" s="242">
        <v>44224</v>
      </c>
      <c r="B89" s="248" t="s">
        <v>443</v>
      </c>
      <c r="C89" s="248" t="s">
        <v>17</v>
      </c>
      <c r="D89" s="247" t="s">
        <v>18</v>
      </c>
      <c r="E89" s="249"/>
      <c r="F89" s="348">
        <v>65000</v>
      </c>
      <c r="G89" s="249">
        <f t="shared" si="1"/>
        <v>673716</v>
      </c>
      <c r="H89" s="248" t="s">
        <v>78</v>
      </c>
      <c r="I89" s="218"/>
      <c r="J89" s="248"/>
      <c r="K89" s="248"/>
      <c r="L89" s="248"/>
      <c r="M89" s="248"/>
      <c r="N89" s="248"/>
      <c r="O89" s="240"/>
      <c r="P89" s="240"/>
      <c r="Q89" s="344"/>
      <c r="R89" s="344"/>
      <c r="S89" s="344"/>
      <c r="T89" s="240"/>
      <c r="U89" s="240"/>
      <c r="V89" s="240"/>
      <c r="W89" s="240"/>
      <c r="X89" s="240"/>
      <c r="Y89" s="240"/>
      <c r="Z89" s="240"/>
      <c r="AA89" s="240"/>
    </row>
    <row r="90" spans="1:27" s="258" customFormat="1">
      <c r="A90" s="242">
        <v>44224</v>
      </c>
      <c r="B90" s="248" t="s">
        <v>294</v>
      </c>
      <c r="C90" s="248" t="s">
        <v>17</v>
      </c>
      <c r="D90" s="247" t="s">
        <v>18</v>
      </c>
      <c r="E90" s="249"/>
      <c r="F90" s="348">
        <v>45000</v>
      </c>
      <c r="G90" s="249">
        <f t="shared" si="1"/>
        <v>628716</v>
      </c>
      <c r="H90" s="248" t="s">
        <v>78</v>
      </c>
      <c r="I90" s="218"/>
      <c r="J90" s="248"/>
      <c r="K90" s="248"/>
      <c r="L90" s="248"/>
      <c r="M90" s="248"/>
      <c r="N90" s="248"/>
      <c r="O90" s="240"/>
      <c r="P90" s="240"/>
      <c r="Q90" s="344"/>
      <c r="R90" s="344"/>
      <c r="S90" s="344"/>
      <c r="T90" s="240"/>
      <c r="U90" s="240"/>
      <c r="V90" s="240"/>
      <c r="W90" s="240"/>
      <c r="X90" s="240"/>
      <c r="Y90" s="240"/>
      <c r="Z90" s="240"/>
      <c r="AA90" s="240"/>
    </row>
    <row r="91" spans="1:27" s="258" customFormat="1">
      <c r="A91" s="242">
        <v>44224</v>
      </c>
      <c r="B91" s="247" t="s">
        <v>199</v>
      </c>
      <c r="C91" s="248" t="s">
        <v>17</v>
      </c>
      <c r="D91" s="248" t="s">
        <v>18</v>
      </c>
      <c r="E91" s="249"/>
      <c r="F91" s="348">
        <v>12000</v>
      </c>
      <c r="G91" s="249">
        <f t="shared" si="1"/>
        <v>616716</v>
      </c>
      <c r="H91" s="248" t="s">
        <v>78</v>
      </c>
      <c r="I91" s="218"/>
      <c r="J91" s="248"/>
      <c r="K91" s="248"/>
      <c r="L91" s="248"/>
      <c r="M91" s="248"/>
      <c r="N91" s="248"/>
      <c r="O91" s="240"/>
      <c r="P91" s="240"/>
      <c r="Q91" s="344"/>
      <c r="R91" s="344"/>
      <c r="S91" s="344"/>
      <c r="T91" s="240"/>
      <c r="U91" s="240"/>
      <c r="V91" s="240"/>
      <c r="W91" s="240"/>
      <c r="X91" s="240"/>
      <c r="Y91" s="240"/>
      <c r="Z91" s="240"/>
      <c r="AA91" s="240"/>
    </row>
    <row r="92" spans="1:27" s="258" customFormat="1" hidden="1">
      <c r="A92" s="242">
        <v>44224</v>
      </c>
      <c r="B92" s="248" t="s">
        <v>96</v>
      </c>
      <c r="C92" s="248" t="s">
        <v>147</v>
      </c>
      <c r="D92" s="247" t="s">
        <v>16</v>
      </c>
      <c r="E92" s="249"/>
      <c r="F92" s="348">
        <v>135600</v>
      </c>
      <c r="G92" s="249">
        <f t="shared" si="1"/>
        <v>481116</v>
      </c>
      <c r="H92" s="248" t="s">
        <v>78</v>
      </c>
      <c r="I92" s="218"/>
      <c r="J92" s="248"/>
      <c r="K92" s="248"/>
      <c r="L92" s="248"/>
      <c r="M92" s="248"/>
      <c r="N92" s="248"/>
      <c r="O92" s="240"/>
      <c r="P92" s="240"/>
      <c r="Q92" s="344"/>
      <c r="R92" s="344"/>
      <c r="S92" s="344"/>
      <c r="T92" s="240"/>
      <c r="U92" s="240"/>
      <c r="V92" s="240"/>
      <c r="W92" s="240"/>
      <c r="X92" s="240"/>
      <c r="Y92" s="240"/>
      <c r="Z92" s="240"/>
      <c r="AA92" s="240"/>
    </row>
    <row r="93" spans="1:27" s="258" customFormat="1" hidden="1">
      <c r="A93" s="242">
        <v>44224</v>
      </c>
      <c r="B93" s="248" t="s">
        <v>150</v>
      </c>
      <c r="C93" s="248" t="s">
        <v>147</v>
      </c>
      <c r="D93" s="247" t="s">
        <v>16</v>
      </c>
      <c r="E93" s="249"/>
      <c r="F93" s="348">
        <v>154400</v>
      </c>
      <c r="G93" s="249">
        <f t="shared" si="1"/>
        <v>326716</v>
      </c>
      <c r="H93" s="248" t="s">
        <v>78</v>
      </c>
      <c r="I93" s="218"/>
      <c r="J93" s="248"/>
      <c r="K93" s="248"/>
      <c r="L93" s="248"/>
      <c r="M93" s="248"/>
      <c r="N93" s="248"/>
      <c r="O93" s="240"/>
      <c r="P93" s="240"/>
      <c r="Q93" s="344"/>
      <c r="R93" s="344"/>
      <c r="S93" s="344"/>
      <c r="T93" s="240"/>
      <c r="U93" s="240"/>
      <c r="V93" s="240"/>
      <c r="W93" s="240"/>
      <c r="X93" s="240"/>
      <c r="Y93" s="240"/>
      <c r="Z93" s="240"/>
      <c r="AA93" s="240"/>
    </row>
    <row r="94" spans="1:27" s="258" customFormat="1" hidden="1">
      <c r="A94" s="242">
        <v>44224</v>
      </c>
      <c r="B94" s="248" t="s">
        <v>87</v>
      </c>
      <c r="C94" s="248" t="s">
        <v>147</v>
      </c>
      <c r="D94" s="247" t="s">
        <v>216</v>
      </c>
      <c r="E94" s="249"/>
      <c r="F94" s="348">
        <v>10000</v>
      </c>
      <c r="G94" s="249">
        <f t="shared" si="1"/>
        <v>316716</v>
      </c>
      <c r="H94" s="248" t="s">
        <v>78</v>
      </c>
      <c r="I94" s="218"/>
      <c r="J94" s="248"/>
      <c r="K94" s="248"/>
      <c r="L94" s="248"/>
      <c r="M94" s="248"/>
      <c r="N94" s="248"/>
      <c r="O94" s="240"/>
      <c r="P94" s="240"/>
      <c r="Q94" s="344"/>
      <c r="R94" s="344"/>
      <c r="S94" s="344"/>
      <c r="T94" s="240"/>
      <c r="U94" s="240"/>
      <c r="V94" s="240"/>
      <c r="W94" s="240"/>
      <c r="X94" s="240"/>
      <c r="Y94" s="240"/>
      <c r="Z94" s="240"/>
      <c r="AA94" s="240"/>
    </row>
    <row r="95" spans="1:27">
      <c r="A95" s="259"/>
      <c r="B95" s="182"/>
      <c r="C95" s="182"/>
      <c r="D95" s="260"/>
      <c r="E95" s="183">
        <f>SUM(E12:E94)</f>
        <v>5562150</v>
      </c>
      <c r="F95" s="183">
        <f>SUM(F12:F94)</f>
        <v>5245434</v>
      </c>
      <c r="G95" s="350">
        <f>E95-F95</f>
        <v>316716</v>
      </c>
      <c r="H95" s="260" t="s">
        <v>78</v>
      </c>
      <c r="I95" s="182"/>
      <c r="J95" s="182"/>
      <c r="K95" s="182"/>
      <c r="L95" s="182"/>
      <c r="M95" s="182"/>
      <c r="N95" s="182"/>
    </row>
    <row r="96" spans="1:27" hidden="1">
      <c r="B96" s="187"/>
      <c r="C96" t="s">
        <v>181</v>
      </c>
      <c r="D96" s="26"/>
      <c r="J96" s="188"/>
    </row>
    <row r="97" spans="4:16">
      <c r="D97" s="26"/>
      <c r="J97" s="189"/>
    </row>
    <row r="98" spans="4:16">
      <c r="E98" s="26"/>
      <c r="J98" s="189"/>
    </row>
    <row r="99" spans="4:16">
      <c r="D99" s="26"/>
      <c r="I99" s="34"/>
      <c r="J99" s="189"/>
      <c r="P99" s="251"/>
    </row>
    <row r="100" spans="4:16">
      <c r="D100" s="26"/>
      <c r="J100" s="189"/>
    </row>
    <row r="101" spans="4:16">
      <c r="D101" s="26"/>
      <c r="J101" s="188"/>
    </row>
    <row r="102" spans="4:16">
      <c r="E102"/>
      <c r="H102" s="121"/>
    </row>
    <row r="104" spans="4:16">
      <c r="H104" s="190"/>
    </row>
    <row r="112" spans="4:16">
      <c r="O112" s="1">
        <f>73000-15000</f>
        <v>58000</v>
      </c>
    </row>
  </sheetData>
  <autoFilter ref="A11:L96">
    <filterColumn colId="2">
      <filters blank="1">
        <filter val="Bonus"/>
        <filter val="Internet"/>
        <filter val="Lawyer fees"/>
        <filter val="Rent &amp; Utilities"/>
        <filter val="Services"/>
        <filter val="Transfer fees"/>
      </filters>
    </filterColumn>
  </autoFilter>
  <mergeCells count="3">
    <mergeCell ref="A1:N1"/>
    <mergeCell ref="A4:N4"/>
    <mergeCell ref="P48:R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Récapitulatif</vt:lpstr>
      <vt:lpstr>Feuil1</vt:lpstr>
      <vt:lpstr>Donateurs</vt:lpstr>
      <vt:lpstr>DATA  JANV</vt:lpstr>
      <vt:lpstr>Compte Principal 34 BCI</vt:lpstr>
      <vt:lpstr>Rapprochement Bancaire Cpte 34</vt:lpstr>
      <vt:lpstr>Sous-Compte 34 BCI</vt:lpstr>
      <vt:lpstr>Rapprochement Bancaire Cpte 56</vt:lpstr>
      <vt:lpstr>CAISSE JANV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2020-12-22T19:38:01Z</cp:lastPrinted>
  <dcterms:created xsi:type="dcterms:W3CDTF">2020-09-02T13:35:58Z</dcterms:created>
  <dcterms:modified xsi:type="dcterms:W3CDTF">2021-03-02T17:24:36Z</dcterms:modified>
</cp:coreProperties>
</file>