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activeTab="8"/>
  </bookViews>
  <sheets>
    <sheet name="Récapitulatif" sheetId="16" r:id="rId1"/>
    <sheet name="Feuil5" sheetId="89" r:id="rId2"/>
    <sheet name="Donateurs" sheetId="90" r:id="rId3"/>
    <sheet name="DATA  FEVR" sheetId="77" r:id="rId4"/>
    <sheet name="Compte Principal 34 BCI" sheetId="79" r:id="rId5"/>
    <sheet name="Rapprochement Bancaire Cpte 34" sheetId="80" r:id="rId6"/>
    <sheet name="Sous-Compte 56 BCI" sheetId="81" r:id="rId7"/>
    <sheet name="Rapprochement Bancaire Cpte 56" sheetId="82" r:id="rId8"/>
    <sheet name="CAISSE Fev 21" sheetId="8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3" hidden="1">'DATA  FEVR'!$A$11:$GT$294</definedName>
    <definedName name="_GoBack" localSheetId="6">'Sous-Compte 56 BCI'!$K$15</definedName>
    <definedName name="Départements">[1]Feuil6!$G$6:$G$14</definedName>
    <definedName name="Dépenses">[1]Feuil6!$A$6:$A$25</definedName>
  </definedNames>
  <calcPr calcId="124519"/>
  <pivotCaches>
    <pivotCache cacheId="0" r:id="rId38"/>
  </pivotCache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79"/>
  <c r="H19"/>
  <c r="E38" i="77" l="1"/>
  <c r="E37"/>
  <c r="F75"/>
  <c r="H10" i="16"/>
  <c r="AO7" i="89" l="1"/>
  <c r="AP7" s="1"/>
  <c r="AO8"/>
  <c r="AP8" s="1"/>
  <c r="AO9"/>
  <c r="AP9" s="1"/>
  <c r="AO10"/>
  <c r="AP10" s="1"/>
  <c r="AO11"/>
  <c r="AP11" s="1"/>
  <c r="AO12"/>
  <c r="AP12" s="1"/>
  <c r="AO13"/>
  <c r="AP13" s="1"/>
  <c r="AO14"/>
  <c r="AP14" s="1"/>
  <c r="AO15"/>
  <c r="AP15" s="1"/>
  <c r="AO16"/>
  <c r="AP16" s="1"/>
  <c r="AO17"/>
  <c r="AP17" s="1"/>
  <c r="AO18"/>
  <c r="AP18" s="1"/>
  <c r="AO19"/>
  <c r="AP19" s="1"/>
  <c r="AO20"/>
  <c r="AP20" s="1"/>
  <c r="AO21"/>
  <c r="AP21" s="1"/>
  <c r="AO22"/>
  <c r="AP22" s="1"/>
  <c r="AO23"/>
  <c r="AP23" s="1"/>
  <c r="AO24"/>
  <c r="AP24" s="1"/>
  <c r="AO6"/>
  <c r="AP6" s="1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6"/>
  <c r="I52" i="16" l="1"/>
  <c r="C46"/>
  <c r="J46" s="1"/>
  <c r="H20"/>
  <c r="H19" l="1"/>
  <c r="H18" l="1"/>
  <c r="H17" l="1"/>
  <c r="H16" l="1"/>
  <c r="H15" l="1"/>
  <c r="H14" l="1"/>
  <c r="H11" l="1"/>
  <c r="H9" l="1"/>
  <c r="H8" l="1"/>
  <c r="H7" l="1"/>
  <c r="H6" l="1"/>
  <c r="C6" l="1"/>
  <c r="C32" s="1"/>
  <c r="O153" i="83"/>
  <c r="P96"/>
  <c r="Q74"/>
  <c r="F66"/>
  <c r="F35"/>
  <c r="F28"/>
  <c r="F25"/>
  <c r="E12"/>
  <c r="E136" s="1"/>
  <c r="J32" i="16" l="1"/>
  <c r="F136" i="83"/>
  <c r="C6" s="1"/>
  <c r="C5"/>
  <c r="G12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l="1"/>
  <c r="H5" i="16" s="1"/>
  <c r="C7" i="83"/>
  <c r="M34" i="82"/>
  <c r="M36" s="1"/>
  <c r="I34"/>
  <c r="N32"/>
  <c r="M32"/>
  <c r="G32"/>
  <c r="I18"/>
  <c r="F18"/>
  <c r="F32" s="1"/>
  <c r="F36" s="1"/>
  <c r="J13"/>
  <c r="J11"/>
  <c r="I35" i="81"/>
  <c r="H34"/>
  <c r="H36" s="1"/>
  <c r="J15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H4" i="16" s="1"/>
  <c r="I34" i="80"/>
  <c r="N32"/>
  <c r="M34" s="1"/>
  <c r="M32"/>
  <c r="G32"/>
  <c r="I18"/>
  <c r="F18"/>
  <c r="F32" s="1"/>
  <c r="J13"/>
  <c r="J11"/>
  <c r="I29" i="79"/>
  <c r="H28"/>
  <c r="J16"/>
  <c r="J17" s="1"/>
  <c r="J18" s="1"/>
  <c r="J19" s="1"/>
  <c r="J20" s="1"/>
  <c r="J21" s="1"/>
  <c r="J22" s="1"/>
  <c r="J23" s="1"/>
  <c r="J24" s="1"/>
  <c r="J25" s="1"/>
  <c r="J26" s="1"/>
  <c r="J27" s="1"/>
  <c r="H3" i="16" s="1"/>
  <c r="H30" i="79" l="1"/>
  <c r="G34" i="80"/>
  <c r="G38" s="1"/>
  <c r="G34" i="82"/>
  <c r="G36" s="1"/>
  <c r="D34" i="80"/>
  <c r="F36"/>
  <c r="M36"/>
  <c r="K34"/>
  <c r="N36"/>
  <c r="K34" i="82"/>
  <c r="N36"/>
  <c r="D34"/>
  <c r="G36" i="80" l="1"/>
  <c r="G38" i="82"/>
  <c r="C19" i="16"/>
  <c r="C45" s="1"/>
  <c r="J45" s="1"/>
  <c r="C18"/>
  <c r="C44" s="1"/>
  <c r="J44" s="1"/>
  <c r="C17"/>
  <c r="C43" s="1"/>
  <c r="J43" s="1"/>
  <c r="C16"/>
  <c r="C42" s="1"/>
  <c r="J42" s="1"/>
  <c r="C15"/>
  <c r="C41" s="1"/>
  <c r="J41" s="1"/>
  <c r="C14"/>
  <c r="C40" s="1"/>
  <c r="J40" s="1"/>
  <c r="C13"/>
  <c r="C39" s="1"/>
  <c r="J39" s="1"/>
  <c r="C12"/>
  <c r="C38" s="1"/>
  <c r="J38" s="1"/>
  <c r="C11"/>
  <c r="C37" s="1"/>
  <c r="J37" s="1"/>
  <c r="C10"/>
  <c r="C36" s="1"/>
  <c r="J36" s="1"/>
  <c r="C9"/>
  <c r="C35" s="1"/>
  <c r="J35" s="1"/>
  <c r="C8"/>
  <c r="C34" s="1"/>
  <c r="J34" s="1"/>
  <c r="C7"/>
  <c r="C33" s="1"/>
  <c r="C5"/>
  <c r="C48" s="1"/>
  <c r="J48" s="1"/>
  <c r="C4"/>
  <c r="C51" s="1"/>
  <c r="J51" s="1"/>
  <c r="C3"/>
  <c r="C50" s="1"/>
  <c r="J50" s="1"/>
  <c r="C79"/>
  <c r="F3"/>
  <c r="E19"/>
  <c r="D19"/>
  <c r="A19"/>
  <c r="AQ7" i="89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6"/>
  <c r="E36" i="77"/>
  <c r="J33" i="16" l="1"/>
  <c r="J52" s="1"/>
  <c r="C52"/>
  <c r="I19"/>
  <c r="K45" s="1"/>
  <c r="F124" i="77"/>
  <c r="F62"/>
  <c r="F49"/>
  <c r="F28"/>
  <c r="F292" l="1"/>
  <c r="F293"/>
  <c r="C2" l="1"/>
  <c r="J92" i="16" l="1"/>
  <c r="J73" l="1"/>
  <c r="J72"/>
  <c r="J71"/>
  <c r="J70"/>
  <c r="J69"/>
  <c r="J68"/>
  <c r="J67"/>
  <c r="J66"/>
  <c r="J65"/>
  <c r="J64"/>
  <c r="J63"/>
  <c r="J62"/>
  <c r="J61"/>
  <c r="J75"/>
  <c r="J78"/>
  <c r="J77"/>
  <c r="I79"/>
  <c r="J60" l="1"/>
  <c r="J79" s="1"/>
  <c r="C6" i="77" l="1"/>
  <c r="C5"/>
  <c r="G12"/>
  <c r="G13" s="1"/>
  <c r="I107" i="16"/>
  <c r="C7" i="77" l="1"/>
  <c r="J100" i="16"/>
  <c r="J97" l="1"/>
  <c r="J93"/>
  <c r="J89"/>
  <c r="J103"/>
  <c r="J105"/>
  <c r="J106"/>
  <c r="J99"/>
  <c r="J98"/>
  <c r="J96"/>
  <c r="J95"/>
  <c r="J94"/>
  <c r="J91"/>
  <c r="J90"/>
  <c r="J88"/>
  <c r="G16"/>
  <c r="G17"/>
  <c r="G18"/>
  <c r="G20"/>
  <c r="A18"/>
  <c r="A11"/>
  <c r="F20" l="1"/>
  <c r="D20"/>
  <c r="F17"/>
  <c r="F18"/>
  <c r="J101"/>
  <c r="J107" s="1"/>
  <c r="K107" s="1"/>
  <c r="C21"/>
  <c r="C53" s="1"/>
  <c r="D18" l="1"/>
  <c r="J124"/>
  <c r="F16" l="1"/>
  <c r="D16" s="1"/>
  <c r="D17"/>
  <c r="J125"/>
  <c r="A17"/>
  <c r="J123"/>
  <c r="J122"/>
  <c r="J121"/>
  <c r="J120"/>
  <c r="J119"/>
  <c r="J118"/>
  <c r="J117"/>
  <c r="J116"/>
  <c r="J115"/>
  <c r="J129"/>
  <c r="J132"/>
  <c r="J131"/>
  <c r="J127" l="1"/>
  <c r="J126"/>
  <c r="A20"/>
  <c r="A16"/>
  <c r="J133" l="1"/>
  <c r="J151" l="1"/>
  <c r="F141" l="1"/>
  <c r="J175"/>
  <c r="J178"/>
  <c r="J159"/>
  <c r="J158"/>
  <c r="J157"/>
  <c r="C150" l="1"/>
  <c r="J150" s="1"/>
  <c r="C149"/>
  <c r="J149" s="1"/>
  <c r="C148"/>
  <c r="J148" s="1"/>
  <c r="C147"/>
  <c r="J147" s="1"/>
  <c r="C146"/>
  <c r="J146" s="1"/>
  <c r="C145"/>
  <c r="J145" s="1"/>
  <c r="C144"/>
  <c r="J144" s="1"/>
  <c r="C143"/>
  <c r="J143" s="1"/>
  <c r="C142"/>
  <c r="J142" s="1"/>
  <c r="C141"/>
  <c r="J141" s="1"/>
  <c r="C153"/>
  <c r="J153" s="1"/>
  <c r="C156"/>
  <c r="J156" s="1"/>
  <c r="C155" l="1"/>
  <c r="J155" s="1"/>
  <c r="J160" s="1"/>
  <c r="A24" l="1"/>
  <c r="H21" l="1"/>
  <c r="J186" l="1"/>
  <c r="J185"/>
  <c r="J184"/>
  <c r="J237"/>
  <c r="J210"/>
  <c r="J209"/>
  <c r="J207"/>
  <c r="E205"/>
  <c r="J205" s="1"/>
  <c r="E204"/>
  <c r="J204" s="1"/>
  <c r="E202"/>
  <c r="J202" s="1"/>
  <c r="H201"/>
  <c r="E201"/>
  <c r="F200"/>
  <c r="E200"/>
  <c r="E199"/>
  <c r="J199" s="1"/>
  <c r="I198"/>
  <c r="H198"/>
  <c r="E198"/>
  <c r="I197"/>
  <c r="E197"/>
  <c r="H196"/>
  <c r="E196"/>
  <c r="I195"/>
  <c r="J187"/>
  <c r="J171"/>
  <c r="G15"/>
  <c r="A15"/>
  <c r="G14"/>
  <c r="A14"/>
  <c r="G13"/>
  <c r="A13"/>
  <c r="G12"/>
  <c r="A12"/>
  <c r="G11"/>
  <c r="G10"/>
  <c r="A10"/>
  <c r="G9"/>
  <c r="A9"/>
  <c r="G8"/>
  <c r="A8"/>
  <c r="G7"/>
  <c r="A7"/>
  <c r="G6"/>
  <c r="A6"/>
  <c r="G5"/>
  <c r="A5"/>
  <c r="G4"/>
  <c r="J183"/>
  <c r="A4"/>
  <c r="G3"/>
  <c r="A3"/>
  <c r="F5" l="1"/>
  <c r="F4"/>
  <c r="F7"/>
  <c r="F13"/>
  <c r="F15"/>
  <c r="F6"/>
  <c r="F8"/>
  <c r="F10"/>
  <c r="F9"/>
  <c r="F11"/>
  <c r="F12"/>
  <c r="F14"/>
  <c r="G21"/>
  <c r="B171"/>
  <c r="B175"/>
  <c r="B176"/>
  <c r="B169"/>
  <c r="B172"/>
  <c r="B173"/>
  <c r="B170"/>
  <c r="B174"/>
  <c r="J170"/>
  <c r="I212"/>
  <c r="J197"/>
  <c r="J180"/>
  <c r="J196"/>
  <c r="J168"/>
  <c r="J174"/>
  <c r="J169"/>
  <c r="J182"/>
  <c r="J177"/>
  <c r="J200"/>
  <c r="J198"/>
  <c r="J201"/>
  <c r="J195"/>
  <c r="D3" l="1"/>
  <c r="D12"/>
  <c r="B24"/>
  <c r="D9"/>
  <c r="D15"/>
  <c r="D4"/>
  <c r="D5"/>
  <c r="D11"/>
  <c r="D6"/>
  <c r="D8"/>
  <c r="D7"/>
  <c r="D14"/>
  <c r="D10"/>
  <c r="D13"/>
  <c r="F21"/>
  <c r="J173"/>
  <c r="J172"/>
  <c r="J176"/>
  <c r="C203"/>
  <c r="D21" l="1"/>
  <c r="G23" s="1"/>
  <c r="J188"/>
  <c r="C212"/>
  <c r="J203"/>
  <c r="J212" s="1"/>
  <c r="G14" i="77" l="1"/>
  <c r="G15" s="1"/>
  <c r="E20" i="16"/>
  <c r="I20" s="1"/>
  <c r="E5"/>
  <c r="I5" s="1"/>
  <c r="K48" s="1"/>
  <c r="E12"/>
  <c r="I12" s="1"/>
  <c r="E17"/>
  <c r="I17" s="1"/>
  <c r="E16"/>
  <c r="I16" s="1"/>
  <c r="K42" s="1"/>
  <c r="E15"/>
  <c r="I15" s="1"/>
  <c r="K41" s="1"/>
  <c r="E10"/>
  <c r="I10" s="1"/>
  <c r="K36" s="1"/>
  <c r="E4"/>
  <c r="I4" s="1"/>
  <c r="E6"/>
  <c r="I6" s="1"/>
  <c r="E11"/>
  <c r="I11" s="1"/>
  <c r="K37" s="1"/>
  <c r="E7"/>
  <c r="I7" s="1"/>
  <c r="K33" s="1"/>
  <c r="E18"/>
  <c r="I18" s="1"/>
  <c r="E3"/>
  <c r="I3" s="1"/>
  <c r="E14"/>
  <c r="I14" s="1"/>
  <c r="E8"/>
  <c r="I8" s="1"/>
  <c r="K34" s="1"/>
  <c r="E9"/>
  <c r="I9" s="1"/>
  <c r="K35" s="1"/>
  <c r="E13"/>
  <c r="I13" s="1"/>
  <c r="K39" s="1"/>
  <c r="K46" l="1"/>
  <c r="J20"/>
  <c r="J15"/>
  <c r="J16"/>
  <c r="K51"/>
  <c r="J4"/>
  <c r="K32"/>
  <c r="J6"/>
  <c r="J12"/>
  <c r="K38"/>
  <c r="J14"/>
  <c r="K40"/>
  <c r="J18"/>
  <c r="K44"/>
  <c r="K50"/>
  <c r="I21"/>
  <c r="J3"/>
  <c r="K43"/>
  <c r="J17"/>
  <c r="J9"/>
  <c r="J8"/>
  <c r="J7"/>
  <c r="J11"/>
  <c r="E21"/>
  <c r="C24" s="1"/>
  <c r="D24" s="1"/>
  <c r="J10"/>
  <c r="J5"/>
  <c r="J13"/>
  <c r="I22" l="1"/>
  <c r="J21"/>
  <c r="E24"/>
  <c r="K52"/>
  <c r="K160"/>
  <c r="E6" i="77"/>
  <c r="D7"/>
  <c r="G16" l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</calcChain>
</file>

<file path=xl/sharedStrings.xml><?xml version="1.0" encoding="utf-8"?>
<sst xmlns="http://schemas.openxmlformats.org/spreadsheetml/2006/main" count="3050" uniqueCount="557">
  <si>
    <t>Visa Compta</t>
  </si>
  <si>
    <t>Banque: BANQUE COMMERCIALE INTERNATIONALE</t>
  </si>
  <si>
    <t>Compte: 01100-37107255251-56</t>
  </si>
  <si>
    <t>Intitulé du compte: Projet PALF</t>
  </si>
  <si>
    <t>Date</t>
  </si>
  <si>
    <t>N°     pièce</t>
  </si>
  <si>
    <t>References</t>
  </si>
  <si>
    <t>Libellé</t>
  </si>
  <si>
    <t>Type depenses</t>
  </si>
  <si>
    <t>Département</t>
  </si>
  <si>
    <t>Code  budgétaire</t>
  </si>
  <si>
    <t>Débit</t>
  </si>
  <si>
    <t>Crédit</t>
  </si>
  <si>
    <t>Solde progressif</t>
  </si>
  <si>
    <t>Donateur</t>
  </si>
  <si>
    <t>Personnel</t>
  </si>
  <si>
    <t>Légal</t>
  </si>
  <si>
    <t>Rent &amp; Utilities</t>
  </si>
  <si>
    <t>office</t>
  </si>
  <si>
    <t>Management</t>
  </si>
  <si>
    <t>Telephone</t>
  </si>
  <si>
    <t>Office</t>
  </si>
  <si>
    <t>Total sorties</t>
  </si>
  <si>
    <t xml:space="preserve">Solde </t>
  </si>
  <si>
    <t>Compte: 01100-37107202652-34</t>
  </si>
  <si>
    <t xml:space="preserve"> Crédit </t>
  </si>
  <si>
    <t>Bonus</t>
  </si>
  <si>
    <t>Total Entrées</t>
  </si>
  <si>
    <t>Bank fees</t>
  </si>
  <si>
    <t>Relevé</t>
  </si>
  <si>
    <t>Services</t>
  </si>
  <si>
    <t>Investigation</t>
  </si>
  <si>
    <t>EAGLE NETWORK</t>
  </si>
  <si>
    <t xml:space="preserve">PROJET: </t>
  </si>
  <si>
    <t>Projet d'Appui à l'Application de la Loi sur la Faune sauvage-PALF</t>
  </si>
  <si>
    <t>PALF</t>
  </si>
  <si>
    <t xml:space="preserve">La Coordinatrice </t>
  </si>
  <si>
    <t>Perrine ODIER</t>
  </si>
  <si>
    <t>Date__________  Signature _____________________</t>
  </si>
  <si>
    <t>CIDT</t>
  </si>
  <si>
    <t>Chef Comptable</t>
  </si>
  <si>
    <t>Ted Gessay KOUEMITOUKA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</si>
  <si>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</si>
  <si>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</si>
  <si>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</si>
  <si>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</si>
  <si>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</si>
  <si>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</si>
  <si>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</si>
  <si>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</si>
  <si>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</si>
  <si>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</si>
  <si>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</si>
  <si>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</si>
  <si>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</si>
  <si>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</si>
  <si>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</si>
  <si>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</si>
  <si>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</si>
  <si>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</si>
  <si>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</si>
  <si>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Congo</t>
  </si>
  <si>
    <t>BCI Sous-Compte</t>
  </si>
  <si>
    <t>RALFF</t>
  </si>
  <si>
    <t>Lawyer fees</t>
  </si>
  <si>
    <t>Media</t>
  </si>
  <si>
    <t>Caisse</t>
  </si>
  <si>
    <t>OUI</t>
  </si>
  <si>
    <t>Transfer fees</t>
  </si>
  <si>
    <t>Herick</t>
  </si>
  <si>
    <t>Jospin</t>
  </si>
  <si>
    <t>Dalia</t>
  </si>
  <si>
    <t>P29</t>
  </si>
  <si>
    <t>5.2.2</t>
  </si>
  <si>
    <t>I23C</t>
  </si>
  <si>
    <t>Evariste</t>
  </si>
  <si>
    <t>Ted</t>
  </si>
  <si>
    <t>Shely</t>
  </si>
  <si>
    <t>Transport</t>
  </si>
  <si>
    <t>Jail visits</t>
  </si>
  <si>
    <t>Office Materials</t>
  </si>
  <si>
    <t>Oui</t>
  </si>
  <si>
    <t>Trust building</t>
  </si>
  <si>
    <t>Jack-Bénisson</t>
  </si>
  <si>
    <t>1.1.1.7</t>
  </si>
  <si>
    <t>1.1.1.4</t>
  </si>
  <si>
    <t>1.1.2.1</t>
  </si>
  <si>
    <t>1.1.1.9</t>
  </si>
  <si>
    <t>1.3.2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</si>
  <si>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</si>
  <si>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</si>
  <si>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</si>
  <si>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</si>
  <si>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</si>
  <si>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</si>
  <si>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</si>
  <si>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</si>
  <si>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</si>
  <si>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</si>
  <si>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</si>
  <si>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 xml:space="preserve">BCI </t>
  </si>
  <si>
    <t>BCI  sous-compte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</si>
  <si>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</si>
  <si>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</si>
  <si>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</si>
  <si>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</si>
  <si>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</si>
  <si>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</si>
  <si>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</si>
  <si>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</si>
  <si>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</si>
  <si>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</si>
  <si>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</si>
  <si>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</si>
  <si>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</si>
  <si>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</si>
  <si>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</si>
  <si>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</si>
  <si>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</si>
  <si>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</si>
  <si>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Fichier comptable-Caisse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</si>
  <si>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</si>
  <si>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</si>
  <si>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</si>
  <si>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</si>
  <si>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</si>
  <si>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</si>
  <si>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</si>
  <si>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</si>
  <si>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</si>
  <si>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</si>
  <si>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</si>
  <si>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Legal</t>
  </si>
  <si>
    <t>Christian</t>
  </si>
  <si>
    <t>Geisner</t>
  </si>
  <si>
    <t>1.1.1.1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</si>
  <si>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</si>
  <si>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</si>
  <si>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</si>
  <si>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</si>
  <si>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</si>
  <si>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</si>
  <si>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</si>
  <si>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</si>
  <si>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</si>
  <si>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Virement</t>
  </si>
  <si>
    <t>Décharge</t>
  </si>
  <si>
    <t>Travel Subsistence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</si>
  <si>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</si>
  <si>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</si>
  <si>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</si>
  <si>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</si>
  <si>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</si>
  <si>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2.2</t>
  </si>
  <si>
    <t>4.3</t>
  </si>
  <si>
    <t>5.6</t>
  </si>
  <si>
    <t>Remarque</t>
  </si>
  <si>
    <t>Naftali</t>
  </si>
  <si>
    <t>Merveille</t>
  </si>
  <si>
    <t>4.2</t>
  </si>
  <si>
    <t>4.4</t>
  </si>
  <si>
    <t>investigation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</si>
  <si>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</si>
  <si>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médias</t>
  </si>
  <si>
    <t>Somme de Spent</t>
  </si>
  <si>
    <t>Reçu caisse/I73X</t>
  </si>
  <si>
    <t>Reçu caisse/I55S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</si>
  <si>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</si>
  <si>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</si>
  <si>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</si>
  <si>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</si>
  <si>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</si>
  <si>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</si>
  <si>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</si>
  <si>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Étiquettes de lignes</t>
  </si>
  <si>
    <t>Total général</t>
  </si>
  <si>
    <t>Étiquettes de colonnes</t>
  </si>
  <si>
    <t>Internet</t>
  </si>
  <si>
    <t>I23c</t>
  </si>
  <si>
    <t>T44</t>
  </si>
  <si>
    <t>4.5</t>
  </si>
  <si>
    <t>Travel subsistence</t>
  </si>
  <si>
    <t>Reçu caisse/Merveille</t>
  </si>
  <si>
    <t>UE</t>
  </si>
  <si>
    <t>Total Somme de Received</t>
  </si>
  <si>
    <t>Somme de Received</t>
  </si>
  <si>
    <t>Total Somme de Spent</t>
  </si>
  <si>
    <t>DECEMBRE</t>
  </si>
  <si>
    <t>Balance au          01 Décembre 2020</t>
  </si>
  <si>
    <t>Balance au 31 Décembre 2020</t>
  </si>
  <si>
    <t>BALANCE CAISSES ET BANQUE AU 31 Décembre 2020</t>
  </si>
  <si>
    <t>Montant en FCFA Centrale</t>
  </si>
  <si>
    <t>Média</t>
  </si>
  <si>
    <t>Supplément paiement Prime de fin d'année</t>
  </si>
  <si>
    <t>Hérick/Geisner</t>
  </si>
  <si>
    <t>ECF</t>
  </si>
  <si>
    <t>Donation</t>
  </si>
  <si>
    <t>Versement à Christian/Hérick</t>
  </si>
  <si>
    <t>Reçu caisse/Hérick</t>
  </si>
  <si>
    <t>Recu caisse/Christian</t>
  </si>
  <si>
    <t>Achat Billet Brazzaville-Ouesso/Crépin</t>
  </si>
  <si>
    <t>JANVIER</t>
  </si>
  <si>
    <t>BALANCE CAISSES ET BANQUE AU 31 JANVIER 2021</t>
  </si>
  <si>
    <t>Balance au          01 Janvier 2021</t>
  </si>
  <si>
    <t>Balance au 31 Janvier 2021</t>
  </si>
  <si>
    <t>Total entrée</t>
  </si>
  <si>
    <t>Hérick/Crépin</t>
  </si>
  <si>
    <t>Operations</t>
  </si>
  <si>
    <t>CCU</t>
  </si>
  <si>
    <t>RAPPORT FINANCIER FEVRIER 2021</t>
  </si>
  <si>
    <t>Solde au 31/01/2021</t>
  </si>
  <si>
    <t>Solde au 01/02/2021</t>
  </si>
  <si>
    <t>Agios du 31/12/2020 au 31/01/2021</t>
  </si>
  <si>
    <t>Retrait especes/appro caisse/bord n°3654426</t>
  </si>
  <si>
    <t>Fond reçu de AVAAZ</t>
  </si>
  <si>
    <t>Fond reçu de ECF</t>
  </si>
  <si>
    <t>Retrait especes/appro caisse/bord n°3654427</t>
  </si>
  <si>
    <t>Retrait especes/appro caisse/bord n°3654428</t>
  </si>
  <si>
    <t>Cotisation WEB BANK</t>
  </si>
  <si>
    <t>Bonus medias/evariste/bord 3654429</t>
  </si>
  <si>
    <t>Retrait especes/appro caisse/bord n°3654430</t>
  </si>
  <si>
    <t>Bonus medias/evariste/bord 3654431</t>
  </si>
  <si>
    <t>Retrait especes/appro caisse/bord n°3654432</t>
  </si>
  <si>
    <t>Cumul frais bancaire mois de Février  compte 34/BCI</t>
  </si>
  <si>
    <t>AVAAZ</t>
  </si>
  <si>
    <t>Reglement facture honoraire du mois de Janvier  2021/I23C/chq n°3643411</t>
  </si>
  <si>
    <t>Service</t>
  </si>
  <si>
    <t>Reglement fact Agence pluriel solutions/ loyer PALF Février 2021</t>
  </si>
  <si>
    <t>frais virement emis</t>
  </si>
  <si>
    <t>Reglement facture honoraire du mois de Février  2021/I23C/chq n°3643412</t>
  </si>
  <si>
    <t>Paiement salaire du mois de Février 2021/MAHANGA Merveille/chq n°3643413</t>
  </si>
  <si>
    <t>Reglement salaire du mois de Février 2021/ KOUENITOUKA TED/chq n°3643414</t>
  </si>
  <si>
    <t>Paiement salaire du mois de Février 2021/IBOUILI CREPIN/chq n°3643415</t>
  </si>
  <si>
    <t>Paiement salaire du mois de Février 2021/ MALONGA MERSY/chq n°3643416</t>
  </si>
  <si>
    <t>Paiement salaire du mois de Février 2021/P29 NZEBELE/chq n°3643417</t>
  </si>
  <si>
    <t>Paiement salaire du mois de Février  2021/MININGOU Christian/chq n°3643419</t>
  </si>
  <si>
    <t>Paiement salaire du mois de Février 2021/MATOKO Geisner/chq n°3643420</t>
  </si>
  <si>
    <t>Appro caisse/Achat carte de recharge AIRTEL mois de Mars 2021/Staff PALF</t>
  </si>
  <si>
    <t>Appro caisse/Achat carte de recharge MTN mois de Mars 2021/Staff PALF</t>
  </si>
  <si>
    <t>Paiement salaire du mois de Février 2021/Tiffany GOBERT/chq n°3643423</t>
  </si>
  <si>
    <t>Virement salaire mois Février 2021/ TCHICAYA Hérick</t>
  </si>
  <si>
    <t>Virement salaire mois Février  2021/ LELOUSSI Evariste</t>
  </si>
  <si>
    <t>Reglement Facture Internet/mois de Février 21/congo telecom</t>
  </si>
  <si>
    <t>Achat gazoil groupe bureau/50litres</t>
  </si>
  <si>
    <t>Frais de transfert charden farell/Jack-Bénisson</t>
  </si>
  <si>
    <t>Complément collation de fin d'année</t>
  </si>
  <si>
    <t>Team Building</t>
  </si>
  <si>
    <t>Christian/visite geole brazzaville</t>
  </si>
  <si>
    <t>Impression 34 photos forma 10x15cm</t>
  </si>
  <si>
    <t>Office materials</t>
  </si>
  <si>
    <t>Achat divers bureau/lait sucre bouilloire,café,pot</t>
  </si>
  <si>
    <t>Achat produits de nettoyages bureau</t>
  </si>
  <si>
    <t>Frais de transfert charden farell/T44</t>
  </si>
  <si>
    <t>Frais de sejour à brazzaville/ NICOLAS du 07 au 12/02/21</t>
  </si>
  <si>
    <t>Frais transport Laboratoire Nationale/Nicolas</t>
  </si>
  <si>
    <t>Frais de test covid/Nicolas</t>
  </si>
  <si>
    <t>Frais de transfert charden Farell à Geisner et Jack-Bénisson</t>
  </si>
  <si>
    <t>Frais Trust building Opération/Nicolas</t>
  </si>
  <si>
    <t>Opération</t>
  </si>
  <si>
    <t>Frais de transfert charden farell/Crépin</t>
  </si>
  <si>
    <t>Achat piles commande  climatiseur bureau</t>
  </si>
  <si>
    <t>Achat crédit Téléphonique/Nicolas</t>
  </si>
  <si>
    <t>Téléphone</t>
  </si>
  <si>
    <t>10/02/201</t>
  </si>
  <si>
    <t>Frais de transfert charden farell/Geisner</t>
  </si>
  <si>
    <t>Frais de transfert charden farell/I23c</t>
  </si>
  <si>
    <t>Frais de trust builing Opération/Nicolas CHARRON</t>
  </si>
  <si>
    <t xml:space="preserve"> Frais de dossier pour validation des contract (Evariste)/ONEMO</t>
  </si>
  <si>
    <t xml:space="preserve"> Frais de dossier pour validation des contract (Bourgeois)/ONEMO</t>
  </si>
  <si>
    <t xml:space="preserve"> Frais de dossier pour validation des contract (Hérick, Christian, Geisner)/ONEMO</t>
  </si>
  <si>
    <t xml:space="preserve"> Frais de dossier pour validation des contract (Ted, Merveille, Crépin)/ONEMO</t>
  </si>
  <si>
    <t>Frais de mission maitre Anicet MOUSSAHOU/PNR du 14 au 16/02/2021</t>
  </si>
  <si>
    <t>Frais de sejour à Brazzaville/NICOLAS du 15 au 19/02/21</t>
  </si>
  <si>
    <t>Frais Transport local NICOLAS du 15 au 19/02/21</t>
  </si>
  <si>
    <t>Frais de transfert charden Farell à  Francy</t>
  </si>
  <si>
    <t>Achat rallonge et adaptateur bureau</t>
  </si>
  <si>
    <t>Reliure de 2 documents</t>
  </si>
  <si>
    <t>achat 02 agenda pour les enqueteurs</t>
  </si>
  <si>
    <t>Reliure de 2 documents/convention et code du travail</t>
  </si>
  <si>
    <t>Frais de mission maitre Anicet MOUSSAHOU/sibiti/du 18 au 20/02/2021/Milika patrick</t>
  </si>
  <si>
    <t>MOD entretien climatiseur bureau</t>
  </si>
  <si>
    <t>Achat eau bureau/03Bobone</t>
  </si>
  <si>
    <t>Bonus mois de Janvier 2021/Hérick</t>
  </si>
  <si>
    <t>Bonus mois de Janvier 2021/Crepin</t>
  </si>
  <si>
    <t>Bonus mois de Janvier 2021/Jack-Bénisson</t>
  </si>
  <si>
    <t>Bonus mois de Janvier 2021/Geisner</t>
  </si>
  <si>
    <t>Bonus mois de Janvier 2021/Evariste</t>
  </si>
  <si>
    <t>Bonus Opertion à PNR/Jack-Bénisson</t>
  </si>
  <si>
    <t>Bonus mois de Janvier 2021/P29</t>
  </si>
  <si>
    <t>achat 03kg de gaz fréon R22/entretien Climatiseur bureau</t>
  </si>
  <si>
    <t>Deplacement Diagnostic imprimante/buraeu Palf</t>
  </si>
  <si>
    <t xml:space="preserve"> Frais de sejour à Brazzaville du 20 au 23 février /Nicolas</t>
  </si>
  <si>
    <t>Frais de test covid et Remboursement Test Covid 17/Nicolas</t>
  </si>
  <si>
    <t xml:space="preserve"> Frais de transport local /Nicolas</t>
  </si>
  <si>
    <t>Achat crédit Téléphonique Opération /Nicolas</t>
  </si>
  <si>
    <t>Achat crédit Téléphonique Opération /P29</t>
  </si>
  <si>
    <t>Achat 02paquets de sacs poubelles</t>
  </si>
  <si>
    <t>Bonus mois de Janvier 2021/Francy</t>
  </si>
  <si>
    <t>Bonus mois de Janvier 2021/Christian</t>
  </si>
  <si>
    <t>Achat 50litres de gazoil/groupe electrogiène</t>
  </si>
  <si>
    <t>Frais trust building /Opération à Brazzaville P29</t>
  </si>
  <si>
    <t xml:space="preserve"> Frais de sejour à Brazzaville du 24 au 28 Février/Nicolas</t>
  </si>
  <si>
    <t>achat crédit teléphonique/Tiffany</t>
  </si>
  <si>
    <t>Achat 02 cartouches HP63/Imprimante bureau</t>
  </si>
  <si>
    <t>Frais de consultation et de certificat médical/mr ROBERT</t>
  </si>
  <si>
    <t>Jail visit</t>
  </si>
  <si>
    <t>Achat médicament pour/mr ROBERT</t>
  </si>
  <si>
    <t>Achat credit Téléphonique Opération à Brazzaville/crépin</t>
  </si>
  <si>
    <t>Bonus opération à brazzaville/P29</t>
  </si>
  <si>
    <t>Achat crédit téléphonique/Tiffany et Nicolas</t>
  </si>
  <si>
    <t>achat 01clé USB de 02GB</t>
  </si>
  <si>
    <t>Reglement prestation Technicienne de Surface mois de Février 2021/MFIELO</t>
  </si>
  <si>
    <t>Achat médicament pour prevenu ROBERT</t>
  </si>
  <si>
    <t xml:space="preserve"> ONEMO/Frais de dossier pour validation des contract (Evariste)</t>
  </si>
  <si>
    <t xml:space="preserve"> ONEMO/Frais de dossier pour validation des contract (Hérick, Christian, Geisner)</t>
  </si>
  <si>
    <t>ONEMO/ Frais de dossier pour validation des contract (Ted, Merveille, Crépin)</t>
  </si>
  <si>
    <t>Frais  Diagnostic imprimante/buraeu Palf</t>
  </si>
  <si>
    <t>Food allowance Mission Sibiti du 18 au 20/02/21/Christian</t>
  </si>
  <si>
    <t>Frais d'hôtel Mission Sibiti du 18 au 20/02/21/Christian</t>
  </si>
  <si>
    <t>Achat Billet Nkayi-Brazzaville/Christian</t>
  </si>
  <si>
    <t>Recu caisse Hérick/Christian</t>
  </si>
  <si>
    <t>Cumul frais transport local mois de février/Christian</t>
  </si>
  <si>
    <t>Achat Billet Brazzaville-Loudima/Christian</t>
  </si>
  <si>
    <t>Frais Transport  Loudima-Sibiti/Christian</t>
  </si>
  <si>
    <t>Frais Transport  Sibiti-Nkayi/Christian</t>
  </si>
  <si>
    <t>Reçu caisse/Crépin</t>
  </si>
  <si>
    <t>Achat Billet Ouesso-Brazzaville/Crépin</t>
  </si>
  <si>
    <t>Frais d'Hôtel Mission à Ouesso du 08 au 11/02/2021/Crépin</t>
  </si>
  <si>
    <t>Food-Allowance Mission à Ouesso du 08 au 11/02/2021/Crépin</t>
  </si>
  <si>
    <t>Frais d'Hôtel à Brazzaville du 11 au 12/02/2021 pour motif d'arrivée à 23h à l'agence Océan du nord de talangai heure du couvre feu/Crépin</t>
  </si>
  <si>
    <t>Reçu caisse Hérick/Crépin</t>
  </si>
  <si>
    <t>Food-Allowance à Brazzaville/Crépin</t>
  </si>
  <si>
    <t>Reçu caisse/Evariste</t>
  </si>
  <si>
    <t>Reliure d'un document du bureau PALF dans un Cyber</t>
  </si>
  <si>
    <t>Plastification de trois documents du bureau</t>
  </si>
  <si>
    <t>Plastification d'un documents du bureau</t>
  </si>
  <si>
    <t>Reçu caisse Hérick/Evariste</t>
  </si>
  <si>
    <t>Achat eau minérale du prévenu Robert</t>
  </si>
  <si>
    <t>Impression en couleur dans un cyber d'un document de preuve d'implication du prevevu Robert dans le trafic d'ivoire</t>
  </si>
  <si>
    <t>Recu caisse/Geis</t>
  </si>
  <si>
    <t>Versement à JB/Geis</t>
  </si>
  <si>
    <t>Récu caisse Hérick/Geis</t>
  </si>
  <si>
    <t>Cumul frais transport local mois Février 2021/Geis</t>
  </si>
  <si>
    <t>Cumul frais Jail visite à Pointe-Noire /Geis</t>
  </si>
  <si>
    <t>Food allowance Mission PN du 03 au 12 fevrier 2021/Geis</t>
  </si>
  <si>
    <t>Frais de transport  Pointe-Noire- Dolisie-Brazzaville/Geis</t>
  </si>
  <si>
    <t>Frais Hôtel Mission PN du 28 Janvier au 12 Fevrier/Geis</t>
  </si>
  <si>
    <t>Frais Hôtel pour Opération d'arrestation à PN/JB</t>
  </si>
  <si>
    <t>Reçu caisse/JB</t>
  </si>
  <si>
    <t>Achat sac de congelation pour peser les ivoires/JB</t>
  </si>
  <si>
    <t xml:space="preserve">Bonus 12 gendarmes pour OP à PN </t>
  </si>
  <si>
    <t>Achat 1 paquet de rame (pour impression procédure Gendarmerie)+6 chemises cartonées/JB</t>
  </si>
  <si>
    <t>Impression planche photographique (8 pages X 500) + 2 chemises cartonées (150X2)/JB</t>
  </si>
  <si>
    <t>Photocopie procédure EF en 2 exemplaires/JB</t>
  </si>
  <si>
    <t>Reçu Caisse Geisner/JB</t>
  </si>
  <si>
    <t>Frais d'hôtel Ms OP à PN du 30/01 au 13/02/21/JB</t>
  </si>
  <si>
    <t>Achat billet Pointe-Noire - Brazzaville/JB</t>
  </si>
  <si>
    <t>Frais d'hôtel Ms OP à PN du 13 au 16/02/21/JB</t>
  </si>
  <si>
    <t>Food allowance Ms PN du 06 au 16/02/ 21/JB</t>
  </si>
  <si>
    <t>Location appartement meublé pour opération+frais courtier/JB</t>
  </si>
  <si>
    <t>Cumul frais transport local mois de février 2021/JB</t>
  </si>
  <si>
    <t>Cumul frais visite geôle à Pointe-Noire et Brazzaville/JB</t>
  </si>
  <si>
    <t xml:space="preserve">Versement à Geisner/Hérick </t>
  </si>
  <si>
    <t>Versement à Crepin/Hérick</t>
  </si>
  <si>
    <t>Versement à Evariste/Hérick</t>
  </si>
  <si>
    <t>Bonus 13 gendarmes pour OP à Brazzaville/Hérick</t>
  </si>
  <si>
    <t>Cumul frais transport local mois de Février 2021/Hérick</t>
  </si>
  <si>
    <t>Réçu caisse/I23C</t>
  </si>
  <si>
    <t>Frais d'Hôtel Mission Pointe-Noire du 11 au 21/02 /I23C</t>
  </si>
  <si>
    <t>Achat billet Brazzaville - Pointe-Noire (Mission Pn)/I23C</t>
  </si>
  <si>
    <t>Food allowance Mission Pointe-Noire du 11 au 21/02/I23C</t>
  </si>
  <si>
    <t>Achat billet Pointe-Noire - Brazzaville (réservation pour BZ)/I23C</t>
  </si>
  <si>
    <t>Cumul frais transport local mois de février 21/Merveille</t>
  </si>
  <si>
    <t>Recu caisse/P29</t>
  </si>
  <si>
    <t>Cumul frais transport local mois de février 2021/P29</t>
  </si>
  <si>
    <t>Achat billet Brazzaville-Ngo/T44</t>
  </si>
  <si>
    <t>Recu caisse/T44</t>
  </si>
  <si>
    <t>Food allowance Mission Djambala-Lekana du 05 au 09/Fev/T44</t>
  </si>
  <si>
    <t>Frais d'Hôtel Mission à Djambala du 05 au 06/Fev/T44</t>
  </si>
  <si>
    <t>Frais d'Hôtel Mission à Lékana du 06 au 08/Fev/T44</t>
  </si>
  <si>
    <t>Frais d'Hôtel Mission à Ngo du 08 au 09/Fev/T44</t>
  </si>
  <si>
    <t>Achat billet Ngo-Brazzaville/T44</t>
  </si>
  <si>
    <t>Cumul frais transport local mois de Février 2021/T44</t>
  </si>
  <si>
    <t>Cumul frais Ration du 01 au 04 Février 21/T44</t>
  </si>
  <si>
    <t>Cumul frais transport local mois de février 21/Tiffany</t>
  </si>
  <si>
    <t>Tiffany</t>
  </si>
  <si>
    <t>Reçu caisse/Ted</t>
  </si>
  <si>
    <t>Cumul frais transport local mois de février 21/Ted</t>
  </si>
  <si>
    <t>Cumul frais bancaire mois de Février compte 56/BCI</t>
  </si>
  <si>
    <t>Bonus medias/Evariste/bord 3654429</t>
  </si>
  <si>
    <t>Bonus medias/Evariste/bord 3654431</t>
  </si>
  <si>
    <t>Bonus Opération à brazzaville/P29</t>
  </si>
  <si>
    <t>Bonus mois de Janvier 2021/I23C</t>
  </si>
  <si>
    <t>Bonus Opération à PNR/Jack-Bénisson</t>
  </si>
  <si>
    <t>Reglement Facture Internet/mois de Février 21/Congo Telecom</t>
  </si>
  <si>
    <t>Frais de consultation et  certificat médical/Prevenu ROBERT</t>
  </si>
  <si>
    <t>Cumul frais Jail Visite  à Brazzaville /Christian</t>
  </si>
  <si>
    <t>Frais de Mission Maitre Anicet MOUSSAHOU/PNR du 14 au 16/02/2021</t>
  </si>
  <si>
    <t>Frais de Mission Maitre Anicet MOUSSAHOU/Sibiti/du 18 au 20/02/2021/Milika patrick</t>
  </si>
  <si>
    <t>Achat 01clé USB de 02GB</t>
  </si>
  <si>
    <t>Achat eau bureau/03Bobone/Bureau PALF</t>
  </si>
  <si>
    <t>Achat 03kg de gaz fréon R22/entretien Climatiseur bureau</t>
  </si>
  <si>
    <t>Carburant gendarmerie pour OP à Pointe-Noire/JB</t>
  </si>
  <si>
    <t xml:space="preserve"> Carburant pour la Gendarmeries OP à Brazzaville/Hérick</t>
  </si>
  <si>
    <t>MOD entretien  deux climatiseurs bureau PALF</t>
  </si>
  <si>
    <t>BALANCE 1 Février 2021</t>
  </si>
  <si>
    <t>TOTAL RECU EN Fevr</t>
  </si>
  <si>
    <t>TOTAL DEPENSE EN Fev</t>
  </si>
  <si>
    <t>BALANCE 28 Février 2021</t>
  </si>
  <si>
    <t>Journal n°2/21</t>
  </si>
  <si>
    <t xml:space="preserve">Report de solde du 01/02/2021 </t>
  </si>
  <si>
    <t>ETAT DE RAPPROCHEMENT BANCAIRE</t>
  </si>
  <si>
    <t>Période :</t>
  </si>
  <si>
    <t>DU 01 AU 28 Février  2021</t>
  </si>
  <si>
    <t>Référence :</t>
  </si>
  <si>
    <t>LIVRE DE BANQUE</t>
  </si>
  <si>
    <t>RELEVE DE COMPTE</t>
  </si>
  <si>
    <t>Compte :</t>
  </si>
  <si>
    <t>01100-37107202652 - 34</t>
  </si>
  <si>
    <t>Libelle</t>
  </si>
  <si>
    <t>Ecr N°</t>
  </si>
  <si>
    <t>Réf Titre</t>
  </si>
  <si>
    <t>Mouvement en XAF</t>
  </si>
  <si>
    <t>Débit (1)</t>
  </si>
  <si>
    <t>Crédit (2)</t>
  </si>
  <si>
    <t>a. Solde en fin du mois</t>
  </si>
  <si>
    <t>c. Solde en fin du mois</t>
  </si>
  <si>
    <t>Solde en fin</t>
  </si>
  <si>
    <t>solde en fin</t>
  </si>
  <si>
    <t xml:space="preserve">b. Ecritures non encore passées dans nos livres </t>
  </si>
  <si>
    <t>d.  Ecritures non encore passées à la
 Banque</t>
  </si>
  <si>
    <t>TOTAL A= (a+b)</t>
  </si>
  <si>
    <t>TOTAL B=(c+d)</t>
  </si>
  <si>
    <t xml:space="preserve"> Solde rapporché au 28/02/2021∑(1)-(2)</t>
  </si>
  <si>
    <t>Totaux rapprochés</t>
  </si>
  <si>
    <t>Ecart à rechercher</t>
  </si>
  <si>
    <t>Fait à Brazzaville, le 03/03/2021</t>
  </si>
  <si>
    <t>Tiffany GOBERT</t>
  </si>
  <si>
    <t>Report de solde du 01/02/2021</t>
  </si>
  <si>
    <t>DU 01 AU 28 Février 2021</t>
  </si>
  <si>
    <t>01100-37107255251-56</t>
  </si>
  <si>
    <t>23/0322021</t>
  </si>
  <si>
    <t>Paiement salaire du mois de Février  2021/MININGOU Christian</t>
  </si>
  <si>
    <t>chq n°3643419</t>
  </si>
  <si>
    <t>Paiement salaire du mois de Février 2021/IBOUILI CREPIN</t>
  </si>
  <si>
    <t>chq n°3643415</t>
  </si>
  <si>
    <t xml:space="preserve"> Solde rapporché au 28/08/2021∑(1)-(2)</t>
  </si>
  <si>
    <t>Ted Gessay Kouemitouka</t>
  </si>
  <si>
    <t>Report au 01/02/21</t>
  </si>
  <si>
    <t>F</t>
  </si>
  <si>
    <t>Reçu caisse/Perrine ODIER</t>
  </si>
  <si>
    <t>BALANCE CAISSES ET BANQUE AU 28 FEVRIER  2021</t>
  </si>
  <si>
    <t>FEVRIER</t>
  </si>
  <si>
    <t>Balance au          01 Février  2021</t>
  </si>
  <si>
    <t>Balance au 28 Février 2021</t>
  </si>
  <si>
    <t>Cumul frais transport local mois de février/2021/Evariste</t>
  </si>
  <si>
    <t>Hérick/Geis</t>
  </si>
  <si>
    <t xml:space="preserve">Achat produit pharmaceutique du prévenu Robert </t>
  </si>
  <si>
    <t>Reliure de 2 documents/PALF</t>
  </si>
  <si>
    <t>Achat 02 agendas pour P29 et I23C</t>
  </si>
  <si>
    <t>Reglement salaire du mois de Février 2021/ KOUEMITOUKA TED/chq n°3643414</t>
  </si>
  <si>
    <t>Paiement salaire du mois de Février 2021/P29/chq n°3643417</t>
  </si>
  <si>
    <t>Achat produits de nettoyages bureau /PALF</t>
  </si>
  <si>
    <t>Travel Expenses</t>
  </si>
  <si>
    <t>Rafraichissement Staff Bureau PALF/lait sucre bouilloire,café,pot/</t>
  </si>
  <si>
    <t>Frais de test covid /Nicolas</t>
  </si>
  <si>
    <t>RALFF-CO1863</t>
  </si>
  <si>
    <t>RALFF-CO1864</t>
  </si>
  <si>
    <t>RALFF-CO1865</t>
  </si>
  <si>
    <t>RALFF-CO1866</t>
  </si>
  <si>
    <t>RALFF-CO1867</t>
  </si>
  <si>
    <t>RALFF-CO1868</t>
  </si>
  <si>
    <t>RALFF-CO1869</t>
  </si>
  <si>
    <t>RALFF-CO1870</t>
  </si>
  <si>
    <t>RALFF-CO1871</t>
  </si>
  <si>
    <t>RALFF-CO1872</t>
  </si>
  <si>
    <t>RALFF-CO1873</t>
  </si>
  <si>
    <t>RALFF-CO1874</t>
  </si>
  <si>
    <t>RALFF-CO1875</t>
  </si>
  <si>
    <t>RALFF-CO1876</t>
  </si>
  <si>
    <t>RALFF-CO1877</t>
  </si>
  <si>
    <t>RALFF-CO1878</t>
  </si>
  <si>
    <t>RALFF-CO1879</t>
  </si>
  <si>
    <t>RALFF-CO1880</t>
  </si>
  <si>
    <t>RALFF-CO1881</t>
  </si>
  <si>
    <t>RALFF-CO1882</t>
  </si>
  <si>
    <t>RALFF-CO1883</t>
  </si>
  <si>
    <t>RALFF-CO1884</t>
  </si>
  <si>
    <t>RALFF-CO1885</t>
  </si>
  <si>
    <t>RALFF-CO1886</t>
  </si>
  <si>
    <t>RALFF-CO1887</t>
  </si>
  <si>
    <t>RALFF-CO1888</t>
  </si>
  <si>
    <t>RALFF-CO1889</t>
  </si>
  <si>
    <t>RALFF-CO1890</t>
  </si>
  <si>
    <t>RALFF-CO1891</t>
  </si>
  <si>
    <t>RALFF-CO1892</t>
  </si>
  <si>
    <t>RALFF-CO1893</t>
  </si>
  <si>
    <t>RALFF-CO1894</t>
  </si>
  <si>
    <t>RALFF-CO1895</t>
  </si>
  <si>
    <t>RALFF-CO1896</t>
  </si>
  <si>
    <t>RALFF-CO1897</t>
  </si>
  <si>
    <t>RALFF-CO1898</t>
  </si>
  <si>
    <t>RALFF-CO1899</t>
  </si>
  <si>
    <t>RALFF-CO1900</t>
  </si>
  <si>
    <t>RALFF-CO1901</t>
  </si>
  <si>
    <t>RALFF-CO1902</t>
  </si>
  <si>
    <t>RALFF-CO1903</t>
  </si>
  <si>
    <t>RALFF-CO1904</t>
  </si>
  <si>
    <t>RALFF-CO1905</t>
  </si>
  <si>
    <t>RALFF-CO1906</t>
  </si>
  <si>
    <t>RALFF-CO1907</t>
  </si>
  <si>
    <t>RALFF-CO1908</t>
  </si>
  <si>
    <t>RALFF-CO1909</t>
  </si>
  <si>
    <t>RALFF-CO1910</t>
  </si>
  <si>
    <t>RALFF-CO1911</t>
  </si>
  <si>
    <t>RALFF-CO1912</t>
  </si>
  <si>
    <t>RALFF-CO1913</t>
  </si>
  <si>
    <t>RALFF-CO1914</t>
  </si>
  <si>
    <t>RALFF-CO1915</t>
  </si>
  <si>
    <t>RALFF-CO1916</t>
  </si>
  <si>
    <t>RALFF-CO1917</t>
  </si>
  <si>
    <t>RALFF-CO1918</t>
  </si>
  <si>
    <t>RALFF-CO1919</t>
  </si>
  <si>
    <t>RALFF-CO1920</t>
  </si>
  <si>
    <t>RALFF-CO1921</t>
  </si>
  <si>
    <t>RALFF-CO1922</t>
  </si>
  <si>
    <t>RALFF-CO1923</t>
  </si>
  <si>
    <t>RALFF-CO1924</t>
  </si>
  <si>
    <t>RALFF-CO1925</t>
  </si>
  <si>
    <t>RALFF-CO1926</t>
  </si>
  <si>
    <t>RALFF-CO1927</t>
  </si>
  <si>
    <t>RALFF-CO1928</t>
  </si>
  <si>
    <t>RALFF-CO1929</t>
  </si>
  <si>
    <t>RALFF-CO1930</t>
  </si>
  <si>
    <t>RALFF-CO1931</t>
  </si>
  <si>
    <t>RALFF-CO1932</t>
  </si>
  <si>
    <t>RALFF-CO1933</t>
  </si>
  <si>
    <t>RALFF-CO1934</t>
  </si>
  <si>
    <t>RALFF-CO1935</t>
  </si>
  <si>
    <t>RALFF-CO1936</t>
  </si>
  <si>
    <t>ONEMO/ Frais de dossier pour validation des contract (P29)</t>
  </si>
  <si>
    <t>Frais de transfert charden Farell à I23C</t>
  </si>
  <si>
    <t>Cumul frais transport local mois de février 2021/Crépin</t>
  </si>
  <si>
    <t>Cumul frais transport local mois de février 2021/I23C</t>
  </si>
  <si>
    <t>Frais de visite  appartement  pour OP/Crépin</t>
  </si>
  <si>
    <t>Frais de visite  appartement  pour OP/JB</t>
  </si>
  <si>
    <t>Frais de visite appartement  pour OP/Crépin</t>
  </si>
  <si>
    <t>Frais achat boisson pour informateur à Brazzaville/P29</t>
  </si>
  <si>
    <t>Cumul frais achat boisson et repas pour les informateurs du 11 au 20 Février 21/I23C</t>
  </si>
  <si>
    <t>Frais de raffraichissement en attente de l'OP</t>
  </si>
  <si>
    <t>Frais achat jus et repas pour les informateurs /Brazzaville P29</t>
  </si>
  <si>
    <t>Cumul frais achat boissions aux informateurs /T44</t>
  </si>
  <si>
    <t>Frais achat boissons  aux informateurs /N22</t>
  </si>
  <si>
    <t>Frais achat boissons pour les informateurs à brazzaville /N22</t>
  </si>
  <si>
    <t xml:space="preserve">Frais achat jus en attente de  l'OP, </t>
  </si>
  <si>
    <t>Achat 50,53litres de gazoil/groupe electrogiène/Bureau PAL</t>
  </si>
  <si>
    <t>Frais de transfert charden farell/Jack-Bénisson/Geis</t>
  </si>
</sst>
</file>

<file path=xl/styles.xml><?xml version="1.0" encoding="utf-8"?>
<styleSheet xmlns="http://schemas.openxmlformats.org/spreadsheetml/2006/main">
  <numFmts count="12">
    <numFmt numFmtId="43" formatCode="_-* #,##0.00\ _€_-;\-* #,##0.00\ _€_-;_-* &quot;-&quot;??\ _€_-;_-@_-"/>
    <numFmt numFmtId="164" formatCode="_-* #,##0\ _F_C_F_A_-;\-* #,##0\ _F_C_F_A_-;_-* &quot;-&quot;\ _F_C_F_A_-;_-@_-"/>
    <numFmt numFmtId="165" formatCode="d/m/yy;@"/>
    <numFmt numFmtId="166" formatCode="_-* #,##0\ _€_-;\-* #,##0\ _€_-;_-* &quot;-&quot;??\ _€_-;_-@_-"/>
    <numFmt numFmtId="167" formatCode="#,##0\ &quot;F&quot;;[Red]#,##0\ &quot;F&quot;"/>
    <numFmt numFmtId="168" formatCode="[$-40C]d\-mmm;@"/>
    <numFmt numFmtId="169" formatCode="_-* #,##0\ _€_-;\-* #,##0\ _€_-;_-* &quot;-&quot;??\ _€_-;_-@"/>
    <numFmt numFmtId="170" formatCode="[$-409]d\-mmm\-yy;@"/>
    <numFmt numFmtId="171" formatCode="_-* #,##0.0\ _€_-;\-* #,##0.0\ _€_-;_-* &quot;-&quot;??\ _€_-;_-@_-"/>
    <numFmt numFmtId="172" formatCode="#,##0_ ;\-#,##0\ "/>
    <numFmt numFmtId="173" formatCode="dd/mm/yy;@"/>
    <numFmt numFmtId="174" formatCode="_(* #,##0_);_(* \(#,##0\);_(* &quot;-&quot;??_);_(@_)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Narrow"/>
      <family val="2"/>
    </font>
    <font>
      <sz val="9"/>
      <color rgb="FF92D050"/>
      <name val="Arial Narrow"/>
      <family val="2"/>
    </font>
    <font>
      <b/>
      <sz val="9"/>
      <name val="Arial Narrow"/>
      <family val="2"/>
    </font>
    <font>
      <b/>
      <sz val="9"/>
      <color rgb="FF92D050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i/>
      <u/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sz val="11"/>
      <name val="Times New Roman"/>
      <family val="1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sz val="18"/>
      <color theme="0"/>
      <name val="Arial Narrow"/>
      <family val="2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8"/>
      <color theme="1"/>
      <name val="Arial Narrow"/>
      <family val="2"/>
    </font>
    <font>
      <sz val="9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b/>
      <sz val="11"/>
      <color theme="9" tint="-0.249977111117893"/>
      <name val="Calibri"/>
      <family val="2"/>
      <scheme val="minor"/>
    </font>
    <font>
      <sz val="6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8" tint="-0.249977111117893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4" fillId="0" borderId="0"/>
    <xf numFmtId="164" fontId="1" fillId="0" borderId="0" applyFont="0" applyFill="0" applyBorder="0" applyAlignment="0" applyProtection="0"/>
    <xf numFmtId="0" fontId="24" fillId="0" borderId="0" applyFont="0" applyFill="0" applyBorder="0" applyAlignment="0" applyProtection="0"/>
  </cellStyleXfs>
  <cellXfs count="535">
    <xf numFmtId="0" fontId="0" fillId="0" borderId="0" xfId="0"/>
    <xf numFmtId="0" fontId="0" fillId="0" borderId="0" xfId="0" applyFill="1"/>
    <xf numFmtId="165" fontId="3" fillId="0" borderId="0" xfId="0" applyNumberFormat="1" applyFont="1" applyFill="1" applyAlignment="1">
      <alignment horizontal="left"/>
    </xf>
    <xf numFmtId="0" fontId="3" fillId="0" borderId="0" xfId="0" applyFont="1"/>
    <xf numFmtId="166" fontId="4" fillId="0" borderId="0" xfId="1" applyNumberFormat="1" applyFont="1" applyFill="1"/>
    <xf numFmtId="165" fontId="3" fillId="0" borderId="0" xfId="0" applyNumberFormat="1" applyFont="1" applyFill="1" applyAlignment="1">
      <alignment horizontal="center"/>
    </xf>
    <xf numFmtId="167" fontId="5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166" fontId="4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" fontId="3" fillId="0" borderId="0" xfId="0" applyNumberFormat="1" applyFont="1" applyFill="1"/>
    <xf numFmtId="0" fontId="5" fillId="0" borderId="0" xfId="0" applyFont="1" applyFill="1" applyAlignment="1">
      <alignment horizontal="center"/>
    </xf>
    <xf numFmtId="166" fontId="6" fillId="0" borderId="0" xfId="1" applyNumberFormat="1" applyFont="1" applyFill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3" fontId="3" fillId="0" borderId="1" xfId="0" applyNumberFormat="1" applyFont="1" applyFill="1" applyBorder="1"/>
    <xf numFmtId="166" fontId="0" fillId="0" borderId="0" xfId="0" applyNumberFormat="1" applyBorder="1"/>
    <xf numFmtId="0" fontId="0" fillId="0" borderId="1" xfId="0" applyBorder="1"/>
    <xf numFmtId="0" fontId="0" fillId="0" borderId="0" xfId="0" applyFill="1" applyBorder="1"/>
    <xf numFmtId="0" fontId="3" fillId="0" borderId="3" xfId="0" applyFont="1" applyBorder="1"/>
    <xf numFmtId="0" fontId="3" fillId="0" borderId="1" xfId="0" applyFont="1" applyBorder="1"/>
    <xf numFmtId="166" fontId="0" fillId="0" borderId="0" xfId="0" applyNumberFormat="1"/>
    <xf numFmtId="168" fontId="11" fillId="0" borderId="1" xfId="2" applyNumberFormat="1" applyFont="1" applyBorder="1"/>
    <xf numFmtId="0" fontId="3" fillId="0" borderId="1" xfId="0" applyFont="1" applyFill="1" applyBorder="1"/>
    <xf numFmtId="166" fontId="3" fillId="0" borderId="1" xfId="1" applyNumberFormat="1" applyFont="1" applyFill="1" applyBorder="1"/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166" fontId="0" fillId="0" borderId="0" xfId="1" applyNumberFormat="1" applyFont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NumberFormat="1" applyFont="1" applyBorder="1"/>
    <xf numFmtId="0" fontId="12" fillId="0" borderId="0" xfId="0" applyFont="1"/>
    <xf numFmtId="166" fontId="22" fillId="0" borderId="1" xfId="1" applyNumberFormat="1" applyFont="1" applyBorder="1"/>
    <xf numFmtId="0" fontId="0" fillId="0" borderId="0" xfId="0" applyFill="1" applyAlignment="1"/>
    <xf numFmtId="166" fontId="0" fillId="0" borderId="0" xfId="1" applyNumberFormat="1" applyFont="1" applyFill="1" applyProtection="1"/>
    <xf numFmtId="0" fontId="0" fillId="0" borderId="1" xfId="0" applyFill="1" applyBorder="1" applyAlignment="1"/>
    <xf numFmtId="166" fontId="0" fillId="0" borderId="1" xfId="0" applyNumberFormat="1" applyFill="1" applyBorder="1" applyAlignment="1"/>
    <xf numFmtId="166" fontId="0" fillId="0" borderId="0" xfId="0" applyNumberFormat="1" applyFill="1" applyAlignme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25" fillId="6" borderId="1" xfId="3" applyNumberFormat="1" applyFont="1" applyFill="1" applyBorder="1"/>
    <xf numFmtId="0" fontId="25" fillId="6" borderId="1" xfId="3" applyFont="1" applyFill="1" applyBorder="1"/>
    <xf numFmtId="0" fontId="26" fillId="0" borderId="1" xfId="0" applyFont="1" applyFill="1" applyBorder="1" applyAlignment="1"/>
    <xf numFmtId="166" fontId="0" fillId="0" borderId="0" xfId="0" applyNumberFormat="1" applyAlignment="1">
      <alignment vertical="center"/>
    </xf>
    <xf numFmtId="0" fontId="26" fillId="0" borderId="0" xfId="0" applyFont="1" applyFill="1" applyBorder="1" applyAlignment="1"/>
    <xf numFmtId="0" fontId="27" fillId="0" borderId="0" xfId="0" applyFont="1" applyBorder="1" applyAlignment="1">
      <alignment vertical="center"/>
    </xf>
    <xf numFmtId="166" fontId="28" fillId="0" borderId="0" xfId="1" applyNumberFormat="1" applyFont="1" applyBorder="1" applyProtection="1">
      <protection locked="0"/>
    </xf>
    <xf numFmtId="166" fontId="29" fillId="0" borderId="0" xfId="1" applyNumberFormat="1" applyFont="1" applyBorder="1" applyProtection="1">
      <protection locked="0"/>
    </xf>
    <xf numFmtId="166" fontId="26" fillId="0" borderId="0" xfId="0" applyNumberFormat="1" applyFont="1" applyFill="1" applyBorder="1" applyAlignment="1"/>
    <xf numFmtId="166" fontId="27" fillId="0" borderId="0" xfId="0" applyNumberFormat="1" applyFont="1" applyBorder="1" applyAlignment="1">
      <alignment vertical="center"/>
    </xf>
    <xf numFmtId="0" fontId="30" fillId="0" borderId="0" xfId="0" applyFont="1" applyAlignment="1"/>
    <xf numFmtId="0" fontId="8" fillId="0" borderId="0" xfId="0" applyFont="1" applyAlignment="1"/>
    <xf numFmtId="0" fontId="9" fillId="7" borderId="0" xfId="0" applyFont="1" applyFill="1" applyAlignment="1">
      <alignment horizontal="center"/>
    </xf>
    <xf numFmtId="0" fontId="9" fillId="0" borderId="0" xfId="0" applyFont="1" applyFill="1" applyAlignment="1"/>
    <xf numFmtId="0" fontId="8" fillId="0" borderId="0" xfId="0" applyFont="1" applyFill="1" applyAlignment="1"/>
    <xf numFmtId="166" fontId="8" fillId="0" borderId="0" xfId="1" applyNumberFormat="1" applyFont="1" applyFill="1" applyProtection="1"/>
    <xf numFmtId="166" fontId="9" fillId="0" borderId="3" xfId="1" applyNumberFormat="1" applyFont="1" applyFill="1" applyBorder="1" applyAlignment="1" applyProtection="1">
      <alignment vertical="center" wrapText="1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166" fontId="8" fillId="10" borderId="5" xfId="1" applyNumberFormat="1" applyFont="1" applyFill="1" applyBorder="1" applyAlignment="1" applyProtection="1">
      <alignment horizontal="center" vertical="center"/>
    </xf>
    <xf numFmtId="0" fontId="32" fillId="10" borderId="6" xfId="0" applyFont="1" applyFill="1" applyBorder="1" applyAlignment="1"/>
    <xf numFmtId="166" fontId="8" fillId="10" borderId="6" xfId="1" applyNumberFormat="1" applyFont="1" applyFill="1" applyBorder="1" applyProtection="1"/>
    <xf numFmtId="166" fontId="8" fillId="10" borderId="6" xfId="0" applyNumberFormat="1" applyFont="1" applyFill="1" applyBorder="1" applyAlignment="1"/>
    <xf numFmtId="166" fontId="8" fillId="0" borderId="3" xfId="1" applyNumberFormat="1" applyFont="1" applyBorder="1" applyProtection="1"/>
    <xf numFmtId="166" fontId="0" fillId="0" borderId="1" xfId="1" applyNumberFormat="1" applyFont="1" applyFill="1" applyBorder="1" applyProtection="1"/>
    <xf numFmtId="166" fontId="8" fillId="0" borderId="7" xfId="1" applyNumberFormat="1" applyFont="1" applyFill="1" applyBorder="1" applyProtection="1"/>
    <xf numFmtId="166" fontId="8" fillId="0" borderId="1" xfId="0" applyNumberFormat="1" applyFont="1" applyFill="1" applyBorder="1" applyAlignment="1"/>
    <xf numFmtId="166" fontId="8" fillId="0" borderId="1" xfId="1" applyNumberFormat="1" applyFont="1" applyFill="1" applyBorder="1" applyProtection="1"/>
    <xf numFmtId="166" fontId="33" fillId="0" borderId="1" xfId="1" applyNumberFormat="1" applyFont="1" applyFill="1" applyBorder="1" applyProtection="1"/>
    <xf numFmtId="166" fontId="1" fillId="0" borderId="1" xfId="1" applyNumberFormat="1" applyFont="1" applyFill="1" applyBorder="1" applyProtection="1"/>
    <xf numFmtId="166" fontId="9" fillId="10" borderId="5" xfId="1" applyNumberFormat="1" applyFont="1" applyFill="1" applyBorder="1" applyAlignment="1" applyProtection="1">
      <alignment horizontal="left"/>
    </xf>
    <xf numFmtId="166" fontId="9" fillId="10" borderId="6" xfId="1" applyNumberFormat="1" applyFont="1" applyFill="1" applyBorder="1" applyAlignment="1" applyProtection="1">
      <alignment horizontal="left"/>
    </xf>
    <xf numFmtId="166" fontId="8" fillId="10" borderId="1" xfId="0" applyNumberFormat="1" applyFont="1" applyFill="1" applyBorder="1" applyAlignment="1"/>
    <xf numFmtId="0" fontId="9" fillId="0" borderId="5" xfId="0" applyFont="1" applyFill="1" applyBorder="1" applyAlignment="1"/>
    <xf numFmtId="166" fontId="8" fillId="0" borderId="1" xfId="1" applyNumberFormat="1" applyFont="1" applyFill="1" applyBorder="1" applyAlignment="1" applyProtection="1"/>
    <xf numFmtId="166" fontId="8" fillId="0" borderId="7" xfId="1" applyNumberFormat="1" applyFont="1" applyBorder="1" applyProtection="1"/>
    <xf numFmtId="166" fontId="34" fillId="0" borderId="1" xfId="1" applyNumberFormat="1" applyFont="1" applyBorder="1" applyProtection="1"/>
    <xf numFmtId="166" fontId="34" fillId="0" borderId="0" xfId="1" applyNumberFormat="1" applyFont="1" applyProtection="1"/>
    <xf numFmtId="166" fontId="24" fillId="0" borderId="1" xfId="0" applyNumberFormat="1" applyFont="1" applyBorder="1" applyAlignment="1"/>
    <xf numFmtId="0" fontId="32" fillId="10" borderId="5" xfId="0" applyFont="1" applyFill="1" applyBorder="1" applyAlignment="1"/>
    <xf numFmtId="166" fontId="0" fillId="0" borderId="1" xfId="1" applyNumberFormat="1" applyFont="1" applyBorder="1" applyProtection="1"/>
    <xf numFmtId="166" fontId="8" fillId="0" borderId="1" xfId="0" applyNumberFormat="1" applyFont="1" applyBorder="1" applyAlignment="1"/>
    <xf numFmtId="0" fontId="2" fillId="11" borderId="1" xfId="0" applyFont="1" applyFill="1" applyBorder="1"/>
    <xf numFmtId="166" fontId="2" fillId="11" borderId="1" xfId="1" applyNumberFormat="1" applyFont="1" applyFill="1" applyBorder="1"/>
    <xf numFmtId="166" fontId="0" fillId="5" borderId="1" xfId="1" applyNumberFormat="1" applyFont="1" applyFill="1" applyBorder="1"/>
    <xf numFmtId="0" fontId="0" fillId="5" borderId="0" xfId="0" applyFill="1"/>
    <xf numFmtId="0" fontId="2" fillId="0" borderId="1" xfId="0" applyFont="1" applyFill="1" applyBorder="1"/>
    <xf numFmtId="166" fontId="37" fillId="0" borderId="0" xfId="0" applyNumberFormat="1" applyFont="1"/>
    <xf numFmtId="0" fontId="37" fillId="0" borderId="0" xfId="0" applyFont="1"/>
    <xf numFmtId="166" fontId="12" fillId="0" borderId="0" xfId="0" applyNumberFormat="1" applyFont="1"/>
    <xf numFmtId="3" fontId="0" fillId="0" borderId="1" xfId="0" applyNumberFormat="1" applyBorder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6" fontId="30" fillId="0" borderId="7" xfId="1" applyNumberFormat="1" applyFont="1" applyBorder="1" applyProtection="1"/>
    <xf numFmtId="166" fontId="33" fillId="0" borderId="7" xfId="1" applyNumberFormat="1" applyFont="1" applyBorder="1" applyProtection="1"/>
    <xf numFmtId="166" fontId="33" fillId="0" borderId="1" xfId="1" applyNumberFormat="1" applyFont="1" applyBorder="1" applyAlignment="1" applyProtection="1">
      <alignment vertical="center"/>
    </xf>
    <xf numFmtId="166" fontId="33" fillId="5" borderId="1" xfId="1" applyNumberFormat="1" applyFont="1" applyFill="1" applyBorder="1" applyProtection="1"/>
    <xf numFmtId="166" fontId="22" fillId="0" borderId="3" xfId="1" applyNumberFormat="1" applyFont="1" applyFill="1" applyBorder="1" applyProtection="1"/>
    <xf numFmtId="166" fontId="33" fillId="5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Protection="1"/>
    <xf numFmtId="166" fontId="33" fillId="0" borderId="1" xfId="1" applyNumberFormat="1" applyFont="1" applyFill="1" applyBorder="1" applyAlignment="1" applyProtection="1">
      <alignment horizontal="center" vertical="center"/>
    </xf>
    <xf numFmtId="166" fontId="21" fillId="0" borderId="7" xfId="1" applyNumberFormat="1" applyFont="1" applyFill="1" applyBorder="1" applyProtection="1"/>
    <xf numFmtId="166" fontId="38" fillId="0" borderId="0" xfId="1" applyNumberFormat="1" applyFont="1" applyBorder="1" applyProtection="1">
      <protection locked="0"/>
    </xf>
    <xf numFmtId="0" fontId="10" fillId="0" borderId="1" xfId="0" applyFont="1" applyFill="1" applyBorder="1" applyAlignment="1"/>
    <xf numFmtId="0" fontId="39" fillId="0" borderId="1" xfId="0" applyFont="1" applyBorder="1" applyAlignment="1">
      <alignment vertical="center"/>
    </xf>
    <xf numFmtId="166" fontId="40" fillId="0" borderId="1" xfId="1" applyNumberFormat="1" applyFont="1" applyBorder="1" applyProtection="1">
      <protection locked="0"/>
    </xf>
    <xf numFmtId="166" fontId="41" fillId="0" borderId="1" xfId="1" applyNumberFormat="1" applyFont="1" applyBorder="1" applyProtection="1">
      <protection locked="0"/>
    </xf>
    <xf numFmtId="0" fontId="12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2" fillId="0" borderId="0" xfId="0" applyFont="1" applyFill="1" applyBorder="1" applyAlignment="1"/>
    <xf numFmtId="0" fontId="44" fillId="0" borderId="0" xfId="0" applyFont="1" applyAlignment="1">
      <alignment vertical="center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166" fontId="3" fillId="0" borderId="3" xfId="1" applyNumberFormat="1" applyFont="1" applyFill="1" applyBorder="1"/>
    <xf numFmtId="166" fontId="3" fillId="0" borderId="2" xfId="1" applyNumberFormat="1" applyFont="1" applyFill="1" applyBorder="1"/>
    <xf numFmtId="0" fontId="2" fillId="0" borderId="0" xfId="0" applyFont="1" applyFill="1"/>
    <xf numFmtId="0" fontId="2" fillId="0" borderId="0" xfId="0" applyFont="1"/>
    <xf numFmtId="14" fontId="35" fillId="0" borderId="0" xfId="0" applyNumberFormat="1" applyFont="1" applyFill="1" applyBorder="1"/>
    <xf numFmtId="0" fontId="16" fillId="0" borderId="1" xfId="0" applyFont="1" applyBorder="1"/>
    <xf numFmtId="166" fontId="2" fillId="0" borderId="1" xfId="1" applyNumberFormat="1" applyFont="1" applyFill="1" applyBorder="1"/>
    <xf numFmtId="166" fontId="16" fillId="0" borderId="1" xfId="1" applyNumberFormat="1" applyFont="1" applyFill="1" applyBorder="1"/>
    <xf numFmtId="0" fontId="2" fillId="0" borderId="1" xfId="0" applyFont="1" applyBorder="1"/>
    <xf numFmtId="0" fontId="36" fillId="0" borderId="1" xfId="0" applyFont="1" applyFill="1" applyBorder="1"/>
    <xf numFmtId="0" fontId="0" fillId="0" borderId="1" xfId="0" applyFill="1" applyBorder="1"/>
    <xf numFmtId="166" fontId="0" fillId="0" borderId="1" xfId="1" applyNumberFormat="1" applyFont="1" applyFill="1" applyBorder="1"/>
    <xf numFmtId="166" fontId="0" fillId="0" borderId="0" xfId="0" applyNumberFormat="1" applyFill="1"/>
    <xf numFmtId="0" fontId="0" fillId="0" borderId="1" xfId="0" applyFont="1" applyFill="1" applyBorder="1"/>
    <xf numFmtId="166" fontId="2" fillId="0" borderId="0" xfId="0" applyNumberFormat="1" applyFont="1" applyFill="1"/>
    <xf numFmtId="166" fontId="36" fillId="0" borderId="3" xfId="1" applyNumberFormat="1" applyFont="1" applyFill="1" applyBorder="1"/>
    <xf numFmtId="0" fontId="0" fillId="5" borderId="1" xfId="0" applyFont="1" applyFill="1" applyBorder="1"/>
    <xf numFmtId="0" fontId="2" fillId="11" borderId="0" xfId="0" applyFont="1" applyFill="1"/>
    <xf numFmtId="14" fontId="35" fillId="13" borderId="1" xfId="0" applyNumberFormat="1" applyFont="1" applyFill="1" applyBorder="1"/>
    <xf numFmtId="0" fontId="0" fillId="11" borderId="1" xfId="0" applyFill="1" applyBorder="1"/>
    <xf numFmtId="14" fontId="42" fillId="0" borderId="0" xfId="0" applyNumberFormat="1" applyFont="1" applyFill="1" applyBorder="1"/>
    <xf numFmtId="0" fontId="12" fillId="0" borderId="0" xfId="0" applyFont="1" applyFill="1" applyAlignment="1"/>
    <xf numFmtId="0" fontId="9" fillId="15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41" fillId="0" borderId="0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6" fontId="8" fillId="0" borderId="0" xfId="1" applyNumberFormat="1" applyFont="1" applyFill="1" applyBorder="1" applyProtection="1"/>
    <xf numFmtId="166" fontId="8" fillId="19" borderId="5" xfId="1" applyNumberFormat="1" applyFont="1" applyFill="1" applyBorder="1" applyAlignment="1" applyProtection="1">
      <alignment horizontal="center" vertical="center"/>
    </xf>
    <xf numFmtId="0" fontId="32" fillId="19" borderId="6" xfId="0" applyFont="1" applyFill="1" applyBorder="1" applyAlignment="1"/>
    <xf numFmtId="166" fontId="8" fillId="19" borderId="6" xfId="1" applyNumberFormat="1" applyFont="1" applyFill="1" applyBorder="1" applyProtection="1"/>
    <xf numFmtId="166" fontId="8" fillId="19" borderId="6" xfId="0" applyNumberFormat="1" applyFont="1" applyFill="1" applyBorder="1" applyAlignment="1"/>
    <xf numFmtId="166" fontId="8" fillId="0" borderId="3" xfId="1" applyNumberFormat="1" applyFont="1" applyFill="1" applyBorder="1" applyProtection="1"/>
    <xf numFmtId="166" fontId="41" fillId="0" borderId="1" xfId="1" applyNumberFormat="1" applyFont="1" applyFill="1" applyBorder="1" applyProtection="1"/>
    <xf numFmtId="166" fontId="46" fillId="0" borderId="1" xfId="1" applyNumberFormat="1" applyFont="1" applyFill="1" applyBorder="1" applyAlignment="1" applyProtection="1">
      <alignment horizontal="center" vertical="center"/>
    </xf>
    <xf numFmtId="166" fontId="40" fillId="0" borderId="1" xfId="1" applyNumberFormat="1" applyFont="1" applyFill="1" applyBorder="1" applyProtection="1"/>
    <xf numFmtId="166" fontId="46" fillId="0" borderId="1" xfId="1" applyNumberFormat="1" applyFont="1" applyFill="1" applyBorder="1" applyProtection="1"/>
    <xf numFmtId="166" fontId="40" fillId="0" borderId="0" xfId="1" applyNumberFormat="1" applyFont="1" applyFill="1" applyBorder="1" applyProtection="1"/>
    <xf numFmtId="166" fontId="9" fillId="19" borderId="5" xfId="1" applyNumberFormat="1" applyFont="1" applyFill="1" applyBorder="1" applyAlignment="1" applyProtection="1">
      <alignment horizontal="left"/>
    </xf>
    <xf numFmtId="166" fontId="9" fillId="19" borderId="6" xfId="1" applyNumberFormat="1" applyFont="1" applyFill="1" applyBorder="1" applyAlignment="1" applyProtection="1">
      <alignment horizontal="left"/>
    </xf>
    <xf numFmtId="166" fontId="8" fillId="19" borderId="1" xfId="0" applyNumberFormat="1" applyFont="1" applyFill="1" applyBorder="1" applyAlignment="1"/>
    <xf numFmtId="166" fontId="47" fillId="0" borderId="1" xfId="1" applyNumberFormat="1" applyFont="1" applyFill="1" applyBorder="1" applyProtection="1"/>
    <xf numFmtId="3" fontId="41" fillId="0" borderId="1" xfId="0" applyNumberFormat="1" applyFont="1" applyFill="1" applyBorder="1" applyAlignment="1">
      <alignment vertical="center"/>
    </xf>
    <xf numFmtId="166" fontId="47" fillId="0" borderId="0" xfId="1" applyNumberFormat="1" applyFont="1" applyFill="1" applyBorder="1" applyProtection="1"/>
    <xf numFmtId="166" fontId="24" fillId="0" borderId="1" xfId="0" applyNumberFormat="1" applyFont="1" applyFill="1" applyBorder="1" applyAlignment="1"/>
    <xf numFmtId="0" fontId="32" fillId="19" borderId="5" xfId="0" applyFont="1" applyFill="1" applyBorder="1" applyAlignment="1"/>
    <xf numFmtId="166" fontId="48" fillId="0" borderId="3" xfId="1" applyNumberFormat="1" applyFont="1" applyFill="1" applyBorder="1" applyProtection="1"/>
    <xf numFmtId="166" fontId="46" fillId="0" borderId="7" xfId="1" applyNumberFormat="1" applyFont="1" applyFill="1" applyBorder="1" applyProtection="1"/>
    <xf numFmtId="166" fontId="46" fillId="20" borderId="1" xfId="1" applyNumberFormat="1" applyFont="1" applyFill="1" applyBorder="1" applyProtection="1"/>
    <xf numFmtId="166" fontId="46" fillId="20" borderId="1" xfId="1" applyNumberFormat="1" applyFont="1" applyFill="1" applyBorder="1" applyAlignment="1" applyProtection="1">
      <alignment vertical="center"/>
    </xf>
    <xf numFmtId="166" fontId="49" fillId="0" borderId="7" xfId="1" applyNumberFormat="1" applyFont="1" applyFill="1" applyBorder="1" applyProtection="1"/>
    <xf numFmtId="166" fontId="49" fillId="0" borderId="1" xfId="1" applyNumberFormat="1" applyFont="1" applyFill="1" applyBorder="1" applyProtection="1"/>
    <xf numFmtId="166" fontId="46" fillId="0" borderId="1" xfId="1" applyNumberFormat="1" applyFont="1" applyFill="1" applyBorder="1" applyAlignment="1" applyProtection="1">
      <alignment vertical="center"/>
    </xf>
    <xf numFmtId="166" fontId="41" fillId="0" borderId="0" xfId="0" applyNumberFormat="1" applyFont="1" applyFill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3" fillId="0" borderId="1" xfId="0" applyFont="1" applyFill="1" applyBorder="1" applyAlignment="1"/>
    <xf numFmtId="166" fontId="33" fillId="0" borderId="7" xfId="1" applyNumberFormat="1" applyFont="1" applyFill="1" applyBorder="1" applyProtection="1"/>
    <xf numFmtId="166" fontId="33" fillId="0" borderId="1" xfId="0" applyNumberFormat="1" applyFont="1" applyFill="1" applyBorder="1" applyAlignment="1"/>
    <xf numFmtId="166" fontId="12" fillId="0" borderId="0" xfId="0" applyNumberFormat="1" applyFont="1" applyAlignment="1">
      <alignment vertical="center"/>
    </xf>
    <xf numFmtId="0" fontId="50" fillId="14" borderId="0" xfId="0" applyFont="1" applyFill="1" applyAlignment="1"/>
    <xf numFmtId="0" fontId="0" fillId="0" borderId="0" xfId="0" applyFont="1" applyFill="1" applyAlignment="1"/>
    <xf numFmtId="0" fontId="12" fillId="0" borderId="1" xfId="0" applyFont="1" applyBorder="1" applyAlignment="1">
      <alignment vertical="center"/>
    </xf>
    <xf numFmtId="0" fontId="51" fillId="0" borderId="5" xfId="0" applyFont="1" applyFill="1" applyBorder="1" applyAlignment="1"/>
    <xf numFmtId="166" fontId="12" fillId="0" borderId="1" xfId="1" applyNumberFormat="1" applyFont="1" applyBorder="1" applyProtection="1"/>
    <xf numFmtId="166" fontId="21" fillId="0" borderId="1" xfId="0" applyNumberFormat="1" applyFont="1" applyBorder="1" applyAlignment="1"/>
    <xf numFmtId="166" fontId="21" fillId="0" borderId="7" xfId="1" applyNumberFormat="1" applyFont="1" applyBorder="1" applyProtection="1"/>
    <xf numFmtId="166" fontId="21" fillId="0" borderId="1" xfId="1" applyNumberFormat="1" applyFont="1" applyFill="1" applyBorder="1" applyProtection="1"/>
    <xf numFmtId="166" fontId="21" fillId="0" borderId="1" xfId="1" applyNumberFormat="1" applyFont="1" applyBorder="1" applyAlignment="1" applyProtection="1">
      <alignment vertical="center"/>
    </xf>
    <xf numFmtId="0" fontId="51" fillId="0" borderId="0" xfId="0" applyFont="1" applyFill="1" applyBorder="1" applyAlignment="1"/>
    <xf numFmtId="0" fontId="51" fillId="0" borderId="1" xfId="0" applyFont="1" applyFill="1" applyBorder="1" applyAlignment="1"/>
    <xf numFmtId="166" fontId="50" fillId="0" borderId="0" xfId="0" applyNumberFormat="1" applyFont="1" applyAlignment="1">
      <alignment vertical="center"/>
    </xf>
    <xf numFmtId="3" fontId="3" fillId="0" borderId="4" xfId="0" applyNumberFormat="1" applyFont="1" applyFill="1" applyBorder="1"/>
    <xf numFmtId="166" fontId="3" fillId="0" borderId="3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3" fontId="0" fillId="0" borderId="0" xfId="0" applyNumberFormat="1" applyFill="1"/>
    <xf numFmtId="3" fontId="2" fillId="0" borderId="0" xfId="0" applyNumberFormat="1" applyFont="1" applyFill="1"/>
    <xf numFmtId="0" fontId="12" fillId="0" borderId="0" xfId="0" applyFont="1" applyFill="1"/>
    <xf numFmtId="3" fontId="12" fillId="0" borderId="0" xfId="0" applyNumberFormat="1" applyFont="1" applyFill="1"/>
    <xf numFmtId="166" fontId="36" fillId="5" borderId="1" xfId="1" applyNumberFormat="1" applyFont="1" applyFill="1" applyBorder="1"/>
    <xf numFmtId="3" fontId="0" fillId="5" borderId="0" xfId="0" applyNumberFormat="1" applyFill="1"/>
    <xf numFmtId="166" fontId="2" fillId="13" borderId="1" xfId="1" applyNumberFormat="1" applyFont="1" applyFill="1" applyBorder="1"/>
    <xf numFmtId="166" fontId="22" fillId="0" borderId="3" xfId="1" applyNumberFormat="1" applyFont="1" applyBorder="1"/>
    <xf numFmtId="14" fontId="50" fillId="14" borderId="1" xfId="0" applyNumberFormat="1" applyFont="1" applyFill="1" applyBorder="1" applyAlignment="1"/>
    <xf numFmtId="0" fontId="50" fillId="14" borderId="1" xfId="0" applyFont="1" applyFill="1" applyBorder="1" applyAlignment="1"/>
    <xf numFmtId="166" fontId="50" fillId="14" borderId="1" xfId="1" applyNumberFormat="1" applyFont="1" applyFill="1" applyBorder="1" applyProtection="1"/>
    <xf numFmtId="0" fontId="0" fillId="21" borderId="0" xfId="0" applyFill="1" applyAlignment="1"/>
    <xf numFmtId="0" fontId="0" fillId="5" borderId="0" xfId="0" applyFill="1" applyAlignment="1"/>
    <xf numFmtId="0" fontId="10" fillId="22" borderId="0" xfId="0" applyFont="1" applyFill="1"/>
    <xf numFmtId="0" fontId="10" fillId="23" borderId="0" xfId="0" applyFont="1" applyFill="1"/>
    <xf numFmtId="166" fontId="10" fillId="23" borderId="0" xfId="1" applyNumberFormat="1" applyFont="1" applyFill="1"/>
    <xf numFmtId="0" fontId="10" fillId="23" borderId="0" xfId="0" applyFont="1" applyFill="1" applyAlignment="1">
      <alignment horizontal="left"/>
    </xf>
    <xf numFmtId="0" fontId="53" fillId="24" borderId="1" xfId="0" applyFont="1" applyFill="1" applyBorder="1" applyAlignment="1"/>
    <xf numFmtId="3" fontId="0" fillId="0" borderId="0" xfId="1" applyNumberFormat="1" applyFont="1" applyFill="1" applyAlignment="1" applyProtection="1">
      <alignment horizontal="right"/>
    </xf>
    <xf numFmtId="3" fontId="10" fillId="23" borderId="0" xfId="1" applyNumberFormat="1" applyFont="1" applyFill="1" applyAlignment="1">
      <alignment horizontal="right"/>
    </xf>
    <xf numFmtId="3" fontId="50" fillId="14" borderId="1" xfId="1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50" fillId="14" borderId="1" xfId="0" applyFont="1" applyFill="1" applyBorder="1" applyAlignment="1">
      <alignment horizontal="center"/>
    </xf>
    <xf numFmtId="0" fontId="10" fillId="23" borderId="0" xfId="0" applyFont="1" applyFill="1" applyAlignment="1">
      <alignment horizontal="center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166" fontId="21" fillId="25" borderId="1" xfId="0" applyNumberFormat="1" applyFont="1" applyFill="1" applyBorder="1" applyAlignment="1"/>
    <xf numFmtId="166" fontId="12" fillId="25" borderId="0" xfId="0" applyNumberFormat="1" applyFont="1" applyFill="1" applyAlignment="1">
      <alignment vertical="center"/>
    </xf>
    <xf numFmtId="0" fontId="50" fillId="14" borderId="0" xfId="0" applyFont="1" applyFill="1" applyBorder="1" applyAlignment="1"/>
    <xf numFmtId="166" fontId="29" fillId="0" borderId="1" xfId="1" applyNumberFormat="1" applyFont="1" applyBorder="1" applyProtection="1">
      <protection locked="0"/>
    </xf>
    <xf numFmtId="166" fontId="8" fillId="3" borderId="3" xfId="1" applyNumberFormat="1" applyFont="1" applyFill="1" applyBorder="1" applyProtection="1"/>
    <xf numFmtId="0" fontId="26" fillId="3" borderId="1" xfId="0" applyFont="1" applyFill="1" applyBorder="1" applyAlignment="1"/>
    <xf numFmtId="166" fontId="0" fillId="3" borderId="1" xfId="1" applyNumberFormat="1" applyFont="1" applyFill="1" applyBorder="1" applyProtection="1"/>
    <xf numFmtId="166" fontId="8" fillId="3" borderId="1" xfId="1" applyNumberFormat="1" applyFont="1" applyFill="1" applyBorder="1" applyProtection="1"/>
    <xf numFmtId="166" fontId="8" fillId="3" borderId="7" xfId="1" applyNumberFormat="1" applyFont="1" applyFill="1" applyBorder="1" applyProtection="1"/>
    <xf numFmtId="0" fontId="0" fillId="3" borderId="0" xfId="0" applyFill="1" applyAlignment="1">
      <alignment vertical="center"/>
    </xf>
    <xf numFmtId="166" fontId="1" fillId="3" borderId="1" xfId="1" applyNumberFormat="1" applyFont="1" applyFill="1" applyBorder="1" applyProtection="1"/>
    <xf numFmtId="166" fontId="8" fillId="3" borderId="1" xfId="0" applyNumberFormat="1" applyFont="1" applyFill="1" applyBorder="1" applyAlignment="1"/>
    <xf numFmtId="0" fontId="0" fillId="26" borderId="1" xfId="0" applyFill="1" applyBorder="1" applyAlignment="1"/>
    <xf numFmtId="164" fontId="0" fillId="26" borderId="1" xfId="4" applyFont="1" applyFill="1" applyBorder="1" applyAlignment="1"/>
    <xf numFmtId="166" fontId="33" fillId="0" borderId="1" xfId="1" applyNumberFormat="1" applyFont="1" applyBorder="1"/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169" fontId="8" fillId="0" borderId="3" xfId="0" applyNumberFormat="1" applyFont="1" applyFill="1" applyBorder="1"/>
    <xf numFmtId="168" fontId="45" fillId="0" borderId="1" xfId="2" applyNumberFormat="1" applyFont="1" applyBorder="1"/>
    <xf numFmtId="0" fontId="9" fillId="0" borderId="1" xfId="0" applyFont="1" applyBorder="1"/>
    <xf numFmtId="0" fontId="9" fillId="0" borderId="1" xfId="0" applyFont="1" applyFill="1" applyBorder="1"/>
    <xf numFmtId="0" fontId="9" fillId="0" borderId="3" xfId="0" applyFont="1" applyBorder="1"/>
    <xf numFmtId="0" fontId="8" fillId="0" borderId="1" xfId="0" applyFont="1" applyFill="1" applyBorder="1" applyAlignment="1">
      <alignment horizontal="left"/>
    </xf>
    <xf numFmtId="166" fontId="8" fillId="0" borderId="3" xfId="0" applyNumberFormat="1" applyFont="1" applyFill="1" applyBorder="1" applyAlignment="1">
      <alignment vertical="center"/>
    </xf>
    <xf numFmtId="169" fontId="33" fillId="0" borderId="3" xfId="0" applyNumberFormat="1" applyFont="1" applyFill="1" applyBorder="1"/>
    <xf numFmtId="166" fontId="33" fillId="0" borderId="3" xfId="1" applyNumberFormat="1" applyFont="1" applyBorder="1"/>
    <xf numFmtId="0" fontId="0" fillId="5" borderId="1" xfId="0" applyFill="1" applyBorder="1" applyAlignment="1">
      <alignment vertical="center"/>
    </xf>
    <xf numFmtId="0" fontId="10" fillId="5" borderId="1" xfId="0" applyFont="1" applyFill="1" applyBorder="1" applyAlignment="1"/>
    <xf numFmtId="0" fontId="39" fillId="5" borderId="1" xfId="0" applyFont="1" applyFill="1" applyBorder="1" applyAlignment="1">
      <alignment vertical="center"/>
    </xf>
    <xf numFmtId="166" fontId="40" fillId="5" borderId="1" xfId="1" applyNumberFormat="1" applyFont="1" applyFill="1" applyBorder="1" applyProtection="1">
      <protection locked="0"/>
    </xf>
    <xf numFmtId="0" fontId="10" fillId="24" borderId="1" xfId="0" applyFont="1" applyFill="1" applyBorder="1" applyAlignment="1"/>
    <xf numFmtId="0" fontId="39" fillId="24" borderId="1" xfId="0" applyFont="1" applyFill="1" applyBorder="1" applyAlignment="1">
      <alignment vertical="center"/>
    </xf>
    <xf numFmtId="166" fontId="40" fillId="24" borderId="1" xfId="1" applyNumberFormat="1" applyFont="1" applyFill="1" applyBorder="1" applyProtection="1">
      <protection locked="0"/>
    </xf>
    <xf numFmtId="166" fontId="41" fillId="24" borderId="1" xfId="1" applyNumberFormat="1" applyFont="1" applyFill="1" applyBorder="1" applyProtection="1">
      <protection locked="0"/>
    </xf>
    <xf numFmtId="166" fontId="8" fillId="5" borderId="1" xfId="1" applyNumberFormat="1" applyFont="1" applyFill="1" applyBorder="1" applyProtection="1"/>
    <xf numFmtId="166" fontId="33" fillId="24" borderId="1" xfId="1" applyNumberFormat="1" applyFont="1" applyFill="1" applyBorder="1" applyProtection="1"/>
    <xf numFmtId="166" fontId="8" fillId="24" borderId="1" xfId="0" applyNumberFormat="1" applyFont="1" applyFill="1" applyBorder="1" applyAlignment="1"/>
    <xf numFmtId="166" fontId="8" fillId="0" borderId="1" xfId="1" applyNumberFormat="1" applyFont="1" applyBorder="1" applyProtection="1"/>
    <xf numFmtId="166" fontId="8" fillId="24" borderId="1" xfId="1" applyNumberFormat="1" applyFont="1" applyFill="1" applyBorder="1" applyProtection="1"/>
    <xf numFmtId="166" fontId="33" fillId="5" borderId="1" xfId="0" applyNumberFormat="1" applyFont="1" applyFill="1" applyBorder="1" applyAlignment="1"/>
    <xf numFmtId="166" fontId="33" fillId="0" borderId="1" xfId="1" applyNumberFormat="1" applyFont="1" applyBorder="1" applyProtection="1"/>
    <xf numFmtId="166" fontId="33" fillId="0" borderId="0" xfId="1" applyNumberFormat="1" applyFont="1" applyProtection="1"/>
    <xf numFmtId="0" fontId="9" fillId="0" borderId="1" xfId="0" applyFont="1" applyFill="1" applyBorder="1" applyAlignment="1"/>
    <xf numFmtId="0" fontId="9" fillId="5" borderId="1" xfId="0" applyFont="1" applyFill="1" applyBorder="1" applyAlignment="1"/>
    <xf numFmtId="0" fontId="9" fillId="24" borderId="1" xfId="0" applyFont="1" applyFill="1" applyBorder="1" applyAlignment="1"/>
    <xf numFmtId="0" fontId="33" fillId="5" borderId="1" xfId="0" applyFont="1" applyFill="1" applyBorder="1" applyAlignment="1">
      <alignment vertical="center"/>
    </xf>
    <xf numFmtId="3" fontId="33" fillId="0" borderId="1" xfId="0" applyNumberFormat="1" applyFont="1" applyBorder="1" applyAlignment="1">
      <alignment vertical="center"/>
    </xf>
    <xf numFmtId="166" fontId="33" fillId="0" borderId="3" xfId="1" applyNumberFormat="1" applyFont="1" applyFill="1" applyBorder="1" applyProtection="1"/>
    <xf numFmtId="0" fontId="54" fillId="0" borderId="0" xfId="0" applyFont="1" applyAlignment="1">
      <alignment vertical="center"/>
    </xf>
    <xf numFmtId="3" fontId="2" fillId="27" borderId="0" xfId="1" applyNumberFormat="1" applyFont="1" applyFill="1" applyAlignment="1" applyProtection="1">
      <alignment horizontal="right"/>
    </xf>
    <xf numFmtId="171" fontId="41" fillId="0" borderId="1" xfId="1" applyNumberFormat="1" applyFont="1" applyBorder="1" applyProtection="1">
      <protection locked="0"/>
    </xf>
    <xf numFmtId="171" fontId="41" fillId="24" borderId="1" xfId="1" applyNumberFormat="1" applyFont="1" applyFill="1" applyBorder="1" applyProtection="1">
      <protection locked="0"/>
    </xf>
    <xf numFmtId="171" fontId="41" fillId="5" borderId="1" xfId="1" applyNumberFormat="1" applyFont="1" applyFill="1" applyBorder="1" applyProtection="1">
      <protection locked="0"/>
    </xf>
    <xf numFmtId="0" fontId="55" fillId="0" borderId="0" xfId="0" applyFont="1" applyFill="1" applyAlignment="1"/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4" xfId="0" applyFont="1" applyFill="1" applyBorder="1"/>
    <xf numFmtId="0" fontId="0" fillId="0" borderId="0" xfId="0" applyFont="1" applyFill="1"/>
    <xf numFmtId="0" fontId="8" fillId="0" borderId="3" xfId="0" applyFont="1" applyFill="1" applyBorder="1" applyAlignment="1">
      <alignment horizontal="left"/>
    </xf>
    <xf numFmtId="166" fontId="58" fillId="0" borderId="0" xfId="1" applyNumberFormat="1" applyFont="1" applyBorder="1" applyProtection="1">
      <protection locked="0"/>
    </xf>
    <xf numFmtId="166" fontId="21" fillId="0" borderId="1" xfId="1" applyNumberFormat="1" applyFont="1" applyFill="1" applyBorder="1" applyAlignment="1" applyProtection="1">
      <alignment horizontal="center" vertical="center"/>
    </xf>
    <xf numFmtId="166" fontId="21" fillId="5" borderId="1" xfId="1" applyNumberFormat="1" applyFont="1" applyFill="1" applyBorder="1" applyProtection="1"/>
    <xf numFmtId="166" fontId="21" fillId="24" borderId="1" xfId="1" applyNumberFormat="1" applyFont="1" applyFill="1" applyBorder="1" applyProtection="1"/>
    <xf numFmtId="0" fontId="21" fillId="5" borderId="1" xfId="0" applyFont="1" applyFill="1" applyBorder="1" applyAlignment="1">
      <alignment vertical="center"/>
    </xf>
    <xf numFmtId="166" fontId="21" fillId="0" borderId="1" xfId="1" applyNumberFormat="1" applyFont="1" applyBorder="1" applyProtection="1"/>
    <xf numFmtId="0" fontId="22" fillId="5" borderId="0" xfId="0" applyFont="1" applyFill="1" applyBorder="1" applyAlignment="1">
      <alignment vertical="center"/>
    </xf>
    <xf numFmtId="166" fontId="57" fillId="0" borderId="0" xfId="0" applyNumberFormat="1" applyFont="1" applyAlignment="1">
      <alignment vertical="center"/>
    </xf>
    <xf numFmtId="0" fontId="50" fillId="5" borderId="0" xfId="0" applyFont="1" applyFill="1" applyAlignment="1"/>
    <xf numFmtId="0" fontId="50" fillId="5" borderId="0" xfId="0" applyFont="1" applyFill="1" applyBorder="1" applyAlignment="1"/>
    <xf numFmtId="0" fontId="56" fillId="0" borderId="0" xfId="0" applyFont="1" applyFill="1" applyBorder="1" applyAlignment="1"/>
    <xf numFmtId="0" fontId="12" fillId="5" borderId="0" xfId="0" applyFont="1" applyFill="1" applyAlignment="1"/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55" fillId="5" borderId="0" xfId="0" applyFont="1" applyFill="1" applyAlignment="1"/>
    <xf numFmtId="166" fontId="8" fillId="0" borderId="3" xfId="1" applyNumberFormat="1" applyFont="1" applyFill="1" applyBorder="1"/>
    <xf numFmtId="0" fontId="9" fillId="0" borderId="3" xfId="0" applyFont="1" applyFill="1" applyBorder="1"/>
    <xf numFmtId="0" fontId="36" fillId="0" borderId="0" xfId="0" applyFont="1" applyFill="1" applyAlignment="1"/>
    <xf numFmtId="166" fontId="2" fillId="0" borderId="0" xfId="0" applyNumberFormat="1" applyFont="1" applyAlignment="1">
      <alignment vertical="center"/>
    </xf>
    <xf numFmtId="0" fontId="3" fillId="0" borderId="0" xfId="0" applyFont="1" applyFill="1" applyBorder="1" applyAlignment="1"/>
    <xf numFmtId="0" fontId="60" fillId="0" borderId="0" xfId="0" applyFont="1" applyFill="1" applyAlignment="1"/>
    <xf numFmtId="0" fontId="36" fillId="5" borderId="0" xfId="0" applyFont="1" applyFill="1" applyAlignment="1"/>
    <xf numFmtId="0" fontId="36" fillId="0" borderId="0" xfId="0" applyFont="1" applyFill="1" applyBorder="1" applyAlignment="1"/>
    <xf numFmtId="0" fontId="3" fillId="0" borderId="14" xfId="0" applyFont="1" applyFill="1" applyBorder="1" applyAlignment="1"/>
    <xf numFmtId="0" fontId="36" fillId="0" borderId="14" xfId="0" applyFont="1" applyFill="1" applyBorder="1" applyAlignment="1"/>
    <xf numFmtId="166" fontId="22" fillId="0" borderId="3" xfId="1" applyNumberFormat="1" applyFont="1" applyFill="1" applyBorder="1"/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166" fontId="22" fillId="0" borderId="0" xfId="1" applyNumberFormat="1" applyFont="1" applyBorder="1"/>
    <xf numFmtId="0" fontId="0" fillId="0" borderId="3" xfId="0" applyBorder="1"/>
    <xf numFmtId="169" fontId="8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22" fillId="0" borderId="3" xfId="0" applyFont="1" applyBorder="1"/>
    <xf numFmtId="0" fontId="9" fillId="0" borderId="3" xfId="0" applyFont="1" applyFill="1" applyBorder="1" applyAlignment="1">
      <alignment horizontal="right"/>
    </xf>
    <xf numFmtId="169" fontId="33" fillId="0" borderId="1" xfId="0" applyNumberFormat="1" applyFont="1" applyFill="1" applyBorder="1"/>
    <xf numFmtId="14" fontId="35" fillId="0" borderId="1" xfId="0" applyNumberFormat="1" applyFont="1" applyFill="1" applyBorder="1"/>
    <xf numFmtId="14" fontId="35" fillId="5" borderId="1" xfId="0" applyNumberFormat="1" applyFont="1" applyFill="1" applyBorder="1"/>
    <xf numFmtId="0" fontId="61" fillId="0" borderId="0" xfId="0" applyFont="1" applyFill="1" applyBorder="1" applyAlignment="1"/>
    <xf numFmtId="0" fontId="61" fillId="0" borderId="1" xfId="0" applyFont="1" applyBorder="1"/>
    <xf numFmtId="14" fontId="0" fillId="0" borderId="1" xfId="0" applyNumberFormat="1" applyFont="1" applyFill="1" applyBorder="1"/>
    <xf numFmtId="0" fontId="0" fillId="0" borderId="1" xfId="0" applyFont="1" applyBorder="1"/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14" fontId="61" fillId="0" borderId="14" xfId="0" applyNumberFormat="1" applyFont="1" applyFill="1" applyBorder="1" applyAlignment="1"/>
    <xf numFmtId="0" fontId="63" fillId="5" borderId="1" xfId="0" applyFont="1" applyFill="1" applyBorder="1" applyAlignment="1"/>
    <xf numFmtId="3" fontId="63" fillId="5" borderId="1" xfId="1" applyNumberFormat="1" applyFont="1" applyFill="1" applyBorder="1" applyAlignment="1" applyProtection="1">
      <alignment horizontal="center"/>
    </xf>
    <xf numFmtId="166" fontId="63" fillId="5" borderId="1" xfId="1" applyNumberFormat="1" applyFont="1" applyFill="1" applyBorder="1" applyProtection="1"/>
    <xf numFmtId="0" fontId="63" fillId="5" borderId="1" xfId="0" applyFont="1" applyFill="1" applyBorder="1" applyAlignment="1">
      <alignment horizontal="center"/>
    </xf>
    <xf numFmtId="0" fontId="61" fillId="5" borderId="1" xfId="0" applyFont="1" applyFill="1" applyBorder="1" applyAlignment="1">
      <alignment vertical="center"/>
    </xf>
    <xf numFmtId="0" fontId="61" fillId="0" borderId="1" xfId="0" applyFont="1" applyFill="1" applyBorder="1" applyAlignment="1">
      <alignment vertical="center"/>
    </xf>
    <xf numFmtId="0" fontId="61" fillId="0" borderId="1" xfId="0" applyFont="1" applyFill="1" applyBorder="1" applyAlignment="1"/>
    <xf numFmtId="0" fontId="61" fillId="0" borderId="1" xfId="0" applyFont="1" applyFill="1" applyBorder="1" applyAlignment="1">
      <alignment horizontal="center"/>
    </xf>
    <xf numFmtId="0" fontId="61" fillId="0" borderId="14" xfId="0" applyFont="1" applyBorder="1"/>
    <xf numFmtId="14" fontId="61" fillId="0" borderId="1" xfId="0" applyNumberFormat="1" applyFont="1" applyFill="1" applyBorder="1" applyAlignment="1"/>
    <xf numFmtId="3" fontId="61" fillId="0" borderId="1" xfId="0" applyNumberFormat="1" applyFont="1" applyBorder="1"/>
    <xf numFmtId="0" fontId="61" fillId="5" borderId="1" xfId="0" applyFont="1" applyFill="1" applyBorder="1" applyAlignment="1"/>
    <xf numFmtId="0" fontId="61" fillId="0" borderId="1" xfId="0" applyFont="1" applyBorder="1" applyAlignment="1">
      <alignment horizontal="center" vertical="center"/>
    </xf>
    <xf numFmtId="0" fontId="61" fillId="5" borderId="1" xfId="0" applyFont="1" applyFill="1" applyBorder="1"/>
    <xf numFmtId="0" fontId="61" fillId="0" borderId="1" xfId="0" applyFont="1" applyFill="1" applyBorder="1"/>
    <xf numFmtId="0" fontId="61" fillId="0" borderId="3" xfId="0" applyFont="1" applyFill="1" applyBorder="1" applyAlignment="1">
      <alignment horizontal="center"/>
    </xf>
    <xf numFmtId="0" fontId="61" fillId="0" borderId="14" xfId="0" applyFont="1" applyFill="1" applyBorder="1"/>
    <xf numFmtId="0" fontId="61" fillId="5" borderId="1" xfId="0" applyFont="1" applyFill="1" applyBorder="1" applyAlignment="1">
      <alignment horizontal="center"/>
    </xf>
    <xf numFmtId="0" fontId="61" fillId="0" borderId="14" xfId="0" applyFont="1" applyFill="1" applyBorder="1" applyAlignment="1">
      <alignment vertical="center"/>
    </xf>
    <xf numFmtId="0" fontId="61" fillId="5" borderId="14" xfId="0" applyFont="1" applyFill="1" applyBorder="1" applyAlignment="1">
      <alignment vertical="center"/>
    </xf>
    <xf numFmtId="0" fontId="61" fillId="0" borderId="14" xfId="0" applyFont="1" applyFill="1" applyBorder="1" applyAlignment="1"/>
    <xf numFmtId="0" fontId="61" fillId="0" borderId="4" xfId="0" applyFont="1" applyFill="1" applyBorder="1" applyAlignment="1"/>
    <xf numFmtId="0" fontId="61" fillId="0" borderId="3" xfId="0" applyFont="1" applyFill="1" applyBorder="1" applyAlignment="1"/>
    <xf numFmtId="0" fontId="61" fillId="28" borderId="1" xfId="0" applyFont="1" applyFill="1" applyBorder="1" applyAlignment="1">
      <alignment vertical="center"/>
    </xf>
    <xf numFmtId="0" fontId="61" fillId="0" borderId="7" xfId="0" applyFont="1" applyFill="1" applyBorder="1" applyAlignment="1">
      <alignment horizontal="center" vertical="center"/>
    </xf>
    <xf numFmtId="167" fontId="65" fillId="3" borderId="0" xfId="0" applyNumberFormat="1" applyFont="1" applyFill="1"/>
    <xf numFmtId="0" fontId="3" fillId="29" borderId="1" xfId="0" applyFont="1" applyFill="1" applyBorder="1"/>
    <xf numFmtId="166" fontId="4" fillId="0" borderId="1" xfId="1" applyNumberFormat="1" applyFont="1" applyFill="1" applyBorder="1"/>
    <xf numFmtId="166" fontId="5" fillId="0" borderId="1" xfId="1" applyNumberFormat="1" applyFont="1" applyFill="1" applyBorder="1"/>
    <xf numFmtId="0" fontId="3" fillId="30" borderId="3" xfId="0" applyFont="1" applyFill="1" applyBorder="1"/>
    <xf numFmtId="0" fontId="3" fillId="10" borderId="1" xfId="0" applyFont="1" applyFill="1" applyBorder="1" applyAlignment="1">
      <alignment vertical="center"/>
    </xf>
    <xf numFmtId="166" fontId="3" fillId="10" borderId="1" xfId="0" applyNumberFormat="1" applyFont="1" applyFill="1" applyBorder="1" applyAlignment="1">
      <alignment vertical="center"/>
    </xf>
    <xf numFmtId="0" fontId="66" fillId="0" borderId="0" xfId="0" applyFont="1" applyFill="1"/>
    <xf numFmtId="0" fontId="66" fillId="0" borderId="0" xfId="0" applyFont="1"/>
    <xf numFmtId="0" fontId="67" fillId="0" borderId="0" xfId="0" applyFont="1" applyFill="1"/>
    <xf numFmtId="173" fontId="66" fillId="0" borderId="0" xfId="0" applyNumberFormat="1" applyFont="1" applyFill="1" applyAlignment="1">
      <alignment horizontal="center"/>
    </xf>
    <xf numFmtId="1" fontId="66" fillId="0" borderId="0" xfId="0" applyNumberFormat="1" applyFont="1" applyFill="1" applyAlignment="1">
      <alignment horizontal="left"/>
    </xf>
    <xf numFmtId="0" fontId="66" fillId="0" borderId="0" xfId="0" applyFont="1" applyFill="1" applyAlignment="1">
      <alignment horizontal="center"/>
    </xf>
    <xf numFmtId="3" fontId="66" fillId="0" borderId="0" xfId="5" applyNumberFormat="1" applyFont="1" applyFill="1" applyAlignment="1">
      <alignment horizontal="center"/>
    </xf>
    <xf numFmtId="174" fontId="66" fillId="0" borderId="0" xfId="5" applyNumberFormat="1" applyFont="1" applyFill="1" applyAlignment="1">
      <alignment horizontal="center"/>
    </xf>
    <xf numFmtId="0" fontId="66" fillId="29" borderId="0" xfId="0" applyFont="1" applyFill="1"/>
    <xf numFmtId="173" fontId="69" fillId="5" borderId="0" xfId="0" applyNumberFormat="1" applyFont="1" applyFill="1"/>
    <xf numFmtId="1" fontId="67" fillId="0" borderId="0" xfId="0" applyNumberFormat="1" applyFont="1" applyFill="1" applyAlignment="1">
      <alignment horizontal="left"/>
    </xf>
    <xf numFmtId="0" fontId="67" fillId="0" borderId="0" xfId="0" applyFont="1"/>
    <xf numFmtId="0" fontId="67" fillId="0" borderId="0" xfId="0" applyFont="1" applyFill="1" applyAlignment="1">
      <alignment horizontal="center"/>
    </xf>
    <xf numFmtId="0" fontId="25" fillId="3" borderId="0" xfId="0" applyFont="1" applyFill="1"/>
    <xf numFmtId="0" fontId="70" fillId="0" borderId="0" xfId="0" applyFont="1" applyFill="1" applyAlignment="1">
      <alignment horizontal="left"/>
    </xf>
    <xf numFmtId="0" fontId="67" fillId="0" borderId="1" xfId="0" applyFont="1" applyFill="1" applyBorder="1" applyAlignment="1">
      <alignment horizontal="center" vertical="center"/>
    </xf>
    <xf numFmtId="0" fontId="67" fillId="0" borderId="0" xfId="0" applyFont="1" applyFill="1" applyBorder="1"/>
    <xf numFmtId="3" fontId="66" fillId="0" borderId="0" xfId="0" applyNumberFormat="1" applyFont="1"/>
    <xf numFmtId="14" fontId="66" fillId="0" borderId="13" xfId="0" applyNumberFormat="1" applyFont="1" applyBorder="1"/>
    <xf numFmtId="0" fontId="66" fillId="0" borderId="13" xfId="0" applyFont="1" applyBorder="1"/>
    <xf numFmtId="3" fontId="67" fillId="0" borderId="13" xfId="0" applyNumberFormat="1" applyFont="1" applyBorder="1"/>
    <xf numFmtId="3" fontId="66" fillId="0" borderId="13" xfId="0" applyNumberFormat="1" applyFont="1" applyBorder="1"/>
    <xf numFmtId="0" fontId="67" fillId="0" borderId="0" xfId="0" applyFont="1" applyFill="1" applyBorder="1" applyAlignment="1"/>
    <xf numFmtId="0" fontId="66" fillId="0" borderId="0" xfId="0" applyFont="1" applyAlignment="1"/>
    <xf numFmtId="14" fontId="66" fillId="0" borderId="1" xfId="0" applyNumberFormat="1" applyFont="1" applyBorder="1"/>
    <xf numFmtId="0" fontId="66" fillId="0" borderId="1" xfId="0" applyFont="1" applyBorder="1"/>
    <xf numFmtId="3" fontId="66" fillId="0" borderId="1" xfId="0" applyNumberFormat="1" applyFont="1" applyBorder="1"/>
    <xf numFmtId="14" fontId="71" fillId="0" borderId="1" xfId="0" applyNumberFormat="1" applyFont="1" applyBorder="1"/>
    <xf numFmtId="0" fontId="72" fillId="0" borderId="1" xfId="0" applyFont="1" applyFill="1" applyBorder="1" applyAlignment="1">
      <alignment horizontal="left" vertical="center"/>
    </xf>
    <xf numFmtId="0" fontId="71" fillId="0" borderId="1" xfId="0" applyFont="1" applyBorder="1"/>
    <xf numFmtId="3" fontId="71" fillId="0" borderId="1" xfId="0" applyNumberFormat="1" applyFont="1" applyBorder="1"/>
    <xf numFmtId="14" fontId="66" fillId="0" borderId="12" xfId="0" applyNumberFormat="1" applyFont="1" applyBorder="1"/>
    <xf numFmtId="3" fontId="66" fillId="0" borderId="12" xfId="0" applyNumberFormat="1" applyFont="1" applyBorder="1"/>
    <xf numFmtId="0" fontId="66" fillId="0" borderId="12" xfId="0" applyFont="1" applyBorder="1"/>
    <xf numFmtId="3" fontId="67" fillId="0" borderId="19" xfId="0" applyNumberFormat="1" applyFont="1" applyBorder="1"/>
    <xf numFmtId="0" fontId="67" fillId="31" borderId="13" xfId="0" applyFont="1" applyFill="1" applyBorder="1"/>
    <xf numFmtId="3" fontId="66" fillId="32" borderId="13" xfId="0" applyNumberFormat="1" applyFont="1" applyFill="1" applyBorder="1"/>
    <xf numFmtId="3" fontId="66" fillId="31" borderId="13" xfId="0" applyNumberFormat="1" applyFont="1" applyFill="1" applyBorder="1"/>
    <xf numFmtId="0" fontId="73" fillId="0" borderId="13" xfId="0" applyFont="1" applyBorder="1"/>
    <xf numFmtId="3" fontId="73" fillId="0" borderId="13" xfId="0" applyNumberFormat="1" applyFont="1" applyBorder="1"/>
    <xf numFmtId="0" fontId="73" fillId="0" borderId="0" xfId="0" applyFont="1"/>
    <xf numFmtId="3" fontId="73" fillId="3" borderId="13" xfId="0" applyNumberFormat="1" applyFont="1" applyFill="1" applyBorder="1"/>
    <xf numFmtId="0" fontId="66" fillId="3" borderId="0" xfId="0" applyFont="1" applyFill="1"/>
    <xf numFmtId="0" fontId="67" fillId="0" borderId="0" xfId="0" applyFont="1" applyBorder="1"/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Alignment="1"/>
    <xf numFmtId="0" fontId="0" fillId="0" borderId="0" xfId="0" applyBorder="1"/>
    <xf numFmtId="0" fontId="62" fillId="3" borderId="0" xfId="0" applyFont="1" applyFill="1"/>
    <xf numFmtId="166" fontId="5" fillId="0" borderId="2" xfId="1" applyNumberFormat="1" applyFont="1" applyFill="1" applyBorder="1"/>
    <xf numFmtId="166" fontId="0" fillId="3" borderId="0" xfId="0" applyNumberFormat="1" applyFill="1" applyBorder="1"/>
    <xf numFmtId="0" fontId="5" fillId="29" borderId="3" xfId="0" applyFont="1" applyFill="1" applyBorder="1"/>
    <xf numFmtId="0" fontId="9" fillId="29" borderId="3" xfId="0" applyFont="1" applyFill="1" applyBorder="1" applyAlignment="1">
      <alignment horizontal="left"/>
    </xf>
    <xf numFmtId="166" fontId="5" fillId="29" borderId="3" xfId="1" applyNumberFormat="1" applyFont="1" applyFill="1" applyBorder="1"/>
    <xf numFmtId="166" fontId="4" fillId="0" borderId="3" xfId="1" applyNumberFormat="1" applyFont="1" applyFill="1" applyBorder="1"/>
    <xf numFmtId="166" fontId="5" fillId="0" borderId="3" xfId="1" applyNumberFormat="1" applyFont="1" applyFill="1" applyBorder="1"/>
    <xf numFmtId="0" fontId="9" fillId="29" borderId="1" xfId="0" applyFont="1" applyFill="1" applyBorder="1" applyAlignment="1">
      <alignment horizontal="left"/>
    </xf>
    <xf numFmtId="0" fontId="5" fillId="29" borderId="1" xfId="0" applyFont="1" applyFill="1" applyBorder="1"/>
    <xf numFmtId="0" fontId="5" fillId="29" borderId="1" xfId="0" applyFont="1" applyFill="1" applyBorder="1" applyAlignment="1">
      <alignment vertical="center"/>
    </xf>
    <xf numFmtId="0" fontId="9" fillId="29" borderId="1" xfId="0" applyFont="1" applyFill="1" applyBorder="1"/>
    <xf numFmtId="166" fontId="5" fillId="29" borderId="1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55" fillId="0" borderId="0" xfId="0" applyFont="1" applyFill="1"/>
    <xf numFmtId="3" fontId="55" fillId="0" borderId="0" xfId="0" applyNumberFormat="1" applyFont="1" applyFill="1"/>
    <xf numFmtId="0" fontId="0" fillId="0" borderId="3" xfId="0" applyFont="1" applyFill="1" applyBorder="1"/>
    <xf numFmtId="166" fontId="0" fillId="0" borderId="3" xfId="1" applyNumberFormat="1" applyFont="1" applyFill="1" applyBorder="1"/>
    <xf numFmtId="166" fontId="0" fillId="5" borderId="4" xfId="1" applyNumberFormat="1" applyFont="1" applyFill="1" applyBorder="1"/>
    <xf numFmtId="166" fontId="22" fillId="5" borderId="3" xfId="1" applyNumberFormat="1" applyFont="1" applyFill="1" applyBorder="1"/>
    <xf numFmtId="0" fontId="57" fillId="5" borderId="0" xfId="0" applyFont="1" applyFill="1"/>
    <xf numFmtId="3" fontId="57" fillId="5" borderId="0" xfId="0" applyNumberFormat="1" applyFont="1" applyFill="1"/>
    <xf numFmtId="0" fontId="74" fillId="0" borderId="0" xfId="0" applyFont="1" applyFill="1"/>
    <xf numFmtId="3" fontId="74" fillId="0" borderId="0" xfId="0" applyNumberFormat="1" applyFont="1" applyFill="1"/>
    <xf numFmtId="0" fontId="74" fillId="11" borderId="0" xfId="0" applyFont="1" applyFill="1"/>
    <xf numFmtId="0" fontId="61" fillId="0" borderId="14" xfId="0" applyFont="1" applyFill="1" applyBorder="1" applyAlignment="1">
      <alignment horizontal="left"/>
    </xf>
    <xf numFmtId="0" fontId="64" fillId="0" borderId="0" xfId="0" applyFont="1" applyFill="1" applyBorder="1" applyAlignment="1"/>
    <xf numFmtId="0" fontId="61" fillId="0" borderId="0" xfId="0" applyFont="1" applyFill="1" applyBorder="1" applyAlignment="1">
      <alignment horizontal="center"/>
    </xf>
    <xf numFmtId="0" fontId="75" fillId="0" borderId="0" xfId="0" applyFont="1" applyAlignment="1">
      <alignment vertical="center"/>
    </xf>
    <xf numFmtId="14" fontId="61" fillId="5" borderId="14" xfId="0" applyNumberFormat="1" applyFont="1" applyFill="1" applyBorder="1" applyAlignment="1"/>
    <xf numFmtId="166" fontId="61" fillId="0" borderId="1" xfId="1" applyNumberFormat="1" applyFont="1" applyBorder="1" applyAlignment="1"/>
    <xf numFmtId="0" fontId="61" fillId="0" borderId="1" xfId="0" applyFont="1" applyBorder="1" applyAlignment="1"/>
    <xf numFmtId="3" fontId="61" fillId="0" borderId="1" xfId="0" applyNumberFormat="1" applyFont="1" applyBorder="1" applyAlignment="1"/>
    <xf numFmtId="0" fontId="64" fillId="0" borderId="1" xfId="0" applyFont="1" applyBorder="1" applyAlignment="1"/>
    <xf numFmtId="172" fontId="61" fillId="0" borderId="1" xfId="1" applyNumberFormat="1" applyFont="1" applyFill="1" applyBorder="1" applyAlignment="1" applyProtection="1"/>
    <xf numFmtId="3" fontId="61" fillId="0" borderId="14" xfId="0" applyNumberFormat="1" applyFont="1" applyBorder="1" applyAlignment="1"/>
    <xf numFmtId="0" fontId="61" fillId="0" borderId="14" xfId="0" applyFont="1" applyBorder="1" applyAlignment="1"/>
    <xf numFmtId="3" fontId="61" fillId="5" borderId="1" xfId="1" applyNumberFormat="1" applyFont="1" applyFill="1" applyBorder="1" applyAlignment="1"/>
    <xf numFmtId="3" fontId="0" fillId="0" borderId="0" xfId="1" applyNumberFormat="1" applyFont="1" applyFill="1" applyAlignment="1" applyProtection="1"/>
    <xf numFmtId="3" fontId="50" fillId="14" borderId="1" xfId="1" applyNumberFormat="1" applyFont="1" applyFill="1" applyBorder="1" applyAlignment="1" applyProtection="1"/>
    <xf numFmtId="3" fontId="63" fillId="5" borderId="3" xfId="1" applyNumberFormat="1" applyFont="1" applyFill="1" applyBorder="1" applyAlignment="1" applyProtection="1"/>
    <xf numFmtId="166" fontId="61" fillId="0" borderId="1" xfId="1" applyNumberFormat="1" applyFont="1" applyFill="1" applyBorder="1" applyAlignment="1"/>
    <xf numFmtId="3" fontId="61" fillId="5" borderId="14" xfId="0" applyNumberFormat="1" applyFont="1" applyFill="1" applyBorder="1" applyAlignment="1"/>
    <xf numFmtId="166" fontId="61" fillId="5" borderId="1" xfId="1" applyNumberFormat="1" applyFont="1" applyFill="1" applyBorder="1" applyAlignment="1" applyProtection="1"/>
    <xf numFmtId="3" fontId="10" fillId="23" borderId="0" xfId="1" applyNumberFormat="1" applyFont="1" applyFill="1" applyAlignment="1"/>
    <xf numFmtId="0" fontId="61" fillId="0" borderId="1" xfId="0" applyFont="1" applyBorder="1" applyAlignment="1">
      <alignment horizontal="center"/>
    </xf>
    <xf numFmtId="0" fontId="61" fillId="0" borderId="1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/>
    </xf>
    <xf numFmtId="0" fontId="61" fillId="5" borderId="1" xfId="0" applyFont="1" applyFill="1" applyBorder="1" applyAlignment="1">
      <alignment horizontal="center" vertical="center"/>
    </xf>
    <xf numFmtId="166" fontId="61" fillId="5" borderId="1" xfId="1" applyNumberFormat="1" applyFont="1" applyFill="1" applyBorder="1" applyAlignment="1">
      <alignment horizontal="center" vertical="center" wrapText="1"/>
    </xf>
    <xf numFmtId="166" fontId="61" fillId="0" borderId="1" xfId="1" applyNumberFormat="1" applyFont="1" applyFill="1" applyBorder="1" applyAlignment="1">
      <alignment horizontal="center" vertical="center" wrapText="1"/>
    </xf>
    <xf numFmtId="0" fontId="61" fillId="5" borderId="0" xfId="0" applyFont="1" applyFill="1" applyBorder="1" applyAlignment="1">
      <alignment horizontal="center" vertical="center"/>
    </xf>
    <xf numFmtId="0" fontId="61" fillId="5" borderId="14" xfId="0" applyFont="1" applyFill="1" applyBorder="1" applyAlignment="1">
      <alignment horizontal="center" vertical="center"/>
    </xf>
    <xf numFmtId="0" fontId="61" fillId="5" borderId="14" xfId="0" applyFont="1" applyFill="1" applyBorder="1" applyAlignment="1">
      <alignment horizontal="center"/>
    </xf>
    <xf numFmtId="14" fontId="61" fillId="0" borderId="1" xfId="0" applyNumberFormat="1" applyFont="1" applyFill="1" applyBorder="1" applyAlignment="1">
      <alignment horizontal="center"/>
    </xf>
    <xf numFmtId="0" fontId="64" fillId="5" borderId="1" xfId="0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1" fillId="0" borderId="7" xfId="0" applyFont="1" applyFill="1" applyBorder="1" applyAlignment="1">
      <alignment horizontal="center"/>
    </xf>
    <xf numFmtId="0" fontId="12" fillId="3" borderId="0" xfId="0" applyFont="1" applyFill="1" applyAlignment="1"/>
    <xf numFmtId="0" fontId="76" fillId="0" borderId="0" xfId="0" applyFont="1" applyFill="1" applyAlignment="1"/>
    <xf numFmtId="166" fontId="61" fillId="0" borderId="1" xfId="1" applyNumberFormat="1" applyFont="1" applyFill="1" applyBorder="1"/>
    <xf numFmtId="0" fontId="61" fillId="0" borderId="1" xfId="0" applyFont="1" applyBorder="1" applyAlignment="1">
      <alignment vertical="center"/>
    </xf>
    <xf numFmtId="3" fontId="61" fillId="0" borderId="1" xfId="1" applyNumberFormat="1" applyFont="1" applyFill="1" applyBorder="1" applyAlignment="1" applyProtection="1">
      <alignment vertical="center"/>
    </xf>
    <xf numFmtId="0" fontId="64" fillId="0" borderId="1" xfId="0" applyFont="1" applyFill="1" applyBorder="1" applyAlignment="1"/>
    <xf numFmtId="0" fontId="61" fillId="5" borderId="3" xfId="0" applyFont="1" applyFill="1" applyBorder="1" applyAlignment="1">
      <alignment horizontal="center"/>
    </xf>
    <xf numFmtId="0" fontId="77" fillId="0" borderId="1" xfId="0" applyFont="1" applyFill="1" applyBorder="1" applyAlignment="1">
      <alignment horizontal="center"/>
    </xf>
    <xf numFmtId="0" fontId="61" fillId="5" borderId="0" xfId="0" applyFont="1" applyFill="1" applyBorder="1" applyAlignment="1"/>
    <xf numFmtId="166" fontId="61" fillId="0" borderId="14" xfId="1" applyNumberFormat="1" applyFont="1" applyFill="1" applyBorder="1" applyAlignment="1"/>
    <xf numFmtId="166" fontId="61" fillId="5" borderId="14" xfId="1" applyNumberFormat="1" applyFont="1" applyFill="1" applyBorder="1" applyAlignment="1">
      <alignment horizontal="center" vertical="center" wrapText="1"/>
    </xf>
    <xf numFmtId="166" fontId="61" fillId="5" borderId="0" xfId="1" applyNumberFormat="1" applyFont="1" applyFill="1" applyBorder="1" applyAlignment="1">
      <alignment horizontal="center" vertical="center" wrapText="1"/>
    </xf>
    <xf numFmtId="0" fontId="61" fillId="5" borderId="7" xfId="0" applyFont="1" applyFill="1" applyBorder="1" applyAlignment="1">
      <alignment horizontal="center"/>
    </xf>
    <xf numFmtId="166" fontId="61" fillId="0" borderId="1" xfId="1" applyNumberFormat="1" applyFont="1" applyBorder="1" applyAlignment="1">
      <alignment horizontal="right"/>
    </xf>
    <xf numFmtId="0" fontId="9" fillId="9" borderId="14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0" fontId="9" fillId="0" borderId="14" xfId="0" applyNumberFormat="1" applyFont="1" applyFill="1" applyBorder="1" applyAlignment="1">
      <alignment horizontal="center" vertical="center"/>
    </xf>
    <xf numFmtId="170" fontId="9" fillId="0" borderId="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6" fontId="9" fillId="0" borderId="14" xfId="1" applyNumberFormat="1" applyFont="1" applyFill="1" applyBorder="1" applyAlignment="1" applyProtection="1">
      <alignment horizontal="center" vertical="center" wrapText="1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center" vertical="center"/>
    </xf>
    <xf numFmtId="0" fontId="9" fillId="16" borderId="9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2" fillId="23" borderId="0" xfId="0" applyFont="1" applyFill="1" applyAlignment="1">
      <alignment horizontal="center"/>
    </xf>
    <xf numFmtId="0" fontId="59" fillId="23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31" borderId="13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152400</xdr:rowOff>
    </xdr:from>
    <xdr:to>
      <xdr:col>1</xdr:col>
      <xdr:colOff>228600</xdr:colOff>
      <xdr:row>3</xdr:row>
      <xdr:rowOff>175260</xdr:rowOff>
    </xdr:to>
    <xdr:pic>
      <xdr:nvPicPr>
        <xdr:cNvPr id="2" name="Image 2" descr="Description : Logo mef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251460</xdr:colOff>
      <xdr:row>0</xdr:row>
      <xdr:rowOff>142875</xdr:rowOff>
    </xdr:from>
    <xdr:to>
      <xdr:col>8</xdr:col>
      <xdr:colOff>99060</xdr:colOff>
      <xdr:row>3</xdr:row>
      <xdr:rowOff>158115</xdr:rowOff>
    </xdr:to>
    <xdr:pic>
      <xdr:nvPicPr>
        <xdr:cNvPr id="3" name="Image 5" descr="Description : téléchargement.pn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5937885" y="142875"/>
          <a:ext cx="74295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939165</xdr:colOff>
      <xdr:row>1</xdr:row>
      <xdr:rowOff>57150</xdr:rowOff>
    </xdr:from>
    <xdr:to>
      <xdr:col>5</xdr:col>
      <xdr:colOff>337185</xdr:colOff>
      <xdr:row>4</xdr:row>
      <xdr:rowOff>64770</xdr:rowOff>
    </xdr:to>
    <xdr:pic>
      <xdr:nvPicPr>
        <xdr:cNvPr id="4" name="Image 6" descr="Description : téléchargement (1).png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247650"/>
          <a:ext cx="2493645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729616</xdr:colOff>
      <xdr:row>0</xdr:row>
      <xdr:rowOff>123826</xdr:rowOff>
    </xdr:from>
    <xdr:ext cx="1120139" cy="716279"/>
    <xdr:pic>
      <xdr:nvPicPr>
        <xdr:cNvPr id="5" name="Image 4" descr="eaglelogo.jpg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11391" y="12382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2</xdr:col>
      <xdr:colOff>523875</xdr:colOff>
      <xdr:row>0</xdr:row>
      <xdr:rowOff>0</xdr:rowOff>
    </xdr:from>
    <xdr:to>
      <xdr:col>3</xdr:col>
      <xdr:colOff>19050</xdr:colOff>
      <xdr:row>4</xdr:row>
      <xdr:rowOff>30480</xdr:rowOff>
    </xdr:to>
    <xdr:pic>
      <xdr:nvPicPr>
        <xdr:cNvPr id="6" name="Image 6" descr="E:\PALF_logo_new_1.jpg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0"/>
          <a:ext cx="60007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26</xdr:row>
      <xdr:rowOff>0</xdr:rowOff>
    </xdr:from>
    <xdr:ext cx="76200" cy="228600"/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219950" y="5029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26</xdr:row>
      <xdr:rowOff>0</xdr:rowOff>
    </xdr:from>
    <xdr:ext cx="19050" cy="209550"/>
    <xdr:sp macro="" textlink="">
      <xdr:nvSpPr>
        <xdr:cNvPr id="3" name="Text Box 34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7791450" y="50292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25</xdr:row>
      <xdr:rowOff>0</xdr:rowOff>
    </xdr:from>
    <xdr:ext cx="76200" cy="228600"/>
    <xdr:sp macro="" textlink="">
      <xdr:nvSpPr>
        <xdr:cNvPr id="9" name="Text Box 32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7219950" y="4838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25</xdr:row>
      <xdr:rowOff>0</xdr:rowOff>
    </xdr:from>
    <xdr:ext cx="19050" cy="209550"/>
    <xdr:sp macro="" textlink="">
      <xdr:nvSpPr>
        <xdr:cNvPr id="10" name="Text Box 34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7791450" y="48387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220980</xdr:colOff>
      <xdr:row>0</xdr:row>
      <xdr:rowOff>152400</xdr:rowOff>
    </xdr:from>
    <xdr:to>
      <xdr:col>2</xdr:col>
      <xdr:colOff>228600</xdr:colOff>
      <xdr:row>3</xdr:row>
      <xdr:rowOff>175260</xdr:rowOff>
    </xdr:to>
    <xdr:pic>
      <xdr:nvPicPr>
        <xdr:cNvPr id="16" name="Image 2" descr="Description : Logo mefe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1327785</xdr:colOff>
      <xdr:row>0</xdr:row>
      <xdr:rowOff>28575</xdr:rowOff>
    </xdr:from>
    <xdr:to>
      <xdr:col>9</xdr:col>
      <xdr:colOff>2423160</xdr:colOff>
      <xdr:row>3</xdr:row>
      <xdr:rowOff>43815</xdr:rowOff>
    </xdr:to>
    <xdr:pic>
      <xdr:nvPicPr>
        <xdr:cNvPr id="17" name="Image 5" descr="Description : téléchargement.png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7557135" y="28575"/>
          <a:ext cx="1095375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339090</xdr:colOff>
      <xdr:row>0</xdr:row>
      <xdr:rowOff>180975</xdr:rowOff>
    </xdr:from>
    <xdr:to>
      <xdr:col>8</xdr:col>
      <xdr:colOff>394335</xdr:colOff>
      <xdr:row>3</xdr:row>
      <xdr:rowOff>188595</xdr:rowOff>
    </xdr:to>
    <xdr:pic>
      <xdr:nvPicPr>
        <xdr:cNvPr id="18" name="Image 6" descr="Description : téléchargement (1).png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590" y="180975"/>
          <a:ext cx="9220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34291</xdr:colOff>
      <xdr:row>0</xdr:row>
      <xdr:rowOff>28576</xdr:rowOff>
    </xdr:from>
    <xdr:ext cx="1120139" cy="716279"/>
    <xdr:pic>
      <xdr:nvPicPr>
        <xdr:cNvPr id="19" name="Image 18" descr="eaglelogo.jpg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749791" y="2857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3</xdr:col>
      <xdr:colOff>561975</xdr:colOff>
      <xdr:row>0</xdr:row>
      <xdr:rowOff>133350</xdr:rowOff>
    </xdr:from>
    <xdr:to>
      <xdr:col>4</xdr:col>
      <xdr:colOff>561975</xdr:colOff>
      <xdr:row>4</xdr:row>
      <xdr:rowOff>49530</xdr:rowOff>
    </xdr:to>
    <xdr:pic>
      <xdr:nvPicPr>
        <xdr:cNvPr id="20" name="Image 6" descr="E:\PALF_logo_new_1.jpg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33350"/>
          <a:ext cx="7620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152400</xdr:rowOff>
    </xdr:from>
    <xdr:to>
      <xdr:col>1</xdr:col>
      <xdr:colOff>228600</xdr:colOff>
      <xdr:row>3</xdr:row>
      <xdr:rowOff>175260</xdr:rowOff>
    </xdr:to>
    <xdr:pic>
      <xdr:nvPicPr>
        <xdr:cNvPr id="7" name="Image 2" descr="Description : Logo mefe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375285</xdr:colOff>
      <xdr:row>0</xdr:row>
      <xdr:rowOff>152400</xdr:rowOff>
    </xdr:from>
    <xdr:to>
      <xdr:col>7</xdr:col>
      <xdr:colOff>613410</xdr:colOff>
      <xdr:row>3</xdr:row>
      <xdr:rowOff>167640</xdr:rowOff>
    </xdr:to>
    <xdr:pic>
      <xdr:nvPicPr>
        <xdr:cNvPr id="8" name="Image 5" descr="Description : téléchargement.png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6528435" y="152400"/>
          <a:ext cx="1076325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605790</xdr:colOff>
      <xdr:row>0</xdr:row>
      <xdr:rowOff>180975</xdr:rowOff>
    </xdr:from>
    <xdr:to>
      <xdr:col>3</xdr:col>
      <xdr:colOff>3219450</xdr:colOff>
      <xdr:row>3</xdr:row>
      <xdr:rowOff>188595</xdr:rowOff>
    </xdr:to>
    <xdr:pic>
      <xdr:nvPicPr>
        <xdr:cNvPr id="9" name="Image 6" descr="Description : téléchargement (1).png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8865" y="180975"/>
          <a:ext cx="261366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167641</xdr:colOff>
      <xdr:row>0</xdr:row>
      <xdr:rowOff>104776</xdr:rowOff>
    </xdr:from>
    <xdr:ext cx="1120139" cy="716279"/>
    <xdr:pic>
      <xdr:nvPicPr>
        <xdr:cNvPr id="10" name="Image 9" descr="eaglelogo.jpg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997191" y="10477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2</xdr:col>
      <xdr:colOff>400050</xdr:colOff>
      <xdr:row>0</xdr:row>
      <xdr:rowOff>28575</xdr:rowOff>
    </xdr:from>
    <xdr:to>
      <xdr:col>3</xdr:col>
      <xdr:colOff>219075</xdr:colOff>
      <xdr:row>4</xdr:row>
      <xdr:rowOff>59055</xdr:rowOff>
    </xdr:to>
    <xdr:pic>
      <xdr:nvPicPr>
        <xdr:cNvPr id="11" name="Image 6" descr="E:\PALF_logo_new_1.jpg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8575"/>
          <a:ext cx="7620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26</xdr:row>
      <xdr:rowOff>0</xdr:rowOff>
    </xdr:from>
    <xdr:ext cx="76200" cy="228600"/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7467600" y="5029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26</xdr:row>
      <xdr:rowOff>0</xdr:rowOff>
    </xdr:from>
    <xdr:ext cx="19050" cy="209550"/>
    <xdr:sp macro="" textlink="">
      <xdr:nvSpPr>
        <xdr:cNvPr id="3" name="Text Box 34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8039100" y="50292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220980</xdr:colOff>
      <xdr:row>0</xdr:row>
      <xdr:rowOff>152400</xdr:rowOff>
    </xdr:from>
    <xdr:to>
      <xdr:col>2</xdr:col>
      <xdr:colOff>228600</xdr:colOff>
      <xdr:row>3</xdr:row>
      <xdr:rowOff>175260</xdr:rowOff>
    </xdr:to>
    <xdr:pic>
      <xdr:nvPicPr>
        <xdr:cNvPr id="9" name="Image 2" descr="Description : Logo mefe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1327785</xdr:colOff>
      <xdr:row>0</xdr:row>
      <xdr:rowOff>28575</xdr:rowOff>
    </xdr:from>
    <xdr:to>
      <xdr:col>9</xdr:col>
      <xdr:colOff>2423160</xdr:colOff>
      <xdr:row>3</xdr:row>
      <xdr:rowOff>43815</xdr:rowOff>
    </xdr:to>
    <xdr:pic>
      <xdr:nvPicPr>
        <xdr:cNvPr id="10" name="Image 5" descr="Description : téléchargement.png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7557135" y="28575"/>
          <a:ext cx="1095375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339090</xdr:colOff>
      <xdr:row>0</xdr:row>
      <xdr:rowOff>180975</xdr:rowOff>
    </xdr:from>
    <xdr:to>
      <xdr:col>8</xdr:col>
      <xdr:colOff>394335</xdr:colOff>
      <xdr:row>3</xdr:row>
      <xdr:rowOff>188595</xdr:rowOff>
    </xdr:to>
    <xdr:pic>
      <xdr:nvPicPr>
        <xdr:cNvPr id="11" name="Image 6" descr="Description : téléchargement (1).png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590" y="180975"/>
          <a:ext cx="9220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34291</xdr:colOff>
      <xdr:row>0</xdr:row>
      <xdr:rowOff>28576</xdr:rowOff>
    </xdr:from>
    <xdr:ext cx="1120139" cy="716279"/>
    <xdr:pic>
      <xdr:nvPicPr>
        <xdr:cNvPr id="12" name="Image 11" descr="eaglelogo.jpg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749791" y="2857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3</xdr:col>
      <xdr:colOff>561975</xdr:colOff>
      <xdr:row>0</xdr:row>
      <xdr:rowOff>133350</xdr:rowOff>
    </xdr:from>
    <xdr:to>
      <xdr:col>4</xdr:col>
      <xdr:colOff>561975</xdr:colOff>
      <xdr:row>4</xdr:row>
      <xdr:rowOff>49530</xdr:rowOff>
    </xdr:to>
    <xdr:pic>
      <xdr:nvPicPr>
        <xdr:cNvPr id="13" name="Image 6" descr="E:\PALF_logo_new_1.jpg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33350"/>
          <a:ext cx="7620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septembre/compta%2030%20SPTE/Compta_Perrine_3009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Fichier%20comptable-Merveille%20o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P29-Comptabilit&#233;%20(13)VF%20(1)%20O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Compta_Perrine_020221%20(3)%20ok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Compta%20T44%20o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Fichier%20comptable-ted%20%2019_02_2021%20ok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Compta_Tiffany%20ok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COMPTA_CREPIN%20du%2031-08-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Fichier_comptable_Dalia_au_21_Aout_2020%20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Comptabilit&#233;%20Evariste%20du%2021%20ao&#251;t%202020%20vf%20OK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Compta_21_08_20_%20Herick%20_Harmonis&#233;e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Rapport%20Fin\RAF\RF\Rapport_20\RALFF%2020\2021\RF%20Janvier%202021\PALF%20Rapport%20Financier%20Janvier%20%202021_HB_1_1_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Comptabilit&#233;%20i23c%20au%2019%20Ao&#251;t%202020%20corrige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COMPTA%20PALF%20JB%20actualis&#233;e%20ce%2021.08.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Fichier_%20comptable_%20Jospin%20A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P29-Comptabilit&#233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Fichier%20comptable-Shely%20A%20(1)%20(1)OK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Fichier%20comptable-ted%20(1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ff/AppData/Local/Microsoft/Windows/INetCache/Content.Outlook/BTO9MOI8/RAPPORT%20FINANCIER%20JUILLET%20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Rapprochement%20bancaire\MOIS%20DE%20FEVRIER%202021\Etat%20de%20rapprochement%20f&#233;vrier%2021\Rapprochement%20%20F&#233;vrier%202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Rapprochement%20bancaire\MOIS%20DE%20FEVRIER%202021\Caisse-PALF%202020-2021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Compta%20Christian%20actuais&#233;e%20au%2023_02_21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COMPTA_CREPIN%20du%2026-02-2021%20(1)%20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Comptabilit&#233;%20Evariste%2026%20f&#233;vrier%202021%20vf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Compta%20matoko%20Geisner%20du%2023-%2002-2021_o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F&#233;vrier%202021/Actu_Compta_26_02_21_%20Herick%20%20_Harmonis&#233;e%20(1)%20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Comptabilit&#233;%20i23c%20au%2026%20F&#233;vrier%202021%20O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F&#233;vrier%202021\COMPTA%20PALF%20JB%20actualis&#233;e%20ce%2001.03.2021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  <sheetName val="Feuil1 (2)"/>
      <sheetName val="Feuil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 t="str">
            <v xml:space="preserve">Transfert </v>
          </cell>
          <cell r="G6" t="str">
            <v>Investigations</v>
          </cell>
        </row>
        <row r="7">
          <cell r="A7" t="str">
            <v>Transport</v>
          </cell>
          <cell r="G7" t="str">
            <v>Legal</v>
          </cell>
        </row>
        <row r="8">
          <cell r="A8" t="str">
            <v>Flight</v>
          </cell>
          <cell r="G8" t="str">
            <v>Operations</v>
          </cell>
        </row>
        <row r="9">
          <cell r="A9" t="str">
            <v>Travel Expenses</v>
          </cell>
          <cell r="G9" t="str">
            <v>Media</v>
          </cell>
        </row>
        <row r="10">
          <cell r="A10" t="str">
            <v>Travel Subsistence</v>
          </cell>
          <cell r="G10" t="str">
            <v xml:space="preserve">Management </v>
          </cell>
        </row>
        <row r="11">
          <cell r="A11" t="str">
            <v>Office Materials</v>
          </cell>
          <cell r="G11" t="str">
            <v>CCU</v>
          </cell>
        </row>
        <row r="12">
          <cell r="A12" t="str">
            <v>Trust building</v>
          </cell>
          <cell r="G12" t="str">
            <v>EAGLE Family</v>
          </cell>
        </row>
        <row r="13">
          <cell r="A13" t="str">
            <v>Jail visits</v>
          </cell>
          <cell r="G13" t="str">
            <v>Policy</v>
          </cell>
        </row>
        <row r="14">
          <cell r="A14" t="str">
            <v>Transfer fees</v>
          </cell>
          <cell r="G14" t="str">
            <v>External relations</v>
          </cell>
        </row>
        <row r="15">
          <cell r="A15" t="str">
            <v>Bank fees</v>
          </cell>
        </row>
        <row r="16">
          <cell r="A16" t="str">
            <v>Services</v>
          </cell>
        </row>
        <row r="17">
          <cell r="A17" t="str">
            <v>Telephone</v>
          </cell>
        </row>
        <row r="18">
          <cell r="A18" t="str">
            <v>Rent &amp; Utilities</v>
          </cell>
        </row>
        <row r="19">
          <cell r="A19" t="str">
            <v>Internet</v>
          </cell>
        </row>
        <row r="20">
          <cell r="A20" t="str">
            <v>Editing costs</v>
          </cell>
        </row>
        <row r="21">
          <cell r="A21" t="str">
            <v>Equipment</v>
          </cell>
        </row>
        <row r="22">
          <cell r="A22" t="str">
            <v>Publications</v>
          </cell>
        </row>
        <row r="23">
          <cell r="A23" t="str">
            <v>Court fees</v>
          </cell>
        </row>
        <row r="24">
          <cell r="A24" t="str">
            <v>Lawyer fees</v>
          </cell>
        </row>
        <row r="25">
          <cell r="A25" t="str">
            <v>Bonus/lawyer bonus</v>
          </cell>
        </row>
      </sheetData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Merveille"/>
      <sheetName val="compta Merveille Vérifier ok"/>
      <sheetName val="Cumul frais de transport ok"/>
    </sheetNames>
    <sheetDataSet>
      <sheetData sheetId="0"/>
      <sheetData sheetId="1"/>
      <sheetData sheetId="2">
        <row r="58">
          <cell r="G58">
            <v>-6000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Vérifie OK"/>
      <sheetName val="cumul frais transport local OK"/>
      <sheetName val="Trust building OK"/>
    </sheetNames>
    <sheetDataSet>
      <sheetData sheetId="0"/>
      <sheetData sheetId="1"/>
      <sheetData sheetId="2"/>
      <sheetData sheetId="3"/>
      <sheetData sheetId="4">
        <row r="656">
          <cell r="G656">
            <v>72200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</sheetNames>
    <sheetDataSet>
      <sheetData sheetId="0">
        <row r="950">
          <cell r="G950">
            <v>-7.2999997064471245E-4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 RINES"/>
      <sheetName val="Février transport local"/>
      <sheetName val="Cumul frais ration ok"/>
      <sheetName val="Cumul frais Trust building ok"/>
      <sheetName val="Compta RINES vérifier ok"/>
      <sheetName val="Feuil2"/>
      <sheetName val="Feuil1"/>
    </sheetNames>
    <sheetDataSet>
      <sheetData sheetId="0"/>
      <sheetData sheetId="1"/>
      <sheetData sheetId="2"/>
      <sheetData sheetId="3"/>
      <sheetData sheetId="4"/>
      <sheetData sheetId="5">
        <row r="91">
          <cell r="G91">
            <v>0</v>
          </cell>
        </row>
      </sheetData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  <sheetName val="compta ted vérifier ok"/>
      <sheetName val="Cumul frais transport ok"/>
    </sheetNames>
    <sheetDataSet>
      <sheetData sheetId="0"/>
      <sheetData sheetId="1"/>
      <sheetData sheetId="2">
        <row r="24">
          <cell r="G24">
            <v>9300</v>
          </cell>
        </row>
      </sheetData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Vérifier ok"/>
      <sheetName val="Cumul frais transport ok"/>
    </sheetNames>
    <sheetDataSet>
      <sheetData sheetId="0"/>
      <sheetData sheetId="1">
        <row r="22">
          <cell r="G22">
            <v>-14000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écapitulatif"/>
      <sheetName val="Feuil1"/>
      <sheetName val="Donateurs"/>
      <sheetName val="DATA  JANV"/>
      <sheetName val="Compte Principal 34 BCI"/>
      <sheetName val="Rapprochement Bancaire Cpte 34"/>
      <sheetName val="Sous-Compte 34 BCI"/>
      <sheetName val="Rapprochement Bancaire Cpte 56"/>
      <sheetName val="CAISSE JANV 21"/>
    </sheetNames>
    <sheetDataSet>
      <sheetData sheetId="0">
        <row r="3">
          <cell r="I3">
            <v>5510674</v>
          </cell>
        </row>
        <row r="4">
          <cell r="I4">
            <v>11193664</v>
          </cell>
        </row>
        <row r="5">
          <cell r="I5">
            <v>316716</v>
          </cell>
        </row>
        <row r="6">
          <cell r="I6">
            <v>3670</v>
          </cell>
        </row>
        <row r="7">
          <cell r="I7">
            <v>-540</v>
          </cell>
        </row>
        <row r="8">
          <cell r="I8">
            <v>2395</v>
          </cell>
        </row>
        <row r="9">
          <cell r="I9">
            <v>96100</v>
          </cell>
        </row>
        <row r="10">
          <cell r="I10">
            <v>13884</v>
          </cell>
        </row>
        <row r="11">
          <cell r="I11">
            <v>72400</v>
          </cell>
        </row>
        <row r="12">
          <cell r="I12">
            <v>233614</v>
          </cell>
        </row>
        <row r="13">
          <cell r="I13">
            <v>249769</v>
          </cell>
        </row>
        <row r="14">
          <cell r="I14">
            <v>18490</v>
          </cell>
        </row>
        <row r="15">
          <cell r="I15">
            <v>4500</v>
          </cell>
        </row>
        <row r="16">
          <cell r="I16">
            <v>44200</v>
          </cell>
        </row>
        <row r="17">
          <cell r="I17">
            <v>-851709.00072999997</v>
          </cell>
        </row>
        <row r="18">
          <cell r="I18">
            <v>90300</v>
          </cell>
        </row>
        <row r="19">
          <cell r="I19">
            <v>300</v>
          </cell>
        </row>
      </sheetData>
      <sheetData sheetId="1"/>
      <sheetData sheetId="2"/>
      <sheetData sheetId="3">
        <row r="7">
          <cell r="C7">
            <v>16998426.99927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 compte bancaire compte 56"/>
      <sheetName val="Raprochement bancaire Compte 56"/>
      <sheetName val="Compte principal journal banque"/>
      <sheetName val="Raprochement bancaire compte 34"/>
    </sheetNames>
    <sheetDataSet>
      <sheetData sheetId="0">
        <row r="36">
          <cell r="H36">
            <v>6219904</v>
          </cell>
        </row>
      </sheetData>
      <sheetData sheetId="1"/>
      <sheetData sheetId="2">
        <row r="30">
          <cell r="H30">
            <v>10113263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isse PALF"/>
      <sheetName val="Caisse avril 20"/>
      <sheetName val=" Caisse mai 20"/>
      <sheetName val="JUIN 20"/>
      <sheetName val="juil 20"/>
      <sheetName val="aout"/>
      <sheetName val="caisse sept 20"/>
      <sheetName val="caisse oCT 20 (2)"/>
      <sheetName val="caisse NOV 20 "/>
      <sheetName val="caisse Décembre 2020"/>
      <sheetName val="caisse Janvier 2021"/>
      <sheetName val="caisse Février 2021  "/>
      <sheetName val="Feuil1"/>
      <sheetName val="Feuil2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C7">
            <v>316716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compta shely Vérifier ok"/>
      <sheetName val="Cumul frais transport ok"/>
      <sheetName val="Cumul frais Jail visite ok"/>
    </sheetNames>
    <sheetDataSet>
      <sheetData sheetId="0"/>
      <sheetData sheetId="1"/>
      <sheetData sheetId="2">
        <row r="436">
          <cell r="G436">
            <v>7670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Vérifier OK"/>
      <sheetName val="Cumul frais transport local"/>
    </sheetNames>
    <sheetDataSet>
      <sheetData sheetId="0"/>
      <sheetData sheetId="1"/>
      <sheetData sheetId="2"/>
      <sheetData sheetId="3">
        <row r="3372">
          <cell r="G3372">
            <v>4710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OK"/>
      <sheetName val="Cumul frais transport ok"/>
    </sheetNames>
    <sheetDataSet>
      <sheetData sheetId="0"/>
      <sheetData sheetId="1"/>
      <sheetData sheetId="2"/>
      <sheetData sheetId="3">
        <row r="2680">
          <cell r="G2680">
            <v>9295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"/>
      <sheetName val="COMPTA Vérification OK"/>
      <sheetName val="Cumul frais Jail Visit OK"/>
      <sheetName val="Cumul frais transport local ok"/>
    </sheetNames>
    <sheetDataSet>
      <sheetData sheetId="0"/>
      <sheetData sheetId="1"/>
      <sheetData sheetId="2">
        <row r="316">
          <cell r="G316">
            <v>-25100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Vérifier ok"/>
      <sheetName val="Cumul frais transport ok"/>
    </sheetNames>
    <sheetDataSet>
      <sheetData sheetId="0" refreshError="1"/>
      <sheetData sheetId="1" refreshError="1"/>
      <sheetData sheetId="2" refreshError="1"/>
      <sheetData sheetId="3">
        <row r="2789">
          <cell r="G2789">
            <v>7383.5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frais transport"/>
      <sheetName val="Trust building"/>
    </sheetNames>
    <sheetDataSet>
      <sheetData sheetId="0"/>
      <sheetData sheetId="1"/>
      <sheetData sheetId="2"/>
      <sheetData sheetId="3"/>
      <sheetData sheetId="4">
        <row r="4636">
          <cell r="G4636">
            <v>61300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ichier compta Vérifier ok"/>
      <sheetName val="Cumul frais transport local OK"/>
      <sheetName val="Cumul Frais visite geôle OK"/>
    </sheetNames>
    <sheetDataSet>
      <sheetData sheetId="0"/>
      <sheetData sheetId="1"/>
      <sheetData sheetId="2"/>
      <sheetData sheetId="3">
        <row r="3022">
          <cell r="G3022">
            <v>4500</v>
          </cell>
        </row>
      </sheetData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4279.404725925924" createdVersion="3" refreshedVersion="3" minRefreshableVersion="3" recordCount="282">
  <cacheSource type="worksheet">
    <worksheetSource ref="A11:O293" sheet="DATA  FEVR"/>
  </cacheSource>
  <cacheFields count="15">
    <cacheField name="Date" numFmtId="14">
      <sharedItems containsSemiMixedTypes="0" containsNonDate="0" containsDate="1" containsString="0" minDate="2021-02-01T00:00:00" maxDate="2021-03-01T00:00:00"/>
    </cacheField>
    <cacheField name="Details" numFmtId="0">
      <sharedItems/>
    </cacheField>
    <cacheField name="Type de dépenses" numFmtId="0">
      <sharedItems containsBlank="1" count="22">
        <m/>
        <s v="Versement"/>
        <s v="Personnel"/>
        <s v="Trust building"/>
        <s v="Internet"/>
        <s v="Rent &amp; Utilities"/>
        <s v="Transfer fees"/>
        <s v="Office Materials"/>
        <s v="Travel Subsistence"/>
        <s v="Donation"/>
        <s v="Bonus"/>
        <s v="Transport"/>
        <s v="Telephone"/>
        <s v="Travel Expenses"/>
        <s v="Lawyer fees"/>
        <s v="Services"/>
        <s v="Jail visits"/>
        <s v="Bank fees"/>
        <s v="Transport " u="1"/>
        <s v="Travel expenses " u="1"/>
        <s v="Flight" u="1"/>
        <s v="Court fees" u="1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4000" maxValue="7336056"/>
    </cacheField>
    <cacheField name="Spent" numFmtId="0">
      <sharedItems containsString="0" containsBlank="1" containsNumber="1" containsInteger="1" minValue="500" maxValue="1500000"/>
    </cacheField>
    <cacheField name="Balance" numFmtId="166">
      <sharedItems containsSemiMixedTypes="0" containsString="0" containsNumber="1" minValue="15098426.99927" maxValue="26587295.99927"/>
    </cacheField>
    <cacheField name="Name" numFmtId="0">
      <sharedItems containsBlank="1" count="19">
        <m/>
        <s v="BCI"/>
        <s v="BCI Sous-Compte"/>
        <s v="Caisse"/>
        <s v="Jack-Bénisson"/>
        <s v="Christian"/>
        <s v="Crépin"/>
        <s v="Evariste"/>
        <s v="Geisner"/>
        <s v="Merveille"/>
        <s v="Perrine Odier"/>
        <s v="T44"/>
        <s v="Ted"/>
        <s v="I23c"/>
        <s v="P29"/>
        <s v="Herick"/>
        <s v="I73X"/>
        <s v="I55S"/>
        <s v="Tiffany"/>
      </sharedItems>
    </cacheField>
    <cacheField name="Receipt" numFmtId="0">
      <sharedItems containsBlank="1" containsMixedTypes="1" containsNumber="1" containsInteger="1" minValue="3643411" maxValue="3654432"/>
    </cacheField>
    <cacheField name="Donor" numFmtId="0">
      <sharedItems containsBlank="1" count="9">
        <m/>
        <s v="CIDT"/>
        <s v="ECF"/>
        <s v="UE"/>
        <s v="NO WILDLIFE CRIME" u="1"/>
        <s v="EAGLE-USFWS" u="1"/>
        <s v="EU" u="1"/>
        <s v="Wildcat" u="1"/>
        <s v="AVAAZ" u="1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">
  <r>
    <d v="2021-02-01T00:00:00"/>
    <s v="Solde au 01/02/2021"/>
    <x v="0"/>
    <m/>
    <m/>
    <m/>
    <n v="16998426.99927"/>
    <x v="0"/>
    <m/>
    <x v="0"/>
    <m/>
    <m/>
    <m/>
    <m/>
    <m/>
  </r>
  <r>
    <d v="2021-02-02T00:00:00"/>
    <s v="Retrait especes/appro caisse/bord n°3654426"/>
    <x v="1"/>
    <m/>
    <m/>
    <n v="1500000"/>
    <n v="15498426.99927"/>
    <x v="1"/>
    <n v="3654426"/>
    <x v="0"/>
    <m/>
    <m/>
    <m/>
    <m/>
    <m/>
  </r>
  <r>
    <d v="2021-02-02T00:00:00"/>
    <s v="Reglement facture honoraire du mois de Janvier  2021/I23C/chq n°3643411"/>
    <x v="2"/>
    <s v="Investigation"/>
    <m/>
    <n v="400000"/>
    <n v="15098426.99927"/>
    <x v="2"/>
    <n v="3643411"/>
    <x v="1"/>
    <s v="RALFF"/>
    <s v="Congo"/>
    <s v="RALFF-CO1863"/>
    <s v="1.1.1.9"/>
    <m/>
  </r>
  <r>
    <d v="2021-02-02T00:00:00"/>
    <s v="BCI"/>
    <x v="1"/>
    <m/>
    <n v="1500000"/>
    <m/>
    <n v="16598426.99927"/>
    <x v="3"/>
    <m/>
    <x v="0"/>
    <m/>
    <m/>
    <m/>
    <m/>
    <m/>
  </r>
  <r>
    <d v="2021-02-02T00:00:00"/>
    <s v="Complément collation de fin d'année"/>
    <x v="2"/>
    <s v="Team Building"/>
    <m/>
    <n v="13500"/>
    <n v="16584926.99927"/>
    <x v="3"/>
    <s v="Oui"/>
    <x v="2"/>
    <s v="PALF"/>
    <s v="Congo"/>
    <m/>
    <m/>
    <m/>
  </r>
  <r>
    <d v="2021-02-02T00:00:00"/>
    <s v="Frais Hôtel pour Opération d'arrestation à PN/JB"/>
    <x v="3"/>
    <s v="Operations"/>
    <m/>
    <n v="30000"/>
    <n v="16554926.99927"/>
    <x v="4"/>
    <s v="Oui"/>
    <x v="2"/>
    <s v="PALF"/>
    <s v="Congo"/>
    <m/>
    <s v="1.3.2"/>
    <m/>
  </r>
  <r>
    <d v="2021-02-02T00:00:00"/>
    <s v="Jack-Bénisson"/>
    <x v="1"/>
    <m/>
    <m/>
    <n v="135000"/>
    <n v="16419926.99927"/>
    <x v="3"/>
    <m/>
    <x v="0"/>
    <m/>
    <m/>
    <m/>
    <m/>
    <m/>
  </r>
  <r>
    <d v="2021-02-02T00:00:00"/>
    <s v="Reglement Facture Internet/mois de Février 21/Congo Telecom"/>
    <x v="4"/>
    <s v="Office"/>
    <m/>
    <n v="89175"/>
    <n v="16330751.99927"/>
    <x v="3"/>
    <s v="Oui"/>
    <x v="3"/>
    <s v="RALFF"/>
    <s v="Congo"/>
    <s v="RALFF-CO1864"/>
    <s v="4.5"/>
    <m/>
  </r>
  <r>
    <d v="2021-02-02T00:00:00"/>
    <s v="Achat gazoil groupe bureau/50litres"/>
    <x v="5"/>
    <s v="Office"/>
    <m/>
    <n v="24000"/>
    <n v="16306751.99927"/>
    <x v="3"/>
    <s v="Oui"/>
    <x v="3"/>
    <s v="RALFF"/>
    <s v="Congo"/>
    <s v="RALFF-CO1865"/>
    <s v="4.4"/>
    <m/>
  </r>
  <r>
    <d v="2021-02-02T00:00:00"/>
    <s v="Frais de transfert charden farell/Jack-Bénisson"/>
    <x v="6"/>
    <s v="Office"/>
    <m/>
    <n v="4050"/>
    <n v="16302701.99927"/>
    <x v="3"/>
    <s v="Oui"/>
    <x v="3"/>
    <s v="RALFF"/>
    <s v="Congo"/>
    <s v="RALFF-CO1866"/>
    <s v="5.6"/>
    <m/>
  </r>
  <r>
    <d v="2021-02-03T00:00:00"/>
    <s v="Evariste"/>
    <x v="1"/>
    <m/>
    <m/>
    <n v="10000"/>
    <n v="16292701.99927"/>
    <x v="3"/>
    <m/>
    <x v="0"/>
    <m/>
    <m/>
    <m/>
    <m/>
    <m/>
  </r>
  <r>
    <d v="2021-02-03T00:00:00"/>
    <s v="Merveille"/>
    <x v="1"/>
    <m/>
    <m/>
    <n v="10000"/>
    <n v="16282701.99927"/>
    <x v="3"/>
    <m/>
    <x v="0"/>
    <m/>
    <m/>
    <m/>
    <m/>
    <m/>
  </r>
  <r>
    <d v="2021-02-03T00:00:00"/>
    <s v="Jack-Bénisson"/>
    <x v="1"/>
    <m/>
    <m/>
    <n v="155000"/>
    <n v="16127701.99927"/>
    <x v="3"/>
    <m/>
    <x v="0"/>
    <m/>
    <m/>
    <m/>
    <m/>
    <m/>
  </r>
  <r>
    <d v="2021-02-03T00:00:00"/>
    <s v="Frais de transfert charden farell/Jack-Bénisson"/>
    <x v="6"/>
    <s v="Office"/>
    <m/>
    <n v="4650"/>
    <n v="16123051.99927"/>
    <x v="3"/>
    <s v="Oui"/>
    <x v="3"/>
    <s v="RALFF"/>
    <s v="Congo"/>
    <s v="RALFF-CO1867"/>
    <s v="5.6"/>
    <m/>
  </r>
  <r>
    <d v="2021-02-03T00:00:00"/>
    <s v="Christian/visite geole brazzaville"/>
    <x v="1"/>
    <m/>
    <m/>
    <n v="14000"/>
    <n v="16109051.99927"/>
    <x v="3"/>
    <m/>
    <x v="0"/>
    <m/>
    <m/>
    <m/>
    <m/>
    <m/>
  </r>
  <r>
    <d v="2021-02-03T00:00:00"/>
    <s v="Crépin"/>
    <x v="1"/>
    <m/>
    <m/>
    <n v="5000"/>
    <n v="16104051.99927"/>
    <x v="3"/>
    <m/>
    <x v="0"/>
    <m/>
    <m/>
    <m/>
    <m/>
    <m/>
  </r>
  <r>
    <d v="2021-02-03T00:00:00"/>
    <s v="Perrine ODIER"/>
    <x v="1"/>
    <m/>
    <m/>
    <n v="851709"/>
    <n v="15252342.99927"/>
    <x v="3"/>
    <m/>
    <x v="0"/>
    <m/>
    <m/>
    <m/>
    <m/>
    <m/>
  </r>
  <r>
    <d v="2021-02-03T00:00:00"/>
    <s v="Recu caisse/Christian"/>
    <x v="1"/>
    <m/>
    <n v="14000"/>
    <m/>
    <n v="15266342.99927"/>
    <x v="5"/>
    <m/>
    <x v="0"/>
    <m/>
    <m/>
    <m/>
    <m/>
    <m/>
  </r>
  <r>
    <d v="2021-02-03T00:00:00"/>
    <s v="Reçu caisse/Crépin"/>
    <x v="1"/>
    <m/>
    <n v="5000"/>
    <m/>
    <n v="15271342.99927"/>
    <x v="6"/>
    <m/>
    <x v="0"/>
    <m/>
    <m/>
    <m/>
    <m/>
    <m/>
  </r>
  <r>
    <d v="2021-02-03T00:00:00"/>
    <s v="Reçu caisse/Evariste"/>
    <x v="1"/>
    <m/>
    <n v="10000"/>
    <m/>
    <n v="15281342.99927"/>
    <x v="7"/>
    <m/>
    <x v="0"/>
    <m/>
    <m/>
    <m/>
    <m/>
    <m/>
  </r>
  <r>
    <d v="2021-02-03T00:00:00"/>
    <s v="Reliure d'un document du bureau PALF dans un Cyber"/>
    <x v="7"/>
    <s v="Office"/>
    <m/>
    <n v="800"/>
    <n v="15280542.99927"/>
    <x v="7"/>
    <s v="Oui"/>
    <x v="3"/>
    <s v="RALFF"/>
    <s v="Congo"/>
    <s v="RALFF-CO1868"/>
    <s v="4.3"/>
    <m/>
  </r>
  <r>
    <d v="2021-02-03T00:00:00"/>
    <s v="Food allowance Mission PN du 03 au 12 fevrier 2021/Geis"/>
    <x v="8"/>
    <s v="Operations"/>
    <m/>
    <n v="90000"/>
    <n v="15190542.99927"/>
    <x v="8"/>
    <s v="Décharge"/>
    <x v="3"/>
    <s v="RALFF"/>
    <s v="Congo"/>
    <s v="RALFF-CO1869"/>
    <s v="1.3.2"/>
    <m/>
  </r>
  <r>
    <d v="2021-02-03T00:00:00"/>
    <s v="Reçu caisse/JB"/>
    <x v="1"/>
    <m/>
    <n v="155000"/>
    <m/>
    <n v="15345542.99927"/>
    <x v="4"/>
    <m/>
    <x v="0"/>
    <m/>
    <m/>
    <m/>
    <m/>
    <m/>
  </r>
  <r>
    <d v="2021-02-03T00:00:00"/>
    <s v="Reçu caisse/Merveille"/>
    <x v="1"/>
    <m/>
    <n v="10000"/>
    <m/>
    <n v="15355542.99927"/>
    <x v="9"/>
    <m/>
    <x v="0"/>
    <m/>
    <m/>
    <m/>
    <m/>
    <m/>
  </r>
  <r>
    <d v="2021-02-03T00:00:00"/>
    <s v="Reçu caisse/Perrine ODIER"/>
    <x v="1"/>
    <m/>
    <n v="851709"/>
    <m/>
    <n v="16207251.99927"/>
    <x v="10"/>
    <m/>
    <x v="0"/>
    <m/>
    <m/>
    <m/>
    <m/>
    <m/>
  </r>
  <r>
    <d v="2021-02-04T00:00:00"/>
    <s v="Fond reçu de AVAAZ"/>
    <x v="9"/>
    <m/>
    <n v="7336056"/>
    <m/>
    <n v="23543307.99927"/>
    <x v="1"/>
    <s v="Relevé"/>
    <x v="2"/>
    <s v="PALF"/>
    <s v="Congo"/>
    <m/>
    <m/>
    <m/>
  </r>
  <r>
    <d v="2021-02-04T00:00:00"/>
    <s v="Fond reçu de ECF"/>
    <x v="9"/>
    <m/>
    <n v="3043988"/>
    <m/>
    <n v="26587295.99927"/>
    <x v="1"/>
    <s v="Relevé"/>
    <x v="2"/>
    <s v="PALF"/>
    <s v="Congo"/>
    <m/>
    <m/>
    <m/>
  </r>
  <r>
    <d v="2021-02-04T00:00:00"/>
    <s v="Jack-Bénisson"/>
    <x v="1"/>
    <m/>
    <m/>
    <n v="61600"/>
    <n v="26525695.99927"/>
    <x v="3"/>
    <m/>
    <x v="0"/>
    <m/>
    <m/>
    <m/>
    <m/>
    <m/>
  </r>
  <r>
    <d v="2021-02-04T00:00:00"/>
    <s v="Geisner"/>
    <x v="1"/>
    <m/>
    <m/>
    <n v="199100"/>
    <n v="26326595.99927"/>
    <x v="3"/>
    <m/>
    <x v="0"/>
    <m/>
    <m/>
    <m/>
    <m/>
    <m/>
  </r>
  <r>
    <d v="2021-02-04T00:00:00"/>
    <s v="Rafraichissement Staff Bureau PALF/lait sucre bouilloire,café,pot/"/>
    <x v="7"/>
    <s v="Office"/>
    <m/>
    <n v="22000"/>
    <n v="26304595.99927"/>
    <x v="3"/>
    <s v="Oui"/>
    <x v="2"/>
    <s v="PALF"/>
    <s v="Congo"/>
    <m/>
    <m/>
    <m/>
  </r>
  <r>
    <d v="2021-02-04T00:00:00"/>
    <s v="Achat sac de congelation pour peser les ivoires/JB"/>
    <x v="7"/>
    <s v="Legal"/>
    <m/>
    <n v="1000"/>
    <n v="26303595.99927"/>
    <x v="4"/>
    <s v="Oui"/>
    <x v="2"/>
    <s v="PALF"/>
    <s v="Congo"/>
    <m/>
    <m/>
    <m/>
  </r>
  <r>
    <d v="2021-02-04T00:00:00"/>
    <s v="Bonus 12 gendarmes pour OP à PN "/>
    <x v="10"/>
    <s v="Operations"/>
    <m/>
    <n v="120000"/>
    <n v="26183595.99927"/>
    <x v="4"/>
    <s v="Décharge"/>
    <x v="2"/>
    <s v="PALF"/>
    <s v="Congo"/>
    <m/>
    <m/>
    <m/>
  </r>
  <r>
    <d v="2021-02-04T00:00:00"/>
    <s v="Reçu caisse/JB"/>
    <x v="1"/>
    <m/>
    <n v="135000"/>
    <m/>
    <n v="26318595.99927"/>
    <x v="4"/>
    <m/>
    <x v="0"/>
    <m/>
    <m/>
    <m/>
    <m/>
    <m/>
  </r>
  <r>
    <d v="2021-02-04T00:00:00"/>
    <s v="Carburant gendarmerie pour OP à Pointe-Noire/JB"/>
    <x v="11"/>
    <s v="Operations"/>
    <m/>
    <n v="25000"/>
    <n v="26293595.99927"/>
    <x v="4"/>
    <s v="Décharge"/>
    <x v="2"/>
    <s v="PALF"/>
    <s v="Congo"/>
    <m/>
    <m/>
    <m/>
  </r>
  <r>
    <d v="2021-02-04T00:00:00"/>
    <s v="Achat billet Brazzaville-Ngo/T44"/>
    <x v="11"/>
    <s v="Investigation"/>
    <m/>
    <n v="10000"/>
    <n v="26283595.99927"/>
    <x v="11"/>
    <s v="Oui"/>
    <x v="2"/>
    <s v="PALF"/>
    <s v="Congo"/>
    <m/>
    <m/>
    <m/>
  </r>
  <r>
    <d v="2021-02-04T00:00:00"/>
    <s v="Cumul frais Ration du 01 au 04 Février 21/T44"/>
    <x v="2"/>
    <s v="Investigation"/>
    <m/>
    <n v="4000"/>
    <n v="26279595.99927"/>
    <x v="11"/>
    <s v="Décharge"/>
    <x v="2"/>
    <s v="PALF"/>
    <s v="Congo"/>
    <m/>
    <m/>
    <m/>
  </r>
  <r>
    <d v="2021-02-04T00:00:00"/>
    <s v="Reçu caisse/JB"/>
    <x v="1"/>
    <m/>
    <n v="61600"/>
    <m/>
    <n v="26341195.99927"/>
    <x v="4"/>
    <m/>
    <x v="0"/>
    <m/>
    <m/>
    <m/>
    <m/>
    <m/>
  </r>
  <r>
    <d v="2021-02-04T00:00:00"/>
    <s v="Frais de transfert charden farell/Jack-Bénisson/Geis"/>
    <x v="6"/>
    <s v="Office"/>
    <m/>
    <n v="7825"/>
    <n v="26333370.99927"/>
    <x v="3"/>
    <s v="Oui"/>
    <x v="3"/>
    <s v="RALFF"/>
    <s v="Congo"/>
    <s v="RALFF-CO1870"/>
    <s v="5.6"/>
    <m/>
  </r>
  <r>
    <d v="2021-02-04T00:00:00"/>
    <s v="Impression 34 photos forma 10x15cm"/>
    <x v="7"/>
    <s v="Office"/>
    <m/>
    <n v="6800"/>
    <n v="26326570.99927"/>
    <x v="3"/>
    <s v="Oui"/>
    <x v="3"/>
    <s v="RALFF"/>
    <s v="Congo"/>
    <s v="RALFF-CO1871"/>
    <s v="4.3"/>
    <m/>
  </r>
  <r>
    <d v="2021-02-05T00:00:00"/>
    <s v="Retrait especes/appro caisse/bord n°3654427"/>
    <x v="1"/>
    <m/>
    <m/>
    <n v="1000000"/>
    <n v="25326570.99927"/>
    <x v="1"/>
    <n v="3654427"/>
    <x v="0"/>
    <m/>
    <m/>
    <m/>
    <m/>
    <m/>
  </r>
  <r>
    <d v="2021-02-05T00:00:00"/>
    <s v="Achat produits de nettoyages bureau /PALF"/>
    <x v="7"/>
    <s v="Office"/>
    <m/>
    <n v="22400"/>
    <n v="25304170.99927"/>
    <x v="3"/>
    <s v="Oui"/>
    <x v="2"/>
    <s v="PALF"/>
    <s v="Congo"/>
    <m/>
    <m/>
    <m/>
  </r>
  <r>
    <d v="2021-02-05T00:00:00"/>
    <s v="Ted"/>
    <x v="1"/>
    <m/>
    <m/>
    <n v="10000"/>
    <n v="25294170.99927"/>
    <x v="3"/>
    <m/>
    <x v="0"/>
    <m/>
    <m/>
    <m/>
    <m/>
    <m/>
  </r>
  <r>
    <d v="2021-02-05T00:00:00"/>
    <s v="Crépin"/>
    <x v="1"/>
    <m/>
    <m/>
    <n v="70000"/>
    <n v="25224170.99927"/>
    <x v="3"/>
    <m/>
    <x v="0"/>
    <m/>
    <m/>
    <m/>
    <m/>
    <m/>
  </r>
  <r>
    <d v="2021-02-05T00:00:00"/>
    <s v="T44"/>
    <x v="1"/>
    <m/>
    <m/>
    <n v="60000"/>
    <n v="25164170.99927"/>
    <x v="3"/>
    <m/>
    <x v="0"/>
    <m/>
    <m/>
    <m/>
    <m/>
    <m/>
  </r>
  <r>
    <d v="2021-02-05T00:00:00"/>
    <s v="Achat 1 paquet de rame (pour impression procédure Gendarmerie)+6 chemises cartonées/JB"/>
    <x v="7"/>
    <s v="Legal"/>
    <m/>
    <n v="3900"/>
    <n v="25160270.99927"/>
    <x v="4"/>
    <s v="Oui"/>
    <x v="2"/>
    <s v="PALF"/>
    <s v="Congo"/>
    <m/>
    <m/>
    <m/>
  </r>
  <r>
    <d v="2021-02-05T00:00:00"/>
    <s v="Evariste"/>
    <x v="1"/>
    <m/>
    <m/>
    <n v="10000"/>
    <n v="25150270.99927"/>
    <x v="3"/>
    <m/>
    <x v="0"/>
    <m/>
    <m/>
    <m/>
    <m/>
    <m/>
  </r>
  <r>
    <d v="2021-02-05T00:00:00"/>
    <s v="Reçu caisse/Crépin"/>
    <x v="1"/>
    <m/>
    <n v="70000"/>
    <m/>
    <n v="25220270.99927"/>
    <x v="6"/>
    <m/>
    <x v="0"/>
    <m/>
    <m/>
    <m/>
    <m/>
    <m/>
  </r>
  <r>
    <d v="2021-02-05T00:00:00"/>
    <s v="Food allowance Mission Djambala-Lekana du 05 au 09/Fev/T44"/>
    <x v="8"/>
    <s v="Investigation"/>
    <m/>
    <n v="40000"/>
    <n v="25180270.99927"/>
    <x v="11"/>
    <s v="Décharge"/>
    <x v="2"/>
    <s v="PALF"/>
    <s v="Congo"/>
    <m/>
    <m/>
    <m/>
  </r>
  <r>
    <d v="2021-02-05T00:00:00"/>
    <s v="Reçu caisse/Evariste"/>
    <x v="1"/>
    <m/>
    <n v="10000"/>
    <m/>
    <n v="25190270.99927"/>
    <x v="7"/>
    <m/>
    <x v="0"/>
    <m/>
    <m/>
    <m/>
    <m/>
    <m/>
  </r>
  <r>
    <d v="2021-02-05T00:00:00"/>
    <s v="Recu caisse/Geis"/>
    <x v="1"/>
    <m/>
    <n v="199100"/>
    <m/>
    <n v="25389370.99927"/>
    <x v="8"/>
    <m/>
    <x v="0"/>
    <m/>
    <m/>
    <m/>
    <m/>
    <m/>
  </r>
  <r>
    <d v="2021-02-05T00:00:00"/>
    <s v="Frais de transfert charden farell/T44"/>
    <x v="6"/>
    <s v="Office"/>
    <m/>
    <n v="1800"/>
    <n v="25387570.99927"/>
    <x v="3"/>
    <s v="Oui"/>
    <x v="3"/>
    <s v="RALFF"/>
    <s v="Congo"/>
    <s v="RALFF-CO1872"/>
    <s v="5.6"/>
    <m/>
  </r>
  <r>
    <d v="2021-02-05T00:00:00"/>
    <s v="Recu caisse/T44"/>
    <x v="1"/>
    <m/>
    <n v="60000"/>
    <m/>
    <n v="25447570.99927"/>
    <x v="11"/>
    <m/>
    <x v="0"/>
    <m/>
    <m/>
    <m/>
    <m/>
    <m/>
  </r>
  <r>
    <d v="2021-02-05T00:00:00"/>
    <s v="Achat Billet Brazzaville-Ouesso/Crépin"/>
    <x v="11"/>
    <s v="Management"/>
    <m/>
    <n v="20000"/>
    <n v="25427570.99927"/>
    <x v="6"/>
    <s v="Oui"/>
    <x v="3"/>
    <s v="RALFF"/>
    <s v="Congo"/>
    <s v="RALFF-CO1873"/>
    <s v="2.2"/>
    <m/>
  </r>
  <r>
    <d v="2021-02-05T00:00:00"/>
    <s v="Reçu caisse/Ted"/>
    <x v="1"/>
    <m/>
    <n v="10000"/>
    <m/>
    <n v="25437570.99927"/>
    <x v="12"/>
    <m/>
    <x v="0"/>
    <m/>
    <m/>
    <m/>
    <m/>
    <m/>
  </r>
  <r>
    <d v="2021-02-06T00:00:00"/>
    <s v="Frais d'Hôtel Mission à Djambala du 05 au 06/Fev/T44"/>
    <x v="8"/>
    <s v="Investigation"/>
    <m/>
    <n v="15000"/>
    <n v="25422570.99927"/>
    <x v="11"/>
    <s v="Oui"/>
    <x v="2"/>
    <s v="PALF"/>
    <s v="Congo"/>
    <m/>
    <m/>
    <m/>
  </r>
  <r>
    <d v="2021-02-06T00:00:00"/>
    <s v="Food allowance Ms PN du 06 au 16/02/ 21/JB"/>
    <x v="8"/>
    <s v="Operations"/>
    <m/>
    <n v="100000"/>
    <n v="25322570.99927"/>
    <x v="4"/>
    <s v="Décharge"/>
    <x v="3"/>
    <s v="RALFF"/>
    <s v="Congo"/>
    <s v="RALFF-CO1874"/>
    <s v="1.3.2"/>
    <m/>
  </r>
  <r>
    <d v="2021-02-07T00:00:00"/>
    <s v="Cumul frais achat boissions aux informateurs /T44"/>
    <x v="3"/>
    <s v="Investigation"/>
    <m/>
    <n v="1500"/>
    <n v="25321070.99927"/>
    <x v="11"/>
    <s v="Décharge"/>
    <x v="2"/>
    <s v="PALF"/>
    <s v="Congo"/>
    <m/>
    <m/>
    <m/>
  </r>
  <r>
    <d v="2021-02-08T00:00:00"/>
    <s v="Retrait especes/appro caisse/bord n°3654428"/>
    <x v="1"/>
    <m/>
    <m/>
    <n v="1000000"/>
    <n v="24321070.99927"/>
    <x v="1"/>
    <n v="3654428"/>
    <x v="0"/>
    <m/>
    <m/>
    <m/>
    <m/>
    <m/>
  </r>
  <r>
    <d v="2021-02-08T00:00:00"/>
    <s v="BCI"/>
    <x v="1"/>
    <m/>
    <n v="1000000"/>
    <m/>
    <n v="25321070.99927"/>
    <x v="3"/>
    <m/>
    <x v="0"/>
    <m/>
    <m/>
    <m/>
    <m/>
    <m/>
  </r>
  <r>
    <d v="2021-02-08T00:00:00"/>
    <s v="Frais de sejour à brazzaville/ NICOLAS du 07 au 12/02/21"/>
    <x v="8"/>
    <s v="CCU"/>
    <m/>
    <n v="60000"/>
    <n v="25261070.99927"/>
    <x v="3"/>
    <s v="Décharge"/>
    <x v="2"/>
    <s v="PALF"/>
    <s v="Congo"/>
    <m/>
    <m/>
    <m/>
  </r>
  <r>
    <d v="2021-02-08T00:00:00"/>
    <s v="Frais achat boissons  aux informateurs /N22"/>
    <x v="3"/>
    <s v="Investigation"/>
    <m/>
    <n v="10500"/>
    <n v="25250570.99927"/>
    <x v="3"/>
    <s v="Décharge"/>
    <x v="2"/>
    <s v="PALF"/>
    <s v="Congo"/>
    <m/>
    <m/>
    <m/>
  </r>
  <r>
    <d v="2021-02-08T00:00:00"/>
    <s v="Geisner"/>
    <x v="1"/>
    <m/>
    <m/>
    <n v="90200"/>
    <n v="25160370.99927"/>
    <x v="3"/>
    <m/>
    <x v="0"/>
    <m/>
    <m/>
    <m/>
    <m/>
    <m/>
  </r>
  <r>
    <d v="2021-02-08T00:00:00"/>
    <s v="Jack-Bénisson"/>
    <x v="1"/>
    <m/>
    <m/>
    <n v="61600"/>
    <n v="25098770.99927"/>
    <x v="3"/>
    <m/>
    <x v="0"/>
    <m/>
    <m/>
    <m/>
    <m/>
    <m/>
  </r>
  <r>
    <d v="2021-02-08T00:00:00"/>
    <s v="Frais de transfert charden Farell à Geisner et Jack-Bénisson"/>
    <x v="6"/>
    <s v="Office"/>
    <m/>
    <n v="4560"/>
    <n v="25094210.99927"/>
    <x v="3"/>
    <s v="Oui"/>
    <x v="3"/>
    <s v="RALFF"/>
    <s v="Congo"/>
    <s v="RALFF-CO1875"/>
    <s v="5.6"/>
    <m/>
  </r>
  <r>
    <d v="2021-02-08T00:00:00"/>
    <s v="Photocopie procédure EF en 2 exemplaires/JB"/>
    <x v="7"/>
    <s v="Legal"/>
    <m/>
    <n v="1000"/>
    <n v="25093210.99927"/>
    <x v="4"/>
    <s v="Décharge"/>
    <x v="2"/>
    <s v="PALF"/>
    <s v="Congo"/>
    <m/>
    <m/>
    <m/>
  </r>
  <r>
    <d v="2021-02-08T00:00:00"/>
    <s v="Frais d'Hôtel Mission à Lékana du 06 au 08/Fev/T44"/>
    <x v="8"/>
    <s v="Investigation"/>
    <m/>
    <n v="30000"/>
    <n v="25063210.99927"/>
    <x v="11"/>
    <s v="Oui"/>
    <x v="2"/>
    <s v="PALF"/>
    <s v="Congo"/>
    <m/>
    <m/>
    <m/>
  </r>
  <r>
    <d v="2021-02-08T00:00:00"/>
    <s v="Food-Allowance Mission à Ouesso du 08 au 11/02/2021/Crépin"/>
    <x v="8"/>
    <s v="Management"/>
    <m/>
    <n v="30000"/>
    <n v="25033210.99927"/>
    <x v="6"/>
    <s v="Décharge"/>
    <x v="3"/>
    <s v="RALFF"/>
    <s v="Congo"/>
    <s v="RALFF-CO1876"/>
    <s v="1.3.2"/>
    <m/>
  </r>
  <r>
    <d v="2021-02-08T00:00:00"/>
    <s v="Plastification de trois documents du bureau"/>
    <x v="7"/>
    <s v="Office"/>
    <m/>
    <n v="3000"/>
    <n v="25030210.99927"/>
    <x v="7"/>
    <s v="Décharge"/>
    <x v="3"/>
    <s v="RALFF"/>
    <s v="Congo"/>
    <s v="RALFF-CO1877"/>
    <s v="4.3"/>
    <m/>
  </r>
  <r>
    <d v="2021-02-08T00:00:00"/>
    <s v="Reçu caisse/Merveille"/>
    <x v="1"/>
    <m/>
    <n v="10000"/>
    <m/>
    <n v="25040210.99927"/>
    <x v="9"/>
    <m/>
    <x v="0"/>
    <m/>
    <m/>
    <m/>
    <m/>
    <m/>
  </r>
  <r>
    <d v="2021-02-08T00:00:00"/>
    <s v="Impression planche photographique (8 pages X 500) + 2 chemises cartonées (150X2)/JB"/>
    <x v="7"/>
    <s v="Legal"/>
    <m/>
    <n v="4300"/>
    <n v="25035910.99927"/>
    <x v="4"/>
    <s v="Oui"/>
    <x v="3"/>
    <s v="RALFF"/>
    <s v="Congo"/>
    <s v="RALFF-CO1878"/>
    <s v="4.3"/>
    <m/>
  </r>
  <r>
    <d v="2021-02-09T00:00:00"/>
    <s v="Achat piles commande  climatiseur bureau"/>
    <x v="7"/>
    <s v="Office"/>
    <m/>
    <n v="2000"/>
    <n v="25033910.99927"/>
    <x v="3"/>
    <s v="Oui"/>
    <x v="2"/>
    <s v="PALF"/>
    <s v="Congo"/>
    <m/>
    <m/>
    <m/>
  </r>
  <r>
    <d v="2021-02-09T00:00:00"/>
    <s v="Evariste"/>
    <x v="1"/>
    <m/>
    <m/>
    <n v="40000"/>
    <n v="24993910.99927"/>
    <x v="3"/>
    <m/>
    <x v="0"/>
    <m/>
    <m/>
    <m/>
    <m/>
    <m/>
  </r>
  <r>
    <d v="2021-02-09T00:00:00"/>
    <s v="Crépin"/>
    <x v="1"/>
    <m/>
    <m/>
    <n v="64750"/>
    <n v="24929160.99927"/>
    <x v="3"/>
    <m/>
    <x v="0"/>
    <m/>
    <m/>
    <m/>
    <m/>
    <m/>
  </r>
  <r>
    <d v="2021-02-09T00:00:00"/>
    <s v="Achat crédit Téléphonique/Nicolas"/>
    <x v="12"/>
    <s v="CCU"/>
    <m/>
    <n v="10000"/>
    <n v="24919160.99927"/>
    <x v="3"/>
    <s v="Oui"/>
    <x v="2"/>
    <s v="PALF"/>
    <s v="Congo"/>
    <m/>
    <m/>
    <m/>
  </r>
  <r>
    <d v="2021-02-09T00:00:00"/>
    <s v="Merveille"/>
    <x v="1"/>
    <m/>
    <m/>
    <n v="10000"/>
    <n v="24909160.99927"/>
    <x v="3"/>
    <m/>
    <x v="0"/>
    <m/>
    <m/>
    <m/>
    <m/>
    <m/>
  </r>
  <r>
    <d v="2021-02-09T00:00:00"/>
    <s v="Frais d'Hôtel Mission à Ngo du 08 au 09/Fev/T44"/>
    <x v="8"/>
    <s v="Investigation"/>
    <m/>
    <n v="15000"/>
    <n v="24894160.99927"/>
    <x v="11"/>
    <s v="Oui"/>
    <x v="2"/>
    <s v="PALF"/>
    <s v="Congo"/>
    <m/>
    <m/>
    <m/>
  </r>
  <r>
    <d v="2021-02-09T00:00:00"/>
    <s v="Achat billet Ngo-Brazzaville/T44"/>
    <x v="11"/>
    <s v="Investigation"/>
    <m/>
    <n v="6000"/>
    <n v="24888160.99927"/>
    <x v="11"/>
    <s v="Décharge"/>
    <x v="2"/>
    <s v="PALF"/>
    <s v="Congo"/>
    <m/>
    <m/>
    <m/>
  </r>
  <r>
    <d v="2021-02-09T00:00:00"/>
    <s v="Geisner"/>
    <x v="1"/>
    <m/>
    <m/>
    <n v="153800"/>
    <n v="24734360.99927"/>
    <x v="3"/>
    <m/>
    <x v="0"/>
    <m/>
    <m/>
    <m/>
    <m/>
    <m/>
  </r>
  <r>
    <d v="2021-02-09T00:00:00"/>
    <s v="Reçu caisse/Crépin"/>
    <x v="1"/>
    <m/>
    <n v="64750"/>
    <m/>
    <n v="24799110.99927"/>
    <x v="6"/>
    <m/>
    <x v="0"/>
    <m/>
    <m/>
    <m/>
    <m/>
    <m/>
  </r>
  <r>
    <d v="2021-02-09T00:00:00"/>
    <s v="Reçu caisse/Evariste"/>
    <x v="1"/>
    <m/>
    <n v="40000"/>
    <m/>
    <n v="24839110.99927"/>
    <x v="7"/>
    <m/>
    <x v="0"/>
    <m/>
    <m/>
    <m/>
    <m/>
    <m/>
  </r>
  <r>
    <d v="2021-02-09T00:00:00"/>
    <s v="Recu caisse/Geis"/>
    <x v="1"/>
    <m/>
    <n v="90200"/>
    <m/>
    <n v="24929310.99927"/>
    <x v="8"/>
    <m/>
    <x v="0"/>
    <m/>
    <m/>
    <m/>
    <m/>
    <m/>
  </r>
  <r>
    <d v="2021-02-09T00:00:00"/>
    <s v="Reçu caisse/JB"/>
    <x v="1"/>
    <m/>
    <n v="61600"/>
    <m/>
    <n v="24990910.99927"/>
    <x v="4"/>
    <m/>
    <x v="0"/>
    <m/>
    <m/>
    <m/>
    <m/>
    <m/>
  </r>
  <r>
    <d v="2021-02-09T00:00:00"/>
    <s v="Reglement fact Agence pluriel solutions/ loyer PALF Février 2021"/>
    <x v="5"/>
    <s v="Office"/>
    <m/>
    <n v="500000"/>
    <n v="24490910.99927"/>
    <x v="2"/>
    <s v="Relevé"/>
    <x v="3"/>
    <s v="RALFF"/>
    <s v="Congo"/>
    <s v="RALFF-CO1879"/>
    <s v="4.2"/>
    <m/>
  </r>
  <r>
    <d v="2021-02-09T00:00:00"/>
    <s v="Frais de transfert charden farell/Crépin"/>
    <x v="6"/>
    <s v="Office"/>
    <m/>
    <n v="1945"/>
    <n v="24488965.99927"/>
    <x v="3"/>
    <s v="Oui"/>
    <x v="3"/>
    <s v="RALFF"/>
    <s v="Congo"/>
    <s v="RALFF-CO1880"/>
    <s v="5.6"/>
    <m/>
  </r>
  <r>
    <d v="2021-02-10T00:00:00"/>
    <s v="Achat Billet Ouesso-Brazzaville/Crépin"/>
    <x v="11"/>
    <s v="Management"/>
    <m/>
    <n v="20000"/>
    <n v="24468965.99927"/>
    <x v="6"/>
    <s v="Oui"/>
    <x v="3"/>
    <s v="RALFF"/>
    <s v="Congo"/>
    <s v="RALFF-CO1881"/>
    <s v="2.2"/>
    <m/>
  </r>
  <r>
    <d v="2021-02-10T00:00:00"/>
    <s v="Frais de transfert charden farell/Geisner"/>
    <x v="6"/>
    <s v="Office"/>
    <m/>
    <n v="4615"/>
    <n v="24464350.99927"/>
    <x v="3"/>
    <s v="Oui"/>
    <x v="3"/>
    <s v="RALFF"/>
    <s v="Congo"/>
    <s v="RALFF-CO1882"/>
    <s v="5.6"/>
    <m/>
  </r>
  <r>
    <d v="2021-02-11T00:00:00"/>
    <s v="I23c"/>
    <x v="1"/>
    <m/>
    <m/>
    <n v="174900"/>
    <n v="24289450.99927"/>
    <x v="3"/>
    <m/>
    <x v="0"/>
    <m/>
    <m/>
    <m/>
    <m/>
    <m/>
  </r>
  <r>
    <d v="2021-02-11T00:00:00"/>
    <s v="Frais achat boissons pour les informateurs à brazzaville /N22"/>
    <x v="3"/>
    <s v="Investigation"/>
    <m/>
    <n v="19000"/>
    <n v="24270450.99927"/>
    <x v="3"/>
    <s v="Décharge"/>
    <x v="2"/>
    <s v="PALF"/>
    <s v="Congo"/>
    <m/>
    <m/>
    <m/>
  </r>
  <r>
    <d v="2021-02-11T00:00:00"/>
    <s v="Frais de transfert charden farell/I23c"/>
    <x v="6"/>
    <s v="Office"/>
    <m/>
    <n v="5250"/>
    <n v="24265200.99927"/>
    <x v="3"/>
    <s v="Oui"/>
    <x v="3"/>
    <s v="RALFF"/>
    <s v="Congo"/>
    <s v="RALFF-CO1883"/>
    <s v="5.6"/>
    <m/>
  </r>
  <r>
    <d v="2021-02-11T00:00:00"/>
    <s v="BCI"/>
    <x v="1"/>
    <m/>
    <n v="1000000"/>
    <m/>
    <n v="25265200.99927"/>
    <x v="3"/>
    <m/>
    <x v="0"/>
    <m/>
    <m/>
    <m/>
    <m/>
    <m/>
  </r>
  <r>
    <d v="2021-02-11T00:00:00"/>
    <s v="Frais d'Hôtel Mission à Ouesso du 08 au 11/02/2021/Crépin"/>
    <x v="8"/>
    <s v="Management"/>
    <m/>
    <n v="45000"/>
    <n v="25220200.99927"/>
    <x v="6"/>
    <s v="Oui"/>
    <x v="3"/>
    <s v="RALFF"/>
    <s v="Congo"/>
    <s v="RALFF-CO1884"/>
    <s v="1.3.2"/>
    <m/>
  </r>
  <r>
    <d v="2021-02-11T00:00:00"/>
    <s v="Plastification d'un documents du bureau"/>
    <x v="7"/>
    <s v="Office"/>
    <m/>
    <n v="1000"/>
    <n v="25219200.99927"/>
    <x v="7"/>
    <s v="Oui"/>
    <x v="3"/>
    <s v="RALFF"/>
    <s v="Congo"/>
    <s v="RALFF-CO1885"/>
    <s v="4.3"/>
    <m/>
  </r>
  <r>
    <d v="2021-02-11T00:00:00"/>
    <s v="Recu caisse/Geis"/>
    <x v="1"/>
    <m/>
    <n v="153800"/>
    <m/>
    <n v="25373000.99927"/>
    <x v="8"/>
    <m/>
    <x v="0"/>
    <m/>
    <m/>
    <m/>
    <m/>
    <m/>
  </r>
  <r>
    <d v="2021-02-11T00:00:00"/>
    <s v="Versement à JB/Geis"/>
    <x v="1"/>
    <m/>
    <m/>
    <n v="61600"/>
    <n v="25311400.99927"/>
    <x v="8"/>
    <m/>
    <x v="0"/>
    <m/>
    <m/>
    <m/>
    <m/>
    <m/>
  </r>
  <r>
    <d v="2021-02-11T00:00:00"/>
    <s v="Reçu Caisse Geisner/JB"/>
    <x v="1"/>
    <m/>
    <n v="61600"/>
    <m/>
    <n v="25373000.99927"/>
    <x v="4"/>
    <m/>
    <x v="0"/>
    <m/>
    <m/>
    <m/>
    <m/>
    <m/>
  </r>
  <r>
    <d v="2021-02-11T00:00:00"/>
    <s v="Achat billet Brazzaville - Pointe-Noire (Mission Pn)/I23C"/>
    <x v="11"/>
    <s v="Investigation"/>
    <m/>
    <n v="15000"/>
    <n v="25358000.99927"/>
    <x v="13"/>
    <s v="Oui"/>
    <x v="3"/>
    <s v="RALFF"/>
    <s v="Congo"/>
    <s v="RALFF-CO1886"/>
    <s v="2.2"/>
    <m/>
  </r>
  <r>
    <d v="2021-02-11T00:00:00"/>
    <s v="Food allowance Mission Pointe-Noire du 11 au 21/02/I23C"/>
    <x v="8"/>
    <s v="Investigation"/>
    <m/>
    <n v="100000"/>
    <n v="25258000.99927"/>
    <x v="13"/>
    <s v="Décharge"/>
    <x v="3"/>
    <s v="RALFF"/>
    <s v="Congo"/>
    <s v="RALFF-CO1887"/>
    <s v="1.3.2"/>
    <m/>
  </r>
  <r>
    <d v="2021-02-12T00:00:00"/>
    <s v="Frais transport Laboratoire Nationale/Nicolas"/>
    <x v="11"/>
    <s v="CCU"/>
    <m/>
    <n v="3000"/>
    <n v="25255000.99927"/>
    <x v="3"/>
    <s v="Décharge"/>
    <x v="2"/>
    <s v="PALF"/>
    <s v="Congo"/>
    <m/>
    <m/>
    <m/>
  </r>
  <r>
    <d v="2021-02-12T00:00:00"/>
    <s v="Frais de test covid/Nicolas"/>
    <x v="13"/>
    <s v="CCU"/>
    <m/>
    <n v="20000"/>
    <n v="25235000.99927"/>
    <x v="3"/>
    <s v="Oui"/>
    <x v="2"/>
    <s v="PALF"/>
    <s v="Congo"/>
    <m/>
    <m/>
    <m/>
  </r>
  <r>
    <d v="2021-02-12T00:00:00"/>
    <s v=" ONEMO/Frais de dossier pour validation des contract (Evariste)"/>
    <x v="2"/>
    <s v="Media"/>
    <m/>
    <n v="10500"/>
    <n v="25224500.99927"/>
    <x v="3"/>
    <s v="Oui"/>
    <x v="2"/>
    <s v="PALF"/>
    <s v="Congo"/>
    <m/>
    <m/>
    <m/>
  </r>
  <r>
    <d v="2021-02-12T00:00:00"/>
    <s v="ONEMO/ Frais de dossier pour validation des contract (P29)"/>
    <x v="2"/>
    <s v="Investigation"/>
    <m/>
    <n v="10500"/>
    <n v="25214000.99927"/>
    <x v="3"/>
    <s v="Oui"/>
    <x v="2"/>
    <s v="PALF"/>
    <s v="Congo"/>
    <m/>
    <m/>
    <m/>
  </r>
  <r>
    <d v="2021-02-12T00:00:00"/>
    <s v=" ONEMO/Frais de dossier pour validation des contract (Hérick, Christian, Geisner)"/>
    <x v="2"/>
    <s v="Legal"/>
    <m/>
    <n v="31500"/>
    <n v="25182500.99927"/>
    <x v="3"/>
    <s v="Oui"/>
    <x v="2"/>
    <s v="PALF"/>
    <s v="Congo"/>
    <m/>
    <m/>
    <m/>
  </r>
  <r>
    <d v="2021-02-12T00:00:00"/>
    <s v="ONEMO/ Frais de dossier pour validation des contract (Ted, Merveille, Crépin)"/>
    <x v="2"/>
    <s v="Management"/>
    <m/>
    <n v="31500"/>
    <n v="25151000.99927"/>
    <x v="3"/>
    <s v="Oui"/>
    <x v="2"/>
    <s v="PALF"/>
    <s v="Congo"/>
    <m/>
    <m/>
    <m/>
  </r>
  <r>
    <d v="2021-02-12T00:00:00"/>
    <s v="Merveille"/>
    <x v="1"/>
    <m/>
    <m/>
    <n v="10000"/>
    <n v="25141000.99927"/>
    <x v="3"/>
    <m/>
    <x v="0"/>
    <m/>
    <m/>
    <m/>
    <m/>
    <m/>
  </r>
  <r>
    <d v="2021-02-12T00:00:00"/>
    <s v="Christian"/>
    <x v="1"/>
    <m/>
    <m/>
    <n v="10000"/>
    <n v="25131000.99927"/>
    <x v="3"/>
    <m/>
    <x v="0"/>
    <m/>
    <m/>
    <m/>
    <m/>
    <m/>
  </r>
  <r>
    <d v="2021-02-12T00:00:00"/>
    <s v="Frais d'Hôtel à Brazzaville du 11 au 12/02/2021 pour motif d'arrivée à 23h à l'agence Océan du nord de talangai heure du couvre feu/Crépin"/>
    <x v="8"/>
    <s v="Management"/>
    <m/>
    <n v="8000"/>
    <n v="25123000.99927"/>
    <x v="6"/>
    <s v="Oui"/>
    <x v="2"/>
    <s v="PALF"/>
    <s v="Congo"/>
    <m/>
    <m/>
    <m/>
  </r>
  <r>
    <d v="2021-02-12T00:00:00"/>
    <s v="Jack-Bénisson"/>
    <x v="1"/>
    <m/>
    <m/>
    <n v="183000"/>
    <n v="24940000.99927"/>
    <x v="3"/>
    <m/>
    <x v="0"/>
    <m/>
    <m/>
    <m/>
    <m/>
    <m/>
  </r>
  <r>
    <d v="2021-02-12T00:00:00"/>
    <s v="Geisner"/>
    <x v="1"/>
    <m/>
    <m/>
    <n v="45000"/>
    <n v="24895000.99927"/>
    <x v="3"/>
    <m/>
    <x v="0"/>
    <m/>
    <m/>
    <m/>
    <m/>
    <m/>
  </r>
  <r>
    <d v="2021-02-12T00:00:00"/>
    <s v="Food-Allowance à Brazzaville/Crépin"/>
    <x v="8"/>
    <s v="Management"/>
    <m/>
    <n v="10000"/>
    <n v="24885000.99927"/>
    <x v="6"/>
    <s v="Décharge"/>
    <x v="2"/>
    <s v="PALF"/>
    <s v="Congo"/>
    <m/>
    <m/>
    <m/>
  </r>
  <r>
    <d v="2021-02-12T00:00:00"/>
    <s v="Crépin"/>
    <x v="1"/>
    <m/>
    <m/>
    <n v="20000"/>
    <n v="24865000.99927"/>
    <x v="3"/>
    <m/>
    <x v="0"/>
    <m/>
    <m/>
    <m/>
    <m/>
    <m/>
  </r>
  <r>
    <d v="2021-02-12T00:00:00"/>
    <s v="Recu caisse/Christian"/>
    <x v="1"/>
    <m/>
    <n v="10000"/>
    <m/>
    <n v="24875000.99927"/>
    <x v="5"/>
    <m/>
    <x v="0"/>
    <m/>
    <m/>
    <m/>
    <m/>
    <m/>
  </r>
  <r>
    <d v="2021-02-12T00:00:00"/>
    <s v="Frais de Mission Maitre Anicet MOUSSAHOU/PNR du 14 au 16/02/2021"/>
    <x v="14"/>
    <s v="Legal"/>
    <m/>
    <n v="89000"/>
    <n v="24786000.99927"/>
    <x v="3"/>
    <s v="Oui"/>
    <x v="3"/>
    <s v="RALFF"/>
    <s v="Congo"/>
    <s v="RALFF-CO1888"/>
    <s v="5.2.2"/>
    <m/>
  </r>
  <r>
    <d v="2021-02-12T00:00:00"/>
    <s v="Frais de transfert charden Farell à Geisner et Jack-Bénisson"/>
    <x v="6"/>
    <s v="Office"/>
    <m/>
    <n v="6840"/>
    <n v="24779160.99927"/>
    <x v="3"/>
    <s v="Oui"/>
    <x v="3"/>
    <s v="RALFF"/>
    <s v="Congo"/>
    <s v="RALFF-CO1889"/>
    <s v="5.6"/>
    <m/>
  </r>
  <r>
    <d v="2021-02-12T00:00:00"/>
    <s v="Reçu caisse/Crépin"/>
    <x v="1"/>
    <m/>
    <n v="20000"/>
    <m/>
    <n v="24799160.99927"/>
    <x v="6"/>
    <m/>
    <x v="0"/>
    <m/>
    <m/>
    <m/>
    <m/>
    <m/>
  </r>
  <r>
    <d v="2021-02-12T00:00:00"/>
    <s v="Frais Hôtel Mission PN du 28 Janvier au 12 Fevrier/Geis"/>
    <x v="8"/>
    <s v="Operations"/>
    <m/>
    <n v="225000"/>
    <n v="24574160.99927"/>
    <x v="8"/>
    <s v="Oui"/>
    <x v="3"/>
    <s v="RALFF"/>
    <s v="Congo"/>
    <s v="RALFF-CO1890"/>
    <s v="1.3.2"/>
    <m/>
  </r>
  <r>
    <d v="2021-02-12T00:00:00"/>
    <s v="Recu caisse/Geis"/>
    <x v="1"/>
    <m/>
    <n v="45000"/>
    <m/>
    <n v="24619160.99927"/>
    <x v="8"/>
    <m/>
    <x v="0"/>
    <m/>
    <m/>
    <m/>
    <m/>
    <m/>
  </r>
  <r>
    <d v="2021-02-12T00:00:00"/>
    <s v="Frais de transport  Pointe-Noire- Dolisie-Brazzaville/Geis"/>
    <x v="11"/>
    <s v="Operations"/>
    <m/>
    <n v="22000"/>
    <n v="24597160.99927"/>
    <x v="8"/>
    <s v="Décharge"/>
    <x v="3"/>
    <s v="RALFF"/>
    <s v="Congo"/>
    <s v="RALFF-CO1891"/>
    <s v="2.2"/>
    <m/>
  </r>
  <r>
    <d v="2021-02-12T00:00:00"/>
    <s v="Reçu caisse/JB"/>
    <x v="1"/>
    <m/>
    <n v="183000"/>
    <m/>
    <n v="24780160.99927"/>
    <x v="4"/>
    <m/>
    <x v="0"/>
    <m/>
    <m/>
    <m/>
    <m/>
    <m/>
  </r>
  <r>
    <d v="2021-02-12T00:00:00"/>
    <s v="Réçu caisse/I23C"/>
    <x v="1"/>
    <m/>
    <n v="174900"/>
    <m/>
    <n v="24955060.99927"/>
    <x v="13"/>
    <m/>
    <x v="0"/>
    <m/>
    <m/>
    <m/>
    <m/>
    <m/>
  </r>
  <r>
    <d v="2021-02-12T00:00:00"/>
    <s v="Reçu caisse/Merveille"/>
    <x v="1"/>
    <m/>
    <n v="10000"/>
    <m/>
    <n v="24965060.99927"/>
    <x v="9"/>
    <m/>
    <x v="0"/>
    <m/>
    <m/>
    <m/>
    <m/>
    <m/>
  </r>
  <r>
    <d v="2021-02-13T00:00:00"/>
    <s v="Frais d'hôtel Ms OP à PN du 30/01 au 13/02/21/JB"/>
    <x v="8"/>
    <s v="Operations"/>
    <m/>
    <n v="210000"/>
    <n v="24755060.99927"/>
    <x v="4"/>
    <s v="Oui"/>
    <x v="3"/>
    <s v="RALFF"/>
    <s v="Congo"/>
    <s v="RALFF-CO1892"/>
    <s v="1.3.2"/>
    <m/>
  </r>
  <r>
    <d v="2021-02-15T00:00:00"/>
    <s v="Bonus medias/Evariste/bord 3654429"/>
    <x v="10"/>
    <s v="Media"/>
    <m/>
    <n v="128000"/>
    <n v="24627060.99927"/>
    <x v="1"/>
    <n v="3654429"/>
    <x v="2"/>
    <s v="PALF"/>
    <s v="Congo"/>
    <m/>
    <m/>
    <m/>
  </r>
  <r>
    <d v="2021-02-15T00:00:00"/>
    <s v="Frais de sejour à Brazzaville/NICOLAS du 15 au 19/02/21"/>
    <x v="8"/>
    <s v="CCU"/>
    <m/>
    <n v="50000"/>
    <n v="24577060.99927"/>
    <x v="3"/>
    <s v="Décharge"/>
    <x v="2"/>
    <s v="PALF"/>
    <s v="Congo"/>
    <m/>
    <m/>
    <m/>
  </r>
  <r>
    <d v="2021-02-15T00:00:00"/>
    <s v="Frais Transport local NICOLAS du 15 au 19/02/21"/>
    <x v="11"/>
    <s v="CCU"/>
    <m/>
    <n v="15000"/>
    <n v="24562060.99927"/>
    <x v="3"/>
    <s v="Décharge"/>
    <x v="2"/>
    <s v="PALF"/>
    <s v="Congo"/>
    <m/>
    <m/>
    <m/>
  </r>
  <r>
    <d v="2021-02-15T00:00:00"/>
    <s v="Frais de transfert charden Farell à I23C"/>
    <x v="6"/>
    <s v="Office"/>
    <m/>
    <n v="4950"/>
    <n v="24557110.99927"/>
    <x v="3"/>
    <s v="Oui"/>
    <x v="3"/>
    <s v="RALFF"/>
    <s v="Congo"/>
    <s v="RALFF-CO1893"/>
    <s v="5.6"/>
    <m/>
  </r>
  <r>
    <d v="2021-02-15T00:00:00"/>
    <s v="I23c"/>
    <x v="1"/>
    <m/>
    <m/>
    <n v="165000"/>
    <n v="24392110.99927"/>
    <x v="3"/>
    <m/>
    <x v="0"/>
    <m/>
    <m/>
    <m/>
    <m/>
    <m/>
  </r>
  <r>
    <d v="2021-02-15T00:00:00"/>
    <s v="Achat rallonge et adaptateur bureau"/>
    <x v="7"/>
    <s v="Office"/>
    <m/>
    <n v="34500"/>
    <n v="24357610.99927"/>
    <x v="3"/>
    <s v="Oui"/>
    <x v="3"/>
    <s v="RALFF"/>
    <s v="Congo"/>
    <s v="RALFF-CO1894"/>
    <s v="4.3"/>
    <m/>
  </r>
  <r>
    <d v="2021-02-15T00:00:00"/>
    <s v="Ted"/>
    <x v="1"/>
    <m/>
    <m/>
    <n v="10000"/>
    <n v="24347610.99927"/>
    <x v="3"/>
    <m/>
    <x v="0"/>
    <m/>
    <m/>
    <m/>
    <m/>
    <m/>
  </r>
  <r>
    <d v="2021-02-15T00:00:00"/>
    <s v="Reliure de 2 documents/PALF"/>
    <x v="7"/>
    <s v="Office"/>
    <m/>
    <n v="2000"/>
    <n v="24345610.99927"/>
    <x v="3"/>
    <s v="Oui"/>
    <x v="3"/>
    <s v="RALFF"/>
    <s v="Congo"/>
    <s v="RALFF-CO1895"/>
    <s v="4.3"/>
    <m/>
  </r>
  <r>
    <d v="2021-02-15T00:00:00"/>
    <s v="T44"/>
    <x v="1"/>
    <m/>
    <m/>
    <n v="9200"/>
    <n v="24336410.99927"/>
    <x v="3"/>
    <m/>
    <x v="0"/>
    <m/>
    <m/>
    <m/>
    <m/>
    <m/>
  </r>
  <r>
    <d v="2021-02-15T00:00:00"/>
    <s v="Achat billet Pointe-Noire - Brazzaville/JB"/>
    <x v="11"/>
    <s v="Operations"/>
    <m/>
    <n v="15000"/>
    <n v="24321410.99927"/>
    <x v="4"/>
    <s v="Oui"/>
    <x v="3"/>
    <s v="RALFF"/>
    <s v="Congo"/>
    <s v="RALFF-CO1896"/>
    <s v="2.2"/>
    <m/>
  </r>
  <r>
    <d v="2021-02-15T00:00:00"/>
    <s v="Reçu caisse/Ted"/>
    <x v="1"/>
    <m/>
    <n v="10000"/>
    <m/>
    <n v="24331410.99927"/>
    <x v="12"/>
    <m/>
    <x v="0"/>
    <m/>
    <m/>
    <m/>
    <m/>
    <m/>
  </r>
  <r>
    <d v="2021-02-16T00:00:00"/>
    <s v="Retrait especes/appro caisse/bord n°3654430"/>
    <x v="1"/>
    <m/>
    <m/>
    <n v="1000000"/>
    <n v="23331410.99927"/>
    <x v="1"/>
    <n v="3654430"/>
    <x v="0"/>
    <m/>
    <m/>
    <m/>
    <m/>
    <m/>
  </r>
  <r>
    <d v="2021-02-16T00:00:00"/>
    <s v="Frais achat boisson pour informateur à Brazzaville/P29"/>
    <x v="3"/>
    <s v="Investigation"/>
    <m/>
    <n v="2000"/>
    <n v="23329410.99927"/>
    <x v="14"/>
    <s v="Décharge"/>
    <x v="2"/>
    <s v="PALF"/>
    <s v="Congo"/>
    <m/>
    <m/>
    <m/>
  </r>
  <r>
    <d v="2021-02-16T00:00:00"/>
    <s v="BCI"/>
    <x v="1"/>
    <m/>
    <n v="1000000"/>
    <m/>
    <n v="24329410.99927"/>
    <x v="3"/>
    <m/>
    <x v="0"/>
    <m/>
    <m/>
    <m/>
    <m/>
    <m/>
  </r>
  <r>
    <d v="2021-02-16T00:00:00"/>
    <s v="Cumul frais transport local mois de Février 2021/T44"/>
    <x v="11"/>
    <s v="Investigation"/>
    <m/>
    <n v="38000"/>
    <n v="24291410.99927"/>
    <x v="11"/>
    <s v="Décharge"/>
    <x v="2"/>
    <s v="PALF"/>
    <s v="Congo"/>
    <m/>
    <m/>
    <m/>
  </r>
  <r>
    <d v="2021-02-16T00:00:00"/>
    <s v="Achat 02 agendas pour P29 et I23C"/>
    <x v="7"/>
    <s v="Office"/>
    <m/>
    <n v="3500"/>
    <n v="24287910.99927"/>
    <x v="3"/>
    <s v="Oui"/>
    <x v="3"/>
    <s v="RALFF"/>
    <s v="Congo"/>
    <s v="RALFF-CO1897"/>
    <s v="4.3"/>
    <m/>
  </r>
  <r>
    <d v="2021-02-16T00:00:00"/>
    <s v="Réçu caisse/I23C"/>
    <x v="1"/>
    <m/>
    <n v="165000"/>
    <m/>
    <n v="24452910.99927"/>
    <x v="13"/>
    <m/>
    <x v="0"/>
    <m/>
    <m/>
    <m/>
    <m/>
    <m/>
  </r>
  <r>
    <d v="2021-02-16T00:00:00"/>
    <s v="Reliure de 2 documents/convention et code du travail"/>
    <x v="7"/>
    <s v="Office"/>
    <m/>
    <n v="2000"/>
    <n v="24450910.99927"/>
    <x v="3"/>
    <s v="Oui"/>
    <x v="3"/>
    <s v="RALFF"/>
    <s v="Congo"/>
    <s v="RALFF-CO1898"/>
    <s v="4.3"/>
    <m/>
  </r>
  <r>
    <d v="2021-02-16T00:00:00"/>
    <s v="Recu caisse/T44"/>
    <x v="1"/>
    <m/>
    <n v="9200"/>
    <m/>
    <n v="24460110.99927"/>
    <x v="11"/>
    <m/>
    <x v="0"/>
    <m/>
    <m/>
    <m/>
    <m/>
    <m/>
  </r>
  <r>
    <d v="2021-02-16T00:00:00"/>
    <s v="Frais d'hôtel Ms OP à PN du 13 au 16/02/21/JB"/>
    <x v="8"/>
    <s v="Operations"/>
    <m/>
    <n v="45000"/>
    <n v="24415110.99927"/>
    <x v="4"/>
    <s v="Oui"/>
    <x v="3"/>
    <s v="RALFF"/>
    <s v="Congo"/>
    <s v="RALFF-CO1899"/>
    <s v="1.3.2"/>
    <m/>
  </r>
  <r>
    <d v="2021-02-17T00:00:00"/>
    <s v="Achat crédit Téléphonique/Nicolas"/>
    <x v="12"/>
    <s v="CCU"/>
    <m/>
    <n v="5000"/>
    <n v="24410110.99927"/>
    <x v="3"/>
    <s v="Oui"/>
    <x v="2"/>
    <s v="PALF"/>
    <s v="Congo"/>
    <m/>
    <m/>
    <m/>
  </r>
  <r>
    <d v="2021-02-17T00:00:00"/>
    <s v="Christian"/>
    <x v="1"/>
    <m/>
    <m/>
    <n v="84000"/>
    <n v="24326110.99927"/>
    <x v="3"/>
    <m/>
    <x v="0"/>
    <m/>
    <m/>
    <m/>
    <m/>
    <m/>
  </r>
  <r>
    <d v="2021-02-17T00:00:00"/>
    <s v="I23c"/>
    <x v="1"/>
    <m/>
    <m/>
    <n v="100000"/>
    <n v="24226110.99927"/>
    <x v="3"/>
    <m/>
    <x v="0"/>
    <m/>
    <m/>
    <m/>
    <m/>
    <m/>
  </r>
  <r>
    <d v="2021-02-17T00:00:00"/>
    <s v="MOD entretien  deux climatiseurs bureau PALF"/>
    <x v="15"/>
    <s v="Office"/>
    <m/>
    <n v="20000"/>
    <n v="24206110.99927"/>
    <x v="3"/>
    <s v="Oui"/>
    <x v="2"/>
    <s v="PALF"/>
    <s v="Congo"/>
    <m/>
    <m/>
    <m/>
  </r>
  <r>
    <d v="2021-02-17T00:00:00"/>
    <s v="Frais de test covid/Nicolas"/>
    <x v="13"/>
    <s v="CCU"/>
    <m/>
    <n v="20000"/>
    <n v="24186110.99927"/>
    <x v="3"/>
    <s v="Oui"/>
    <x v="2"/>
    <s v="PALF"/>
    <s v="Congo"/>
    <m/>
    <m/>
    <m/>
  </r>
  <r>
    <d v="2021-02-17T00:00:00"/>
    <s v="Frais de Mission Maitre Anicet MOUSSAHOU/Sibiti/du 18 au 20/02/2021/Milika patrick"/>
    <x v="14"/>
    <s v="Legal"/>
    <m/>
    <n v="84000"/>
    <n v="24102110.99927"/>
    <x v="3"/>
    <s v="Oui"/>
    <x v="3"/>
    <s v="RALFF"/>
    <s v="Congo"/>
    <s v="RALFF-CO1900"/>
    <s v="5.2.2"/>
    <m/>
  </r>
  <r>
    <d v="2021-02-17T00:00:00"/>
    <s v="Recu caisse/Christian"/>
    <x v="1"/>
    <m/>
    <n v="84000"/>
    <m/>
    <n v="24186110.99927"/>
    <x v="5"/>
    <m/>
    <x v="0"/>
    <m/>
    <m/>
    <m/>
    <m/>
    <m/>
  </r>
  <r>
    <d v="2021-02-17T00:00:00"/>
    <s v="Frais de transfert charden farell/I23c"/>
    <x v="6"/>
    <s v="Office"/>
    <m/>
    <n v="3000"/>
    <n v="24183110.99927"/>
    <x v="3"/>
    <s v="Oui"/>
    <x v="3"/>
    <s v="RALFF"/>
    <s v="Congo"/>
    <s v="RALFF-CO1901"/>
    <s v="5.6"/>
    <m/>
  </r>
  <r>
    <d v="2021-02-17T00:00:00"/>
    <s v="Réçu caisse/I23C"/>
    <x v="1"/>
    <m/>
    <n v="100000"/>
    <m/>
    <n v="24283110.99927"/>
    <x v="13"/>
    <m/>
    <x v="0"/>
    <m/>
    <m/>
    <m/>
    <m/>
    <m/>
  </r>
  <r>
    <d v="2021-02-17T00:00:00"/>
    <s v="Achat Billet Brazzaville-Loudima/Christian"/>
    <x v="11"/>
    <s v="Legal"/>
    <m/>
    <n v="10000"/>
    <n v="24273110.99927"/>
    <x v="5"/>
    <s v="Oui"/>
    <x v="3"/>
    <s v="RALFF"/>
    <s v="Congo"/>
    <s v="RALFF-CO1902"/>
    <s v="2.2"/>
    <m/>
  </r>
  <r>
    <d v="2021-02-18T00:00:00"/>
    <s v="Bonus medias/Evariste/bord 3654431"/>
    <x v="10"/>
    <s v="Media"/>
    <m/>
    <n v="138000"/>
    <n v="24135110.99927"/>
    <x v="1"/>
    <n v="3654431"/>
    <x v="2"/>
    <s v="PALF"/>
    <s v="Congo"/>
    <m/>
    <m/>
    <m/>
  </r>
  <r>
    <d v="2021-02-18T00:00:00"/>
    <s v="Achat eau bureau/03Bobone/Bureau PALF"/>
    <x v="5"/>
    <s v="Office"/>
    <m/>
    <n v="13500"/>
    <n v="24121610.99927"/>
    <x v="3"/>
    <s v="Oui"/>
    <x v="2"/>
    <s v="PALF"/>
    <s v="Congo"/>
    <m/>
    <m/>
    <m/>
  </r>
  <r>
    <d v="2021-02-18T00:00:00"/>
    <s v="I23c"/>
    <x v="1"/>
    <m/>
    <m/>
    <n v="100000"/>
    <n v="24021610.99927"/>
    <x v="3"/>
    <m/>
    <x v="0"/>
    <m/>
    <m/>
    <m/>
    <m/>
    <m/>
  </r>
  <r>
    <d v="2021-02-18T00:00:00"/>
    <s v="Frais de transfert charden farell/I23c"/>
    <x v="6"/>
    <s v="Office"/>
    <m/>
    <n v="3000"/>
    <n v="24018610.99927"/>
    <x v="3"/>
    <s v="Oui"/>
    <x v="3"/>
    <s v="RALFF"/>
    <s v="Congo"/>
    <s v="RALFF-CO1903"/>
    <s v="5.6"/>
    <m/>
  </r>
  <r>
    <d v="2021-02-18T00:00:00"/>
    <s v="Frais Transport  Loudima-Sibiti/Christian"/>
    <x v="11"/>
    <s v="Legal"/>
    <m/>
    <n v="4000"/>
    <n v="24014610.99927"/>
    <x v="5"/>
    <s v="Oui"/>
    <x v="3"/>
    <s v="RALFF"/>
    <s v="Congo"/>
    <s v="RALFF-CO1904"/>
    <s v="2.2"/>
    <m/>
  </r>
  <r>
    <d v="2021-02-18T00:00:00"/>
    <s v="Food allowance Mission Sibiti du 18 au 20/02/21/Christian"/>
    <x v="8"/>
    <s v="Legal"/>
    <m/>
    <n v="20000"/>
    <n v="23994610.99927"/>
    <x v="5"/>
    <s v="Décharge"/>
    <x v="3"/>
    <s v="RALFF"/>
    <s v="Congo"/>
    <s v="RALFF-CO1905"/>
    <s v="1.3.2"/>
    <m/>
  </r>
  <r>
    <d v="2021-02-19T00:00:00"/>
    <s v="Bonus mois de Janvier 2021/Hérick"/>
    <x v="10"/>
    <s v="Legal"/>
    <m/>
    <n v="35000"/>
    <n v="23959610.99927"/>
    <x v="3"/>
    <s v="Décharge"/>
    <x v="2"/>
    <s v="PALF"/>
    <s v="Congo"/>
    <m/>
    <m/>
    <m/>
  </r>
  <r>
    <d v="2021-02-19T00:00:00"/>
    <s v="Bonus mois de Janvier 2021/Crepin"/>
    <x v="10"/>
    <s v="Management"/>
    <m/>
    <n v="35000"/>
    <n v="23924610.99927"/>
    <x v="3"/>
    <s v="Décharge"/>
    <x v="2"/>
    <s v="PALF"/>
    <s v="Congo"/>
    <m/>
    <m/>
    <m/>
  </r>
  <r>
    <d v="2021-02-19T00:00:00"/>
    <s v="Bonus mois de Janvier 2021/Jack-Bénisson"/>
    <x v="10"/>
    <s v="Legal"/>
    <m/>
    <n v="20000"/>
    <n v="23904610.99927"/>
    <x v="3"/>
    <s v="Décharge"/>
    <x v="2"/>
    <s v="PALF"/>
    <s v="Congo"/>
    <m/>
    <m/>
    <m/>
  </r>
  <r>
    <d v="2021-02-19T00:00:00"/>
    <s v="Bonus mois de Janvier 2021/Geisner"/>
    <x v="10"/>
    <s v="Legal"/>
    <m/>
    <n v="20000"/>
    <n v="23884610.99927"/>
    <x v="3"/>
    <s v="Décharge"/>
    <x v="2"/>
    <s v="PALF"/>
    <s v="Congo"/>
    <m/>
    <m/>
    <m/>
  </r>
  <r>
    <d v="2021-02-19T00:00:00"/>
    <s v="Bonus mois de Janvier 2021/Evariste"/>
    <x v="10"/>
    <s v="Media"/>
    <m/>
    <n v="20000"/>
    <n v="23864610.99927"/>
    <x v="3"/>
    <s v="Décharge"/>
    <x v="2"/>
    <s v="PALF"/>
    <s v="Congo"/>
    <m/>
    <m/>
    <m/>
  </r>
  <r>
    <d v="2021-02-19T00:00:00"/>
    <s v="Bonus Opération à PNR/Jack-Bénisson"/>
    <x v="10"/>
    <s v="Operations"/>
    <m/>
    <n v="50000"/>
    <n v="23814610.99927"/>
    <x v="3"/>
    <s v="Décharge"/>
    <x v="2"/>
    <s v="PALF"/>
    <s v="Congo"/>
    <m/>
    <m/>
    <m/>
  </r>
  <r>
    <d v="2021-02-19T00:00:00"/>
    <s v="Bonus mois de Janvier 2021/P29"/>
    <x v="10"/>
    <s v="Investigation"/>
    <m/>
    <n v="10000"/>
    <n v="23804610.99927"/>
    <x v="3"/>
    <s v="Décharge"/>
    <x v="2"/>
    <s v="PALF"/>
    <s v="Congo"/>
    <m/>
    <m/>
    <m/>
  </r>
  <r>
    <d v="2021-02-19T00:00:00"/>
    <s v="Jack-Bénisson"/>
    <x v="1"/>
    <m/>
    <m/>
    <n v="47760"/>
    <n v="23756850.99927"/>
    <x v="3"/>
    <m/>
    <x v="0"/>
    <m/>
    <m/>
    <m/>
    <m/>
    <m/>
  </r>
  <r>
    <d v="2021-02-19T00:00:00"/>
    <s v="Achat 03kg de gaz fréon R22/entretien Climatiseur bureau"/>
    <x v="5"/>
    <s v="Office"/>
    <m/>
    <n v="15000"/>
    <n v="23741850.99927"/>
    <x v="3"/>
    <s v="Oui"/>
    <x v="2"/>
    <s v="PALF"/>
    <s v="Congo"/>
    <m/>
    <m/>
    <m/>
  </r>
  <r>
    <d v="2021-02-19T00:00:00"/>
    <s v="Merveille"/>
    <x v="1"/>
    <m/>
    <m/>
    <n v="10000"/>
    <n v="23731850.99927"/>
    <x v="3"/>
    <m/>
    <x v="0"/>
    <m/>
    <m/>
    <m/>
    <m/>
    <m/>
  </r>
  <r>
    <d v="2021-02-19T00:00:00"/>
    <s v="Frais  Diagnostic imprimante/buraeu Palf"/>
    <x v="15"/>
    <s v="Office"/>
    <m/>
    <n v="5000"/>
    <n v="23726850.99927"/>
    <x v="3"/>
    <s v="Oui"/>
    <x v="2"/>
    <s v="PALF"/>
    <s v="Congo"/>
    <m/>
    <m/>
    <m/>
  </r>
  <r>
    <d v="2021-02-19T00:00:00"/>
    <s v="Jack-Bénisson"/>
    <x v="1"/>
    <m/>
    <m/>
    <n v="10000"/>
    <n v="23716850.99927"/>
    <x v="3"/>
    <m/>
    <x v="0"/>
    <m/>
    <m/>
    <m/>
    <m/>
    <m/>
  </r>
  <r>
    <d v="2021-02-19T00:00:00"/>
    <s v=" Frais de sejour à Brazzaville du 20 au 23 février /Nicolas"/>
    <x v="8"/>
    <s v="CCU"/>
    <m/>
    <n v="40000"/>
    <n v="23676850.99927"/>
    <x v="3"/>
    <s v="Décharge"/>
    <x v="2"/>
    <s v="PALF"/>
    <s v="Congo"/>
    <m/>
    <m/>
    <m/>
  </r>
  <r>
    <d v="2021-02-19T00:00:00"/>
    <s v=" Frais de transport local /Nicolas"/>
    <x v="11"/>
    <s v="CCU"/>
    <m/>
    <n v="7000"/>
    <n v="23669850.99927"/>
    <x v="3"/>
    <s v="Décharge"/>
    <x v="2"/>
    <s v="PALF"/>
    <s v="Congo"/>
    <m/>
    <m/>
    <m/>
  </r>
  <r>
    <d v="2021-02-19T00:00:00"/>
    <s v="Reçu caisse/Crépin"/>
    <x v="1"/>
    <m/>
    <n v="5000"/>
    <m/>
    <n v="23674850.99927"/>
    <x v="6"/>
    <m/>
    <x v="0"/>
    <m/>
    <m/>
    <m/>
    <m/>
    <m/>
  </r>
  <r>
    <d v="2021-02-19T00:00:00"/>
    <s v="Frais de visite  appartement  pour OP/Crépin"/>
    <x v="3"/>
    <s v="Operations"/>
    <m/>
    <n v="5000"/>
    <n v="23669850.99927"/>
    <x v="6"/>
    <s v="Oui"/>
    <x v="2"/>
    <s v="PALF"/>
    <s v="Congo"/>
    <m/>
    <m/>
    <m/>
  </r>
  <r>
    <d v="2021-02-19T00:00:00"/>
    <s v="Reçu caisse/Crépin"/>
    <x v="1"/>
    <m/>
    <n v="15000"/>
    <m/>
    <n v="23684850.99927"/>
    <x v="6"/>
    <m/>
    <x v="0"/>
    <m/>
    <m/>
    <m/>
    <m/>
    <m/>
  </r>
  <r>
    <d v="2021-02-19T00:00:00"/>
    <s v="Reçu caisse/JB"/>
    <x v="1"/>
    <m/>
    <n v="47760"/>
    <m/>
    <n v="23732610.99927"/>
    <x v="4"/>
    <m/>
    <x v="0"/>
    <m/>
    <m/>
    <m/>
    <m/>
    <m/>
  </r>
  <r>
    <d v="2021-02-19T00:00:00"/>
    <s v="Reçu caisse/JB"/>
    <x v="1"/>
    <m/>
    <n v="10000"/>
    <m/>
    <n v="23742610.99927"/>
    <x v="4"/>
    <m/>
    <x v="0"/>
    <m/>
    <m/>
    <m/>
    <m/>
    <m/>
  </r>
  <r>
    <d v="2021-02-19T00:00:00"/>
    <s v="Reçu caisse/JB"/>
    <x v="1"/>
    <m/>
    <n v="15000"/>
    <m/>
    <n v="23757610.99927"/>
    <x v="4"/>
    <m/>
    <x v="0"/>
    <m/>
    <m/>
    <m/>
    <m/>
    <m/>
  </r>
  <r>
    <d v="2021-02-19T00:00:00"/>
    <s v="Frais de visite  appartement  pour OP/JB"/>
    <x v="3"/>
    <s v="Operations"/>
    <m/>
    <n v="4000"/>
    <n v="23753610.99927"/>
    <x v="4"/>
    <s v="Décharge"/>
    <x v="2"/>
    <s v="PALF"/>
    <s v="Congo"/>
    <m/>
    <m/>
    <m/>
  </r>
  <r>
    <d v="2021-02-19T00:00:00"/>
    <s v="Reçu caisse/Hérick"/>
    <x v="1"/>
    <m/>
    <n v="194000"/>
    <m/>
    <n v="23947610.99927"/>
    <x v="15"/>
    <m/>
    <x v="0"/>
    <m/>
    <m/>
    <m/>
    <m/>
    <m/>
  </r>
  <r>
    <d v="2021-02-19T00:00:00"/>
    <s v="Réçu caisse/I23C"/>
    <x v="1"/>
    <m/>
    <n v="100000"/>
    <m/>
    <n v="24047610.99927"/>
    <x v="13"/>
    <m/>
    <x v="0"/>
    <m/>
    <m/>
    <m/>
    <m/>
    <m/>
  </r>
  <r>
    <d v="2021-02-19T00:00:00"/>
    <s v="Reçu caisse/Merveille"/>
    <x v="1"/>
    <m/>
    <n v="10000"/>
    <m/>
    <n v="24057610.99927"/>
    <x v="9"/>
    <m/>
    <x v="0"/>
    <m/>
    <m/>
    <m/>
    <m/>
    <m/>
  </r>
  <r>
    <d v="2021-02-20T00:00:00"/>
    <s v="Frais de test covid /Nicolas"/>
    <x v="13"/>
    <s v="CCU"/>
    <m/>
    <n v="20000"/>
    <n v="24037610.99927"/>
    <x v="3"/>
    <s v="Oui"/>
    <x v="2"/>
    <s v="PALF"/>
    <s v="Congo"/>
    <m/>
    <m/>
    <m/>
  </r>
  <r>
    <d v="2021-02-20T00:00:00"/>
    <s v="Frais de visite appartement  pour OP/Crépin"/>
    <x v="3"/>
    <s v="Operations"/>
    <m/>
    <n v="5000"/>
    <n v="24032610.99927"/>
    <x v="6"/>
    <s v="Oui"/>
    <x v="2"/>
    <s v="PALF"/>
    <s v="Congo"/>
    <m/>
    <m/>
    <m/>
  </r>
  <r>
    <d v="2021-02-20T00:00:00"/>
    <s v="Frais de visite  appartement  pour OP/Crépin"/>
    <x v="3"/>
    <s v="Operations"/>
    <m/>
    <n v="5000"/>
    <n v="24027610.99927"/>
    <x v="6"/>
    <s v="Oui"/>
    <x v="2"/>
    <s v="PALF"/>
    <s v="Congo"/>
    <m/>
    <m/>
    <m/>
  </r>
  <r>
    <d v="2021-02-20T00:00:00"/>
    <s v="Frais de visite  appartement  pour OP/Crépin"/>
    <x v="3"/>
    <s v="Operations"/>
    <m/>
    <n v="5000"/>
    <n v="24022610.99927"/>
    <x v="6"/>
    <s v="Oui"/>
    <x v="2"/>
    <s v="PALF"/>
    <s v="Congo"/>
    <m/>
    <m/>
    <m/>
  </r>
  <r>
    <d v="2021-02-20T00:00:00"/>
    <s v="Frais de visite  appartement  pour OP/JB"/>
    <x v="3"/>
    <s v="Operations"/>
    <m/>
    <n v="5000"/>
    <n v="24017610.99927"/>
    <x v="4"/>
    <s v="Oui"/>
    <x v="2"/>
    <s v="PALF"/>
    <s v="Congo"/>
    <m/>
    <m/>
    <m/>
  </r>
  <r>
    <d v="2021-02-20T00:00:00"/>
    <s v="Frais d'hôtel Mission Sibiti du 18 au 20/02/21/Christian"/>
    <x v="8"/>
    <s v="Legal"/>
    <m/>
    <n v="30000"/>
    <n v="23987610.99927"/>
    <x v="5"/>
    <s v="Oui"/>
    <x v="3"/>
    <s v="RALFF"/>
    <s v="Congo"/>
    <s v="RALFF-CO1906"/>
    <s v="1.3.2"/>
    <m/>
  </r>
  <r>
    <d v="2021-02-20T00:00:00"/>
    <s v="Cumul frais achat boisson et repas pour les informateurs du 11 au 20 Février 21/I23C"/>
    <x v="3"/>
    <s v="Investigation"/>
    <m/>
    <n v="205000"/>
    <n v="23782610.99927"/>
    <x v="13"/>
    <s v="Décharge"/>
    <x v="2"/>
    <s v="PALF"/>
    <s v="Congo"/>
    <m/>
    <m/>
    <m/>
  </r>
  <r>
    <d v="2021-02-20T00:00:00"/>
    <s v="Frais Transport  Sibiti-Nkayi/Christian"/>
    <x v="11"/>
    <s v="Legal"/>
    <m/>
    <n v="6000"/>
    <n v="23776610.99927"/>
    <x v="5"/>
    <s v="Oui"/>
    <x v="3"/>
    <s v="RALFF"/>
    <s v="Congo"/>
    <s v="RALFF-CO1907"/>
    <s v="2.2"/>
    <m/>
  </r>
  <r>
    <d v="2021-02-20T00:00:00"/>
    <s v="Achat Billet Nkayi-Brazzaville/Christian"/>
    <x v="11"/>
    <s v="Legal"/>
    <m/>
    <n v="8000"/>
    <n v="23768610.99927"/>
    <x v="5"/>
    <s v="Oui"/>
    <x v="3"/>
    <s v="RALFF"/>
    <s v="Congo"/>
    <s v="RALFF-CO1908"/>
    <s v="2.2"/>
    <m/>
  </r>
  <r>
    <d v="2021-02-20T00:00:00"/>
    <s v="Achat billet Pointe-Noire - Brazzaville (réservation pour BZ)/I23C"/>
    <x v="11"/>
    <s v="Investigation"/>
    <m/>
    <n v="15000"/>
    <n v="23753610.99927"/>
    <x v="13"/>
    <s v="Oui"/>
    <x v="3"/>
    <s v="RALFF"/>
    <s v="Congo"/>
    <s v="RALFF-CO1909"/>
    <s v="2.2"/>
    <m/>
  </r>
  <r>
    <d v="2021-02-21T00:00:00"/>
    <s v="Reçu caisse/Crépin"/>
    <x v="1"/>
    <m/>
    <n v="5000"/>
    <m/>
    <n v="23758610.99927"/>
    <x v="6"/>
    <m/>
    <x v="0"/>
    <m/>
    <m/>
    <m/>
    <m/>
    <m/>
  </r>
  <r>
    <d v="2021-02-21T00:00:00"/>
    <s v="Frais d'Hôtel Mission Pointe-Noire du 11 au 21/02 /I23C"/>
    <x v="8"/>
    <s v="Investigation"/>
    <m/>
    <n v="150000"/>
    <n v="23608610.99927"/>
    <x v="13"/>
    <s v="Oui"/>
    <x v="3"/>
    <s v="RALFF"/>
    <s v="Congo"/>
    <s v="RALFF-CO1910"/>
    <s v="1.3.2"/>
    <m/>
  </r>
  <r>
    <d v="2021-02-22T00:00:00"/>
    <s v="Achat crédit Téléphonique Opération /Nicolas"/>
    <x v="12"/>
    <s v="Operations"/>
    <m/>
    <n v="5000"/>
    <n v="23603610.99927"/>
    <x v="3"/>
    <s v="Oui"/>
    <x v="2"/>
    <s v="PALF"/>
    <s v="Congo"/>
    <m/>
    <m/>
    <m/>
  </r>
  <r>
    <d v="2021-02-22T00:00:00"/>
    <s v="Achat crédit Téléphonique Opération /P29"/>
    <x v="12"/>
    <s v="Operations"/>
    <m/>
    <n v="5000"/>
    <n v="23598610.99927"/>
    <x v="3"/>
    <s v="Oui"/>
    <x v="2"/>
    <s v="PALF"/>
    <s v="Congo"/>
    <m/>
    <m/>
    <m/>
  </r>
  <r>
    <d v="2021-02-22T00:00:00"/>
    <s v="Hérick"/>
    <x v="1"/>
    <m/>
    <m/>
    <n v="194000"/>
    <n v="23404610.99927"/>
    <x v="3"/>
    <m/>
    <x v="0"/>
    <m/>
    <m/>
    <m/>
    <m/>
    <m/>
  </r>
  <r>
    <d v="2021-02-22T00:00:00"/>
    <s v="Crépin"/>
    <x v="1"/>
    <m/>
    <m/>
    <n v="20000"/>
    <n v="23384610.99927"/>
    <x v="3"/>
    <m/>
    <x v="0"/>
    <m/>
    <m/>
    <m/>
    <m/>
    <m/>
  </r>
  <r>
    <d v="2021-02-22T00:00:00"/>
    <s v="Jack-Bénisson"/>
    <x v="1"/>
    <m/>
    <m/>
    <n v="90000"/>
    <n v="23294610.99927"/>
    <x v="3"/>
    <m/>
    <x v="0"/>
    <m/>
    <m/>
    <m/>
    <m/>
    <m/>
  </r>
  <r>
    <d v="2021-02-22T00:00:00"/>
    <s v="Jack-Bénisson"/>
    <x v="1"/>
    <m/>
    <m/>
    <n v="15000"/>
    <n v="23279610.99927"/>
    <x v="3"/>
    <m/>
    <x v="0"/>
    <m/>
    <m/>
    <m/>
    <m/>
    <m/>
  </r>
  <r>
    <d v="2021-02-22T00:00:00"/>
    <s v="Achat 02paquets de sacs poubelles"/>
    <x v="7"/>
    <s v="Office"/>
    <m/>
    <n v="4700"/>
    <n v="23274910.99927"/>
    <x v="3"/>
    <s v="Oui"/>
    <x v="2"/>
    <s v="PALF"/>
    <s v="Congo"/>
    <m/>
    <m/>
    <m/>
  </r>
  <r>
    <d v="2021-02-22T00:00:00"/>
    <s v="Bonus mois de Janvier 2021/I23C"/>
    <x v="10"/>
    <s v="Investigation"/>
    <m/>
    <n v="35000"/>
    <n v="23239910.99927"/>
    <x v="3"/>
    <s v="Décharge"/>
    <x v="2"/>
    <s v="PALF"/>
    <s v="Congo"/>
    <m/>
    <m/>
    <m/>
  </r>
  <r>
    <d v="2021-02-22T00:00:00"/>
    <s v="Bonus mois de Janvier 2021/Christian"/>
    <x v="10"/>
    <s v="Legal"/>
    <m/>
    <n v="20000"/>
    <n v="23219910.99927"/>
    <x v="3"/>
    <s v="Décharge"/>
    <x v="2"/>
    <s v="PALF"/>
    <s v="Congo"/>
    <m/>
    <m/>
    <m/>
  </r>
  <r>
    <d v="2021-02-22T00:00:00"/>
    <s v="Frais de consultation et  certificat médical/Prevenu ROBERT"/>
    <x v="16"/>
    <s v="Legal"/>
    <m/>
    <n v="30000"/>
    <n v="23189910.99927"/>
    <x v="3"/>
    <s v="Décharge"/>
    <x v="2"/>
    <s v="PALF"/>
    <s v="Congo"/>
    <m/>
    <m/>
    <m/>
  </r>
  <r>
    <d v="2021-02-22T00:00:00"/>
    <s v="Recu caisse Hérick/Christian"/>
    <x v="1"/>
    <m/>
    <n v="4000"/>
    <m/>
    <n v="23193910.99927"/>
    <x v="5"/>
    <m/>
    <x v="0"/>
    <m/>
    <m/>
    <m/>
    <m/>
    <m/>
  </r>
  <r>
    <d v="2021-02-22T00:00:00"/>
    <s v="Reçu caisse Hérick/Crépin"/>
    <x v="1"/>
    <m/>
    <n v="5000"/>
    <m/>
    <n v="23198910.99927"/>
    <x v="6"/>
    <m/>
    <x v="0"/>
    <m/>
    <m/>
    <m/>
    <m/>
    <m/>
  </r>
  <r>
    <d v="2021-02-22T00:00:00"/>
    <s v="Frais de raffraichissement en attente de l'OP"/>
    <x v="3"/>
    <s v="Investigation"/>
    <m/>
    <n v="1000"/>
    <n v="23197910.99927"/>
    <x v="6"/>
    <s v="Décharge"/>
    <x v="2"/>
    <s v="PALF"/>
    <s v="Congo"/>
    <m/>
    <m/>
    <m/>
  </r>
  <r>
    <d v="2021-02-22T00:00:00"/>
    <s v="Reçu caisse Hérick/Evariste"/>
    <x v="1"/>
    <m/>
    <n v="4000"/>
    <m/>
    <n v="23201910.99927"/>
    <x v="7"/>
    <m/>
    <x v="0"/>
    <m/>
    <m/>
    <m/>
    <m/>
    <m/>
  </r>
  <r>
    <d v="2021-02-22T00:00:00"/>
    <s v="Achat produit pharmaceutique du prévenu Robert "/>
    <x v="16"/>
    <s v="Legal"/>
    <m/>
    <n v="2300"/>
    <n v="23199610.99927"/>
    <x v="7"/>
    <s v="Oui"/>
    <x v="2"/>
    <s v="PALF"/>
    <s v="Congo"/>
    <m/>
    <m/>
    <m/>
  </r>
  <r>
    <d v="2021-02-22T00:00:00"/>
    <s v="Achat eau minérale du prévenu Robert"/>
    <x v="16"/>
    <s v="Legal"/>
    <m/>
    <n v="500"/>
    <n v="23199110.99927"/>
    <x v="7"/>
    <s v="Décharge"/>
    <x v="2"/>
    <s v="PALF"/>
    <s v="Congo"/>
    <m/>
    <m/>
    <m/>
  </r>
  <r>
    <d v="2021-02-22T00:00:00"/>
    <s v="Récu caisse Hérick/Geis"/>
    <x v="1"/>
    <m/>
    <n v="4000"/>
    <m/>
    <n v="23203110.99927"/>
    <x v="8"/>
    <m/>
    <x v="0"/>
    <m/>
    <m/>
    <m/>
    <m/>
    <m/>
  </r>
  <r>
    <d v="2021-02-22T00:00:00"/>
    <s v="Cumul frais Jail visite à Pointe-Noire /Geis"/>
    <x v="16"/>
    <s v="Legal"/>
    <m/>
    <n v="91200"/>
    <n v="23111910.99927"/>
    <x v="8"/>
    <s v="Décharge"/>
    <x v="2"/>
    <s v="PALF"/>
    <s v="Congo"/>
    <m/>
    <m/>
    <m/>
  </r>
  <r>
    <d v="2021-02-22T00:00:00"/>
    <s v="Reçu caisse/JB"/>
    <x v="1"/>
    <m/>
    <n v="90000"/>
    <m/>
    <n v="23201910.99927"/>
    <x v="4"/>
    <m/>
    <x v="0"/>
    <m/>
    <m/>
    <m/>
    <m/>
    <m/>
  </r>
  <r>
    <d v="2021-02-22T00:00:00"/>
    <s v="Location appartement meublé pour opération+frais courtier/JB"/>
    <x v="8"/>
    <s v="Operations"/>
    <m/>
    <n v="70000"/>
    <n v="23131910.99927"/>
    <x v="4"/>
    <s v="Oui"/>
    <x v="2"/>
    <s v="PALF"/>
    <s v="Congo"/>
    <m/>
    <m/>
    <m/>
  </r>
  <r>
    <d v="2021-02-22T00:00:00"/>
    <s v="Versement à Geisner/Hérick "/>
    <x v="1"/>
    <m/>
    <m/>
    <n v="4000"/>
    <n v="23127910.99927"/>
    <x v="15"/>
    <m/>
    <x v="0"/>
    <m/>
    <m/>
    <m/>
    <m/>
    <m/>
  </r>
  <r>
    <d v="2021-02-22T00:00:00"/>
    <s v="Versement à Christian/Hérick"/>
    <x v="1"/>
    <m/>
    <m/>
    <n v="4000"/>
    <n v="23123910.99927"/>
    <x v="15"/>
    <m/>
    <x v="0"/>
    <m/>
    <m/>
    <m/>
    <m/>
    <m/>
  </r>
  <r>
    <d v="2021-02-22T00:00:00"/>
    <s v="Versement à Crepin/Hérick"/>
    <x v="1"/>
    <m/>
    <m/>
    <n v="5000"/>
    <n v="23118910.99927"/>
    <x v="15"/>
    <m/>
    <x v="0"/>
    <m/>
    <m/>
    <m/>
    <m/>
    <m/>
  </r>
  <r>
    <d v="2021-02-22T00:00:00"/>
    <s v="Frais achat jus en attente de  l'OP, "/>
    <x v="3"/>
    <s v="Investigation"/>
    <m/>
    <n v="2500"/>
    <n v="23116410.99927"/>
    <x v="15"/>
    <s v="Décharge"/>
    <x v="2"/>
    <s v="PALF"/>
    <s v="Congo"/>
    <m/>
    <m/>
    <m/>
  </r>
  <r>
    <d v="2021-02-22T00:00:00"/>
    <s v="Versement à Evariste/Hérick"/>
    <x v="1"/>
    <m/>
    <m/>
    <n v="4000"/>
    <n v="23112410.99927"/>
    <x v="15"/>
    <m/>
    <x v="0"/>
    <m/>
    <m/>
    <m/>
    <m/>
    <m/>
  </r>
  <r>
    <d v="2021-02-23T00:00:00"/>
    <s v="Reglement facture honoraire du mois de Février  2021/I23C/chq n°3643412"/>
    <x v="2"/>
    <s v="Investigation"/>
    <m/>
    <n v="400000"/>
    <n v="22712410.99927"/>
    <x v="2"/>
    <n v="3643412"/>
    <x v="1"/>
    <s v="RALFF"/>
    <s v="Congo"/>
    <s v="RALFF-CO1911"/>
    <s v="1.1.1.9"/>
    <m/>
  </r>
  <r>
    <d v="2021-02-23T00:00:00"/>
    <s v="Paiement salaire du mois de Février 2021/P29/chq n°3643417"/>
    <x v="2"/>
    <s v="Investigation"/>
    <m/>
    <n v="191000"/>
    <n v="22521410.99927"/>
    <x v="2"/>
    <n v="3643417"/>
    <x v="1"/>
    <s v="RALFF"/>
    <s v="Congo"/>
    <s v="RALFF-CO1916"/>
    <s v="1.1.1.9"/>
    <m/>
  </r>
  <r>
    <d v="2021-02-23T00:00:00"/>
    <s v="Virement salaire mois Février 2021/ TCHICAYA Hérick"/>
    <x v="2"/>
    <s v="Legal"/>
    <m/>
    <n v="326000"/>
    <n v="22195410.99927"/>
    <x v="2"/>
    <s v="Relevé"/>
    <x v="1"/>
    <s v="RALFF"/>
    <s v="Congo"/>
    <s v="RALFF-CO1920"/>
    <s v="1.1.1.7"/>
    <m/>
  </r>
  <r>
    <d v="2021-02-23T00:00:00"/>
    <s v="Paiement salaire du mois de Février 2021/MAHANGA Merveille/chq n°3643413"/>
    <x v="2"/>
    <s v="Management"/>
    <m/>
    <n v="275000"/>
    <n v="21920410.99927"/>
    <x v="2"/>
    <n v="3643413"/>
    <x v="3"/>
    <s v="RALFF"/>
    <s v="Congo"/>
    <s v="RALFF-CO1912"/>
    <s v="1.1.2.1"/>
    <m/>
  </r>
  <r>
    <d v="2021-02-23T00:00:00"/>
    <s v="Reglement salaire du mois de Février 2021/ KOUEMITOUKA TED/chq n°3643414"/>
    <x v="2"/>
    <s v="Management"/>
    <m/>
    <n v="400000"/>
    <n v="21520410.99927"/>
    <x v="2"/>
    <n v="3643414"/>
    <x v="3"/>
    <s v="RALFF"/>
    <s v="Congo"/>
    <s v="RALFF-CO1913"/>
    <s v="1.1.2.1"/>
    <m/>
  </r>
  <r>
    <d v="2021-02-23T00:00:00"/>
    <s v="Paiement salaire du mois de Février 2021/IBOUILI CREPIN/chq n°3643415"/>
    <x v="2"/>
    <s v="Legal"/>
    <m/>
    <n v="356500"/>
    <n v="21163910.99927"/>
    <x v="2"/>
    <n v="3643415"/>
    <x v="3"/>
    <s v="RALFF"/>
    <s v="Congo"/>
    <s v="RALFF-CO1914"/>
    <s v="1.1.1.7"/>
    <m/>
  </r>
  <r>
    <d v="2021-02-23T00:00:00"/>
    <s v="Paiement salaire du mois de Février 2021/ MALONGA MERSY/chq n°3643416"/>
    <x v="2"/>
    <s v="Legal"/>
    <m/>
    <n v="308000"/>
    <n v="20855910.99927"/>
    <x v="2"/>
    <n v="3643416"/>
    <x v="3"/>
    <s v="RALFF"/>
    <s v="Congo"/>
    <s v="RALFF-CO1915"/>
    <s v="1.1.1.7"/>
    <m/>
  </r>
  <r>
    <d v="2021-02-23T00:00:00"/>
    <s v="Paiement salaire du mois de Février  2021/MININGOU Christian/chq n°3643419"/>
    <x v="2"/>
    <s v="Legal"/>
    <m/>
    <n v="193600"/>
    <n v="20662310.99927"/>
    <x v="2"/>
    <n v="3643419"/>
    <x v="3"/>
    <s v="RALFF"/>
    <s v="Congo"/>
    <s v="RALFF-CO1917"/>
    <s v="1.1.1.7"/>
    <m/>
  </r>
  <r>
    <d v="2021-02-23T00:00:00"/>
    <s v="Appro caisse/Achat carte de recharge AIRTEL mois de Mars 2021/Staff PALF"/>
    <x v="1"/>
    <m/>
    <m/>
    <n v="189000"/>
    <n v="20473310.99927"/>
    <x v="2"/>
    <n v="3643421"/>
    <x v="0"/>
    <m/>
    <m/>
    <m/>
    <m/>
    <m/>
  </r>
  <r>
    <d v="2021-02-23T00:00:00"/>
    <s v="Appro caisse/Achat carte de recharge MTN mois de Mars 2021/Staff PALF"/>
    <x v="1"/>
    <m/>
    <m/>
    <n v="183000"/>
    <n v="20290310.99927"/>
    <x v="2"/>
    <n v="3643422"/>
    <x v="0"/>
    <m/>
    <m/>
    <m/>
    <m/>
    <m/>
  </r>
  <r>
    <d v="2021-02-23T00:00:00"/>
    <s v="Paiement salaire du mois de Février 2021/MATOKO Geisner/chq n°3643420"/>
    <x v="2"/>
    <s v="Legal"/>
    <m/>
    <n v="193600"/>
    <n v="20096710.99927"/>
    <x v="2"/>
    <n v="3643420"/>
    <x v="3"/>
    <s v="RALFF"/>
    <s v="Congo"/>
    <s v="RALFF-CO1918"/>
    <s v="1.1.1.7"/>
    <m/>
  </r>
  <r>
    <d v="2021-02-23T00:00:00"/>
    <s v="Paiement salaire du mois de Février 2021/Tiffany GOBERT/chq n°3643423"/>
    <x v="2"/>
    <s v="Management"/>
    <m/>
    <n v="809584"/>
    <n v="19287126.99927"/>
    <x v="2"/>
    <n v="3643423"/>
    <x v="3"/>
    <s v="RALFF"/>
    <s v="Congo"/>
    <s v="RALFF-CO1919"/>
    <s v="1.1.1.1"/>
    <m/>
  </r>
  <r>
    <d v="2021-02-23T00:00:00"/>
    <s v="Virement salaire mois Février  2021/ LELOUSSI Evariste"/>
    <x v="2"/>
    <s v="Media"/>
    <m/>
    <n v="230000"/>
    <n v="19057126.99927"/>
    <x v="2"/>
    <s v="Relevé"/>
    <x v="3"/>
    <s v="RALFF"/>
    <s v="Congo"/>
    <s v="RALFF-CO1921"/>
    <s v="1.1.1.4"/>
    <m/>
  </r>
  <r>
    <d v="2021-02-23T00:00:00"/>
    <s v="Crépin"/>
    <x v="1"/>
    <m/>
    <m/>
    <n v="5000"/>
    <n v="19052126.99927"/>
    <x v="3"/>
    <m/>
    <x v="0"/>
    <m/>
    <m/>
    <m/>
    <m/>
    <m/>
  </r>
  <r>
    <d v="2021-02-23T00:00:00"/>
    <s v="Crépin"/>
    <x v="1"/>
    <m/>
    <m/>
    <n v="15000"/>
    <n v="19037126.99927"/>
    <x v="3"/>
    <m/>
    <x v="0"/>
    <m/>
    <m/>
    <m/>
    <m/>
    <m/>
  </r>
  <r>
    <d v="2021-02-23T00:00:00"/>
    <s v="Christian"/>
    <x v="1"/>
    <m/>
    <m/>
    <n v="10000"/>
    <n v="19027126.99927"/>
    <x v="3"/>
    <m/>
    <x v="0"/>
    <m/>
    <m/>
    <m/>
    <m/>
    <m/>
  </r>
  <r>
    <d v="2021-02-23T00:00:00"/>
    <s v="Cumul frais Jail Visite  à Brazzaville /Christian"/>
    <x v="16"/>
    <s v="Legal"/>
    <m/>
    <n v="12000"/>
    <n v="19015126.99927"/>
    <x v="5"/>
    <s v="Décharge"/>
    <x v="2"/>
    <s v="PALF"/>
    <s v="Congo"/>
    <m/>
    <m/>
    <m/>
  </r>
  <r>
    <d v="2021-02-23T00:00:00"/>
    <s v="Recu caisse/Christian"/>
    <x v="1"/>
    <m/>
    <n v="10000"/>
    <m/>
    <n v="19025126.99927"/>
    <x v="5"/>
    <m/>
    <x v="0"/>
    <m/>
    <m/>
    <m/>
    <m/>
    <m/>
  </r>
  <r>
    <d v="2021-02-23T00:00:00"/>
    <s v="Reçu caisse/Crépin"/>
    <x v="1"/>
    <m/>
    <n v="15000"/>
    <m/>
    <n v="19040126.99927"/>
    <x v="6"/>
    <m/>
    <x v="0"/>
    <m/>
    <m/>
    <m/>
    <m/>
    <m/>
  </r>
  <r>
    <d v="2021-02-23T00:00:00"/>
    <s v="Bonus 13 gendarmes pour OP à Brazzaville/Hérick"/>
    <x v="10"/>
    <s v="Operations"/>
    <m/>
    <n v="130000"/>
    <n v="18910126.99927"/>
    <x v="15"/>
    <s v="Décharge"/>
    <x v="2"/>
    <s v="PALF"/>
    <s v="Congo"/>
    <m/>
    <m/>
    <m/>
  </r>
  <r>
    <d v="2021-02-23T00:00:00"/>
    <s v=" Carburant pour la Gendarmeries OP à Brazzaville/Hérick"/>
    <x v="11"/>
    <s v="Operations"/>
    <m/>
    <n v="25000"/>
    <n v="18885126.99927"/>
    <x v="15"/>
    <s v="Décharge"/>
    <x v="2"/>
    <s v="PALF"/>
    <s v="Congo"/>
    <m/>
    <m/>
    <m/>
  </r>
  <r>
    <d v="2021-02-24T00:00:00"/>
    <s v="Achat 50,53litres de gazoil/groupe electrogiène/Bureau PAL"/>
    <x v="5"/>
    <s v="Office"/>
    <m/>
    <n v="24000"/>
    <n v="18861126.99927"/>
    <x v="3"/>
    <s v="Oui"/>
    <x v="3"/>
    <s v="RALFF"/>
    <s v="Congo"/>
    <s v="RALFF-CO1923"/>
    <s v="4.4"/>
    <m/>
  </r>
  <r>
    <d v="2021-02-24T00:00:00"/>
    <s v="Frais achat jus et repas pour les informateurs /Brazzaville P29"/>
    <x v="3"/>
    <s v="Investigation"/>
    <m/>
    <n v="10500"/>
    <n v="18850626.99927"/>
    <x v="3"/>
    <s v="Décharge"/>
    <x v="2"/>
    <s v="PALF"/>
    <s v="Congo"/>
    <m/>
    <m/>
    <m/>
  </r>
  <r>
    <d v="2021-02-24T00:00:00"/>
    <s v=" Frais de sejour à Brazzaville du 24 au 28 Février/Nicolas"/>
    <x v="8"/>
    <s v="CCU"/>
    <m/>
    <n v="50000"/>
    <n v="18800626.99927"/>
    <x v="3"/>
    <s v="Décharge"/>
    <x v="2"/>
    <s v="PALF"/>
    <s v="Congo"/>
    <m/>
    <m/>
    <m/>
  </r>
  <r>
    <d v="2021-02-24T00:00:00"/>
    <s v="achat crédit teléphonique/Tiffany"/>
    <x v="12"/>
    <s v="Management"/>
    <m/>
    <n v="5000"/>
    <n v="18795626.99927"/>
    <x v="3"/>
    <s v="Oui"/>
    <x v="2"/>
    <s v="PALF"/>
    <s v="Congo"/>
    <m/>
    <m/>
    <m/>
  </r>
  <r>
    <d v="2021-02-25T00:00:00"/>
    <s v="Achat 02 cartouches HP63/Imprimante bureau"/>
    <x v="7"/>
    <s v="Office"/>
    <m/>
    <n v="26000"/>
    <n v="18769626.99927"/>
    <x v="3"/>
    <s v="Oui"/>
    <x v="3"/>
    <s v="RALFF"/>
    <s v="Congo"/>
    <s v="RALFF-CO1924"/>
    <s v="4.3"/>
    <m/>
  </r>
  <r>
    <d v="2021-02-25T00:00:00"/>
    <s v="Retrait especes/appro caisse/bord n°3654432"/>
    <x v="1"/>
    <m/>
    <m/>
    <n v="1000000"/>
    <n v="17769626.99927"/>
    <x v="1"/>
    <n v="3654432"/>
    <x v="0"/>
    <m/>
    <m/>
    <m/>
    <m/>
    <m/>
  </r>
  <r>
    <d v="2021-02-25T00:00:00"/>
    <s v="BCI"/>
    <x v="1"/>
    <m/>
    <n v="1000000"/>
    <m/>
    <n v="18769626.99927"/>
    <x v="3"/>
    <m/>
    <x v="0"/>
    <m/>
    <m/>
    <m/>
    <m/>
    <m/>
  </r>
  <r>
    <d v="2021-02-25T00:00:00"/>
    <s v="Achat médicament pour prevenu ROBERT"/>
    <x v="16"/>
    <s v="Legal"/>
    <m/>
    <n v="5700"/>
    <n v="18763926.99927"/>
    <x v="3"/>
    <s v="Décharge"/>
    <x v="2"/>
    <s v="PALF"/>
    <s v="Congo"/>
    <m/>
    <m/>
    <m/>
  </r>
  <r>
    <d v="2021-02-25T00:00:00"/>
    <s v="Achat credit Téléphonique Opération à Brazzaville/crépin"/>
    <x v="12"/>
    <s v="Operations"/>
    <m/>
    <n v="5000"/>
    <n v="18758926.99927"/>
    <x v="3"/>
    <s v="Oui"/>
    <x v="2"/>
    <s v="PALF"/>
    <s v="Congo"/>
    <m/>
    <m/>
    <m/>
  </r>
  <r>
    <d v="2021-02-25T00:00:00"/>
    <s v="Bonus Opération à brazzaville/P29"/>
    <x v="10"/>
    <s v="Operations"/>
    <m/>
    <n v="100000"/>
    <n v="18658926.99927"/>
    <x v="3"/>
    <s v="Décharge"/>
    <x v="2"/>
    <s v="PALF"/>
    <s v="Congo"/>
    <m/>
    <m/>
    <m/>
  </r>
  <r>
    <d v="2021-02-25T00:00:00"/>
    <s v="Impression en couleur dans un cyber d'un document de preuve d'implication du prevevu Robert dans le trafic d'ivoire"/>
    <x v="7"/>
    <s v="Office"/>
    <m/>
    <n v="500"/>
    <n v="18658426.99927"/>
    <x v="7"/>
    <s v="Oui"/>
    <x v="2"/>
    <s v="PALF"/>
    <s v="Congo"/>
    <m/>
    <m/>
    <m/>
  </r>
  <r>
    <d v="2021-02-25T00:00:00"/>
    <s v="Crépin"/>
    <x v="1"/>
    <m/>
    <m/>
    <n v="10000"/>
    <n v="18648426.99927"/>
    <x v="3"/>
    <m/>
    <x v="0"/>
    <m/>
    <m/>
    <m/>
    <m/>
    <m/>
  </r>
  <r>
    <d v="2021-02-25T00:00:00"/>
    <s v="BCI"/>
    <x v="1"/>
    <m/>
    <n v="189000"/>
    <m/>
    <n v="18837426.99927"/>
    <x v="3"/>
    <m/>
    <x v="0"/>
    <m/>
    <m/>
    <m/>
    <m/>
    <m/>
  </r>
  <r>
    <d v="2021-02-25T00:00:00"/>
    <s v="BCI"/>
    <x v="1"/>
    <m/>
    <n v="183000"/>
    <m/>
    <n v="19020426.99927"/>
    <x v="3"/>
    <m/>
    <x v="0"/>
    <m/>
    <m/>
    <m/>
    <m/>
    <m/>
  </r>
  <r>
    <d v="2021-02-25T00:00:00"/>
    <s v="Reçu caisse/Crépin"/>
    <x v="1"/>
    <m/>
    <n v="10000"/>
    <m/>
    <n v="19030426.99927"/>
    <x v="6"/>
    <m/>
    <x v="0"/>
    <m/>
    <m/>
    <m/>
    <m/>
    <m/>
  </r>
  <r>
    <d v="2021-02-26T00:00:00"/>
    <s v="Cumul frais transport local mois de Février 2021/Hérick"/>
    <x v="11"/>
    <s v="Legal"/>
    <m/>
    <n v="26000"/>
    <n v="19004426.99927"/>
    <x v="15"/>
    <s v="Décharge"/>
    <x v="3"/>
    <s v="RALFF"/>
    <s v="Congo"/>
    <s v="RALFF-CO1922"/>
    <s v="2.2"/>
    <m/>
  </r>
  <r>
    <d v="2021-02-26T00:00:00"/>
    <s v="Achat crédit téléphonique/Tiffany et Nicolas"/>
    <x v="12"/>
    <s v="Operations"/>
    <m/>
    <n v="10000"/>
    <n v="18994426.99927"/>
    <x v="3"/>
    <s v="Oui"/>
    <x v="2"/>
    <s v="PALF"/>
    <s v="Congo"/>
    <m/>
    <m/>
    <m/>
  </r>
  <r>
    <d v="2021-02-26T00:00:00"/>
    <s v="Achat 01clé USB de 02GB"/>
    <x v="7"/>
    <s v="Office"/>
    <m/>
    <n v="3000"/>
    <n v="18991426.99927"/>
    <x v="3"/>
    <s v="Oui"/>
    <x v="3"/>
    <s v="RALFF"/>
    <s v="Congo"/>
    <s v="RALFF-CO1925"/>
    <s v="4.3"/>
    <m/>
  </r>
  <r>
    <d v="2021-02-26T00:00:00"/>
    <s v="Jack-Bénisson"/>
    <x v="1"/>
    <m/>
    <m/>
    <n v="37500"/>
    <n v="18953926.99927"/>
    <x v="3"/>
    <m/>
    <x v="0"/>
    <m/>
    <m/>
    <m/>
    <m/>
    <m/>
  </r>
  <r>
    <d v="2021-02-26T00:00:00"/>
    <s v="Reglement prestation Technicienne de Surface mois de Février 2021/MFIELO"/>
    <x v="15"/>
    <s v="Office"/>
    <m/>
    <n v="110000"/>
    <n v="18843926.99927"/>
    <x v="3"/>
    <s v="Oui"/>
    <x v="2"/>
    <s v="PALF"/>
    <s v="Congo"/>
    <m/>
    <m/>
    <m/>
  </r>
  <r>
    <d v="2021-02-26T00:00:00"/>
    <s v="Evariste"/>
    <x v="1"/>
    <m/>
    <m/>
    <n v="10000"/>
    <n v="18833926.99927"/>
    <x v="3"/>
    <m/>
    <x v="0"/>
    <m/>
    <m/>
    <m/>
    <m/>
    <m/>
  </r>
  <r>
    <d v="2021-02-26T00:00:00"/>
    <s v="Frais de test covid/Nicolas"/>
    <x v="13"/>
    <s v="CCU"/>
    <m/>
    <n v="20000"/>
    <n v="18813926.99927"/>
    <x v="3"/>
    <s v="Oui"/>
    <x v="2"/>
    <s v="PALF"/>
    <s v="Congo"/>
    <m/>
    <m/>
    <m/>
  </r>
  <r>
    <d v="2021-02-26T00:00:00"/>
    <s v="P29"/>
    <x v="1"/>
    <m/>
    <m/>
    <n v="60000"/>
    <n v="18753926.99927"/>
    <x v="3"/>
    <m/>
    <x v="0"/>
    <m/>
    <m/>
    <m/>
    <m/>
    <m/>
  </r>
  <r>
    <d v="2021-02-26T00:00:00"/>
    <s v="I23c"/>
    <x v="1"/>
    <m/>
    <m/>
    <n v="60000"/>
    <n v="18693926.99927"/>
    <x v="3"/>
    <m/>
    <x v="0"/>
    <m/>
    <m/>
    <m/>
    <m/>
    <m/>
  </r>
  <r>
    <d v="2021-02-26T00:00:00"/>
    <s v="Cumul frais transport local mois de février/Christian"/>
    <x v="11"/>
    <s v="Legal"/>
    <m/>
    <n v="28000"/>
    <n v="18665926.99927"/>
    <x v="5"/>
    <s v="Oui"/>
    <x v="3"/>
    <s v="RALFF"/>
    <s v="Congo"/>
    <s v="RALFF-CO1926"/>
    <s v="2.2"/>
    <m/>
  </r>
  <r>
    <d v="2021-02-26T00:00:00"/>
    <s v="Cumul frais transport local mois de février 2021/Crépin"/>
    <x v="11"/>
    <s v="Management"/>
    <m/>
    <n v="55500"/>
    <n v="18610426.99927"/>
    <x v="6"/>
    <s v="Décharge"/>
    <x v="3"/>
    <s v="RALFF"/>
    <s v="Congo"/>
    <s v="RALFF-CO1927"/>
    <s v="2.2"/>
    <m/>
  </r>
  <r>
    <d v="2021-02-26T00:00:00"/>
    <s v="Reçu caisse/Evariste"/>
    <x v="1"/>
    <m/>
    <n v="10000"/>
    <m/>
    <n v="18620426.99927"/>
    <x v="7"/>
    <m/>
    <x v="0"/>
    <m/>
    <m/>
    <m/>
    <m/>
    <m/>
  </r>
  <r>
    <d v="2021-02-26T00:00:00"/>
    <s v="Cumul frais transport local mois de février/2021/Evariste"/>
    <x v="11"/>
    <s v="Media"/>
    <m/>
    <n v="59000"/>
    <n v="18561426.99927"/>
    <x v="7"/>
    <s v="Décharge"/>
    <x v="3"/>
    <s v="RALFF"/>
    <s v="Congo"/>
    <s v="RALFF-CO1928"/>
    <s v="2.2"/>
    <m/>
  </r>
  <r>
    <d v="2021-02-26T00:00:00"/>
    <s v="Cumul frais transport local mois Février 2021/Geis"/>
    <x v="11"/>
    <s v="Legal"/>
    <m/>
    <n v="123500"/>
    <n v="18437926.99927"/>
    <x v="8"/>
    <s v="Décharge"/>
    <x v="3"/>
    <s v="RALFF"/>
    <s v="Congo"/>
    <s v="RALFF-CO1929"/>
    <s v="2.2"/>
    <m/>
  </r>
  <r>
    <d v="2021-02-26T00:00:00"/>
    <s v="Reçu caisse/JB"/>
    <x v="1"/>
    <m/>
    <n v="37500"/>
    <m/>
    <n v="18475426.99927"/>
    <x v="4"/>
    <m/>
    <x v="0"/>
    <m/>
    <m/>
    <m/>
    <m/>
    <m/>
  </r>
  <r>
    <d v="2021-02-26T00:00:00"/>
    <s v="Cumul frais transport local mois de février 2021/JB"/>
    <x v="11"/>
    <s v="Operations"/>
    <m/>
    <n v="173500"/>
    <n v="18301926.99927"/>
    <x v="4"/>
    <s v="Décharge"/>
    <x v="3"/>
    <s v="RALFF"/>
    <s v="Congo"/>
    <s v="RALFF-CO1930"/>
    <s v="2.2"/>
    <m/>
  </r>
  <r>
    <d v="2021-02-26T00:00:00"/>
    <s v="Cumul frais visite geôle à Pointe-Noire et Brazzaville/JB"/>
    <x v="16"/>
    <s v="Legal"/>
    <m/>
    <n v="64350"/>
    <n v="18237576.99927"/>
    <x v="4"/>
    <s v="Décharge"/>
    <x v="2"/>
    <s v="PALF"/>
    <s v="Congo"/>
    <m/>
    <m/>
    <m/>
  </r>
  <r>
    <d v="2021-02-26T00:00:00"/>
    <s v="Réçu caisse/I23C"/>
    <x v="1"/>
    <m/>
    <n v="60000"/>
    <m/>
    <n v="18297576.99927"/>
    <x v="13"/>
    <m/>
    <x v="0"/>
    <m/>
    <m/>
    <m/>
    <m/>
    <m/>
  </r>
  <r>
    <d v="2021-02-26T00:00:00"/>
    <s v="Cumul frais transport local mois de février 2021/I23C"/>
    <x v="11"/>
    <s v="Investigation"/>
    <m/>
    <n v="126000"/>
    <n v="18171576.99927"/>
    <x v="13"/>
    <s v="Décharge"/>
    <x v="3"/>
    <s v="RALFF"/>
    <s v="Congo"/>
    <s v="RALFF-CO1931"/>
    <s v="2.2"/>
    <m/>
  </r>
  <r>
    <d v="2021-02-26T00:00:00"/>
    <s v="Cumul frais transport local mois de février 21/Merveille"/>
    <x v="11"/>
    <s v="Management"/>
    <m/>
    <n v="50500"/>
    <n v="18121076.99927"/>
    <x v="9"/>
    <s v="Décharge"/>
    <x v="3"/>
    <s v="RALFF"/>
    <s v="Congo"/>
    <s v="RALFF-CO1932"/>
    <s v="2.2"/>
    <m/>
  </r>
  <r>
    <d v="2021-02-26T00:00:00"/>
    <s v="Recu caisse/P29"/>
    <x v="1"/>
    <m/>
    <n v="60000"/>
    <m/>
    <n v="18181076.99927"/>
    <x v="14"/>
    <m/>
    <x v="0"/>
    <m/>
    <m/>
    <m/>
    <m/>
    <m/>
  </r>
  <r>
    <d v="2021-02-26T00:00:00"/>
    <s v="Cumul frais transport local mois de février 2021/P29"/>
    <x v="11"/>
    <s v="Investigation"/>
    <m/>
    <n v="30000"/>
    <n v="18151076.99927"/>
    <x v="14"/>
    <s v="Décharge"/>
    <x v="3"/>
    <s v="RALFF"/>
    <s v="Congo"/>
    <s v="RALFF-CO1933"/>
    <s v="2.2"/>
    <m/>
  </r>
  <r>
    <d v="2021-02-26T00:00:00"/>
    <s v="Cumul frais transport local mois de février 21/Ted"/>
    <x v="11"/>
    <s v="Management"/>
    <m/>
    <n v="11000"/>
    <n v="18140076.99927"/>
    <x v="12"/>
    <s v="Décharge"/>
    <x v="3"/>
    <s v="RALFF"/>
    <s v="Congo"/>
    <s v="RALFF-CO1934"/>
    <s v="2.2"/>
    <m/>
  </r>
  <r>
    <d v="2021-02-26T00:00:00"/>
    <s v="Reçu caisse/I73X"/>
    <x v="1"/>
    <m/>
    <m/>
    <m/>
    <n v="18140076.99927"/>
    <x v="16"/>
    <m/>
    <x v="0"/>
    <m/>
    <m/>
    <m/>
    <m/>
    <m/>
  </r>
  <r>
    <d v="2021-02-26T00:00:00"/>
    <s v="Reçu caisse/I55S"/>
    <x v="1"/>
    <m/>
    <m/>
    <m/>
    <n v="18140076.99927"/>
    <x v="17"/>
    <m/>
    <x v="0"/>
    <m/>
    <m/>
    <m/>
    <m/>
    <m/>
  </r>
  <r>
    <d v="2021-02-27T00:00:00"/>
    <s v="Cumul frais transport local mois de février 21/Tiffany"/>
    <x v="11"/>
    <s v="Management"/>
    <m/>
    <n v="14000"/>
    <n v="18126076.99927"/>
    <x v="18"/>
    <s v="Décharge"/>
    <x v="3"/>
    <s v="RALFF"/>
    <s v="Congo"/>
    <s v="RALFF-CO1935"/>
    <s v="2.2"/>
    <m/>
  </r>
  <r>
    <d v="2021-02-28T00:00:00"/>
    <s v="Cumul frais bancaire mois de Février  compte 34/BCI"/>
    <x v="17"/>
    <s v="Office"/>
    <m/>
    <n v="11455"/>
    <n v="18114621.99927"/>
    <x v="1"/>
    <s v="Relevé"/>
    <x v="2"/>
    <s v="PALF"/>
    <s v="Congo"/>
    <m/>
    <m/>
    <m/>
  </r>
  <r>
    <d v="2021-02-28T00:00:00"/>
    <s v="Cumul frais bancaire mois de Février compte 56/BCI"/>
    <x v="17"/>
    <s v="Office"/>
    <m/>
    <n v="18476"/>
    <n v="18096145.99927"/>
    <x v="2"/>
    <s v="Relevé"/>
    <x v="3"/>
    <s v="RALFF"/>
    <s v="Congo"/>
    <s v="RALFF-CO1936"/>
    <s v="5.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K24" firstHeaderRow="1" firstDataRow="3" firstDataCol="1"/>
  <pivotFields count="15">
    <pivotField numFmtId="14" showAll="0"/>
    <pivotField showAll="0"/>
    <pivotField axis="axisCol" showAll="0">
      <items count="23">
        <item x="17"/>
        <item x="10"/>
        <item m="1" x="21"/>
        <item x="9"/>
        <item m="1" x="20"/>
        <item x="4"/>
        <item x="16"/>
        <item x="14"/>
        <item x="7"/>
        <item x="2"/>
        <item x="5"/>
        <item x="15"/>
        <item x="12"/>
        <item x="6"/>
        <item x="11"/>
        <item m="1" x="18"/>
        <item x="13"/>
        <item m="1" x="19"/>
        <item x="8"/>
        <item x="3"/>
        <item x="1"/>
        <item x="0"/>
        <item t="default"/>
      </items>
    </pivotField>
    <pivotField showAll="0"/>
    <pivotField dataField="1" showAll="0"/>
    <pivotField dataField="1" showAll="0"/>
    <pivotField numFmtId="166" showAll="0"/>
    <pivotField axis="axisRow" showAll="0">
      <items count="20">
        <item x="1"/>
        <item x="2"/>
        <item x="3"/>
        <item x="5"/>
        <item x="6"/>
        <item x="7"/>
        <item x="8"/>
        <item x="15"/>
        <item x="13"/>
        <item x="17"/>
        <item x="16"/>
        <item x="4"/>
        <item x="9"/>
        <item x="14"/>
        <item x="10"/>
        <item x="11"/>
        <item x="12"/>
        <item h="1" x="0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 t="grand">
      <x/>
    </i>
  </rowItems>
  <colFields count="2">
    <field x="2"/>
    <field x="-2"/>
  </colFields>
  <colItems count="36">
    <i>
      <x/>
      <x/>
    </i>
    <i r="1" i="1">
      <x v="1"/>
    </i>
    <i>
      <x v="1"/>
      <x/>
    </i>
    <i r="1" i="1">
      <x v="1"/>
    </i>
    <i>
      <x v="3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6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 t="grand">
      <x/>
    </i>
    <i t="grand" i="1">
      <x/>
    </i>
  </colItems>
  <dataFields count="2">
    <dataField name="Somme de Received" fld="4" baseField="0" baseItem="0" numFmtId="3"/>
    <dataField name="Somme de Spent" fld="5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5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0">
        <item m="1" x="8"/>
        <item x="1"/>
        <item m="1" x="5"/>
        <item x="2"/>
        <item m="1" x="6"/>
        <item m="1" x="4"/>
        <item x="3"/>
        <item m="1" x="7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4">
    <i>
      <x v="1"/>
    </i>
    <i>
      <x v="3"/>
    </i>
    <i>
      <x v="6"/>
    </i>
    <i t="grand">
      <x/>
    </i>
  </rowItems>
  <colItems count="1">
    <i/>
  </colItems>
  <dataFields count="1">
    <dataField name="Somme de Spent" fld="5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237"/>
  <sheetViews>
    <sheetView zoomScale="80" zoomScaleNormal="80" workbookViewId="0">
      <pane xSplit="1" topLeftCell="B1" activePane="topRight" state="frozen"/>
      <selection pane="topRight" activeCell="F25" sqref="F25"/>
    </sheetView>
  </sheetViews>
  <sheetFormatPr baseColWidth="10" defaultColWidth="11.42578125" defaultRowHeight="15"/>
  <cols>
    <col min="1" max="1" width="31" style="56" customWidth="1"/>
    <col min="2" max="2" width="21.42578125" style="56" customWidth="1"/>
    <col min="3" max="3" width="26" style="56" customWidth="1"/>
    <col min="4" max="4" width="23.7109375" style="56" customWidth="1"/>
    <col min="5" max="5" width="19.5703125" style="56" customWidth="1"/>
    <col min="6" max="6" width="21" style="56" customWidth="1"/>
    <col min="7" max="7" width="19.85546875" style="56" customWidth="1"/>
    <col min="8" max="8" width="20.5703125" style="56" customWidth="1"/>
    <col min="9" max="9" width="19.7109375" style="56" customWidth="1"/>
    <col min="10" max="10" width="16.7109375" style="56" customWidth="1"/>
    <col min="11" max="11" width="14.5703125" style="56" customWidth="1"/>
    <col min="12" max="12" width="16" style="108" customWidth="1"/>
    <col min="13" max="13" width="14.85546875" style="108" customWidth="1"/>
    <col min="14" max="14" width="14.140625" style="108" customWidth="1"/>
    <col min="15" max="15" width="14.85546875" style="108" customWidth="1"/>
    <col min="16" max="16384" width="11.42578125" style="56"/>
  </cols>
  <sheetData>
    <row r="1" spans="1:15">
      <c r="A1" s="55">
        <v>44255</v>
      </c>
    </row>
    <row r="2" spans="1:15" ht="15.75">
      <c r="A2" s="57" t="s">
        <v>89</v>
      </c>
      <c r="B2" s="57" t="s">
        <v>9</v>
      </c>
      <c r="C2" s="57">
        <v>44228</v>
      </c>
      <c r="D2" s="58" t="s">
        <v>90</v>
      </c>
      <c r="E2" s="58" t="s">
        <v>91</v>
      </c>
      <c r="F2" s="58" t="s">
        <v>92</v>
      </c>
      <c r="G2" s="58" t="s">
        <v>93</v>
      </c>
      <c r="H2" s="57">
        <v>44227</v>
      </c>
      <c r="I2" s="58" t="s">
        <v>94</v>
      </c>
      <c r="K2" s="107"/>
      <c r="L2" s="107" t="s">
        <v>95</v>
      </c>
      <c r="M2" s="107" t="s">
        <v>96</v>
      </c>
      <c r="N2" s="107" t="s">
        <v>97</v>
      </c>
      <c r="O2" s="107" t="s">
        <v>98</v>
      </c>
    </row>
    <row r="3" spans="1:15" ht="16.5">
      <c r="A3" s="120" t="str">
        <f>+K3</f>
        <v xml:space="preserve">BCI </v>
      </c>
      <c r="B3" s="121" t="s">
        <v>99</v>
      </c>
      <c r="C3" s="122">
        <f>+[2]Récapitulatif!$I$3</f>
        <v>5510674</v>
      </c>
      <c r="D3" s="235">
        <f>+L3</f>
        <v>0</v>
      </c>
      <c r="E3" s="123">
        <f>+N3</f>
        <v>277455</v>
      </c>
      <c r="F3" s="123">
        <f>+M3</f>
        <v>5500000</v>
      </c>
      <c r="G3" s="123">
        <f>+O3</f>
        <v>10380044</v>
      </c>
      <c r="H3" s="283">
        <f>'Compte Principal 34 BCI'!J27</f>
        <v>10113263</v>
      </c>
      <c r="I3" s="283">
        <f>+C3+D3-E3-F3+G3</f>
        <v>10113263</v>
      </c>
      <c r="J3" s="60">
        <f>I3-H3</f>
        <v>0</v>
      </c>
      <c r="K3" s="107" t="s">
        <v>100</v>
      </c>
      <c r="L3" s="109">
        <v>0</v>
      </c>
      <c r="M3" s="109">
        <v>5500000</v>
      </c>
      <c r="N3" s="109">
        <v>277455</v>
      </c>
      <c r="O3" s="109">
        <v>10380044</v>
      </c>
    </row>
    <row r="4" spans="1:15" ht="16.5">
      <c r="A4" s="120" t="str">
        <f>+K4</f>
        <v>BCI  sous-compte</v>
      </c>
      <c r="B4" s="121" t="s">
        <v>99</v>
      </c>
      <c r="C4" s="122">
        <f>+[2]Récapitulatif!$I$4</f>
        <v>11193664</v>
      </c>
      <c r="D4" s="123">
        <f>+L4</f>
        <v>0</v>
      </c>
      <c r="E4" s="123">
        <f>+N4</f>
        <v>4601760</v>
      </c>
      <c r="F4" s="123">
        <f>+M4</f>
        <v>372000</v>
      </c>
      <c r="G4" s="123">
        <f t="shared" ref="G4:G20" si="0">+O4</f>
        <v>0</v>
      </c>
      <c r="H4" s="283">
        <f>'Sous-Compte 56 BCI'!J33</f>
        <v>6219904</v>
      </c>
      <c r="I4" s="283">
        <f>+C4+D4-E4-F4+G4</f>
        <v>6219904</v>
      </c>
      <c r="J4" s="60">
        <f t="shared" ref="J4:J14" si="1">I4-H4</f>
        <v>0</v>
      </c>
      <c r="K4" s="107" t="s">
        <v>101</v>
      </c>
      <c r="L4" s="109">
        <v>0</v>
      </c>
      <c r="M4" s="109">
        <v>372000</v>
      </c>
      <c r="N4" s="109">
        <v>4601760</v>
      </c>
      <c r="O4" s="109">
        <v>0</v>
      </c>
    </row>
    <row r="5" spans="1:15" ht="16.5">
      <c r="A5" s="120" t="str">
        <f t="shared" ref="A5:A15" si="2">+K5</f>
        <v>Caisse</v>
      </c>
      <c r="B5" s="121" t="s">
        <v>66</v>
      </c>
      <c r="C5" s="122">
        <f>+[2]Récapitulatif!$I$5</f>
        <v>316716</v>
      </c>
      <c r="D5" s="123">
        <f>+L5</f>
        <v>5872000</v>
      </c>
      <c r="E5" s="123">
        <f>+N5</f>
        <v>1523260</v>
      </c>
      <c r="F5" s="123">
        <f t="shared" ref="F5:F20" si="3">+M5</f>
        <v>3517119</v>
      </c>
      <c r="G5" s="123">
        <f t="shared" si="0"/>
        <v>0</v>
      </c>
      <c r="H5" s="283">
        <f>'CAISSE Fev 21'!G136</f>
        <v>1148337</v>
      </c>
      <c r="I5" s="283">
        <f>+C5+D5-E5-F5+G5</f>
        <v>1148337</v>
      </c>
      <c r="J5" s="191">
        <f t="shared" si="1"/>
        <v>0</v>
      </c>
      <c r="K5" s="107" t="s">
        <v>66</v>
      </c>
      <c r="L5" s="109">
        <v>5872000</v>
      </c>
      <c r="M5" s="109">
        <v>3517119</v>
      </c>
      <c r="N5" s="109">
        <v>1523260</v>
      </c>
      <c r="O5" s="109">
        <v>0</v>
      </c>
    </row>
    <row r="6" spans="1:15" ht="16.5">
      <c r="A6" s="120" t="str">
        <f t="shared" si="2"/>
        <v>Christian</v>
      </c>
      <c r="B6" s="121" t="s">
        <v>16</v>
      </c>
      <c r="C6" s="122">
        <f>[2]Récapitulatif!$I$6</f>
        <v>3670</v>
      </c>
      <c r="D6" s="123">
        <f t="shared" ref="D6:D20" si="4">+L6</f>
        <v>122000</v>
      </c>
      <c r="E6" s="123">
        <f t="shared" ref="E6:E20" si="5">+N6</f>
        <v>118000</v>
      </c>
      <c r="F6" s="123">
        <f t="shared" si="3"/>
        <v>0</v>
      </c>
      <c r="G6" s="123">
        <f t="shared" si="0"/>
        <v>0</v>
      </c>
      <c r="H6" s="283">
        <f>'[3]compta shely Vérifier ok'!$G$436</f>
        <v>7670</v>
      </c>
      <c r="I6" s="283">
        <f t="shared" ref="I6:I20" si="6">+C6+D6-E6-F6+G6</f>
        <v>7670</v>
      </c>
      <c r="J6" s="60">
        <f t="shared" si="1"/>
        <v>0</v>
      </c>
      <c r="K6" s="107" t="s">
        <v>133</v>
      </c>
      <c r="L6" s="109">
        <v>122000</v>
      </c>
      <c r="M6" s="109">
        <v>0</v>
      </c>
      <c r="N6" s="109">
        <v>118000</v>
      </c>
      <c r="O6" s="109">
        <v>0</v>
      </c>
    </row>
    <row r="7" spans="1:15" ht="16.5">
      <c r="A7" s="120" t="str">
        <f t="shared" si="2"/>
        <v>Crépin</v>
      </c>
      <c r="B7" s="121" t="s">
        <v>16</v>
      </c>
      <c r="C7" s="122">
        <f>+[2]Récapitulatif!$I$7</f>
        <v>-540</v>
      </c>
      <c r="D7" s="123">
        <f t="shared" si="4"/>
        <v>214750</v>
      </c>
      <c r="E7" s="123">
        <f t="shared" si="5"/>
        <v>209500</v>
      </c>
      <c r="F7" s="123">
        <f t="shared" si="3"/>
        <v>0</v>
      </c>
      <c r="G7" s="123">
        <f t="shared" si="0"/>
        <v>0</v>
      </c>
      <c r="H7" s="283">
        <f>'[4]COMPTA_CREPIN Vérifier OK'!$G$3372</f>
        <v>4710</v>
      </c>
      <c r="I7" s="283">
        <f t="shared" si="6"/>
        <v>4710</v>
      </c>
      <c r="J7" s="60">
        <f t="shared" si="1"/>
        <v>0</v>
      </c>
      <c r="K7" s="107" t="s">
        <v>102</v>
      </c>
      <c r="L7" s="109">
        <v>214750</v>
      </c>
      <c r="M7" s="109">
        <v>0</v>
      </c>
      <c r="N7" s="109">
        <v>209500</v>
      </c>
      <c r="O7" s="109">
        <v>0</v>
      </c>
    </row>
    <row r="8" spans="1:15" ht="16.5">
      <c r="A8" s="120" t="str">
        <f t="shared" si="2"/>
        <v>Evariste</v>
      </c>
      <c r="B8" s="121" t="s">
        <v>16</v>
      </c>
      <c r="C8" s="122">
        <f>+[2]Récapitulatif!$I$8</f>
        <v>2395</v>
      </c>
      <c r="D8" s="123">
        <f t="shared" si="4"/>
        <v>74000</v>
      </c>
      <c r="E8" s="123">
        <f t="shared" si="5"/>
        <v>67100</v>
      </c>
      <c r="F8" s="123">
        <f t="shared" si="3"/>
        <v>0</v>
      </c>
      <c r="G8" s="123">
        <f t="shared" si="0"/>
        <v>0</v>
      </c>
      <c r="H8" s="283">
        <f>'[5]compta OK'!$G$2680</f>
        <v>9295</v>
      </c>
      <c r="I8" s="283">
        <f t="shared" si="6"/>
        <v>9295</v>
      </c>
      <c r="J8" s="60">
        <f t="shared" si="1"/>
        <v>0</v>
      </c>
      <c r="K8" s="107" t="s">
        <v>75</v>
      </c>
      <c r="L8" s="109">
        <v>74000</v>
      </c>
      <c r="M8" s="109">
        <v>0</v>
      </c>
      <c r="N8" s="109">
        <v>67100</v>
      </c>
      <c r="O8" s="109">
        <v>0</v>
      </c>
    </row>
    <row r="9" spans="1:15" ht="16.5">
      <c r="A9" s="120" t="str">
        <f t="shared" si="2"/>
        <v>Geisner</v>
      </c>
      <c r="B9" s="187" t="s">
        <v>16</v>
      </c>
      <c r="C9" s="123">
        <f>+[2]Récapitulatif!$I$9</f>
        <v>96100</v>
      </c>
      <c r="D9" s="123">
        <f t="shared" si="4"/>
        <v>492100</v>
      </c>
      <c r="E9" s="123">
        <f t="shared" si="5"/>
        <v>551700</v>
      </c>
      <c r="F9" s="123">
        <f t="shared" si="3"/>
        <v>61600</v>
      </c>
      <c r="G9" s="123">
        <f t="shared" si="0"/>
        <v>0</v>
      </c>
      <c r="H9" s="283">
        <f>'[6]COMPTA Vérification OK'!$G$316</f>
        <v>-25100</v>
      </c>
      <c r="I9" s="283">
        <f t="shared" si="6"/>
        <v>-25100</v>
      </c>
      <c r="J9" s="60">
        <f t="shared" si="1"/>
        <v>0</v>
      </c>
      <c r="K9" s="107" t="s">
        <v>134</v>
      </c>
      <c r="L9" s="109">
        <v>492100</v>
      </c>
      <c r="M9" s="109">
        <v>61600</v>
      </c>
      <c r="N9" s="109">
        <v>551700</v>
      </c>
      <c r="O9" s="109">
        <v>0</v>
      </c>
    </row>
    <row r="10" spans="1:15" ht="16.5">
      <c r="A10" s="120" t="str">
        <f t="shared" si="2"/>
        <v>Herick</v>
      </c>
      <c r="B10" s="187" t="s">
        <v>16</v>
      </c>
      <c r="C10" s="123">
        <f>+[2]Récapitulatif!$I$10</f>
        <v>13884</v>
      </c>
      <c r="D10" s="283">
        <f t="shared" si="4"/>
        <v>194000</v>
      </c>
      <c r="E10" s="283">
        <f t="shared" si="5"/>
        <v>183500</v>
      </c>
      <c r="F10" s="283">
        <f t="shared" si="3"/>
        <v>17000</v>
      </c>
      <c r="G10" s="283">
        <f t="shared" si="0"/>
        <v>0</v>
      </c>
      <c r="H10" s="123">
        <f>+'[7]compta Vérifier ok'!$G$2789</f>
        <v>7383.5</v>
      </c>
      <c r="I10" s="283">
        <f t="shared" si="6"/>
        <v>7384</v>
      </c>
      <c r="J10" s="60">
        <f t="shared" si="1"/>
        <v>0.5</v>
      </c>
      <c r="K10" s="107" t="s">
        <v>69</v>
      </c>
      <c r="L10" s="109">
        <v>194000</v>
      </c>
      <c r="M10" s="109">
        <v>17000</v>
      </c>
      <c r="N10" s="109">
        <v>183500</v>
      </c>
      <c r="O10" s="109">
        <v>0</v>
      </c>
    </row>
    <row r="11" spans="1:15" ht="16.5">
      <c r="A11" s="120" t="str">
        <f>K11</f>
        <v>I23C</v>
      </c>
      <c r="B11" s="121" t="s">
        <v>31</v>
      </c>
      <c r="C11" s="122">
        <f>+[2]Récapitulatif!$I$11</f>
        <v>72400</v>
      </c>
      <c r="D11" s="123">
        <f t="shared" si="4"/>
        <v>599900</v>
      </c>
      <c r="E11" s="123">
        <f t="shared" si="5"/>
        <v>611000</v>
      </c>
      <c r="F11" s="123">
        <f t="shared" si="3"/>
        <v>0</v>
      </c>
      <c r="G11" s="123">
        <f t="shared" si="0"/>
        <v>0</v>
      </c>
      <c r="H11" s="283">
        <f>'[8]COMPTA_I23C (2)'!$G$4636</f>
        <v>61300</v>
      </c>
      <c r="I11" s="283">
        <f t="shared" si="6"/>
        <v>61300</v>
      </c>
      <c r="J11" s="60">
        <f t="shared" si="1"/>
        <v>0</v>
      </c>
      <c r="K11" s="107" t="s">
        <v>74</v>
      </c>
      <c r="L11" s="109">
        <v>599900</v>
      </c>
      <c r="M11" s="109">
        <v>0</v>
      </c>
      <c r="N11" s="109">
        <v>611000</v>
      </c>
      <c r="O11" s="109">
        <v>0</v>
      </c>
    </row>
    <row r="12" spans="1:15" ht="16.5">
      <c r="A12" s="263" t="str">
        <f t="shared" si="2"/>
        <v>I55S</v>
      </c>
      <c r="B12" s="264" t="s">
        <v>31</v>
      </c>
      <c r="C12" s="265">
        <f>+[2]Récapitulatif!$I$12</f>
        <v>233614</v>
      </c>
      <c r="D12" s="266">
        <f t="shared" si="4"/>
        <v>0</v>
      </c>
      <c r="E12" s="266">
        <f t="shared" si="5"/>
        <v>0</v>
      </c>
      <c r="F12" s="266">
        <f t="shared" si="3"/>
        <v>0</v>
      </c>
      <c r="G12" s="266">
        <f t="shared" si="0"/>
        <v>0</v>
      </c>
      <c r="H12" s="284">
        <v>233614</v>
      </c>
      <c r="I12" s="284">
        <f t="shared" si="6"/>
        <v>233614</v>
      </c>
      <c r="J12" s="60">
        <f t="shared" si="1"/>
        <v>0</v>
      </c>
      <c r="K12" s="107" t="s">
        <v>142</v>
      </c>
      <c r="L12" s="109">
        <v>0</v>
      </c>
      <c r="M12" s="109">
        <v>0</v>
      </c>
      <c r="N12" s="109">
        <v>0</v>
      </c>
      <c r="O12" s="109">
        <v>0</v>
      </c>
    </row>
    <row r="13" spans="1:15" ht="16.5">
      <c r="A13" s="263" t="str">
        <f t="shared" si="2"/>
        <v>I73X</v>
      </c>
      <c r="B13" s="264" t="s">
        <v>31</v>
      </c>
      <c r="C13" s="265">
        <f>+[2]Récapitulatif!$I$13</f>
        <v>249769</v>
      </c>
      <c r="D13" s="266">
        <f t="shared" si="4"/>
        <v>0</v>
      </c>
      <c r="E13" s="266">
        <f t="shared" si="5"/>
        <v>0</v>
      </c>
      <c r="F13" s="266">
        <f t="shared" si="3"/>
        <v>0</v>
      </c>
      <c r="G13" s="266">
        <f t="shared" si="0"/>
        <v>0</v>
      </c>
      <c r="H13" s="284">
        <v>249769</v>
      </c>
      <c r="I13" s="284">
        <f t="shared" si="6"/>
        <v>249769</v>
      </c>
      <c r="J13" s="60">
        <f t="shared" si="1"/>
        <v>0</v>
      </c>
      <c r="K13" s="107" t="s">
        <v>141</v>
      </c>
      <c r="L13" s="109">
        <v>0</v>
      </c>
      <c r="M13" s="109">
        <v>0</v>
      </c>
      <c r="N13" s="109">
        <v>0</v>
      </c>
      <c r="O13" s="109">
        <v>0</v>
      </c>
    </row>
    <row r="14" spans="1:15" ht="16.5">
      <c r="A14" s="120" t="str">
        <f t="shared" si="2"/>
        <v>Jack-Bénisson</v>
      </c>
      <c r="B14" s="187" t="s">
        <v>16</v>
      </c>
      <c r="C14" s="122">
        <f>+[2]Récapitulatif!$I$14</f>
        <v>18490</v>
      </c>
      <c r="D14" s="123">
        <f t="shared" si="4"/>
        <v>858060</v>
      </c>
      <c r="E14" s="123">
        <f t="shared" si="5"/>
        <v>872050</v>
      </c>
      <c r="F14" s="123">
        <f t="shared" si="3"/>
        <v>0</v>
      </c>
      <c r="G14" s="123">
        <f t="shared" si="0"/>
        <v>0</v>
      </c>
      <c r="H14" s="283">
        <f>'[9]Fichier compta Vérifier ok'!$G$3022</f>
        <v>4500</v>
      </c>
      <c r="I14" s="283">
        <f t="shared" si="6"/>
        <v>4500</v>
      </c>
      <c r="J14" s="60">
        <f t="shared" si="1"/>
        <v>0</v>
      </c>
      <c r="K14" s="107" t="s">
        <v>83</v>
      </c>
      <c r="L14" s="109">
        <v>858060</v>
      </c>
      <c r="M14" s="109">
        <v>0</v>
      </c>
      <c r="N14" s="109">
        <v>872050</v>
      </c>
      <c r="O14" s="109">
        <v>0</v>
      </c>
    </row>
    <row r="15" spans="1:15" ht="16.5">
      <c r="A15" s="120" t="str">
        <f t="shared" si="2"/>
        <v>Merveille</v>
      </c>
      <c r="B15" s="121" t="s">
        <v>19</v>
      </c>
      <c r="C15" s="122">
        <f>+[2]Récapitulatif!$I$15</f>
        <v>4500</v>
      </c>
      <c r="D15" s="123">
        <f t="shared" si="4"/>
        <v>40000</v>
      </c>
      <c r="E15" s="123">
        <f t="shared" si="5"/>
        <v>50500</v>
      </c>
      <c r="F15" s="123">
        <f t="shared" si="3"/>
        <v>0</v>
      </c>
      <c r="G15" s="123">
        <f t="shared" si="0"/>
        <v>0</v>
      </c>
      <c r="H15" s="283">
        <f>+'[10]compta Merveille Vérifier ok'!$G$58</f>
        <v>-6000</v>
      </c>
      <c r="I15" s="283">
        <f t="shared" si="6"/>
        <v>-6000</v>
      </c>
      <c r="J15" s="60">
        <f>I15-H15</f>
        <v>0</v>
      </c>
      <c r="K15" s="107" t="s">
        <v>158</v>
      </c>
      <c r="L15" s="109">
        <v>40000</v>
      </c>
      <c r="M15" s="109">
        <v>0</v>
      </c>
      <c r="N15" s="109">
        <v>50500</v>
      </c>
      <c r="O15" s="109">
        <v>0</v>
      </c>
    </row>
    <row r="16" spans="1:15" ht="16.5">
      <c r="A16" s="120" t="str">
        <f>K16</f>
        <v>P29</v>
      </c>
      <c r="B16" s="121" t="s">
        <v>31</v>
      </c>
      <c r="C16" s="122">
        <f>+[2]Récapitulatif!$I$16</f>
        <v>44200</v>
      </c>
      <c r="D16" s="123">
        <f t="shared" si="4"/>
        <v>60000</v>
      </c>
      <c r="E16" s="123">
        <f t="shared" si="5"/>
        <v>32000</v>
      </c>
      <c r="F16" s="123">
        <f t="shared" si="3"/>
        <v>0</v>
      </c>
      <c r="G16" s="123">
        <f t="shared" si="0"/>
        <v>0</v>
      </c>
      <c r="H16" s="283">
        <f>+'[11]COMPT-P29 Vérifie OK'!$G$656</f>
        <v>72200</v>
      </c>
      <c r="I16" s="283">
        <f t="shared" si="6"/>
        <v>72200</v>
      </c>
      <c r="J16" s="60">
        <f t="shared" ref="J16:J20" si="7">I16-H16</f>
        <v>0</v>
      </c>
      <c r="K16" s="107" t="s">
        <v>72</v>
      </c>
      <c r="L16" s="109">
        <v>60000</v>
      </c>
      <c r="M16" s="109">
        <v>0</v>
      </c>
      <c r="N16" s="109">
        <v>32000</v>
      </c>
      <c r="O16" s="109">
        <v>0</v>
      </c>
    </row>
    <row r="17" spans="1:15" ht="16.5">
      <c r="A17" s="120" t="str">
        <f>+K17</f>
        <v>Perrine</v>
      </c>
      <c r="B17" s="121" t="s">
        <v>19</v>
      </c>
      <c r="C17" s="122">
        <f>+[2]Récapitulatif!$I$17</f>
        <v>-851709.00072999997</v>
      </c>
      <c r="D17" s="123">
        <f t="shared" si="4"/>
        <v>851709</v>
      </c>
      <c r="E17" s="123">
        <f t="shared" si="5"/>
        <v>0</v>
      </c>
      <c r="F17" s="123">
        <f>+M17</f>
        <v>0</v>
      </c>
      <c r="G17" s="123">
        <f t="shared" si="0"/>
        <v>0</v>
      </c>
      <c r="H17" s="283">
        <f>+[12]Feuil1!$G$950</f>
        <v>-7.2999997064471245E-4</v>
      </c>
      <c r="I17" s="283">
        <f t="shared" si="6"/>
        <v>-7.2999997064471245E-4</v>
      </c>
      <c r="J17" s="60">
        <f t="shared" si="7"/>
        <v>0</v>
      </c>
      <c r="K17" s="107" t="s">
        <v>167</v>
      </c>
      <c r="L17" s="109">
        <v>851709</v>
      </c>
      <c r="M17" s="109">
        <v>0</v>
      </c>
      <c r="N17" s="109">
        <v>0</v>
      </c>
      <c r="O17" s="109">
        <v>0</v>
      </c>
    </row>
    <row r="18" spans="1:15" ht="16.5">
      <c r="A18" s="120" t="str">
        <f>K18</f>
        <v>T44</v>
      </c>
      <c r="B18" s="121" t="s">
        <v>31</v>
      </c>
      <c r="C18" s="122">
        <f>+[2]Récapitulatif!$I$18</f>
        <v>90300</v>
      </c>
      <c r="D18" s="123">
        <f t="shared" si="4"/>
        <v>69200</v>
      </c>
      <c r="E18" s="123">
        <f t="shared" si="5"/>
        <v>159500</v>
      </c>
      <c r="F18" s="123">
        <f t="shared" si="3"/>
        <v>0</v>
      </c>
      <c r="G18" s="123">
        <f t="shared" si="0"/>
        <v>0</v>
      </c>
      <c r="H18" s="283">
        <f>+'[13]Compta RINES vérifier ok'!$G$91</f>
        <v>0</v>
      </c>
      <c r="I18" s="283">
        <f t="shared" si="6"/>
        <v>0</v>
      </c>
      <c r="J18" s="60">
        <f t="shared" si="7"/>
        <v>0</v>
      </c>
      <c r="K18" s="107" t="s">
        <v>179</v>
      </c>
      <c r="L18" s="109">
        <v>69200</v>
      </c>
      <c r="M18" s="109">
        <v>0</v>
      </c>
      <c r="N18" s="109">
        <v>159500</v>
      </c>
      <c r="O18" s="109">
        <v>0</v>
      </c>
    </row>
    <row r="19" spans="1:15" ht="16.5">
      <c r="A19" s="120" t="str">
        <f>+K19</f>
        <v>Ted</v>
      </c>
      <c r="B19" s="261" t="s">
        <v>19</v>
      </c>
      <c r="C19" s="122">
        <f>+[2]Récapitulatif!$I$19</f>
        <v>300</v>
      </c>
      <c r="D19" s="123">
        <f t="shared" si="4"/>
        <v>20000</v>
      </c>
      <c r="E19" s="123">
        <f t="shared" si="5"/>
        <v>11000</v>
      </c>
      <c r="F19" s="123"/>
      <c r="G19" s="123"/>
      <c r="H19" s="283">
        <f>+'[14]compta ted vérifier ok'!$G$24</f>
        <v>9300</v>
      </c>
      <c r="I19" s="283">
        <f t="shared" si="6"/>
        <v>9300</v>
      </c>
      <c r="J19" s="60"/>
      <c r="K19" s="107" t="s">
        <v>76</v>
      </c>
      <c r="L19" s="109">
        <v>20000</v>
      </c>
      <c r="M19" s="109">
        <v>0</v>
      </c>
      <c r="N19" s="109">
        <v>11000</v>
      </c>
      <c r="O19" s="109">
        <v>0</v>
      </c>
    </row>
    <row r="20" spans="1:15" ht="16.5">
      <c r="A20" s="260" t="str">
        <f>K20</f>
        <v>Tiffany</v>
      </c>
      <c r="B20" s="261" t="s">
        <v>19</v>
      </c>
      <c r="C20" s="262">
        <v>0</v>
      </c>
      <c r="D20" s="123">
        <f t="shared" si="4"/>
        <v>0</v>
      </c>
      <c r="E20" s="123">
        <f t="shared" si="5"/>
        <v>14000</v>
      </c>
      <c r="F20" s="123">
        <f t="shared" si="3"/>
        <v>0</v>
      </c>
      <c r="G20" s="123">
        <f t="shared" si="0"/>
        <v>0</v>
      </c>
      <c r="H20" s="285">
        <f>+'[15]Compta Vérifier ok'!$G$22</f>
        <v>-14000</v>
      </c>
      <c r="I20" s="283">
        <f t="shared" si="6"/>
        <v>-14000</v>
      </c>
      <c r="J20" s="60">
        <f t="shared" si="7"/>
        <v>0</v>
      </c>
      <c r="K20" s="259" t="s">
        <v>385</v>
      </c>
      <c r="L20" s="109">
        <v>0</v>
      </c>
      <c r="M20" s="109">
        <v>0</v>
      </c>
      <c r="N20" s="109">
        <v>14000</v>
      </c>
      <c r="O20" s="109">
        <v>0</v>
      </c>
    </row>
    <row r="21" spans="1:15" ht="16.5">
      <c r="A21" s="61" t="s">
        <v>105</v>
      </c>
      <c r="B21" s="62"/>
      <c r="C21" s="63">
        <f>SUM(C3:C20)</f>
        <v>16998426.99927</v>
      </c>
      <c r="D21" s="119">
        <f>SUM(D3:D20)</f>
        <v>9467719</v>
      </c>
      <c r="E21" s="119">
        <f t="shared" ref="E21:H21" si="8">SUM(E3:E20)</f>
        <v>9282325</v>
      </c>
      <c r="F21" s="119">
        <f t="shared" si="8"/>
        <v>9467719</v>
      </c>
      <c r="G21" s="119">
        <f t="shared" si="8"/>
        <v>10380044</v>
      </c>
      <c r="H21" s="119">
        <f t="shared" si="8"/>
        <v>18096145.49927</v>
      </c>
      <c r="I21" s="119">
        <f>SUM(I3:I20)</f>
        <v>18096145.99927</v>
      </c>
      <c r="J21" s="60">
        <f>I21-H21</f>
        <v>0.5</v>
      </c>
      <c r="L21" s="109">
        <v>9467719</v>
      </c>
      <c r="M21" s="109">
        <v>9467719</v>
      </c>
      <c r="N21" s="109">
        <v>9282325</v>
      </c>
      <c r="O21" s="109">
        <v>10380044</v>
      </c>
    </row>
    <row r="22" spans="1:15" ht="16.5">
      <c r="A22" s="61"/>
      <c r="B22" s="62"/>
      <c r="C22" s="63"/>
      <c r="D22" s="64"/>
      <c r="E22" s="63"/>
      <c r="F22" s="64"/>
      <c r="G22" s="63"/>
      <c r="H22" s="63"/>
      <c r="I22" s="292" t="b">
        <f>I21=D24</f>
        <v>1</v>
      </c>
      <c r="L22" s="56"/>
      <c r="M22" s="56"/>
      <c r="N22" s="56"/>
      <c r="O22" s="56"/>
    </row>
    <row r="23" spans="1:15" ht="16.5">
      <c r="A23" s="61" t="s">
        <v>405</v>
      </c>
      <c r="B23" s="62" t="s">
        <v>406</v>
      </c>
      <c r="C23" s="63" t="s">
        <v>407</v>
      </c>
      <c r="D23" s="63" t="s">
        <v>408</v>
      </c>
      <c r="E23" s="63" t="s">
        <v>106</v>
      </c>
      <c r="F23" s="63"/>
      <c r="G23" s="63">
        <f>+D21-F21</f>
        <v>0</v>
      </c>
      <c r="H23" s="63"/>
      <c r="I23" s="63"/>
    </row>
    <row r="24" spans="1:15" ht="16.5">
      <c r="A24" s="65">
        <f>C21</f>
        <v>16998426.99927</v>
      </c>
      <c r="B24" s="66">
        <f>G21</f>
        <v>10380044</v>
      </c>
      <c r="C24" s="63">
        <f>E21</f>
        <v>9282325</v>
      </c>
      <c r="D24" s="63">
        <f>A24+B24-C24</f>
        <v>18096145.99927</v>
      </c>
      <c r="E24" s="64">
        <f>I21-D24</f>
        <v>0</v>
      </c>
      <c r="F24" s="63"/>
      <c r="G24" s="63"/>
      <c r="H24" s="63"/>
      <c r="I24" s="63"/>
    </row>
    <row r="25" spans="1:15" ht="16.5">
      <c r="A25" s="65"/>
      <c r="B25" s="66"/>
      <c r="C25" s="63"/>
      <c r="D25" s="63"/>
      <c r="E25" s="64"/>
      <c r="F25" s="63"/>
      <c r="G25" s="63"/>
      <c r="H25" s="63"/>
      <c r="I25" s="63"/>
    </row>
    <row r="26" spans="1:15">
      <c r="A26" s="67" t="s">
        <v>107</v>
      </c>
      <c r="B26" s="67"/>
      <c r="C26" s="67"/>
      <c r="D26" s="68"/>
      <c r="E26" s="68"/>
      <c r="F26" s="68"/>
      <c r="G26" s="68"/>
      <c r="H26" s="68"/>
      <c r="I26" s="68"/>
    </row>
    <row r="27" spans="1:15">
      <c r="A27" s="69" t="s">
        <v>451</v>
      </c>
      <c r="B27" s="69"/>
      <c r="C27" s="69"/>
      <c r="D27" s="69"/>
      <c r="E27" s="69"/>
      <c r="F27" s="69"/>
      <c r="G27" s="69"/>
      <c r="H27" s="69"/>
      <c r="I27" s="69"/>
      <c r="J27" s="68"/>
    </row>
    <row r="28" spans="1:15">
      <c r="A28" s="70"/>
      <c r="B28" s="71"/>
      <c r="C28" s="72"/>
      <c r="D28" s="72"/>
      <c r="E28" s="72"/>
      <c r="F28" s="72"/>
      <c r="G28" s="72"/>
      <c r="H28" s="71"/>
      <c r="I28" s="71"/>
      <c r="J28" s="69"/>
    </row>
    <row r="29" spans="1:15">
      <c r="A29" s="492" t="s">
        <v>108</v>
      </c>
      <c r="B29" s="494" t="s">
        <v>109</v>
      </c>
      <c r="C29" s="496" t="s">
        <v>453</v>
      </c>
      <c r="D29" s="498" t="s">
        <v>110</v>
      </c>
      <c r="E29" s="499"/>
      <c r="F29" s="499"/>
      <c r="G29" s="500"/>
      <c r="H29" s="501" t="s">
        <v>111</v>
      </c>
      <c r="I29" s="488" t="s">
        <v>112</v>
      </c>
      <c r="J29" s="71"/>
    </row>
    <row r="30" spans="1:15">
      <c r="A30" s="493"/>
      <c r="B30" s="495"/>
      <c r="C30" s="497"/>
      <c r="D30" s="73" t="s">
        <v>60</v>
      </c>
      <c r="E30" s="73" t="s">
        <v>66</v>
      </c>
      <c r="F30" s="317" t="s">
        <v>456</v>
      </c>
      <c r="G30" s="73" t="s">
        <v>113</v>
      </c>
      <c r="H30" s="502"/>
      <c r="I30" s="489"/>
      <c r="J30" s="490" t="s">
        <v>454</v>
      </c>
    </row>
    <row r="31" spans="1:15">
      <c r="A31" s="75"/>
      <c r="B31" s="76" t="s">
        <v>114</v>
      </c>
      <c r="C31" s="77"/>
      <c r="D31" s="77"/>
      <c r="E31" s="77"/>
      <c r="F31" s="77"/>
      <c r="G31" s="77"/>
      <c r="H31" s="77"/>
      <c r="I31" s="78"/>
      <c r="J31" s="491"/>
    </row>
    <row r="32" spans="1:15">
      <c r="A32" s="270" t="s">
        <v>452</v>
      </c>
      <c r="B32" s="275" t="s">
        <v>133</v>
      </c>
      <c r="C32" s="84">
        <f>C6</f>
        <v>3670</v>
      </c>
      <c r="D32" s="83"/>
      <c r="E32" s="84">
        <v>118000</v>
      </c>
      <c r="F32" s="84">
        <v>4000</v>
      </c>
      <c r="G32" s="84"/>
      <c r="H32" s="117"/>
      <c r="I32" s="84">
        <v>118000</v>
      </c>
      <c r="J32" s="82">
        <f>+SUM(C32:G32)-(H32+I32)</f>
        <v>7670</v>
      </c>
      <c r="K32" s="442" t="b">
        <f>J32=I6</f>
        <v>1</v>
      </c>
    </row>
    <row r="33" spans="1:11">
      <c r="A33" s="270" t="s">
        <v>452</v>
      </c>
      <c r="B33" s="275" t="s">
        <v>102</v>
      </c>
      <c r="C33" s="84">
        <f t="shared" ref="C33:C46" si="9">C7</f>
        <v>-540</v>
      </c>
      <c r="D33" s="83"/>
      <c r="E33" s="84">
        <v>209750</v>
      </c>
      <c r="F33" s="84">
        <v>5000</v>
      </c>
      <c r="G33" s="84"/>
      <c r="H33" s="117"/>
      <c r="I33" s="84">
        <v>209500</v>
      </c>
      <c r="J33" s="82">
        <f t="shared" ref="J33:J34" si="10">+SUM(C33:G33)-(H33+I33)</f>
        <v>4710</v>
      </c>
      <c r="K33" s="442" t="b">
        <f t="shared" ref="K33:K46" si="11">J33=I7</f>
        <v>1</v>
      </c>
    </row>
    <row r="34" spans="1:11">
      <c r="A34" s="270" t="s">
        <v>452</v>
      </c>
      <c r="B34" s="275" t="s">
        <v>75</v>
      </c>
      <c r="C34" s="84">
        <f t="shared" si="9"/>
        <v>2395</v>
      </c>
      <c r="D34" s="83"/>
      <c r="E34" s="84">
        <v>70000</v>
      </c>
      <c r="F34" s="84">
        <v>4000</v>
      </c>
      <c r="G34" s="84"/>
      <c r="H34" s="84"/>
      <c r="I34" s="84">
        <v>67100</v>
      </c>
      <c r="J34" s="190">
        <f t="shared" si="10"/>
        <v>9295</v>
      </c>
      <c r="K34" s="442" t="b">
        <f t="shared" si="11"/>
        <v>1</v>
      </c>
    </row>
    <row r="35" spans="1:11">
      <c r="A35" s="270" t="s">
        <v>452</v>
      </c>
      <c r="B35" s="275" t="s">
        <v>134</v>
      </c>
      <c r="C35" s="84">
        <f t="shared" si="9"/>
        <v>96100</v>
      </c>
      <c r="D35" s="199"/>
      <c r="E35" s="84">
        <v>488100</v>
      </c>
      <c r="F35" s="84">
        <v>4000</v>
      </c>
      <c r="G35" s="84"/>
      <c r="H35" s="84">
        <v>61600</v>
      </c>
      <c r="I35" s="84">
        <v>551700</v>
      </c>
      <c r="J35" s="190">
        <f>+SUM(C35:G35)-(H35+I35)</f>
        <v>-25100</v>
      </c>
      <c r="K35" s="442" t="b">
        <f t="shared" si="11"/>
        <v>1</v>
      </c>
    </row>
    <row r="36" spans="1:11">
      <c r="A36" s="270" t="s">
        <v>452</v>
      </c>
      <c r="B36" s="275" t="s">
        <v>125</v>
      </c>
      <c r="C36" s="84">
        <f t="shared" si="9"/>
        <v>13884</v>
      </c>
      <c r="D36" s="199"/>
      <c r="E36" s="84">
        <v>194000</v>
      </c>
      <c r="F36" s="84"/>
      <c r="G36" s="84"/>
      <c r="H36" s="84">
        <v>17000</v>
      </c>
      <c r="I36" s="84">
        <v>183500</v>
      </c>
      <c r="J36" s="190">
        <f t="shared" ref="J36" si="12">+SUM(C36:G36)-(H36+I36)</f>
        <v>7384</v>
      </c>
      <c r="K36" s="442" t="b">
        <f t="shared" si="11"/>
        <v>1</v>
      </c>
    </row>
    <row r="37" spans="1:11">
      <c r="A37" s="270" t="s">
        <v>452</v>
      </c>
      <c r="B37" s="276" t="s">
        <v>74</v>
      </c>
      <c r="C37" s="84">
        <f t="shared" si="9"/>
        <v>72400</v>
      </c>
      <c r="D37" s="267"/>
      <c r="E37" s="113">
        <v>599900</v>
      </c>
      <c r="F37" s="113"/>
      <c r="G37" s="113"/>
      <c r="H37" s="113"/>
      <c r="I37" s="113">
        <v>611000</v>
      </c>
      <c r="J37" s="272">
        <f>+SUM(C37:G37)-(H37+I37)</f>
        <v>61300</v>
      </c>
      <c r="K37" s="442" t="b">
        <f t="shared" si="11"/>
        <v>1</v>
      </c>
    </row>
    <row r="38" spans="1:11">
      <c r="A38" s="270" t="s">
        <v>452</v>
      </c>
      <c r="B38" s="277" t="s">
        <v>142</v>
      </c>
      <c r="C38" s="268">
        <f t="shared" si="9"/>
        <v>233614</v>
      </c>
      <c r="D38" s="271"/>
      <c r="E38" s="295"/>
      <c r="F38" s="295"/>
      <c r="G38" s="295"/>
      <c r="H38" s="295"/>
      <c r="I38" s="295"/>
      <c r="J38" s="269">
        <f>+SUM(C38:G38)-(H38+I38)</f>
        <v>233614</v>
      </c>
      <c r="K38" s="442" t="b">
        <f t="shared" si="11"/>
        <v>1</v>
      </c>
    </row>
    <row r="39" spans="1:11">
      <c r="A39" s="270" t="s">
        <v>452</v>
      </c>
      <c r="B39" s="277" t="s">
        <v>141</v>
      </c>
      <c r="C39" s="268">
        <f t="shared" si="9"/>
        <v>249769</v>
      </c>
      <c r="D39" s="271"/>
      <c r="E39" s="295"/>
      <c r="F39" s="295"/>
      <c r="G39" s="295"/>
      <c r="H39" s="295"/>
      <c r="I39" s="295"/>
      <c r="J39" s="269">
        <f t="shared" ref="J39:J46" si="13">+SUM(C39:G39)-(H39+I39)</f>
        <v>249769</v>
      </c>
      <c r="K39" s="442" t="b">
        <f t="shared" si="11"/>
        <v>1</v>
      </c>
    </row>
    <row r="40" spans="1:11">
      <c r="A40" s="270" t="s">
        <v>452</v>
      </c>
      <c r="B40" s="275" t="s">
        <v>83</v>
      </c>
      <c r="C40" s="84">
        <f t="shared" si="9"/>
        <v>18490</v>
      </c>
      <c r="D40" s="83"/>
      <c r="E40" s="84">
        <v>796460</v>
      </c>
      <c r="F40" s="84">
        <v>61600</v>
      </c>
      <c r="G40" s="199"/>
      <c r="H40" s="199"/>
      <c r="I40" s="84">
        <v>872050</v>
      </c>
      <c r="J40" s="82">
        <f t="shared" si="13"/>
        <v>4500</v>
      </c>
      <c r="K40" s="442" t="b">
        <f t="shared" si="11"/>
        <v>1</v>
      </c>
    </row>
    <row r="41" spans="1:11">
      <c r="A41" s="270" t="s">
        <v>452</v>
      </c>
      <c r="B41" s="275" t="s">
        <v>158</v>
      </c>
      <c r="C41" s="84">
        <f t="shared" si="9"/>
        <v>4500</v>
      </c>
      <c r="D41" s="83"/>
      <c r="E41" s="84">
        <v>40000</v>
      </c>
      <c r="F41" s="199"/>
      <c r="G41" s="199"/>
      <c r="H41" s="199"/>
      <c r="I41" s="84">
        <v>50500</v>
      </c>
      <c r="J41" s="82">
        <f t="shared" si="13"/>
        <v>-6000</v>
      </c>
      <c r="K41" s="442" t="b">
        <f t="shared" si="11"/>
        <v>1</v>
      </c>
    </row>
    <row r="42" spans="1:11">
      <c r="A42" s="270" t="s">
        <v>452</v>
      </c>
      <c r="B42" s="275" t="s">
        <v>72</v>
      </c>
      <c r="C42" s="84">
        <f t="shared" si="9"/>
        <v>44200</v>
      </c>
      <c r="D42" s="83"/>
      <c r="E42" s="84">
        <v>60000</v>
      </c>
      <c r="F42" s="199"/>
      <c r="G42" s="199"/>
      <c r="H42" s="199"/>
      <c r="I42" s="84">
        <v>32000</v>
      </c>
      <c r="J42" s="82">
        <f t="shared" si="13"/>
        <v>72200</v>
      </c>
      <c r="K42" s="442" t="b">
        <f t="shared" si="11"/>
        <v>1</v>
      </c>
    </row>
    <row r="43" spans="1:11">
      <c r="A43" s="270" t="s">
        <v>452</v>
      </c>
      <c r="B43" s="275" t="s">
        <v>167</v>
      </c>
      <c r="C43" s="84">
        <f t="shared" si="9"/>
        <v>-851709.00072999997</v>
      </c>
      <c r="D43" s="83"/>
      <c r="E43" s="84">
        <v>851709</v>
      </c>
      <c r="F43" s="199"/>
      <c r="G43" s="199"/>
      <c r="H43" s="199"/>
      <c r="I43" s="84"/>
      <c r="J43" s="82">
        <f>+SUM(C43:G43)-(H43+I43)</f>
        <v>-7.2999997064471245E-4</v>
      </c>
      <c r="K43" s="442" t="b">
        <f t="shared" si="11"/>
        <v>1</v>
      </c>
    </row>
    <row r="44" spans="1:11">
      <c r="A44" s="270" t="s">
        <v>452</v>
      </c>
      <c r="B44" s="275" t="s">
        <v>179</v>
      </c>
      <c r="C44" s="84">
        <f t="shared" si="9"/>
        <v>90300</v>
      </c>
      <c r="D44" s="83"/>
      <c r="E44" s="84">
        <v>69200</v>
      </c>
      <c r="F44" s="199"/>
      <c r="G44" s="199"/>
      <c r="H44" s="199"/>
      <c r="I44" s="84">
        <v>159500</v>
      </c>
      <c r="J44" s="82">
        <f t="shared" si="13"/>
        <v>0</v>
      </c>
      <c r="K44" s="442" t="b">
        <f t="shared" si="11"/>
        <v>1</v>
      </c>
    </row>
    <row r="45" spans="1:11">
      <c r="A45" s="270" t="s">
        <v>452</v>
      </c>
      <c r="B45" s="275" t="s">
        <v>76</v>
      </c>
      <c r="C45" s="84">
        <f t="shared" si="9"/>
        <v>300</v>
      </c>
      <c r="D45" s="83"/>
      <c r="E45" s="84">
        <v>20000</v>
      </c>
      <c r="F45" s="199"/>
      <c r="G45" s="199"/>
      <c r="H45" s="199"/>
      <c r="I45" s="84">
        <v>11000</v>
      </c>
      <c r="J45" s="82">
        <f t="shared" si="13"/>
        <v>9300</v>
      </c>
      <c r="K45" s="442" t="b">
        <f t="shared" si="11"/>
        <v>1</v>
      </c>
    </row>
    <row r="46" spans="1:11">
      <c r="A46" s="270" t="s">
        <v>452</v>
      </c>
      <c r="B46" s="276" t="s">
        <v>385</v>
      </c>
      <c r="C46" s="84">
        <f t="shared" si="9"/>
        <v>0</v>
      </c>
      <c r="D46" s="267"/>
      <c r="E46" s="294"/>
      <c r="F46" s="294"/>
      <c r="G46" s="296"/>
      <c r="H46" s="294"/>
      <c r="I46" s="113">
        <v>14000</v>
      </c>
      <c r="J46" s="82">
        <f t="shared" si="13"/>
        <v>-14000</v>
      </c>
      <c r="K46" s="442" t="b">
        <f t="shared" si="11"/>
        <v>1</v>
      </c>
    </row>
    <row r="47" spans="1:11">
      <c r="A47" s="86" t="s">
        <v>115</v>
      </c>
      <c r="B47" s="87"/>
      <c r="C47" s="87"/>
      <c r="D47" s="87"/>
      <c r="E47" s="87"/>
      <c r="F47" s="87"/>
      <c r="G47" s="87"/>
      <c r="H47" s="87"/>
      <c r="I47" s="87"/>
      <c r="J47" s="88"/>
    </row>
    <row r="48" spans="1:11">
      <c r="A48" s="270" t="s">
        <v>452</v>
      </c>
      <c r="B48" s="89" t="s">
        <v>116</v>
      </c>
      <c r="C48" s="90">
        <f>C5</f>
        <v>316716</v>
      </c>
      <c r="D48" s="111">
        <v>5872000</v>
      </c>
      <c r="E48" s="198"/>
      <c r="F48" s="198"/>
      <c r="G48" s="297"/>
      <c r="H48" s="279">
        <v>3517119</v>
      </c>
      <c r="I48" s="274">
        <v>1523260</v>
      </c>
      <c r="J48" s="97">
        <f>+SUM(C48:G48)-(H48+I48)</f>
        <v>1148337</v>
      </c>
      <c r="K48" s="442" t="b">
        <f>J48=I5</f>
        <v>1</v>
      </c>
    </row>
    <row r="49" spans="1:11">
      <c r="A49" s="95" t="s">
        <v>117</v>
      </c>
      <c r="B49" s="76"/>
      <c r="C49" s="87"/>
      <c r="D49" s="76"/>
      <c r="E49" s="76"/>
      <c r="F49" s="76"/>
      <c r="G49" s="76"/>
      <c r="H49" s="76"/>
      <c r="I49" s="76"/>
      <c r="J49" s="88"/>
    </row>
    <row r="50" spans="1:11">
      <c r="A50" s="270" t="s">
        <v>452</v>
      </c>
      <c r="B50" s="89" t="s">
        <v>118</v>
      </c>
      <c r="C50" s="273">
        <f>C3</f>
        <v>5510674</v>
      </c>
      <c r="D50" s="280">
        <v>10380044</v>
      </c>
      <c r="E50" s="111"/>
      <c r="F50" s="111"/>
      <c r="G50" s="111"/>
      <c r="H50" s="113">
        <v>5500000</v>
      </c>
      <c r="I50" s="115">
        <v>277455</v>
      </c>
      <c r="J50" s="97">
        <f>+SUM(C50:G50)-(H50+I50)</f>
        <v>10113263</v>
      </c>
      <c r="K50" s="442" t="b">
        <f>J50=I3</f>
        <v>1</v>
      </c>
    </row>
    <row r="51" spans="1:11">
      <c r="A51" s="270" t="s">
        <v>452</v>
      </c>
      <c r="B51" s="89" t="s">
        <v>119</v>
      </c>
      <c r="C51" s="273">
        <f>C4</f>
        <v>11193664</v>
      </c>
      <c r="D51" s="111"/>
      <c r="E51" s="110"/>
      <c r="F51" s="110"/>
      <c r="G51" s="110"/>
      <c r="H51" s="84">
        <v>372000</v>
      </c>
      <c r="I51" s="112">
        <v>4601760</v>
      </c>
      <c r="J51" s="97">
        <f>SUM(C51:G51)-(H51+I51)</f>
        <v>6219904</v>
      </c>
      <c r="K51" s="442" t="b">
        <f>J51=I4</f>
        <v>1</v>
      </c>
    </row>
    <row r="52" spans="1:11" ht="15.75">
      <c r="C52" s="309">
        <f>SUM(C32:C51)</f>
        <v>16998426.99927</v>
      </c>
      <c r="I52" s="299">
        <f>SUM(I32:I51)</f>
        <v>9282325</v>
      </c>
      <c r="J52" s="203">
        <f>+SUM(J32:J51)</f>
        <v>18096145.99927</v>
      </c>
      <c r="K52" s="56" t="b">
        <f>J52=I21</f>
        <v>1</v>
      </c>
    </row>
    <row r="53" spans="1:11" ht="16.5">
      <c r="A53" s="65"/>
      <c r="B53" s="66"/>
      <c r="C53" s="63" t="b">
        <f>C52=C21</f>
        <v>1</v>
      </c>
      <c r="D53" s="63"/>
      <c r="E53" s="64"/>
      <c r="F53" s="63"/>
      <c r="G53" s="63"/>
      <c r="H53" s="63"/>
      <c r="I53" s="63"/>
    </row>
    <row r="54" spans="1:11">
      <c r="A54" s="67" t="s">
        <v>107</v>
      </c>
      <c r="B54" s="67"/>
      <c r="C54" s="67"/>
      <c r="D54" s="68"/>
      <c r="E54" s="68"/>
      <c r="F54" s="68"/>
      <c r="G54" s="68"/>
      <c r="H54" s="68"/>
      <c r="I54" s="68"/>
    </row>
    <row r="55" spans="1:11">
      <c r="A55" s="69" t="s">
        <v>202</v>
      </c>
      <c r="B55" s="69"/>
      <c r="C55" s="69"/>
      <c r="D55" s="69"/>
      <c r="E55" s="69"/>
      <c r="F55" s="69"/>
      <c r="G55" s="69"/>
      <c r="H55" s="69"/>
      <c r="I55" s="69"/>
      <c r="J55" s="68"/>
    </row>
    <row r="56" spans="1:11">
      <c r="A56" s="70"/>
      <c r="B56" s="71"/>
      <c r="C56" s="72"/>
      <c r="D56" s="72"/>
      <c r="E56" s="72"/>
      <c r="F56" s="72"/>
      <c r="G56" s="72"/>
      <c r="H56" s="71"/>
      <c r="I56" s="71"/>
      <c r="J56" s="69"/>
    </row>
    <row r="57" spans="1:11">
      <c r="A57" s="492" t="s">
        <v>108</v>
      </c>
      <c r="B57" s="494" t="s">
        <v>109</v>
      </c>
      <c r="C57" s="496" t="s">
        <v>203</v>
      </c>
      <c r="D57" s="498" t="s">
        <v>110</v>
      </c>
      <c r="E57" s="499"/>
      <c r="F57" s="499"/>
      <c r="G57" s="500"/>
      <c r="H57" s="501" t="s">
        <v>111</v>
      </c>
      <c r="I57" s="488" t="s">
        <v>112</v>
      </c>
      <c r="J57" s="71"/>
    </row>
    <row r="58" spans="1:11">
      <c r="A58" s="493"/>
      <c r="B58" s="495"/>
      <c r="C58" s="497"/>
      <c r="D58" s="73" t="s">
        <v>60</v>
      </c>
      <c r="E58" s="73" t="s">
        <v>66</v>
      </c>
      <c r="F58" s="304" t="s">
        <v>206</v>
      </c>
      <c r="G58" s="73" t="s">
        <v>113</v>
      </c>
      <c r="H58" s="502"/>
      <c r="I58" s="489"/>
      <c r="J58" s="490" t="s">
        <v>204</v>
      </c>
    </row>
    <row r="59" spans="1:11">
      <c r="A59" s="75"/>
      <c r="B59" s="76" t="s">
        <v>114</v>
      </c>
      <c r="C59" s="77"/>
      <c r="D59" s="77"/>
      <c r="E59" s="77"/>
      <c r="F59" s="77"/>
      <c r="G59" s="77"/>
      <c r="H59" s="77"/>
      <c r="I59" s="78"/>
      <c r="J59" s="491"/>
    </row>
    <row r="60" spans="1:11">
      <c r="A60" s="270" t="s">
        <v>201</v>
      </c>
      <c r="B60" s="275" t="s">
        <v>133</v>
      </c>
      <c r="C60" s="84">
        <v>-11330</v>
      </c>
      <c r="D60" s="83"/>
      <c r="E60" s="84">
        <v>201400</v>
      </c>
      <c r="F60" s="84">
        <v>184300</v>
      </c>
      <c r="G60" s="84"/>
      <c r="H60" s="117"/>
      <c r="I60" s="84">
        <v>370700</v>
      </c>
      <c r="J60" s="82">
        <f>+SUM(C60:G60)-(H60+I60)</f>
        <v>3670</v>
      </c>
      <c r="K60" s="131"/>
    </row>
    <row r="61" spans="1:11">
      <c r="A61" s="270" t="s">
        <v>201</v>
      </c>
      <c r="B61" s="275" t="s">
        <v>102</v>
      </c>
      <c r="C61" s="84">
        <v>8260</v>
      </c>
      <c r="D61" s="83"/>
      <c r="E61" s="84">
        <v>357900</v>
      </c>
      <c r="F61" s="84"/>
      <c r="G61" s="84"/>
      <c r="H61" s="117">
        <v>50000</v>
      </c>
      <c r="I61" s="84">
        <v>316700</v>
      </c>
      <c r="J61" s="82">
        <f t="shared" ref="J61:J62" si="14">+SUM(C61:G61)-(H61+I61)</f>
        <v>-540</v>
      </c>
      <c r="K61" s="131"/>
    </row>
    <row r="62" spans="1:11">
      <c r="A62" s="270" t="s">
        <v>201</v>
      </c>
      <c r="B62" s="275" t="s">
        <v>75</v>
      </c>
      <c r="C62" s="84">
        <v>3795</v>
      </c>
      <c r="D62" s="83"/>
      <c r="E62" s="84">
        <v>20000</v>
      </c>
      <c r="F62" s="84"/>
      <c r="G62" s="84"/>
      <c r="H62" s="84"/>
      <c r="I62" s="84">
        <v>21400</v>
      </c>
      <c r="J62" s="190">
        <f t="shared" si="14"/>
        <v>2395</v>
      </c>
      <c r="K62" s="131"/>
    </row>
    <row r="63" spans="1:11">
      <c r="A63" s="270" t="s">
        <v>201</v>
      </c>
      <c r="B63" s="275" t="s">
        <v>134</v>
      </c>
      <c r="C63" s="84">
        <v>-83100</v>
      </c>
      <c r="D63" s="199"/>
      <c r="E63" s="84">
        <v>699200</v>
      </c>
      <c r="F63" s="84"/>
      <c r="G63" s="84"/>
      <c r="H63" s="84"/>
      <c r="I63" s="84">
        <v>520000</v>
      </c>
      <c r="J63" s="190">
        <f>+SUM(C63:G63)-(H63+I63)</f>
        <v>96100</v>
      </c>
      <c r="K63" s="131"/>
    </row>
    <row r="64" spans="1:11">
      <c r="A64" s="270" t="s">
        <v>201</v>
      </c>
      <c r="B64" s="275" t="s">
        <v>125</v>
      </c>
      <c r="C64" s="84">
        <v>1784</v>
      </c>
      <c r="D64" s="199"/>
      <c r="E64" s="84">
        <v>568600</v>
      </c>
      <c r="F64" s="84">
        <v>50000</v>
      </c>
      <c r="G64" s="84"/>
      <c r="H64" s="84">
        <v>184300</v>
      </c>
      <c r="I64" s="84">
        <v>422200</v>
      </c>
      <c r="J64" s="190">
        <f t="shared" ref="J64" si="15">+SUM(C64:G64)-(H64+I64)</f>
        <v>13884</v>
      </c>
      <c r="K64" s="131"/>
    </row>
    <row r="65" spans="1:11">
      <c r="A65" s="270" t="s">
        <v>201</v>
      </c>
      <c r="B65" s="276" t="s">
        <v>74</v>
      </c>
      <c r="C65" s="84">
        <v>88800</v>
      </c>
      <c r="D65" s="267"/>
      <c r="E65" s="113">
        <v>694600</v>
      </c>
      <c r="F65" s="113"/>
      <c r="G65" s="113"/>
      <c r="H65" s="113"/>
      <c r="I65" s="113">
        <v>711000</v>
      </c>
      <c r="J65" s="272">
        <f>+SUM(C65:G65)-(H65+I65)</f>
        <v>72400</v>
      </c>
      <c r="K65" s="131"/>
    </row>
    <row r="66" spans="1:11">
      <c r="A66" s="270" t="s">
        <v>201</v>
      </c>
      <c r="B66" s="277" t="s">
        <v>142</v>
      </c>
      <c r="C66" s="268">
        <v>233614</v>
      </c>
      <c r="D66" s="271"/>
      <c r="E66" s="295"/>
      <c r="F66" s="295"/>
      <c r="G66" s="295"/>
      <c r="H66" s="295"/>
      <c r="I66" s="295"/>
      <c r="J66" s="269">
        <f>+SUM(C66:G66)-(H66+I66)</f>
        <v>233614</v>
      </c>
      <c r="K66" s="131"/>
    </row>
    <row r="67" spans="1:11">
      <c r="A67" s="270" t="s">
        <v>201</v>
      </c>
      <c r="B67" s="277" t="s">
        <v>141</v>
      </c>
      <c r="C67" s="268">
        <v>249769</v>
      </c>
      <c r="D67" s="271"/>
      <c r="E67" s="295"/>
      <c r="F67" s="295"/>
      <c r="G67" s="295"/>
      <c r="H67" s="295"/>
      <c r="I67" s="295"/>
      <c r="J67" s="269">
        <f t="shared" ref="J67:J71" si="16">+SUM(C67:G67)-(H67+I67)</f>
        <v>249769</v>
      </c>
      <c r="K67" s="131"/>
    </row>
    <row r="68" spans="1:11">
      <c r="A68" s="270" t="s">
        <v>201</v>
      </c>
      <c r="B68" s="275" t="s">
        <v>83</v>
      </c>
      <c r="C68" s="84">
        <v>7890</v>
      </c>
      <c r="D68" s="83"/>
      <c r="E68" s="84">
        <v>135600</v>
      </c>
      <c r="F68" s="199"/>
      <c r="G68" s="199"/>
      <c r="H68" s="199"/>
      <c r="I68" s="84">
        <v>125000</v>
      </c>
      <c r="J68" s="82">
        <f t="shared" si="16"/>
        <v>18490</v>
      </c>
      <c r="K68" s="131"/>
    </row>
    <row r="69" spans="1:11">
      <c r="A69" s="270" t="s">
        <v>201</v>
      </c>
      <c r="B69" s="275" t="s">
        <v>158</v>
      </c>
      <c r="C69" s="84">
        <v>5000</v>
      </c>
      <c r="D69" s="83"/>
      <c r="E69" s="84">
        <v>30000</v>
      </c>
      <c r="F69" s="199"/>
      <c r="G69" s="199"/>
      <c r="H69" s="199"/>
      <c r="I69" s="84">
        <v>30500</v>
      </c>
      <c r="J69" s="82">
        <f t="shared" si="16"/>
        <v>4500</v>
      </c>
      <c r="K69" s="131"/>
    </row>
    <row r="70" spans="1:11">
      <c r="A70" s="270" t="s">
        <v>201</v>
      </c>
      <c r="B70" s="275" t="s">
        <v>72</v>
      </c>
      <c r="C70" s="84">
        <v>57700</v>
      </c>
      <c r="D70" s="83"/>
      <c r="E70" s="84">
        <v>639000</v>
      </c>
      <c r="F70" s="199"/>
      <c r="G70" s="199"/>
      <c r="H70" s="199"/>
      <c r="I70" s="84">
        <v>652500</v>
      </c>
      <c r="J70" s="82">
        <f t="shared" si="16"/>
        <v>44200</v>
      </c>
      <c r="K70" s="131"/>
    </row>
    <row r="71" spans="1:11">
      <c r="A71" s="270" t="s">
        <v>201</v>
      </c>
      <c r="B71" s="275" t="s">
        <v>167</v>
      </c>
      <c r="C71" s="84">
        <v>-32081</v>
      </c>
      <c r="D71" s="83"/>
      <c r="E71" s="199"/>
      <c r="F71" s="199"/>
      <c r="G71" s="199"/>
      <c r="H71" s="199"/>
      <c r="I71" s="84">
        <v>819628</v>
      </c>
      <c r="J71" s="82">
        <f t="shared" si="16"/>
        <v>-851709</v>
      </c>
      <c r="K71" s="131"/>
    </row>
    <row r="72" spans="1:11">
      <c r="A72" s="270" t="s">
        <v>201</v>
      </c>
      <c r="B72" s="275" t="s">
        <v>179</v>
      </c>
      <c r="C72" s="84">
        <v>62000</v>
      </c>
      <c r="D72" s="83"/>
      <c r="E72" s="84">
        <v>622600</v>
      </c>
      <c r="F72" s="199"/>
      <c r="G72" s="199"/>
      <c r="H72" s="199"/>
      <c r="I72" s="84">
        <v>594300</v>
      </c>
      <c r="J72" s="82">
        <f>+SUM(C72:G72)-(H72+I72)</f>
        <v>90300</v>
      </c>
      <c r="K72" s="131"/>
    </row>
    <row r="73" spans="1:11">
      <c r="A73" s="270" t="s">
        <v>201</v>
      </c>
      <c r="B73" s="276" t="s">
        <v>76</v>
      </c>
      <c r="C73" s="84">
        <v>4300</v>
      </c>
      <c r="D73" s="267"/>
      <c r="E73" s="294"/>
      <c r="F73" s="294"/>
      <c r="G73" s="296"/>
      <c r="H73" s="294"/>
      <c r="I73" s="113">
        <v>4000</v>
      </c>
      <c r="J73" s="82">
        <f t="shared" ref="J73" si="17">+SUM(C73:G73)-(H73+I73)</f>
        <v>300</v>
      </c>
      <c r="K73" s="131"/>
    </row>
    <row r="74" spans="1:11">
      <c r="A74" s="86" t="s">
        <v>115</v>
      </c>
      <c r="B74" s="87"/>
      <c r="C74" s="87"/>
      <c r="D74" s="87"/>
      <c r="E74" s="87"/>
      <c r="F74" s="87"/>
      <c r="G74" s="87"/>
      <c r="H74" s="87"/>
      <c r="I74" s="87"/>
      <c r="J74" s="88"/>
      <c r="K74" s="131"/>
    </row>
    <row r="75" spans="1:11">
      <c r="A75" s="270" t="s">
        <v>201</v>
      </c>
      <c r="B75" s="89" t="s">
        <v>116</v>
      </c>
      <c r="C75" s="90">
        <v>62150</v>
      </c>
      <c r="D75" s="111">
        <v>5500000</v>
      </c>
      <c r="E75" s="198"/>
      <c r="F75" s="198"/>
      <c r="G75" s="297"/>
      <c r="H75" s="279">
        <v>3968900</v>
      </c>
      <c r="I75" s="274">
        <v>1276534</v>
      </c>
      <c r="J75" s="97">
        <f>+SUM(C75:G75)-(H75+I75)</f>
        <v>316716</v>
      </c>
      <c r="K75" s="131"/>
    </row>
    <row r="76" spans="1:11">
      <c r="A76" s="95" t="s">
        <v>117</v>
      </c>
      <c r="B76" s="76"/>
      <c r="C76" s="87"/>
      <c r="D76" s="76"/>
      <c r="E76" s="76"/>
      <c r="F76" s="76"/>
      <c r="G76" s="76"/>
      <c r="H76" s="76"/>
      <c r="I76" s="76"/>
      <c r="J76" s="88"/>
    </row>
    <row r="77" spans="1:11">
      <c r="A77" s="270" t="s">
        <v>201</v>
      </c>
      <c r="B77" s="89" t="s">
        <v>118</v>
      </c>
      <c r="C77" s="273">
        <v>11284555</v>
      </c>
      <c r="D77" s="280"/>
      <c r="E77" s="111"/>
      <c r="F77" s="111"/>
      <c r="G77" s="111"/>
      <c r="H77" s="113">
        <v>5500000</v>
      </c>
      <c r="I77" s="115">
        <v>273881</v>
      </c>
      <c r="J77" s="97">
        <f>+SUM(C77:G77)-(H77+I77)</f>
        <v>5510674</v>
      </c>
      <c r="K77" s="131"/>
    </row>
    <row r="78" spans="1:11">
      <c r="A78" s="270" t="s">
        <v>201</v>
      </c>
      <c r="B78" s="89" t="s">
        <v>119</v>
      </c>
      <c r="C78" s="273">
        <v>2158645</v>
      </c>
      <c r="D78" s="111">
        <v>15435980</v>
      </c>
      <c r="E78" s="110"/>
      <c r="F78" s="110"/>
      <c r="G78" s="110"/>
      <c r="H78" s="84"/>
      <c r="I78" s="112">
        <v>6400961</v>
      </c>
      <c r="J78" s="97">
        <f>SUM(C78:G78)-(H78+I78)</f>
        <v>11193664</v>
      </c>
      <c r="K78" s="131"/>
    </row>
    <row r="79" spans="1:11" ht="15.75">
      <c r="C79" s="309">
        <f>SUM(C60:C78)</f>
        <v>14101751</v>
      </c>
      <c r="I79" s="299">
        <f>SUM(I60:I78)</f>
        <v>12539304</v>
      </c>
      <c r="J79" s="203">
        <f>+SUM(J60:J78)</f>
        <v>16998427</v>
      </c>
    </row>
    <row r="80" spans="1:11" ht="16.5">
      <c r="A80" s="61"/>
      <c r="B80" s="62"/>
      <c r="C80" s="63"/>
      <c r="D80" s="63"/>
      <c r="E80" s="63"/>
      <c r="F80" s="63"/>
      <c r="G80" s="63"/>
      <c r="H80" s="63"/>
      <c r="I80" s="63"/>
      <c r="J80" s="281"/>
    </row>
    <row r="81" spans="1:11" ht="16.5">
      <c r="A81" s="65"/>
      <c r="B81" s="66"/>
      <c r="C81" s="63"/>
      <c r="D81" s="63"/>
      <c r="E81" s="64"/>
      <c r="F81" s="63"/>
      <c r="G81" s="63"/>
      <c r="H81" s="63"/>
      <c r="I81" s="63"/>
    </row>
    <row r="82" spans="1:11">
      <c r="A82" s="67" t="s">
        <v>107</v>
      </c>
      <c r="B82" s="67"/>
      <c r="C82" s="67"/>
      <c r="D82" s="68"/>
      <c r="E82" s="68"/>
      <c r="F82" s="68"/>
      <c r="G82" s="68"/>
      <c r="H82" s="68"/>
      <c r="I82" s="68"/>
    </row>
    <row r="83" spans="1:11">
      <c r="A83" s="69" t="s">
        <v>190</v>
      </c>
      <c r="B83" s="69"/>
      <c r="C83" s="69"/>
      <c r="D83" s="69"/>
      <c r="E83" s="69"/>
      <c r="F83" s="69"/>
      <c r="G83" s="69"/>
      <c r="H83" s="69"/>
      <c r="I83" s="69"/>
      <c r="J83" s="68"/>
    </row>
    <row r="84" spans="1:11">
      <c r="A84" s="70"/>
      <c r="B84" s="71"/>
      <c r="C84" s="72"/>
      <c r="D84" s="72"/>
      <c r="E84" s="72"/>
      <c r="F84" s="72"/>
      <c r="G84" s="72"/>
      <c r="H84" s="71"/>
      <c r="I84" s="71"/>
      <c r="J84" s="69"/>
    </row>
    <row r="85" spans="1:11">
      <c r="A85" s="492" t="s">
        <v>108</v>
      </c>
      <c r="B85" s="494" t="s">
        <v>109</v>
      </c>
      <c r="C85" s="496" t="s">
        <v>188</v>
      </c>
      <c r="D85" s="498" t="s">
        <v>110</v>
      </c>
      <c r="E85" s="499"/>
      <c r="F85" s="499"/>
      <c r="G85" s="500"/>
      <c r="H85" s="501" t="s">
        <v>111</v>
      </c>
      <c r="I85" s="488" t="s">
        <v>112</v>
      </c>
      <c r="J85" s="71"/>
    </row>
    <row r="86" spans="1:11">
      <c r="A86" s="493"/>
      <c r="B86" s="495"/>
      <c r="C86" s="497"/>
      <c r="D86" s="73" t="s">
        <v>60</v>
      </c>
      <c r="E86" s="73" t="s">
        <v>66</v>
      </c>
      <c r="F86" s="287" t="s">
        <v>194</v>
      </c>
      <c r="G86" s="73" t="s">
        <v>113</v>
      </c>
      <c r="H86" s="502"/>
      <c r="I86" s="489"/>
      <c r="J86" s="490" t="s">
        <v>189</v>
      </c>
    </row>
    <row r="87" spans="1:11">
      <c r="A87" s="75"/>
      <c r="B87" s="76" t="s">
        <v>114</v>
      </c>
      <c r="C87" s="77"/>
      <c r="D87" s="77"/>
      <c r="E87" s="77"/>
      <c r="F87" s="77"/>
      <c r="G87" s="77"/>
      <c r="H87" s="77"/>
      <c r="I87" s="78"/>
      <c r="J87" s="491"/>
    </row>
    <row r="88" spans="1:11">
      <c r="A88" s="270" t="s">
        <v>187</v>
      </c>
      <c r="B88" s="275" t="s">
        <v>133</v>
      </c>
      <c r="C88" s="84">
        <v>22200</v>
      </c>
      <c r="D88" s="83"/>
      <c r="E88" s="84">
        <v>439970</v>
      </c>
      <c r="F88" s="199"/>
      <c r="G88" s="199"/>
      <c r="H88" s="293"/>
      <c r="I88" s="84">
        <v>473500</v>
      </c>
      <c r="J88" s="82">
        <f>+SUM(C88:G88)-(H88+I88)</f>
        <v>-11330</v>
      </c>
      <c r="K88" s="131"/>
    </row>
    <row r="89" spans="1:11">
      <c r="A89" s="270" t="s">
        <v>187</v>
      </c>
      <c r="B89" s="275" t="s">
        <v>102</v>
      </c>
      <c r="C89" s="84">
        <v>3060</v>
      </c>
      <c r="D89" s="83"/>
      <c r="E89" s="84">
        <v>157200</v>
      </c>
      <c r="F89" s="84"/>
      <c r="G89" s="84"/>
      <c r="H89" s="117"/>
      <c r="I89" s="84">
        <v>152000</v>
      </c>
      <c r="J89" s="82">
        <f t="shared" ref="J89:J90" si="18">+SUM(C89:G89)-(H89+I89)</f>
        <v>8260</v>
      </c>
      <c r="K89" s="131"/>
    </row>
    <row r="90" spans="1:11">
      <c r="A90" s="270" t="s">
        <v>187</v>
      </c>
      <c r="B90" s="275" t="s">
        <v>75</v>
      </c>
      <c r="C90" s="84">
        <v>3795</v>
      </c>
      <c r="D90" s="83"/>
      <c r="E90" s="84">
        <v>45000</v>
      </c>
      <c r="F90" s="84"/>
      <c r="G90" s="84"/>
      <c r="H90" s="84"/>
      <c r="I90" s="84">
        <v>45000</v>
      </c>
      <c r="J90" s="190">
        <f t="shared" si="18"/>
        <v>3795</v>
      </c>
      <c r="K90" s="131"/>
    </row>
    <row r="91" spans="1:11">
      <c r="A91" s="270" t="s">
        <v>187</v>
      </c>
      <c r="B91" s="275" t="s">
        <v>134</v>
      </c>
      <c r="C91" s="84">
        <v>2300</v>
      </c>
      <c r="D91" s="199"/>
      <c r="E91" s="84">
        <v>266600</v>
      </c>
      <c r="F91" s="84">
        <v>159900</v>
      </c>
      <c r="G91" s="84"/>
      <c r="H91" s="84">
        <v>25000</v>
      </c>
      <c r="I91" s="84">
        <v>486900</v>
      </c>
      <c r="J91" s="190">
        <f>+SUM(C91:G91)-(H91+I91)</f>
        <v>-83100</v>
      </c>
      <c r="K91" s="131"/>
    </row>
    <row r="92" spans="1:11">
      <c r="A92" s="270" t="s">
        <v>187</v>
      </c>
      <c r="B92" s="275" t="s">
        <v>125</v>
      </c>
      <c r="C92" s="84">
        <v>-14216</v>
      </c>
      <c r="D92" s="199"/>
      <c r="E92" s="84">
        <v>622600</v>
      </c>
      <c r="F92" s="84">
        <v>25000</v>
      </c>
      <c r="G92" s="84"/>
      <c r="H92" s="84">
        <v>260700</v>
      </c>
      <c r="I92" s="84">
        <v>370900</v>
      </c>
      <c r="J92" s="190">
        <f>+SUM(C92:G92)-(H92+I92)</f>
        <v>1784</v>
      </c>
      <c r="K92" s="131"/>
    </row>
    <row r="93" spans="1:11">
      <c r="A93" s="270" t="s">
        <v>187</v>
      </c>
      <c r="B93" s="276" t="s">
        <v>74</v>
      </c>
      <c r="C93" s="113">
        <v>143300</v>
      </c>
      <c r="D93" s="267"/>
      <c r="E93" s="113">
        <v>466500</v>
      </c>
      <c r="F93" s="294"/>
      <c r="G93" s="294"/>
      <c r="H93" s="294"/>
      <c r="I93" s="113">
        <v>521000</v>
      </c>
      <c r="J93" s="272">
        <f>+SUM(C93:G93)-(H93+I93)</f>
        <v>88800</v>
      </c>
      <c r="K93" s="131"/>
    </row>
    <row r="94" spans="1:11">
      <c r="A94" s="270" t="s">
        <v>187</v>
      </c>
      <c r="B94" s="277" t="s">
        <v>142</v>
      </c>
      <c r="C94" s="268">
        <v>233614</v>
      </c>
      <c r="D94" s="271"/>
      <c r="E94" s="295"/>
      <c r="F94" s="295"/>
      <c r="G94" s="295"/>
      <c r="H94" s="295"/>
      <c r="I94" s="295"/>
      <c r="J94" s="269">
        <f>+SUM(C94:G94)-(H94+I94)</f>
        <v>233614</v>
      </c>
      <c r="K94" s="131"/>
    </row>
    <row r="95" spans="1:11">
      <c r="A95" s="270" t="s">
        <v>187</v>
      </c>
      <c r="B95" s="277" t="s">
        <v>141</v>
      </c>
      <c r="C95" s="268">
        <v>249768</v>
      </c>
      <c r="D95" s="271"/>
      <c r="E95" s="295"/>
      <c r="F95" s="295"/>
      <c r="G95" s="295"/>
      <c r="H95" s="295"/>
      <c r="I95" s="295"/>
      <c r="J95" s="269">
        <f t="shared" ref="J95:J101" si="19">+SUM(C95:G95)-(H95+I95)</f>
        <v>249768</v>
      </c>
      <c r="K95" s="131"/>
    </row>
    <row r="96" spans="1:11">
      <c r="A96" s="270" t="s">
        <v>187</v>
      </c>
      <c r="B96" s="275" t="s">
        <v>83</v>
      </c>
      <c r="C96" s="84">
        <v>55090</v>
      </c>
      <c r="D96" s="83"/>
      <c r="E96" s="84">
        <v>143000</v>
      </c>
      <c r="F96" s="84">
        <v>70800</v>
      </c>
      <c r="G96" s="199"/>
      <c r="H96" s="199"/>
      <c r="I96" s="84">
        <v>261000</v>
      </c>
      <c r="J96" s="82">
        <f t="shared" si="19"/>
        <v>7890</v>
      </c>
      <c r="K96" s="131"/>
    </row>
    <row r="97" spans="1:11">
      <c r="A97" s="270" t="s">
        <v>187</v>
      </c>
      <c r="B97" s="275" t="s">
        <v>158</v>
      </c>
      <c r="C97" s="84">
        <v>0</v>
      </c>
      <c r="D97" s="83"/>
      <c r="E97" s="84">
        <v>30000</v>
      </c>
      <c r="F97" s="199"/>
      <c r="G97" s="199"/>
      <c r="H97" s="199"/>
      <c r="I97" s="84">
        <v>25000</v>
      </c>
      <c r="J97" s="82">
        <f t="shared" si="19"/>
        <v>5000</v>
      </c>
      <c r="K97" s="131"/>
    </row>
    <row r="98" spans="1:11">
      <c r="A98" s="270" t="s">
        <v>187</v>
      </c>
      <c r="B98" s="275" t="s">
        <v>72</v>
      </c>
      <c r="C98" s="84">
        <v>110700</v>
      </c>
      <c r="D98" s="83"/>
      <c r="E98" s="84">
        <v>375000</v>
      </c>
      <c r="F98" s="84">
        <v>30000</v>
      </c>
      <c r="G98" s="199"/>
      <c r="H98" s="199"/>
      <c r="I98" s="84">
        <v>458000</v>
      </c>
      <c r="J98" s="82">
        <f t="shared" si="19"/>
        <v>57700</v>
      </c>
      <c r="K98" s="131"/>
    </row>
    <row r="99" spans="1:11">
      <c r="A99" s="270" t="s">
        <v>187</v>
      </c>
      <c r="B99" s="275" t="s">
        <v>167</v>
      </c>
      <c r="C99" s="84">
        <v>-32081</v>
      </c>
      <c r="D99" s="83"/>
      <c r="E99" s="199">
        <v>0</v>
      </c>
      <c r="F99" s="199"/>
      <c r="G99" s="199"/>
      <c r="H99" s="199"/>
      <c r="I99" s="199">
        <v>0</v>
      </c>
      <c r="J99" s="82">
        <f t="shared" si="19"/>
        <v>-32081</v>
      </c>
      <c r="K99" s="131"/>
    </row>
    <row r="100" spans="1:11">
      <c r="A100" s="270" t="s">
        <v>187</v>
      </c>
      <c r="B100" s="275" t="s">
        <v>179</v>
      </c>
      <c r="C100" s="84">
        <v>0</v>
      </c>
      <c r="D100" s="83"/>
      <c r="E100" s="84">
        <v>82000</v>
      </c>
      <c r="F100" s="199"/>
      <c r="G100" s="199"/>
      <c r="H100" s="199"/>
      <c r="I100" s="84">
        <v>20000</v>
      </c>
      <c r="J100" s="82">
        <f>+SUM(C100:G100)-(H100+I100)</f>
        <v>62000</v>
      </c>
      <c r="K100" s="131"/>
    </row>
    <row r="101" spans="1:11">
      <c r="A101" s="270" t="s">
        <v>187</v>
      </c>
      <c r="B101" s="276" t="s">
        <v>76</v>
      </c>
      <c r="C101" s="113">
        <v>7300</v>
      </c>
      <c r="D101" s="267"/>
      <c r="E101" s="294"/>
      <c r="F101" s="294"/>
      <c r="G101" s="296"/>
      <c r="H101" s="294"/>
      <c r="I101" s="113">
        <v>3000</v>
      </c>
      <c r="J101" s="82">
        <f t="shared" si="19"/>
        <v>4300</v>
      </c>
      <c r="K101" s="131"/>
    </row>
    <row r="102" spans="1:11">
      <c r="A102" s="86" t="s">
        <v>115</v>
      </c>
      <c r="B102" s="87"/>
      <c r="C102" s="87"/>
      <c r="D102" s="87"/>
      <c r="E102" s="87"/>
      <c r="F102" s="87"/>
      <c r="G102" s="87"/>
      <c r="H102" s="87"/>
      <c r="I102" s="87"/>
      <c r="J102" s="88"/>
      <c r="K102" s="131"/>
    </row>
    <row r="103" spans="1:11">
      <c r="A103" s="270" t="s">
        <v>187</v>
      </c>
      <c r="B103" s="89" t="s">
        <v>116</v>
      </c>
      <c r="C103" s="90">
        <v>817769</v>
      </c>
      <c r="D103" s="111">
        <v>3000000</v>
      </c>
      <c r="E103" s="198"/>
      <c r="F103" s="198"/>
      <c r="G103" s="297"/>
      <c r="H103" s="279">
        <v>2627870</v>
      </c>
      <c r="I103" s="274">
        <v>1127749</v>
      </c>
      <c r="J103" s="97">
        <f>+SUM(C103:G103)-(H103+I103)</f>
        <v>62150</v>
      </c>
      <c r="K103" s="131"/>
    </row>
    <row r="104" spans="1:11">
      <c r="A104" s="95" t="s">
        <v>117</v>
      </c>
      <c r="B104" s="76"/>
      <c r="C104" s="87"/>
      <c r="D104" s="76"/>
      <c r="E104" s="76"/>
      <c r="F104" s="76"/>
      <c r="G104" s="76"/>
      <c r="H104" s="76"/>
      <c r="I104" s="76"/>
      <c r="J104" s="88"/>
    </row>
    <row r="105" spans="1:11">
      <c r="A105" s="270" t="s">
        <v>187</v>
      </c>
      <c r="B105" s="89" t="s">
        <v>118</v>
      </c>
      <c r="C105" s="273">
        <v>14712920</v>
      </c>
      <c r="D105" s="280"/>
      <c r="E105" s="111"/>
      <c r="F105" s="111"/>
      <c r="G105" s="111"/>
      <c r="H105" s="113">
        <v>3000000</v>
      </c>
      <c r="I105" s="115">
        <v>428365</v>
      </c>
      <c r="J105" s="97">
        <f>+SUM(C105:G105)-(H105+I105)</f>
        <v>11284555</v>
      </c>
      <c r="K105" s="131"/>
    </row>
    <row r="106" spans="1:11">
      <c r="A106" s="270" t="s">
        <v>187</v>
      </c>
      <c r="B106" s="89" t="s">
        <v>119</v>
      </c>
      <c r="C106" s="273">
        <v>8361083</v>
      </c>
      <c r="D106" s="111"/>
      <c r="E106" s="110"/>
      <c r="F106" s="110"/>
      <c r="G106" s="110"/>
      <c r="H106" s="84"/>
      <c r="I106" s="112">
        <v>6202438</v>
      </c>
      <c r="J106" s="97">
        <f>SUM(C106:G106)-(H106+I106)</f>
        <v>2158645</v>
      </c>
      <c r="K106" s="131"/>
    </row>
    <row r="107" spans="1:11" ht="15.75">
      <c r="C107" s="60"/>
      <c r="I107" s="299">
        <f>SUM(I88:I106)</f>
        <v>10574852</v>
      </c>
      <c r="J107" s="203">
        <f>+SUM(J88:J106)</f>
        <v>14101750</v>
      </c>
      <c r="K107" s="60">
        <f>J107-C79</f>
        <v>-1</v>
      </c>
    </row>
    <row r="108" spans="1:11" ht="16.5">
      <c r="A108" s="61"/>
      <c r="B108" s="62"/>
      <c r="C108" s="63"/>
      <c r="D108" s="63"/>
      <c r="E108" s="63"/>
      <c r="F108" s="63"/>
      <c r="G108" s="63"/>
      <c r="H108" s="63"/>
      <c r="I108" s="63"/>
      <c r="J108" s="281"/>
    </row>
    <row r="109" spans="1:11">
      <c r="A109" s="67" t="s">
        <v>107</v>
      </c>
      <c r="B109" s="67"/>
      <c r="C109" s="67"/>
      <c r="D109" s="68"/>
      <c r="E109" s="68"/>
      <c r="F109" s="68"/>
      <c r="G109" s="68"/>
      <c r="H109" s="68"/>
      <c r="I109" s="68"/>
    </row>
    <row r="110" spans="1:11">
      <c r="A110" s="69" t="s">
        <v>168</v>
      </c>
      <c r="B110" s="69"/>
      <c r="C110" s="69"/>
      <c r="D110" s="69"/>
      <c r="E110" s="69"/>
      <c r="F110" s="69"/>
      <c r="G110" s="69"/>
      <c r="H110" s="69"/>
      <c r="I110" s="69"/>
      <c r="J110" s="68"/>
    </row>
    <row r="111" spans="1:11">
      <c r="A111" s="70"/>
      <c r="B111" s="71"/>
      <c r="C111" s="72"/>
      <c r="D111" s="72"/>
      <c r="E111" s="72"/>
      <c r="F111" s="72"/>
      <c r="G111" s="72"/>
      <c r="H111" s="71"/>
      <c r="I111" s="71"/>
      <c r="J111" s="69"/>
    </row>
    <row r="112" spans="1:11" ht="15" customHeight="1">
      <c r="A112" s="492" t="s">
        <v>108</v>
      </c>
      <c r="B112" s="494" t="s">
        <v>109</v>
      </c>
      <c r="C112" s="496" t="s">
        <v>169</v>
      </c>
      <c r="D112" s="498" t="s">
        <v>110</v>
      </c>
      <c r="E112" s="499"/>
      <c r="F112" s="499"/>
      <c r="G112" s="500"/>
      <c r="H112" s="501" t="s">
        <v>111</v>
      </c>
      <c r="I112" s="488" t="s">
        <v>112</v>
      </c>
      <c r="J112" s="71"/>
    </row>
    <row r="113" spans="1:11" ht="15" customHeight="1">
      <c r="A113" s="493"/>
      <c r="B113" s="495"/>
      <c r="C113" s="497"/>
      <c r="D113" s="73" t="s">
        <v>60</v>
      </c>
      <c r="E113" s="73" t="s">
        <v>66</v>
      </c>
      <c r="F113" s="247" t="s">
        <v>172</v>
      </c>
      <c r="G113" s="73" t="s">
        <v>113</v>
      </c>
      <c r="H113" s="502"/>
      <c r="I113" s="489"/>
      <c r="J113" s="490" t="s">
        <v>170</v>
      </c>
    </row>
    <row r="114" spans="1:11">
      <c r="A114" s="75"/>
      <c r="B114" s="76" t="s">
        <v>114</v>
      </c>
      <c r="C114" s="77"/>
      <c r="D114" s="77"/>
      <c r="E114" s="77"/>
      <c r="F114" s="77"/>
      <c r="G114" s="77"/>
      <c r="H114" s="77"/>
      <c r="I114" s="78"/>
      <c r="J114" s="491"/>
    </row>
    <row r="115" spans="1:11">
      <c r="A115" s="270" t="s">
        <v>171</v>
      </c>
      <c r="B115" s="275" t="s">
        <v>133</v>
      </c>
      <c r="C115" s="84">
        <v>-10750</v>
      </c>
      <c r="D115" s="83"/>
      <c r="E115" s="83">
        <v>170625</v>
      </c>
      <c r="F115" s="83">
        <v>301700</v>
      </c>
      <c r="G115" s="83"/>
      <c r="H115" s="117">
        <v>27000</v>
      </c>
      <c r="I115" s="84">
        <v>412375</v>
      </c>
      <c r="J115" s="82">
        <f>+SUM(C115:G115)-(H115+I115)</f>
        <v>22200</v>
      </c>
      <c r="K115" s="131"/>
    </row>
    <row r="116" spans="1:11">
      <c r="A116" s="270" t="s">
        <v>171</v>
      </c>
      <c r="B116" s="275" t="s">
        <v>102</v>
      </c>
      <c r="C116" s="84">
        <v>9060</v>
      </c>
      <c r="D116" s="83"/>
      <c r="E116" s="83">
        <v>0</v>
      </c>
      <c r="F116" s="83"/>
      <c r="G116" s="83"/>
      <c r="H116" s="117"/>
      <c r="I116" s="84">
        <v>6000</v>
      </c>
      <c r="J116" s="82">
        <f t="shared" ref="J116:J117" si="20">+SUM(C116:G116)-(H116+I116)</f>
        <v>3060</v>
      </c>
      <c r="K116" s="131"/>
    </row>
    <row r="117" spans="1:11">
      <c r="A117" s="270" t="s">
        <v>171</v>
      </c>
      <c r="B117" s="275" t="s">
        <v>75</v>
      </c>
      <c r="C117" s="84">
        <v>1195</v>
      </c>
      <c r="D117" s="83"/>
      <c r="E117" s="83">
        <v>75000</v>
      </c>
      <c r="F117" s="84"/>
      <c r="G117" s="84"/>
      <c r="H117" s="84"/>
      <c r="I117" s="84">
        <v>72400</v>
      </c>
      <c r="J117" s="190">
        <f t="shared" si="20"/>
        <v>3795</v>
      </c>
      <c r="K117" s="131"/>
    </row>
    <row r="118" spans="1:11">
      <c r="A118" s="270" t="s">
        <v>171</v>
      </c>
      <c r="B118" s="275" t="s">
        <v>134</v>
      </c>
      <c r="C118" s="84">
        <v>-8600</v>
      </c>
      <c r="D118" s="199"/>
      <c r="E118" s="83">
        <v>596900</v>
      </c>
      <c r="F118" s="84"/>
      <c r="G118" s="84"/>
      <c r="H118" s="84"/>
      <c r="I118" s="84">
        <v>586000</v>
      </c>
      <c r="J118" s="190">
        <f>+SUM(C118:G118)-(H118+I118)</f>
        <v>2300</v>
      </c>
      <c r="K118" s="131"/>
    </row>
    <row r="119" spans="1:11">
      <c r="A119" s="270" t="s">
        <v>171</v>
      </c>
      <c r="B119" s="275" t="s">
        <v>125</v>
      </c>
      <c r="C119" s="84">
        <v>8884</v>
      </c>
      <c r="D119" s="199"/>
      <c r="E119" s="83">
        <v>618600</v>
      </c>
      <c r="F119" s="84">
        <v>27000</v>
      </c>
      <c r="G119" s="84"/>
      <c r="H119" s="84">
        <v>301700</v>
      </c>
      <c r="I119" s="84">
        <v>367000</v>
      </c>
      <c r="J119" s="190">
        <f t="shared" ref="J119" si="21">+SUM(C119:G119)-(H119+I119)</f>
        <v>-14216</v>
      </c>
      <c r="K119" s="131"/>
    </row>
    <row r="120" spans="1:11">
      <c r="A120" s="267" t="s">
        <v>171</v>
      </c>
      <c r="B120" s="276" t="s">
        <v>74</v>
      </c>
      <c r="C120" s="113">
        <v>191600</v>
      </c>
      <c r="D120" s="267"/>
      <c r="E120" s="267">
        <v>777000</v>
      </c>
      <c r="F120" s="113"/>
      <c r="G120" s="113"/>
      <c r="H120" s="113"/>
      <c r="I120" s="113">
        <v>825300</v>
      </c>
      <c r="J120" s="272">
        <f>+SUM(C120:G120)-(H120+I120)</f>
        <v>143300</v>
      </c>
      <c r="K120" s="131"/>
    </row>
    <row r="121" spans="1:11">
      <c r="A121" s="271" t="s">
        <v>171</v>
      </c>
      <c r="B121" s="277" t="s">
        <v>142</v>
      </c>
      <c r="C121" s="268">
        <v>233614</v>
      </c>
      <c r="D121" s="271"/>
      <c r="E121" s="271"/>
      <c r="F121" s="271"/>
      <c r="G121" s="271"/>
      <c r="H121" s="268"/>
      <c r="I121" s="268"/>
      <c r="J121" s="269">
        <f>+SUM(C121:G121)-(H121+I121)</f>
        <v>233614</v>
      </c>
      <c r="K121" s="131"/>
    </row>
    <row r="122" spans="1:11">
      <c r="A122" s="271" t="s">
        <v>171</v>
      </c>
      <c r="B122" s="277" t="s">
        <v>141</v>
      </c>
      <c r="C122" s="268">
        <v>249769</v>
      </c>
      <c r="D122" s="271"/>
      <c r="E122" s="271"/>
      <c r="F122" s="271"/>
      <c r="G122" s="271"/>
      <c r="H122" s="268"/>
      <c r="I122" s="268"/>
      <c r="J122" s="269">
        <f t="shared" ref="J122:J127" si="22">+SUM(C122:G122)-(H122+I122)</f>
        <v>249769</v>
      </c>
      <c r="K122" s="131"/>
    </row>
    <row r="123" spans="1:11">
      <c r="A123" s="270" t="s">
        <v>171</v>
      </c>
      <c r="B123" s="275" t="s">
        <v>83</v>
      </c>
      <c r="C123" s="84">
        <v>-3510</v>
      </c>
      <c r="D123" s="83"/>
      <c r="E123" s="83">
        <v>240100</v>
      </c>
      <c r="F123" s="83"/>
      <c r="G123" s="83"/>
      <c r="H123" s="84"/>
      <c r="I123" s="84">
        <v>181500</v>
      </c>
      <c r="J123" s="82">
        <f t="shared" si="22"/>
        <v>55090</v>
      </c>
      <c r="K123" s="131"/>
    </row>
    <row r="124" spans="1:11">
      <c r="A124" s="270" t="s">
        <v>171</v>
      </c>
      <c r="B124" s="275" t="s">
        <v>158</v>
      </c>
      <c r="C124" s="84">
        <v>0</v>
      </c>
      <c r="D124" s="83"/>
      <c r="E124" s="83">
        <v>5000</v>
      </c>
      <c r="F124" s="83"/>
      <c r="G124" s="83"/>
      <c r="H124" s="84"/>
      <c r="I124" s="84">
        <v>5000</v>
      </c>
      <c r="J124" s="82">
        <f t="shared" si="22"/>
        <v>0</v>
      </c>
      <c r="K124" s="131"/>
    </row>
    <row r="125" spans="1:11">
      <c r="A125" s="270" t="s">
        <v>171</v>
      </c>
      <c r="B125" s="275" t="s">
        <v>72</v>
      </c>
      <c r="C125" s="84">
        <v>111200</v>
      </c>
      <c r="D125" s="83"/>
      <c r="E125" s="83">
        <v>704000</v>
      </c>
      <c r="F125" s="83"/>
      <c r="G125" s="83"/>
      <c r="H125" s="84"/>
      <c r="I125" s="84">
        <v>704500</v>
      </c>
      <c r="J125" s="82">
        <f t="shared" si="22"/>
        <v>110700</v>
      </c>
      <c r="K125" s="131"/>
    </row>
    <row r="126" spans="1:11">
      <c r="A126" s="270" t="s">
        <v>171</v>
      </c>
      <c r="B126" s="275" t="s">
        <v>167</v>
      </c>
      <c r="C126" s="84">
        <v>-32081</v>
      </c>
      <c r="D126" s="83"/>
      <c r="E126" s="83">
        <v>0</v>
      </c>
      <c r="F126" s="83"/>
      <c r="G126" s="83"/>
      <c r="H126" s="84"/>
      <c r="I126" s="84">
        <v>0</v>
      </c>
      <c r="J126" s="82">
        <f t="shared" si="22"/>
        <v>-32081</v>
      </c>
      <c r="K126" s="131"/>
    </row>
    <row r="127" spans="1:11">
      <c r="A127" s="270" t="s">
        <v>171</v>
      </c>
      <c r="B127" s="276" t="s">
        <v>76</v>
      </c>
      <c r="C127" s="113">
        <v>5300</v>
      </c>
      <c r="D127" s="267"/>
      <c r="E127" s="267">
        <v>10000</v>
      </c>
      <c r="F127" s="267"/>
      <c r="G127" s="278"/>
      <c r="H127" s="113"/>
      <c r="I127" s="113">
        <v>8000</v>
      </c>
      <c r="J127" s="82">
        <f t="shared" si="22"/>
        <v>7300</v>
      </c>
      <c r="K127" s="131"/>
    </row>
    <row r="128" spans="1:11">
      <c r="A128" s="86" t="s">
        <v>115</v>
      </c>
      <c r="B128" s="87"/>
      <c r="C128" s="87"/>
      <c r="D128" s="87"/>
      <c r="E128" s="87"/>
      <c r="F128" s="87"/>
      <c r="G128" s="87"/>
      <c r="H128" s="87"/>
      <c r="I128" s="87"/>
      <c r="J128" s="88"/>
      <c r="K128" s="131"/>
    </row>
    <row r="129" spans="1:11">
      <c r="A129" s="79" t="s">
        <v>171</v>
      </c>
      <c r="B129" s="89" t="s">
        <v>116</v>
      </c>
      <c r="C129" s="90">
        <v>733034</v>
      </c>
      <c r="D129" s="91">
        <v>4293000</v>
      </c>
      <c r="E129" s="91"/>
      <c r="F129" s="91"/>
      <c r="G129" s="273"/>
      <c r="H129" s="279">
        <v>3197225</v>
      </c>
      <c r="I129" s="274">
        <v>1011040</v>
      </c>
      <c r="J129" s="97">
        <f>+SUM(C129:G129)-(H129+I129)</f>
        <v>817769</v>
      </c>
      <c r="K129" s="131"/>
    </row>
    <row r="130" spans="1:11">
      <c r="A130" s="95" t="s">
        <v>117</v>
      </c>
      <c r="B130" s="76"/>
      <c r="C130" s="87"/>
      <c r="D130" s="76"/>
      <c r="E130" s="76"/>
      <c r="F130" s="76"/>
      <c r="G130" s="76"/>
      <c r="H130" s="76"/>
      <c r="I130" s="76"/>
      <c r="J130" s="88"/>
    </row>
    <row r="131" spans="1:11">
      <c r="A131" s="79" t="s">
        <v>171</v>
      </c>
      <c r="B131" s="89" t="s">
        <v>118</v>
      </c>
      <c r="C131" s="273">
        <v>19184971</v>
      </c>
      <c r="D131" s="280"/>
      <c r="E131" s="111"/>
      <c r="F131" s="111"/>
      <c r="G131" s="111"/>
      <c r="H131" s="113">
        <v>4000000</v>
      </c>
      <c r="I131" s="115">
        <v>472051</v>
      </c>
      <c r="J131" s="97">
        <f>+SUM(C131:G131)-(H131+I131)</f>
        <v>14712920</v>
      </c>
      <c r="K131" s="131"/>
    </row>
    <row r="132" spans="1:11">
      <c r="A132" s="79" t="s">
        <v>171</v>
      </c>
      <c r="B132" s="89" t="s">
        <v>119</v>
      </c>
      <c r="C132" s="273">
        <v>14419055</v>
      </c>
      <c r="D132" s="111"/>
      <c r="E132" s="110"/>
      <c r="F132" s="110"/>
      <c r="G132" s="110"/>
      <c r="H132" s="84">
        <v>293000</v>
      </c>
      <c r="I132" s="112">
        <v>5764972</v>
      </c>
      <c r="J132" s="97">
        <f>SUM(C132:G132)-(H132+I132)</f>
        <v>8361083</v>
      </c>
      <c r="K132" s="131"/>
    </row>
    <row r="133" spans="1:11" ht="15.75">
      <c r="C133" s="60"/>
      <c r="I133" s="60"/>
      <c r="J133" s="203">
        <f>+SUM(J115:J132)</f>
        <v>24676603</v>
      </c>
    </row>
    <row r="134" spans="1:11" ht="16.5">
      <c r="A134" s="61"/>
      <c r="B134" s="62"/>
      <c r="C134" s="63"/>
      <c r="D134" s="63"/>
      <c r="E134" s="63"/>
      <c r="F134" s="63"/>
      <c r="G134" s="63"/>
      <c r="H134" s="63"/>
      <c r="I134" s="63"/>
      <c r="J134" s="281"/>
    </row>
    <row r="135" spans="1:11">
      <c r="A135" s="67" t="s">
        <v>107</v>
      </c>
      <c r="B135" s="67"/>
      <c r="C135" s="67"/>
      <c r="D135" s="68"/>
      <c r="E135" s="68"/>
      <c r="F135" s="68"/>
      <c r="G135" s="68"/>
      <c r="H135" s="68"/>
      <c r="I135" s="68"/>
    </row>
    <row r="136" spans="1:11">
      <c r="A136" s="69" t="s">
        <v>148</v>
      </c>
      <c r="B136" s="69"/>
      <c r="C136" s="69"/>
      <c r="D136" s="69"/>
      <c r="E136" s="69"/>
      <c r="F136" s="69"/>
      <c r="G136" s="69"/>
      <c r="H136" s="69"/>
      <c r="I136" s="69"/>
      <c r="J136" s="68"/>
    </row>
    <row r="137" spans="1:11" ht="15" customHeight="1">
      <c r="A137" s="70"/>
      <c r="B137" s="71"/>
      <c r="C137" s="72"/>
      <c r="D137" s="72"/>
      <c r="E137" s="72"/>
      <c r="F137" s="72"/>
      <c r="G137" s="72"/>
      <c r="H137" s="71"/>
      <c r="I137" s="71"/>
      <c r="J137" s="69"/>
    </row>
    <row r="138" spans="1:11" ht="15" customHeight="1">
      <c r="A138" s="492" t="s">
        <v>108</v>
      </c>
      <c r="B138" s="494" t="s">
        <v>109</v>
      </c>
      <c r="C138" s="496" t="s">
        <v>149</v>
      </c>
      <c r="D138" s="498" t="s">
        <v>110</v>
      </c>
      <c r="E138" s="499"/>
      <c r="F138" s="499"/>
      <c r="G138" s="500"/>
      <c r="H138" s="501" t="s">
        <v>111</v>
      </c>
      <c r="I138" s="488" t="s">
        <v>112</v>
      </c>
      <c r="J138" s="71"/>
    </row>
    <row r="139" spans="1:11" ht="15" customHeight="1">
      <c r="A139" s="493"/>
      <c r="B139" s="495"/>
      <c r="C139" s="497"/>
      <c r="D139" s="73" t="s">
        <v>60</v>
      </c>
      <c r="E139" s="73" t="s">
        <v>66</v>
      </c>
      <c r="F139" s="231" t="s">
        <v>152</v>
      </c>
      <c r="G139" s="73" t="s">
        <v>113</v>
      </c>
      <c r="H139" s="502"/>
      <c r="I139" s="489"/>
      <c r="J139" s="490" t="s">
        <v>150</v>
      </c>
    </row>
    <row r="140" spans="1:11">
      <c r="A140" s="75"/>
      <c r="B140" s="76" t="s">
        <v>114</v>
      </c>
      <c r="C140" s="77"/>
      <c r="D140" s="77"/>
      <c r="E140" s="77"/>
      <c r="F140" s="77"/>
      <c r="G140" s="77"/>
      <c r="H140" s="77"/>
      <c r="I140" s="78"/>
      <c r="J140" s="491"/>
    </row>
    <row r="141" spans="1:11" ht="16.5">
      <c r="A141" s="79" t="s">
        <v>151</v>
      </c>
      <c r="B141" s="59" t="s">
        <v>133</v>
      </c>
      <c r="C141" s="80">
        <f t="shared" ref="C141:C150" si="23">+C6</f>
        <v>3670</v>
      </c>
      <c r="D141" s="81"/>
      <c r="E141" s="81">
        <v>271100</v>
      </c>
      <c r="F141" s="81">
        <f>112800+126500</f>
        <v>239300</v>
      </c>
      <c r="G141" s="81"/>
      <c r="H141" s="117"/>
      <c r="I141" s="85">
        <v>521950</v>
      </c>
      <c r="J141" s="82">
        <f>+SUM(C141:G141)-(H141+I141)</f>
        <v>-7880</v>
      </c>
    </row>
    <row r="142" spans="1:11" ht="16.5">
      <c r="A142" s="79" t="s">
        <v>151</v>
      </c>
      <c r="B142" s="59" t="s">
        <v>102</v>
      </c>
      <c r="C142" s="80">
        <f t="shared" si="23"/>
        <v>-540</v>
      </c>
      <c r="D142" s="81"/>
      <c r="E142" s="81">
        <v>625000</v>
      </c>
      <c r="F142" s="81"/>
      <c r="G142" s="81"/>
      <c r="H142" s="117">
        <v>247500</v>
      </c>
      <c r="I142" s="85">
        <v>371500</v>
      </c>
      <c r="J142" s="82">
        <f t="shared" ref="J142:J143" si="24">+SUM(C142:G142)-(H142+I142)</f>
        <v>5460</v>
      </c>
    </row>
    <row r="143" spans="1:11" ht="16.5">
      <c r="A143" s="79" t="s">
        <v>151</v>
      </c>
      <c r="B143" s="59" t="s">
        <v>75</v>
      </c>
      <c r="C143" s="80">
        <f t="shared" si="23"/>
        <v>2395</v>
      </c>
      <c r="D143" s="81"/>
      <c r="E143" s="81">
        <v>60000</v>
      </c>
      <c r="F143" s="189"/>
      <c r="G143" s="189"/>
      <c r="H143" s="84"/>
      <c r="I143" s="116">
        <v>67200</v>
      </c>
      <c r="J143" s="190">
        <f t="shared" si="24"/>
        <v>-4805</v>
      </c>
    </row>
    <row r="144" spans="1:11" ht="15.75" customHeight="1">
      <c r="A144" s="79" t="s">
        <v>151</v>
      </c>
      <c r="B144" s="59" t="s">
        <v>134</v>
      </c>
      <c r="C144" s="80">
        <f t="shared" si="23"/>
        <v>96100</v>
      </c>
      <c r="D144" s="118"/>
      <c r="E144" s="81">
        <v>140000</v>
      </c>
      <c r="F144" s="189">
        <v>270500</v>
      </c>
      <c r="G144" s="189"/>
      <c r="H144" s="84"/>
      <c r="I144" s="84">
        <v>417300</v>
      </c>
      <c r="J144" s="190">
        <f>+SUM(C144:G144)-(H144+I144)</f>
        <v>89300</v>
      </c>
    </row>
    <row r="145" spans="1:11" ht="16.5">
      <c r="A145" s="79" t="s">
        <v>151</v>
      </c>
      <c r="B145" s="59" t="s">
        <v>125</v>
      </c>
      <c r="C145" s="80">
        <f t="shared" si="23"/>
        <v>13884</v>
      </c>
      <c r="D145" s="118"/>
      <c r="E145" s="81">
        <v>256400</v>
      </c>
      <c r="F145" s="189"/>
      <c r="G145" s="189"/>
      <c r="H145" s="84"/>
      <c r="I145" s="85">
        <v>263500</v>
      </c>
      <c r="J145" s="190">
        <f t="shared" ref="J145" si="25">+SUM(C145:G145)-(H145+I145)</f>
        <v>6784</v>
      </c>
    </row>
    <row r="146" spans="1:11" ht="16.5">
      <c r="A146" s="79" t="s">
        <v>151</v>
      </c>
      <c r="B146" s="59" t="s">
        <v>74</v>
      </c>
      <c r="C146" s="80">
        <f t="shared" si="23"/>
        <v>72400</v>
      </c>
      <c r="D146" s="81"/>
      <c r="E146" s="81">
        <v>858500</v>
      </c>
      <c r="F146" s="189"/>
      <c r="G146" s="189"/>
      <c r="H146" s="84"/>
      <c r="I146" s="85">
        <v>645000</v>
      </c>
      <c r="J146" s="190">
        <f>+SUM(C146:G146)-(H146+I146)</f>
        <v>285900</v>
      </c>
    </row>
    <row r="147" spans="1:11" ht="16.5">
      <c r="A147" s="79" t="s">
        <v>151</v>
      </c>
      <c r="B147" s="59" t="s">
        <v>83</v>
      </c>
      <c r="C147" s="80">
        <f t="shared" si="23"/>
        <v>233614</v>
      </c>
      <c r="D147" s="81"/>
      <c r="E147" s="81">
        <v>800700</v>
      </c>
      <c r="F147" s="81"/>
      <c r="G147" s="81"/>
      <c r="H147" s="84">
        <v>262300</v>
      </c>
      <c r="I147" s="85">
        <v>543600</v>
      </c>
      <c r="J147" s="82">
        <f>+SUM(C147:G147)-(H147+I147)</f>
        <v>228414</v>
      </c>
    </row>
    <row r="148" spans="1:11" ht="16.5">
      <c r="A148" s="79" t="s">
        <v>151</v>
      </c>
      <c r="B148" s="59" t="s">
        <v>72</v>
      </c>
      <c r="C148" s="80">
        <f t="shared" si="23"/>
        <v>249769</v>
      </c>
      <c r="D148" s="81"/>
      <c r="E148" s="81">
        <v>971600</v>
      </c>
      <c r="F148" s="81"/>
      <c r="G148" s="81"/>
      <c r="H148" s="84">
        <v>200000</v>
      </c>
      <c r="I148" s="85">
        <v>639450</v>
      </c>
      <c r="J148" s="82">
        <f t="shared" ref="J148:J149" si="26">+SUM(C148:G148)-(H148+I148)</f>
        <v>381919</v>
      </c>
    </row>
    <row r="149" spans="1:11" ht="16.5">
      <c r="A149" s="79" t="s">
        <v>151</v>
      </c>
      <c r="B149" s="59" t="s">
        <v>37</v>
      </c>
      <c r="C149" s="80">
        <f t="shared" si="23"/>
        <v>18490</v>
      </c>
      <c r="D149" s="81"/>
      <c r="E149" s="81"/>
      <c r="F149" s="81"/>
      <c r="G149" s="81"/>
      <c r="H149" s="84"/>
      <c r="I149" s="116">
        <v>23000</v>
      </c>
      <c r="J149" s="82">
        <f t="shared" si="26"/>
        <v>-4510</v>
      </c>
    </row>
    <row r="150" spans="1:11" ht="16.5">
      <c r="A150" s="79" t="s">
        <v>151</v>
      </c>
      <c r="B150" s="59" t="s">
        <v>76</v>
      </c>
      <c r="C150" s="80">
        <f t="shared" si="23"/>
        <v>4500</v>
      </c>
      <c r="D150" s="81"/>
      <c r="E150" s="81"/>
      <c r="F150" s="81"/>
      <c r="G150" s="81"/>
      <c r="H150" s="84"/>
      <c r="I150" s="85">
        <v>0</v>
      </c>
      <c r="J150" s="82">
        <f>+SUM(C150:G150)-(H150+I150)</f>
        <v>4500</v>
      </c>
    </row>
    <row r="151" spans="1:11" ht="16.5">
      <c r="A151" s="236" t="s">
        <v>151</v>
      </c>
      <c r="B151" s="237" t="s">
        <v>157</v>
      </c>
      <c r="C151" s="238">
        <v>3721074</v>
      </c>
      <c r="D151" s="239"/>
      <c r="E151" s="240"/>
      <c r="F151" s="239"/>
      <c r="G151" s="241"/>
      <c r="H151" s="238">
        <v>3721074</v>
      </c>
      <c r="I151" s="242"/>
      <c r="J151" s="243">
        <f>+SUM(C151:G151)-(H151+I151)</f>
        <v>0</v>
      </c>
    </row>
    <row r="152" spans="1:11">
      <c r="A152" s="86" t="s">
        <v>115</v>
      </c>
      <c r="B152" s="87"/>
      <c r="C152" s="87"/>
      <c r="D152" s="87"/>
      <c r="E152" s="87"/>
      <c r="F152" s="87"/>
      <c r="G152" s="87"/>
      <c r="H152" s="87"/>
      <c r="I152" s="87"/>
      <c r="J152" s="88"/>
    </row>
    <row r="153" spans="1:11">
      <c r="A153" s="79" t="s">
        <v>151</v>
      </c>
      <c r="B153" s="89" t="s">
        <v>116</v>
      </c>
      <c r="C153" s="90">
        <f>+C5</f>
        <v>316716</v>
      </c>
      <c r="D153" s="91">
        <v>5000000</v>
      </c>
      <c r="E153" s="91"/>
      <c r="F153" s="91"/>
      <c r="G153" s="92">
        <v>200000</v>
      </c>
      <c r="H153" s="109">
        <v>3983300</v>
      </c>
      <c r="I153" s="93">
        <v>776245</v>
      </c>
      <c r="J153" s="94">
        <f>+SUM(C153:G153)-(H153+I153)</f>
        <v>757171</v>
      </c>
    </row>
    <row r="154" spans="1:11">
      <c r="A154" s="95" t="s">
        <v>117</v>
      </c>
      <c r="B154" s="76"/>
      <c r="C154" s="87"/>
      <c r="D154" s="76"/>
      <c r="E154" s="76"/>
      <c r="F154" s="76"/>
      <c r="G154" s="76"/>
      <c r="H154" s="76"/>
      <c r="I154" s="76"/>
      <c r="J154" s="88"/>
    </row>
    <row r="155" spans="1:11">
      <c r="A155" s="79" t="s">
        <v>151</v>
      </c>
      <c r="B155" s="89" t="s">
        <v>118</v>
      </c>
      <c r="C155" s="96">
        <f>+C3</f>
        <v>5510674</v>
      </c>
      <c r="D155" s="114">
        <v>19826114</v>
      </c>
      <c r="E155" s="111"/>
      <c r="F155" s="111"/>
      <c r="G155" s="111"/>
      <c r="H155" s="113">
        <v>5000000</v>
      </c>
      <c r="I155" s="115">
        <v>455737</v>
      </c>
      <c r="J155" s="97">
        <f>+SUM(C155:G155)-(H155+I155)</f>
        <v>19881051</v>
      </c>
    </row>
    <row r="156" spans="1:11">
      <c r="A156" s="79" t="s">
        <v>151</v>
      </c>
      <c r="B156" s="89" t="s">
        <v>119</v>
      </c>
      <c r="C156" s="96">
        <f>+C4</f>
        <v>11193664</v>
      </c>
      <c r="D156" s="111">
        <v>13119140</v>
      </c>
      <c r="E156" s="110"/>
      <c r="F156" s="110"/>
      <c r="G156" s="110"/>
      <c r="H156" s="84"/>
      <c r="I156" s="112">
        <v>3445919</v>
      </c>
      <c r="J156" s="97">
        <f>SUM(C156:G156)-(H156+I156)</f>
        <v>20866885</v>
      </c>
    </row>
    <row r="157" spans="1:11">
      <c r="A157" s="79" t="s">
        <v>151</v>
      </c>
      <c r="B157" s="195" t="s">
        <v>141</v>
      </c>
      <c r="C157" s="196">
        <v>249769</v>
      </c>
      <c r="D157" s="198"/>
      <c r="E157" s="198"/>
      <c r="F157" s="198"/>
      <c r="G157" s="198"/>
      <c r="H157" s="199"/>
      <c r="I157" s="200"/>
      <c r="J157" s="232">
        <f>SUM(C157:G157)-(H157+I157)</f>
        <v>249769</v>
      </c>
    </row>
    <row r="158" spans="1:11">
      <c r="A158" s="79" t="s">
        <v>151</v>
      </c>
      <c r="B158" s="201" t="s">
        <v>142</v>
      </c>
      <c r="C158" s="196">
        <v>233614</v>
      </c>
      <c r="D158" s="198"/>
      <c r="E158" s="198"/>
      <c r="F158" s="198"/>
      <c r="G158" s="198"/>
      <c r="H158" s="199"/>
      <c r="I158" s="200"/>
      <c r="J158" s="232">
        <f>SUM(C158:G158)-(H158+I158)</f>
        <v>233614</v>
      </c>
    </row>
    <row r="159" spans="1:11">
      <c r="A159" s="79" t="s">
        <v>151</v>
      </c>
      <c r="B159" s="202" t="s">
        <v>143</v>
      </c>
      <c r="C159" s="196">
        <v>330169</v>
      </c>
      <c r="D159" s="194"/>
      <c r="E159" s="194"/>
      <c r="F159" s="194"/>
      <c r="G159" s="194"/>
      <c r="H159" s="194"/>
      <c r="I159" s="194"/>
      <c r="J159" s="232">
        <f>SUM(C159:G159)-(H159+I159)</f>
        <v>330169</v>
      </c>
    </row>
    <row r="160" spans="1:11" ht="15.75">
      <c r="C160" s="60"/>
      <c r="I160" s="60"/>
      <c r="J160" s="203">
        <f>+SUM(J141:J159)</f>
        <v>43303741</v>
      </c>
      <c r="K160" s="233">
        <f>+J160-I21</f>
        <v>25207595.00073</v>
      </c>
    </row>
    <row r="162" spans="1:10">
      <c r="A162" s="67" t="s">
        <v>107</v>
      </c>
      <c r="B162" s="67"/>
      <c r="C162" s="67"/>
      <c r="D162" s="68"/>
      <c r="E162" s="68"/>
      <c r="F162" s="68"/>
      <c r="G162" s="68"/>
      <c r="H162" s="68"/>
      <c r="I162" s="68"/>
    </row>
    <row r="163" spans="1:10">
      <c r="A163" s="69" t="s">
        <v>136</v>
      </c>
      <c r="B163" s="69"/>
      <c r="C163" s="69"/>
      <c r="D163" s="69"/>
      <c r="E163" s="69"/>
      <c r="F163" s="69"/>
      <c r="G163" s="69"/>
      <c r="H163" s="69"/>
      <c r="I163" s="69"/>
      <c r="J163" s="68"/>
    </row>
    <row r="164" spans="1:10">
      <c r="A164" s="70"/>
      <c r="B164" s="71"/>
      <c r="C164" s="72"/>
      <c r="D164" s="72"/>
      <c r="E164" s="72"/>
      <c r="F164" s="72"/>
      <c r="G164" s="72"/>
      <c r="H164" s="71"/>
      <c r="I164" s="71"/>
      <c r="J164" s="69"/>
    </row>
    <row r="165" spans="1:10">
      <c r="A165" s="492" t="s">
        <v>108</v>
      </c>
      <c r="B165" s="494" t="s">
        <v>109</v>
      </c>
      <c r="C165" s="496" t="s">
        <v>138</v>
      </c>
      <c r="D165" s="498" t="s">
        <v>110</v>
      </c>
      <c r="E165" s="499"/>
      <c r="F165" s="499"/>
      <c r="G165" s="500"/>
      <c r="H165" s="501" t="s">
        <v>111</v>
      </c>
      <c r="I165" s="488" t="s">
        <v>112</v>
      </c>
      <c r="J165" s="71"/>
    </row>
    <row r="166" spans="1:10" ht="36.75" customHeight="1">
      <c r="A166" s="493"/>
      <c r="B166" s="495"/>
      <c r="C166" s="497"/>
      <c r="D166" s="73" t="s">
        <v>60</v>
      </c>
      <c r="E166" s="73" t="s">
        <v>66</v>
      </c>
      <c r="F166" s="74" t="s">
        <v>125</v>
      </c>
      <c r="G166" s="73" t="s">
        <v>113</v>
      </c>
      <c r="H166" s="502"/>
      <c r="I166" s="489"/>
      <c r="J166" s="490" t="s">
        <v>144</v>
      </c>
    </row>
    <row r="167" spans="1:10">
      <c r="A167" s="75"/>
      <c r="B167" s="76" t="s">
        <v>114</v>
      </c>
      <c r="C167" s="77"/>
      <c r="D167" s="77"/>
      <c r="E167" s="77"/>
      <c r="F167" s="77"/>
      <c r="G167" s="77"/>
      <c r="H167" s="77"/>
      <c r="I167" s="78"/>
      <c r="J167" s="491"/>
    </row>
    <row r="168" spans="1:10" ht="16.5">
      <c r="A168" s="79" t="s">
        <v>137</v>
      </c>
      <c r="B168" s="59" t="s">
        <v>133</v>
      </c>
      <c r="C168" s="80">
        <v>0</v>
      </c>
      <c r="D168" s="81"/>
      <c r="E168" s="81">
        <v>40000</v>
      </c>
      <c r="F168" s="81"/>
      <c r="G168" s="81"/>
      <c r="H168" s="117"/>
      <c r="I168" s="85">
        <v>39200</v>
      </c>
      <c r="J168" s="82">
        <f>+SUM(C168:G168)-(H168+I168)</f>
        <v>800</v>
      </c>
    </row>
    <row r="169" spans="1:10" ht="16.5">
      <c r="A169" s="79" t="s">
        <v>137</v>
      </c>
      <c r="B169" s="59" t="str">
        <f t="shared" ref="B169:B176" si="27">+A7</f>
        <v>Crépin</v>
      </c>
      <c r="C169" s="80">
        <v>19060</v>
      </c>
      <c r="D169" s="81"/>
      <c r="E169" s="81">
        <v>20000</v>
      </c>
      <c r="F169" s="81"/>
      <c r="G169" s="81"/>
      <c r="H169" s="117"/>
      <c r="I169" s="85">
        <v>36000</v>
      </c>
      <c r="J169" s="82">
        <f t="shared" ref="J169:J176" si="28">+SUM(C169:G169)-(H169+I169)</f>
        <v>3060</v>
      </c>
    </row>
    <row r="170" spans="1:10" ht="16.5">
      <c r="A170" s="79" t="s">
        <v>137</v>
      </c>
      <c r="B170" s="59" t="str">
        <f t="shared" si="27"/>
        <v>Evariste</v>
      </c>
      <c r="C170" s="80">
        <v>8395</v>
      </c>
      <c r="D170" s="81"/>
      <c r="E170" s="81">
        <v>20000</v>
      </c>
      <c r="F170" s="189"/>
      <c r="G170" s="189"/>
      <c r="H170" s="84"/>
      <c r="I170" s="116">
        <v>20000</v>
      </c>
      <c r="J170" s="190">
        <f t="shared" si="28"/>
        <v>8395</v>
      </c>
    </row>
    <row r="171" spans="1:10" ht="16.5">
      <c r="A171" s="79" t="s">
        <v>137</v>
      </c>
      <c r="B171" s="59" t="str">
        <f t="shared" si="27"/>
        <v>Geisner</v>
      </c>
      <c r="C171" s="80">
        <v>0</v>
      </c>
      <c r="D171" s="118"/>
      <c r="E171" s="81">
        <v>100000</v>
      </c>
      <c r="F171" s="189">
        <v>102200</v>
      </c>
      <c r="G171" s="189"/>
      <c r="H171" s="84"/>
      <c r="I171" s="84">
        <v>204000</v>
      </c>
      <c r="J171" s="190">
        <f>+SUM(C171:G171)-(H171+I171)</f>
        <v>-1800</v>
      </c>
    </row>
    <row r="172" spans="1:10" ht="16.5">
      <c r="A172" s="79" t="s">
        <v>137</v>
      </c>
      <c r="B172" s="59" t="str">
        <f t="shared" si="27"/>
        <v>Herick</v>
      </c>
      <c r="C172" s="80">
        <v>7559</v>
      </c>
      <c r="D172" s="118"/>
      <c r="E172" s="81">
        <v>866200</v>
      </c>
      <c r="F172" s="189"/>
      <c r="G172" s="189"/>
      <c r="H172" s="84">
        <v>252200</v>
      </c>
      <c r="I172" s="85">
        <v>605575</v>
      </c>
      <c r="J172" s="190">
        <f t="shared" si="28"/>
        <v>15984</v>
      </c>
    </row>
    <row r="173" spans="1:10" ht="16.5">
      <c r="A173" s="79" t="s">
        <v>137</v>
      </c>
      <c r="B173" s="59" t="str">
        <f t="shared" si="27"/>
        <v>I23C</v>
      </c>
      <c r="C173" s="80">
        <v>214000</v>
      </c>
      <c r="D173" s="81"/>
      <c r="E173" s="81">
        <v>724100</v>
      </c>
      <c r="F173" s="189"/>
      <c r="G173" s="189"/>
      <c r="H173" s="84"/>
      <c r="I173" s="85">
        <v>960000</v>
      </c>
      <c r="J173" s="190">
        <f>+SUM(C173:G173)-(H173+I173)</f>
        <v>-21900</v>
      </c>
    </row>
    <row r="174" spans="1:10" ht="16.5">
      <c r="A174" s="79" t="s">
        <v>137</v>
      </c>
      <c r="B174" s="59" t="str">
        <f t="shared" si="27"/>
        <v>I55S</v>
      </c>
      <c r="C174" s="80">
        <v>-13805</v>
      </c>
      <c r="D174" s="81"/>
      <c r="E174" s="81">
        <v>333400</v>
      </c>
      <c r="F174" s="81">
        <v>150000</v>
      </c>
      <c r="G174" s="81"/>
      <c r="H174" s="84">
        <v>129000</v>
      </c>
      <c r="I174" s="85">
        <v>338905</v>
      </c>
      <c r="J174" s="82">
        <f>+SUM(C174:G174)-(H174+I174)</f>
        <v>1690</v>
      </c>
    </row>
    <row r="175" spans="1:10" ht="16.5">
      <c r="A175" s="79" t="s">
        <v>137</v>
      </c>
      <c r="B175" s="59" t="str">
        <f t="shared" si="27"/>
        <v>I73X</v>
      </c>
      <c r="C175" s="80">
        <v>84350</v>
      </c>
      <c r="D175" s="81"/>
      <c r="E175" s="81">
        <v>669400</v>
      </c>
      <c r="F175" s="81"/>
      <c r="G175" s="81"/>
      <c r="H175" s="84">
        <v>100000</v>
      </c>
      <c r="I175" s="85">
        <v>674700</v>
      </c>
      <c r="J175" s="82">
        <f>+SUM(C175:G175)-(H175+I175)</f>
        <v>-20950</v>
      </c>
    </row>
    <row r="176" spans="1:10" ht="16.5">
      <c r="A176" s="79" t="s">
        <v>137</v>
      </c>
      <c r="B176" s="59" t="str">
        <f t="shared" si="27"/>
        <v>Jack-Bénisson</v>
      </c>
      <c r="C176" s="80">
        <v>-216251</v>
      </c>
      <c r="D176" s="81"/>
      <c r="E176" s="81">
        <v>242000</v>
      </c>
      <c r="F176" s="81"/>
      <c r="G176" s="81"/>
      <c r="H176" s="84"/>
      <c r="I176" s="116">
        <v>34830</v>
      </c>
      <c r="J176" s="82">
        <f t="shared" si="28"/>
        <v>-9081</v>
      </c>
    </row>
    <row r="177" spans="1:15" ht="16.5">
      <c r="A177" s="79" t="s">
        <v>137</v>
      </c>
      <c r="B177" s="59" t="s">
        <v>77</v>
      </c>
      <c r="C177" s="80">
        <v>2025</v>
      </c>
      <c r="D177" s="81"/>
      <c r="E177" s="81">
        <v>25000</v>
      </c>
      <c r="F177" s="81"/>
      <c r="G177" s="81"/>
      <c r="H177" s="84">
        <v>3025</v>
      </c>
      <c r="I177" s="85">
        <v>24000</v>
      </c>
      <c r="J177" s="82">
        <f>+SUM(C177:G177)-(H177+I177)</f>
        <v>0</v>
      </c>
    </row>
    <row r="178" spans="1:15" ht="16.5">
      <c r="A178" s="79" t="s">
        <v>137</v>
      </c>
      <c r="B178" s="59" t="s">
        <v>76</v>
      </c>
      <c r="C178" s="80">
        <v>10000</v>
      </c>
      <c r="D178" s="83"/>
      <c r="E178" s="81">
        <v>0</v>
      </c>
      <c r="F178" s="83"/>
      <c r="G178" s="83"/>
      <c r="H178" s="84"/>
      <c r="I178" s="85">
        <v>4700</v>
      </c>
      <c r="J178" s="82">
        <f>+SUM(C178:G178)-(H178+I178)</f>
        <v>5300</v>
      </c>
    </row>
    <row r="179" spans="1:15">
      <c r="A179" s="86" t="s">
        <v>115</v>
      </c>
      <c r="B179" s="87"/>
      <c r="C179" s="87"/>
      <c r="D179" s="87"/>
      <c r="E179" s="87"/>
      <c r="F179" s="87"/>
      <c r="G179" s="87"/>
      <c r="H179" s="87"/>
      <c r="I179" s="87"/>
      <c r="J179" s="88"/>
    </row>
    <row r="180" spans="1:15">
      <c r="A180" s="79" t="s">
        <v>137</v>
      </c>
      <c r="B180" s="89" t="s">
        <v>116</v>
      </c>
      <c r="C180" s="90">
        <v>791675</v>
      </c>
      <c r="D180" s="91">
        <v>3185100</v>
      </c>
      <c r="E180" s="91"/>
      <c r="F180" s="91"/>
      <c r="G180" s="92">
        <v>237025</v>
      </c>
      <c r="H180" s="109">
        <v>3045100</v>
      </c>
      <c r="I180" s="93">
        <v>876121</v>
      </c>
      <c r="J180" s="94">
        <f>+SUM(C180:G180)-(H180+I180)</f>
        <v>292579</v>
      </c>
    </row>
    <row r="181" spans="1:15">
      <c r="A181" s="95" t="s">
        <v>117</v>
      </c>
      <c r="B181" s="76"/>
      <c r="C181" s="87"/>
      <c r="D181" s="76"/>
      <c r="E181" s="76"/>
      <c r="F181" s="76"/>
      <c r="G181" s="76"/>
      <c r="H181" s="76"/>
      <c r="I181" s="76"/>
      <c r="J181" s="88"/>
    </row>
    <row r="182" spans="1:15">
      <c r="A182" s="79" t="s">
        <v>137</v>
      </c>
      <c r="B182" s="89" t="s">
        <v>118</v>
      </c>
      <c r="C182" s="96">
        <v>8039273</v>
      </c>
      <c r="D182" s="114">
        <v>0</v>
      </c>
      <c r="E182" s="111"/>
      <c r="F182" s="111"/>
      <c r="G182" s="111"/>
      <c r="H182" s="113">
        <v>3000000</v>
      </c>
      <c r="I182" s="115">
        <v>224679</v>
      </c>
      <c r="J182" s="97">
        <f>+SUM(C182:G182)-(H182+I182)</f>
        <v>4814594</v>
      </c>
    </row>
    <row r="183" spans="1:15">
      <c r="A183" s="79" t="s">
        <v>137</v>
      </c>
      <c r="B183" s="89" t="s">
        <v>119</v>
      </c>
      <c r="C183" s="96">
        <v>13283340</v>
      </c>
      <c r="D183" s="111">
        <v>0</v>
      </c>
      <c r="E183" s="110"/>
      <c r="F183" s="110"/>
      <c r="G183" s="110"/>
      <c r="H183" s="84">
        <v>185100</v>
      </c>
      <c r="I183" s="112">
        <v>8352406</v>
      </c>
      <c r="J183" s="97">
        <f>SUM(C183:G183)-(H183+I183)</f>
        <v>4745834</v>
      </c>
    </row>
    <row r="184" spans="1:15">
      <c r="A184" s="194" t="s">
        <v>137</v>
      </c>
      <c r="B184" s="195" t="s">
        <v>140</v>
      </c>
      <c r="C184" s="196">
        <v>3721074</v>
      </c>
      <c r="D184" s="194"/>
      <c r="E184" s="194"/>
      <c r="F184" s="194"/>
      <c r="G184" s="194"/>
      <c r="H184" s="194"/>
      <c r="I184" s="194"/>
      <c r="J184" s="197">
        <f>SUM(C184:G184)-(H184+I184)</f>
        <v>3721074</v>
      </c>
    </row>
    <row r="185" spans="1:15">
      <c r="A185" s="194" t="s">
        <v>137</v>
      </c>
      <c r="B185" s="195" t="s">
        <v>141</v>
      </c>
      <c r="C185" s="196">
        <v>249769</v>
      </c>
      <c r="D185" s="198"/>
      <c r="E185" s="198"/>
      <c r="F185" s="198"/>
      <c r="G185" s="198"/>
      <c r="H185" s="199"/>
      <c r="I185" s="200"/>
      <c r="J185" s="197">
        <f>SUM(C185:G185)-(H185+I185)</f>
        <v>249769</v>
      </c>
    </row>
    <row r="186" spans="1:15">
      <c r="A186" s="194" t="s">
        <v>137</v>
      </c>
      <c r="B186" s="201" t="s">
        <v>142</v>
      </c>
      <c r="C186" s="196">
        <v>233614</v>
      </c>
      <c r="D186" s="198"/>
      <c r="E186" s="198"/>
      <c r="F186" s="198"/>
      <c r="G186" s="198"/>
      <c r="H186" s="199"/>
      <c r="I186" s="200"/>
      <c r="J186" s="197">
        <f>SUM(C186:G186)-(H186+I186)</f>
        <v>233614</v>
      </c>
    </row>
    <row r="187" spans="1:15">
      <c r="A187" s="194" t="s">
        <v>137</v>
      </c>
      <c r="B187" s="202" t="s">
        <v>143</v>
      </c>
      <c r="C187" s="196">
        <v>330169</v>
      </c>
      <c r="D187" s="194"/>
      <c r="E187" s="194"/>
      <c r="F187" s="194"/>
      <c r="G187" s="194"/>
      <c r="H187" s="194"/>
      <c r="I187" s="194"/>
      <c r="J187" s="197">
        <f>SUM(C187:G187)-(H187+I187)</f>
        <v>330169</v>
      </c>
    </row>
    <row r="188" spans="1:15" ht="15.75">
      <c r="C188" s="60"/>
      <c r="I188" s="60"/>
      <c r="J188" s="203">
        <f>+SUM(J168:J187)</f>
        <v>14369131</v>
      </c>
    </row>
    <row r="189" spans="1:15">
      <c r="C189" s="60"/>
      <c r="I189" s="60"/>
      <c r="J189" s="60"/>
    </row>
    <row r="190" spans="1:15" s="157" customFormat="1">
      <c r="A190" s="155" t="s">
        <v>121</v>
      </c>
      <c r="B190" s="155"/>
      <c r="C190" s="155"/>
      <c r="D190" s="155"/>
      <c r="E190" s="155"/>
      <c r="F190" s="155"/>
      <c r="G190" s="155"/>
      <c r="H190" s="155"/>
      <c r="I190" s="155"/>
      <c r="J190" s="156"/>
      <c r="L190" s="158"/>
      <c r="M190" s="158"/>
      <c r="N190" s="158"/>
      <c r="O190" s="158"/>
    </row>
    <row r="191" spans="1:15" s="157" customFormat="1">
      <c r="A191" s="159"/>
      <c r="B191" s="156"/>
      <c r="C191" s="160"/>
      <c r="D191" s="160"/>
      <c r="E191" s="160"/>
      <c r="F191" s="160"/>
      <c r="G191" s="160"/>
      <c r="H191" s="156"/>
      <c r="I191" s="156"/>
      <c r="J191" s="155"/>
      <c r="L191" s="158"/>
      <c r="M191" s="158"/>
      <c r="N191" s="158"/>
      <c r="O191" s="158"/>
    </row>
    <row r="192" spans="1:15" s="157" customFormat="1">
      <c r="A192" s="492" t="s">
        <v>108</v>
      </c>
      <c r="B192" s="494" t="s">
        <v>109</v>
      </c>
      <c r="C192" s="496" t="s">
        <v>123</v>
      </c>
      <c r="D192" s="503" t="s">
        <v>110</v>
      </c>
      <c r="E192" s="504"/>
      <c r="F192" s="504"/>
      <c r="G192" s="505"/>
      <c r="H192" s="506" t="s">
        <v>111</v>
      </c>
      <c r="I192" s="508" t="s">
        <v>112</v>
      </c>
      <c r="J192" s="156"/>
      <c r="L192" s="158"/>
      <c r="M192" s="158"/>
      <c r="N192" s="158"/>
      <c r="O192" s="158"/>
    </row>
    <row r="193" spans="1:15" s="157" customFormat="1">
      <c r="A193" s="493"/>
      <c r="B193" s="495"/>
      <c r="C193" s="497"/>
      <c r="D193" s="73" t="s">
        <v>60</v>
      </c>
      <c r="E193" s="73" t="s">
        <v>66</v>
      </c>
      <c r="F193" s="132" t="s">
        <v>125</v>
      </c>
      <c r="G193" s="73" t="s">
        <v>113</v>
      </c>
      <c r="H193" s="507"/>
      <c r="I193" s="509"/>
      <c r="J193" s="490" t="s">
        <v>124</v>
      </c>
      <c r="L193" s="158"/>
      <c r="M193" s="158"/>
      <c r="N193" s="158"/>
      <c r="O193" s="158"/>
    </row>
    <row r="194" spans="1:15" s="157" customFormat="1">
      <c r="A194" s="161"/>
      <c r="B194" s="162" t="s">
        <v>114</v>
      </c>
      <c r="C194" s="163"/>
      <c r="D194" s="163"/>
      <c r="E194" s="163"/>
      <c r="F194" s="163"/>
      <c r="G194" s="163"/>
      <c r="H194" s="163"/>
      <c r="I194" s="164"/>
      <c r="J194" s="491"/>
      <c r="L194" s="158"/>
      <c r="M194" s="158"/>
      <c r="N194" s="158"/>
      <c r="O194" s="158"/>
    </row>
    <row r="195" spans="1:15" s="157" customFormat="1" ht="16.5">
      <c r="A195" s="165" t="s">
        <v>122</v>
      </c>
      <c r="B195" s="59" t="s">
        <v>102</v>
      </c>
      <c r="C195" s="166">
        <v>40560</v>
      </c>
      <c r="D195" s="81"/>
      <c r="E195" s="81">
        <v>0</v>
      </c>
      <c r="F195" s="81"/>
      <c r="G195" s="81"/>
      <c r="H195" s="167"/>
      <c r="I195" s="168">
        <f>+SUM([16]COMPTA_CREPIN!$F$3050:$F$3066)</f>
        <v>21500</v>
      </c>
      <c r="J195" s="82">
        <f>+SUM(C195:G195)-(H195+I195)</f>
        <v>19060</v>
      </c>
      <c r="L195" s="158"/>
      <c r="M195" s="158"/>
      <c r="N195" s="158"/>
      <c r="O195" s="158"/>
    </row>
    <row r="196" spans="1:15" s="157" customFormat="1" ht="16.5">
      <c r="A196" s="165" t="s">
        <v>122</v>
      </c>
      <c r="B196" s="59" t="s">
        <v>71</v>
      </c>
      <c r="C196" s="166">
        <v>227975</v>
      </c>
      <c r="D196" s="81"/>
      <c r="E196" s="81">
        <f>+'[17]Compta Dalia (2)'!$E$1908+'[17]Compta Dalia (2)'!$E$1909+'[17]Compta Dalia (2)'!$E$1911+'[17]Compta Dalia (2)'!$E$1917</f>
        <v>119600</v>
      </c>
      <c r="F196" s="81"/>
      <c r="G196" s="81"/>
      <c r="H196" s="167">
        <f>+'[17]Compta Dalia (2)'!$F$1919</f>
        <v>1635</v>
      </c>
      <c r="I196" s="168">
        <v>345940</v>
      </c>
      <c r="J196" s="82">
        <f t="shared" ref="J196:J203" si="29">+SUM(C196:G196)-(H196+I196)</f>
        <v>0</v>
      </c>
      <c r="L196" s="158"/>
      <c r="M196" s="158"/>
      <c r="N196" s="158"/>
      <c r="O196" s="158"/>
    </row>
    <row r="197" spans="1:15" s="157" customFormat="1" ht="16.5">
      <c r="A197" s="165" t="s">
        <v>122</v>
      </c>
      <c r="B197" s="59" t="s">
        <v>75</v>
      </c>
      <c r="C197" s="166">
        <v>-605</v>
      </c>
      <c r="D197" s="81"/>
      <c r="E197" s="81">
        <f>+'[18]compta (3)'!$E$2556+'[18]compta (3)'!$E$2557+'[18]compta (3)'!$E$2558</f>
        <v>30000</v>
      </c>
      <c r="F197" s="81"/>
      <c r="G197" s="81"/>
      <c r="H197" s="169"/>
      <c r="I197" s="170">
        <f>'[18]compta (3)'!$F$2559</f>
        <v>21000</v>
      </c>
      <c r="J197" s="82">
        <f t="shared" si="29"/>
        <v>8395</v>
      </c>
      <c r="L197" s="158"/>
      <c r="M197" s="158"/>
      <c r="N197" s="158"/>
      <c r="O197" s="158"/>
    </row>
    <row r="198" spans="1:15" s="157" customFormat="1" ht="16.5">
      <c r="A198" s="165" t="s">
        <v>122</v>
      </c>
      <c r="B198" s="188" t="s">
        <v>69</v>
      </c>
      <c r="C198" s="166">
        <v>264659</v>
      </c>
      <c r="D198" s="189"/>
      <c r="E198" s="189">
        <f>+'[19]compta (2)'!$E$2521+'[19]compta (2)'!$E$2525+'[19]compta (2)'!$E$2527+'[19]compta (2)'!$E$2529</f>
        <v>325000</v>
      </c>
      <c r="F198" s="189"/>
      <c r="G198" s="189"/>
      <c r="H198" s="84">
        <f>'[19]compta (2)'!$F$2528+60000</f>
        <v>75000</v>
      </c>
      <c r="I198" s="84">
        <f>'[19]compta (2)'!$F$2522+'[19]compta (2)'!$F$2523+'[19]compta (2)'!$F$2524+'[19]compta (2)'!$F$2526+'[19]compta (2)'!$F$2530+'[19]compta (2)'!$F$2532+'[19]compta (2)'!$F$2533+'[19]compta (2)'!$F$2534</f>
        <v>507100</v>
      </c>
      <c r="J198" s="190">
        <f t="shared" si="29"/>
        <v>7559</v>
      </c>
      <c r="L198" s="158"/>
      <c r="M198" s="158"/>
      <c r="N198" s="158"/>
      <c r="O198" s="158"/>
    </row>
    <row r="199" spans="1:15" s="157" customFormat="1" ht="16.5">
      <c r="A199" s="165" t="s">
        <v>122</v>
      </c>
      <c r="B199" s="188" t="s">
        <v>103</v>
      </c>
      <c r="C199" s="166">
        <v>272500</v>
      </c>
      <c r="D199" s="189"/>
      <c r="E199" s="189">
        <f>+'[20]COMPTA_I23C (2)'!$E$4171+'[20]COMPTA_I23C (2)'!$E$4172+'[20]COMPTA_I23C (2)'!$E$4174+'[20]COMPTA_I23C (2)'!$E$4178+'[20]COMPTA_I23C (2)'!$E$4180+'[20]COMPTA_I23C (2)'!$E$4181</f>
        <v>695000</v>
      </c>
      <c r="F199" s="189"/>
      <c r="G199" s="189"/>
      <c r="H199" s="84"/>
      <c r="I199" s="166">
        <v>753500</v>
      </c>
      <c r="J199" s="190">
        <f t="shared" si="29"/>
        <v>214000</v>
      </c>
      <c r="L199" s="158"/>
      <c r="M199" s="158"/>
      <c r="N199" s="158"/>
      <c r="O199" s="158"/>
    </row>
    <row r="200" spans="1:15" s="157" customFormat="1" ht="16.5">
      <c r="A200" s="165" t="s">
        <v>122</v>
      </c>
      <c r="B200" s="59" t="s">
        <v>83</v>
      </c>
      <c r="C200" s="166">
        <v>284595</v>
      </c>
      <c r="D200" s="81"/>
      <c r="E200" s="81">
        <f>+'[21]Feuil1 (2)'!$E$2684+'[21]Feuil1 (2)'!$E$2689+'[21]Feuil1 (2)'!$E$2691</f>
        <v>275000</v>
      </c>
      <c r="F200" s="81">
        <f>'[19]compta (2)'!$F$2531</f>
        <v>60000</v>
      </c>
      <c r="G200" s="81"/>
      <c r="H200" s="169"/>
      <c r="I200" s="168">
        <v>633400</v>
      </c>
      <c r="J200" s="82">
        <f t="shared" si="29"/>
        <v>-13805</v>
      </c>
      <c r="L200" s="158"/>
      <c r="M200" s="158"/>
      <c r="N200" s="158"/>
      <c r="O200" s="158"/>
    </row>
    <row r="201" spans="1:15" s="157" customFormat="1" ht="16.5">
      <c r="A201" s="165" t="s">
        <v>122</v>
      </c>
      <c r="B201" s="59" t="s">
        <v>70</v>
      </c>
      <c r="C201" s="166">
        <v>-1750</v>
      </c>
      <c r="D201" s="81"/>
      <c r="E201" s="81">
        <f>+'[22]Compta Jospin (2)'!$E$1583+'[22]Compta Jospin (2)'!$E$1584+'[22]Compta Jospin (2)'!$E$1587</f>
        <v>96400</v>
      </c>
      <c r="F201" s="81"/>
      <c r="G201" s="81"/>
      <c r="H201" s="169">
        <f>+'[22]Compta Jospin (2)'!$F$1592</f>
        <v>950</v>
      </c>
      <c r="I201" s="168">
        <v>93700</v>
      </c>
      <c r="J201" s="82">
        <f t="shared" si="29"/>
        <v>0</v>
      </c>
      <c r="L201" s="158"/>
      <c r="M201" s="158"/>
      <c r="N201" s="158"/>
      <c r="O201" s="158"/>
    </row>
    <row r="202" spans="1:15" s="157" customFormat="1" ht="16.5">
      <c r="A202" s="165" t="s">
        <v>122</v>
      </c>
      <c r="B202" s="59" t="s">
        <v>72</v>
      </c>
      <c r="C202" s="166">
        <v>265600</v>
      </c>
      <c r="D202" s="81"/>
      <c r="E202" s="81">
        <f>+'[23]COMPT-P29 (2)'!$E$190+'[23]COMPT-P29 (2)'!$E$191+'[23]COMPT-P29 (2)'!$E$196+'[23]COMPT-P29 (2)'!$E$201+'[23]COMPT-P29 (2)'!$E$202+'[23]COMPT-P29 (2)'!$E$204+'[23]COMPT-P29 (2)'!$E$207+'[23]COMPT-P29 (2)'!$E$215</f>
        <v>855600</v>
      </c>
      <c r="F202" s="81"/>
      <c r="G202" s="81"/>
      <c r="H202" s="169"/>
      <c r="I202" s="168">
        <v>1036850</v>
      </c>
      <c r="J202" s="82">
        <f t="shared" si="29"/>
        <v>84350</v>
      </c>
      <c r="L202" s="158"/>
      <c r="M202" s="158"/>
      <c r="N202" s="158"/>
      <c r="O202" s="158"/>
    </row>
    <row r="203" spans="1:15" s="157" customFormat="1" ht="16.5">
      <c r="A203" s="165" t="s">
        <v>122</v>
      </c>
      <c r="B203" s="59" t="s">
        <v>104</v>
      </c>
      <c r="C203" s="166">
        <f t="shared" ref="C203" si="30">+C176</f>
        <v>-216251</v>
      </c>
      <c r="D203" s="81"/>
      <c r="E203" s="81">
        <v>0</v>
      </c>
      <c r="F203" s="81"/>
      <c r="G203" s="81"/>
      <c r="H203" s="169"/>
      <c r="I203" s="170">
        <v>0</v>
      </c>
      <c r="J203" s="82">
        <f t="shared" si="29"/>
        <v>-216251</v>
      </c>
      <c r="L203" s="158"/>
      <c r="M203" s="158"/>
      <c r="N203" s="158"/>
      <c r="O203" s="158"/>
    </row>
    <row r="204" spans="1:15" s="157" customFormat="1" ht="16.5">
      <c r="A204" s="165" t="s">
        <v>122</v>
      </c>
      <c r="B204" s="59" t="s">
        <v>77</v>
      </c>
      <c r="C204" s="166">
        <v>1025</v>
      </c>
      <c r="D204" s="81"/>
      <c r="E204" s="81">
        <f>+'[24]compta shely'!$E$90+'[24]compta shely'!$E$97+'[24]compta shely'!$E$100</f>
        <v>25000</v>
      </c>
      <c r="F204" s="81"/>
      <c r="G204" s="81"/>
      <c r="H204" s="169"/>
      <c r="I204" s="168">
        <v>24000</v>
      </c>
      <c r="J204" s="82">
        <f>+SUM(C204:G204)-(H204+I204)</f>
        <v>2025</v>
      </c>
      <c r="L204" s="158"/>
      <c r="M204" s="158"/>
      <c r="N204" s="158"/>
      <c r="O204" s="158"/>
    </row>
    <row r="205" spans="1:15" s="157" customFormat="1" ht="16.5">
      <c r="A205" s="83" t="s">
        <v>122</v>
      </c>
      <c r="B205" s="59" t="s">
        <v>76</v>
      </c>
      <c r="C205" s="166">
        <v>0</v>
      </c>
      <c r="D205" s="83"/>
      <c r="E205" s="83">
        <f>+'[25]compta ted'!$E$11</f>
        <v>10000</v>
      </c>
      <c r="F205" s="83"/>
      <c r="G205" s="83"/>
      <c r="H205" s="169"/>
      <c r="I205" s="168">
        <v>0</v>
      </c>
      <c r="J205" s="82">
        <f>+SUM(C205:G205)-(H205+I205)</f>
        <v>10000</v>
      </c>
      <c r="L205" s="158"/>
      <c r="M205" s="158"/>
      <c r="N205" s="158"/>
      <c r="O205" s="158"/>
    </row>
    <row r="206" spans="1:15" s="157" customFormat="1">
      <c r="A206" s="171" t="s">
        <v>115</v>
      </c>
      <c r="B206" s="172"/>
      <c r="C206" s="172"/>
      <c r="D206" s="172"/>
      <c r="E206" s="172"/>
      <c r="F206" s="172"/>
      <c r="G206" s="172"/>
      <c r="H206" s="172"/>
      <c r="I206" s="172"/>
      <c r="J206" s="173"/>
      <c r="L206" s="158"/>
      <c r="M206" s="158"/>
      <c r="N206" s="158"/>
      <c r="O206" s="158"/>
    </row>
    <row r="207" spans="1:15" s="157" customFormat="1">
      <c r="A207" s="83" t="s">
        <v>122</v>
      </c>
      <c r="B207" s="89" t="s">
        <v>116</v>
      </c>
      <c r="C207" s="90">
        <v>954796</v>
      </c>
      <c r="D207" s="81">
        <v>3000000</v>
      </c>
      <c r="E207" s="81"/>
      <c r="F207" s="81"/>
      <c r="G207" s="174">
        <v>17585</v>
      </c>
      <c r="H207" s="175">
        <v>2431600</v>
      </c>
      <c r="I207" s="176">
        <v>749106</v>
      </c>
      <c r="J207" s="177">
        <f>+SUM(C207:G207)-(H207+I207)</f>
        <v>791675</v>
      </c>
      <c r="L207" s="158"/>
      <c r="M207" s="158"/>
      <c r="N207" s="158"/>
      <c r="O207" s="158"/>
    </row>
    <row r="208" spans="1:15" s="157" customFormat="1">
      <c r="A208" s="178" t="s">
        <v>117</v>
      </c>
      <c r="B208" s="162"/>
      <c r="C208" s="172"/>
      <c r="D208" s="162"/>
      <c r="E208" s="162"/>
      <c r="F208" s="162"/>
      <c r="G208" s="162"/>
      <c r="H208" s="162"/>
      <c r="I208" s="162"/>
      <c r="J208" s="173"/>
      <c r="L208" s="158"/>
      <c r="M208" s="158"/>
      <c r="N208" s="158"/>
      <c r="O208" s="158"/>
    </row>
    <row r="209" spans="1:15" s="157" customFormat="1">
      <c r="A209" s="83" t="s">
        <v>122</v>
      </c>
      <c r="B209" s="89" t="s">
        <v>118</v>
      </c>
      <c r="C209" s="166">
        <v>705838</v>
      </c>
      <c r="D209" s="179">
        <v>10801800</v>
      </c>
      <c r="E209" s="180"/>
      <c r="F209" s="180"/>
      <c r="G209" s="180"/>
      <c r="H209" s="181">
        <v>3000000</v>
      </c>
      <c r="I209" s="182">
        <v>468365</v>
      </c>
      <c r="J209" s="82">
        <f>+SUM(C209:G209)-(H209+I209)</f>
        <v>8039273</v>
      </c>
      <c r="L209" s="158"/>
      <c r="M209" s="158"/>
      <c r="N209" s="158"/>
      <c r="O209" s="158"/>
    </row>
    <row r="210" spans="1:15" s="157" customFormat="1">
      <c r="A210" s="83" t="s">
        <v>122</v>
      </c>
      <c r="B210" s="89" t="s">
        <v>119</v>
      </c>
      <c r="C210" s="166">
        <v>14874402</v>
      </c>
      <c r="D210" s="180">
        <v>3279785</v>
      </c>
      <c r="E210" s="183"/>
      <c r="F210" s="183"/>
      <c r="G210" s="183"/>
      <c r="H210" s="184"/>
      <c r="I210" s="185">
        <v>4870847</v>
      </c>
      <c r="J210" s="82">
        <f>SUM(C210:G210)-(H210+I210)</f>
        <v>13283340</v>
      </c>
      <c r="L210" s="158"/>
      <c r="M210" s="158"/>
      <c r="N210" s="158"/>
      <c r="O210" s="158"/>
    </row>
    <row r="211" spans="1:15" s="157" customFormat="1">
      <c r="L211" s="158"/>
      <c r="M211" s="158"/>
      <c r="N211" s="158"/>
      <c r="O211" s="158"/>
    </row>
    <row r="212" spans="1:15" s="157" customFormat="1">
      <c r="C212" s="186">
        <f>+SUM(C195:C210)</f>
        <v>17673344</v>
      </c>
      <c r="I212" s="186">
        <f>SUM(I195:I210)</f>
        <v>9525308</v>
      </c>
      <c r="J212" s="186">
        <f>+SUM(J195:J210)</f>
        <v>22229621</v>
      </c>
      <c r="L212" s="158"/>
      <c r="M212" s="158"/>
      <c r="N212" s="158"/>
      <c r="O212" s="158"/>
    </row>
    <row r="213" spans="1:15">
      <c r="C213" s="60"/>
      <c r="I213" s="60"/>
      <c r="J213" s="60"/>
    </row>
    <row r="214" spans="1:15">
      <c r="A214" s="124" t="s">
        <v>126</v>
      </c>
      <c r="B214" s="124"/>
    </row>
    <row r="215" spans="1:15">
      <c r="A215" s="125" t="s">
        <v>127</v>
      </c>
      <c r="B215" s="125"/>
      <c r="C215" s="125"/>
      <c r="D215" s="125"/>
      <c r="E215" s="125"/>
      <c r="F215" s="125"/>
      <c r="G215" s="125"/>
      <c r="H215" s="125"/>
      <c r="I215" s="125"/>
      <c r="J215" s="125"/>
    </row>
    <row r="217" spans="1:15">
      <c r="A217" s="510" t="s">
        <v>108</v>
      </c>
      <c r="B217" s="510" t="s">
        <v>109</v>
      </c>
      <c r="C217" s="521" t="s">
        <v>129</v>
      </c>
      <c r="D217" s="516" t="s">
        <v>110</v>
      </c>
      <c r="E217" s="516"/>
      <c r="F217" s="516"/>
      <c r="G217" s="516"/>
      <c r="H217" s="517" t="s">
        <v>111</v>
      </c>
      <c r="I217" s="519" t="s">
        <v>112</v>
      </c>
      <c r="J217" s="512" t="s">
        <v>130</v>
      </c>
      <c r="K217" s="513"/>
    </row>
    <row r="218" spans="1:15" ht="28.5" customHeight="1">
      <c r="A218" s="511"/>
      <c r="B218" s="511"/>
      <c r="C218" s="511"/>
      <c r="D218" s="129" t="s">
        <v>60</v>
      </c>
      <c r="E218" s="126" t="s">
        <v>66</v>
      </c>
      <c r="F218" s="126" t="s">
        <v>70</v>
      </c>
      <c r="G218" s="126" t="s">
        <v>113</v>
      </c>
      <c r="H218" s="518"/>
      <c r="I218" s="520"/>
      <c r="J218" s="514"/>
      <c r="K218" s="515"/>
    </row>
    <row r="219" spans="1:15">
      <c r="A219" s="107"/>
      <c r="B219" s="107" t="s">
        <v>114</v>
      </c>
      <c r="C219" s="109"/>
      <c r="D219" s="109"/>
      <c r="E219" s="109"/>
      <c r="F219" s="109"/>
      <c r="G219" s="109"/>
      <c r="H219" s="109"/>
      <c r="I219" s="109"/>
      <c r="J219" s="109"/>
      <c r="K219" s="107"/>
    </row>
    <row r="220" spans="1:15">
      <c r="A220" s="107" t="s">
        <v>128</v>
      </c>
      <c r="B220" s="107" t="s">
        <v>102</v>
      </c>
      <c r="C220" s="109">
        <v>89360</v>
      </c>
      <c r="D220" s="109"/>
      <c r="E220" s="109">
        <v>13000</v>
      </c>
      <c r="F220" s="109"/>
      <c r="G220" s="109"/>
      <c r="H220" s="109"/>
      <c r="I220" s="109">
        <v>61800</v>
      </c>
      <c r="J220" s="109">
        <v>40560</v>
      </c>
      <c r="K220" s="107"/>
    </row>
    <row r="221" spans="1:15">
      <c r="A221" s="107" t="s">
        <v>128</v>
      </c>
      <c r="B221" s="107" t="s">
        <v>71</v>
      </c>
      <c r="C221" s="109">
        <v>-1025</v>
      </c>
      <c r="D221" s="109"/>
      <c r="E221" s="109">
        <v>684500</v>
      </c>
      <c r="F221" s="109"/>
      <c r="G221" s="109"/>
      <c r="H221" s="109"/>
      <c r="I221" s="109">
        <v>455500</v>
      </c>
      <c r="J221" s="109">
        <v>227975</v>
      </c>
      <c r="K221" s="107"/>
    </row>
    <row r="222" spans="1:15">
      <c r="A222" s="107" t="s">
        <v>128</v>
      </c>
      <c r="B222" s="107" t="s">
        <v>75</v>
      </c>
      <c r="C222" s="109">
        <v>14395</v>
      </c>
      <c r="D222" s="109"/>
      <c r="E222" s="109">
        <v>40000</v>
      </c>
      <c r="F222" s="109"/>
      <c r="G222" s="109"/>
      <c r="H222" s="109"/>
      <c r="I222" s="109">
        <v>55000</v>
      </c>
      <c r="J222" s="109">
        <v>-605</v>
      </c>
      <c r="K222" s="107"/>
    </row>
    <row r="223" spans="1:15">
      <c r="A223" s="107" t="s">
        <v>128</v>
      </c>
      <c r="B223" s="107" t="s">
        <v>69</v>
      </c>
      <c r="C223" s="109">
        <v>8559</v>
      </c>
      <c r="D223" s="109"/>
      <c r="E223" s="109">
        <v>428750</v>
      </c>
      <c r="F223" s="109">
        <v>280200</v>
      </c>
      <c r="G223" s="109"/>
      <c r="H223" s="109"/>
      <c r="I223" s="109">
        <v>452850</v>
      </c>
      <c r="J223" s="109">
        <v>264659</v>
      </c>
      <c r="K223" s="107"/>
    </row>
    <row r="224" spans="1:15">
      <c r="A224" s="107" t="s">
        <v>128</v>
      </c>
      <c r="B224" s="107" t="s">
        <v>103</v>
      </c>
      <c r="C224" s="109">
        <v>-5750</v>
      </c>
      <c r="D224" s="109"/>
      <c r="E224" s="109">
        <v>1161750</v>
      </c>
      <c r="F224" s="109"/>
      <c r="G224" s="109"/>
      <c r="H224" s="109">
        <v>124000</v>
      </c>
      <c r="I224" s="109">
        <v>759500</v>
      </c>
      <c r="J224" s="109">
        <v>272500</v>
      </c>
      <c r="K224" s="107"/>
    </row>
    <row r="225" spans="1:11">
      <c r="A225" s="107" t="s">
        <v>128</v>
      </c>
      <c r="B225" s="107" t="s">
        <v>83</v>
      </c>
      <c r="C225" s="109">
        <v>12995</v>
      </c>
      <c r="D225" s="109"/>
      <c r="E225" s="109">
        <v>726000</v>
      </c>
      <c r="F225" s="109"/>
      <c r="G225" s="109"/>
      <c r="H225" s="109"/>
      <c r="I225" s="109">
        <v>454400</v>
      </c>
      <c r="J225" s="109">
        <v>284595</v>
      </c>
      <c r="K225" s="107"/>
    </row>
    <row r="226" spans="1:11">
      <c r="A226" s="107" t="s">
        <v>128</v>
      </c>
      <c r="B226" s="107" t="s">
        <v>70</v>
      </c>
      <c r="C226" s="109">
        <v>6050</v>
      </c>
      <c r="D226" s="109"/>
      <c r="E226" s="109">
        <v>736300</v>
      </c>
      <c r="F226" s="109"/>
      <c r="G226" s="109"/>
      <c r="H226" s="109">
        <v>405200</v>
      </c>
      <c r="I226" s="109">
        <v>338900</v>
      </c>
      <c r="J226" s="109">
        <v>-1750</v>
      </c>
      <c r="K226" s="107"/>
    </row>
    <row r="227" spans="1:11">
      <c r="A227" s="107" t="s">
        <v>128</v>
      </c>
      <c r="B227" s="107" t="s">
        <v>72</v>
      </c>
      <c r="C227" s="109">
        <v>142400</v>
      </c>
      <c r="D227" s="109"/>
      <c r="E227" s="109">
        <v>1014000</v>
      </c>
      <c r="F227" s="109"/>
      <c r="G227" s="109"/>
      <c r="H227" s="109">
        <v>100000</v>
      </c>
      <c r="I227" s="109">
        <v>790800</v>
      </c>
      <c r="J227" s="109">
        <v>265600</v>
      </c>
      <c r="K227" s="107"/>
    </row>
    <row r="228" spans="1:11">
      <c r="A228" s="107" t="s">
        <v>128</v>
      </c>
      <c r="B228" s="107" t="s">
        <v>104</v>
      </c>
      <c r="C228" s="109">
        <v>-221251.00072999997</v>
      </c>
      <c r="D228" s="109"/>
      <c r="E228" s="109">
        <v>485000</v>
      </c>
      <c r="F228" s="109"/>
      <c r="G228" s="109"/>
      <c r="H228" s="109">
        <v>5000</v>
      </c>
      <c r="I228" s="109">
        <v>475000</v>
      </c>
      <c r="J228" s="109">
        <v>-216251.00072999997</v>
      </c>
      <c r="K228" s="107"/>
    </row>
    <row r="229" spans="1:11">
      <c r="A229" s="107" t="s">
        <v>128</v>
      </c>
      <c r="B229" s="107" t="s">
        <v>77</v>
      </c>
      <c r="C229" s="109">
        <v>14225</v>
      </c>
      <c r="D229" s="109"/>
      <c r="E229" s="109">
        <v>30000</v>
      </c>
      <c r="F229" s="109"/>
      <c r="G229" s="109"/>
      <c r="H229" s="109"/>
      <c r="I229" s="109">
        <v>43200</v>
      </c>
      <c r="J229" s="109">
        <v>1025</v>
      </c>
      <c r="K229" s="107"/>
    </row>
    <row r="230" spans="1:11">
      <c r="A230" s="127" t="s">
        <v>115</v>
      </c>
      <c r="B230" s="127"/>
      <c r="C230" s="128"/>
      <c r="D230" s="128"/>
      <c r="E230" s="128"/>
      <c r="F230" s="128"/>
      <c r="G230" s="128"/>
      <c r="H230" s="128"/>
      <c r="I230" s="128"/>
      <c r="J230" s="128"/>
      <c r="K230" s="127"/>
    </row>
    <row r="231" spans="1:11">
      <c r="A231" s="107" t="s">
        <v>128</v>
      </c>
      <c r="B231" s="107" t="s">
        <v>116</v>
      </c>
      <c r="C231" s="109">
        <v>494738</v>
      </c>
      <c r="D231" s="109">
        <v>6000000</v>
      </c>
      <c r="E231" s="109"/>
      <c r="F231" s="109"/>
      <c r="G231" s="109">
        <v>105000</v>
      </c>
      <c r="H231" s="109">
        <v>5070300</v>
      </c>
      <c r="I231" s="109">
        <v>574642</v>
      </c>
      <c r="J231" s="109">
        <v>954796</v>
      </c>
      <c r="K231" s="107"/>
    </row>
    <row r="232" spans="1:11">
      <c r="A232" s="127" t="s">
        <v>117</v>
      </c>
      <c r="B232" s="127"/>
      <c r="C232" s="128"/>
      <c r="D232" s="128"/>
      <c r="E232" s="128"/>
      <c r="F232" s="128"/>
      <c r="G232" s="128"/>
      <c r="H232" s="128"/>
      <c r="I232" s="128"/>
      <c r="J232" s="128"/>
      <c r="K232" s="127"/>
    </row>
    <row r="233" spans="1:11">
      <c r="A233" s="107" t="s">
        <v>128</v>
      </c>
      <c r="B233" s="107" t="s">
        <v>118</v>
      </c>
      <c r="C233" s="109">
        <v>11363703</v>
      </c>
      <c r="D233" s="109"/>
      <c r="E233" s="109"/>
      <c r="F233" s="109"/>
      <c r="G233" s="109"/>
      <c r="H233" s="109">
        <v>10000000</v>
      </c>
      <c r="I233" s="109">
        <v>657865</v>
      </c>
      <c r="J233" s="109">
        <v>705838</v>
      </c>
      <c r="K233" s="107"/>
    </row>
    <row r="234" spans="1:11">
      <c r="A234" s="107" t="s">
        <v>128</v>
      </c>
      <c r="B234" s="107" t="s">
        <v>119</v>
      </c>
      <c r="C234" s="109">
        <v>4902843</v>
      </c>
      <c r="D234" s="109">
        <v>17119140</v>
      </c>
      <c r="E234" s="109"/>
      <c r="F234" s="109"/>
      <c r="G234" s="109"/>
      <c r="H234" s="109"/>
      <c r="I234" s="109">
        <v>7147581</v>
      </c>
      <c r="J234" s="109">
        <v>14874402</v>
      </c>
      <c r="K234" s="107"/>
    </row>
    <row r="235" spans="1:11">
      <c r="A235" s="107"/>
      <c r="B235" s="107"/>
      <c r="C235" s="109"/>
      <c r="D235" s="109"/>
      <c r="E235" s="109"/>
      <c r="F235" s="109"/>
      <c r="G235" s="109"/>
      <c r="H235" s="109"/>
      <c r="I235" s="109"/>
      <c r="J235" s="109"/>
      <c r="K235" s="107"/>
    </row>
    <row r="236" spans="1:11">
      <c r="A236" s="107"/>
      <c r="B236" s="107"/>
      <c r="C236" s="109"/>
      <c r="D236" s="109"/>
      <c r="E236" s="109"/>
      <c r="F236" s="109"/>
      <c r="G236" s="109"/>
      <c r="H236" s="109"/>
      <c r="I236" s="109">
        <v>12267038</v>
      </c>
      <c r="J236" s="109">
        <v>17673343.99927</v>
      </c>
      <c r="K236" s="107" t="b">
        <v>1</v>
      </c>
    </row>
    <row r="237" spans="1:11">
      <c r="J237" s="131" t="b">
        <f>J236=[26]TABLEAU!$I$16</f>
        <v>1</v>
      </c>
    </row>
  </sheetData>
  <mergeCells count="56">
    <mergeCell ref="I29:I30"/>
    <mergeCell ref="J30:J31"/>
    <mergeCell ref="A29:A30"/>
    <mergeCell ref="B29:B30"/>
    <mergeCell ref="C29:C30"/>
    <mergeCell ref="D29:G29"/>
    <mergeCell ref="H29:H30"/>
    <mergeCell ref="I57:I58"/>
    <mergeCell ref="J58:J59"/>
    <mergeCell ref="A57:A58"/>
    <mergeCell ref="B57:B58"/>
    <mergeCell ref="C57:C58"/>
    <mergeCell ref="D57:G57"/>
    <mergeCell ref="H57:H58"/>
    <mergeCell ref="I112:I113"/>
    <mergeCell ref="J113:J114"/>
    <mergeCell ref="A112:A113"/>
    <mergeCell ref="B112:B113"/>
    <mergeCell ref="C112:C113"/>
    <mergeCell ref="D112:G112"/>
    <mergeCell ref="H112:H113"/>
    <mergeCell ref="A217:A218"/>
    <mergeCell ref="J166:J167"/>
    <mergeCell ref="A165:A166"/>
    <mergeCell ref="B165:B166"/>
    <mergeCell ref="C165:C166"/>
    <mergeCell ref="D165:G165"/>
    <mergeCell ref="H165:H166"/>
    <mergeCell ref="I165:I166"/>
    <mergeCell ref="B217:B218"/>
    <mergeCell ref="J217:K218"/>
    <mergeCell ref="D217:G217"/>
    <mergeCell ref="H217:H218"/>
    <mergeCell ref="I217:I218"/>
    <mergeCell ref="C217:C218"/>
    <mergeCell ref="B192:B193"/>
    <mergeCell ref="C192:C193"/>
    <mergeCell ref="A192:A193"/>
    <mergeCell ref="D192:G192"/>
    <mergeCell ref="H192:H193"/>
    <mergeCell ref="J193:J194"/>
    <mergeCell ref="I192:I193"/>
    <mergeCell ref="I138:I139"/>
    <mergeCell ref="J139:J140"/>
    <mergeCell ref="A138:A139"/>
    <mergeCell ref="B138:B139"/>
    <mergeCell ref="C138:C139"/>
    <mergeCell ref="D138:G138"/>
    <mergeCell ref="H138:H139"/>
    <mergeCell ref="I85:I86"/>
    <mergeCell ref="J86:J87"/>
    <mergeCell ref="A85:A86"/>
    <mergeCell ref="B85:B86"/>
    <mergeCell ref="C85:C86"/>
    <mergeCell ref="D85:G85"/>
    <mergeCell ref="H85:H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Q24"/>
  <sheetViews>
    <sheetView topLeftCell="A3" workbookViewId="0">
      <pane xSplit="1" topLeftCell="AH1" activePane="topRight" state="frozen"/>
      <selection pane="topRight" activeCell="AO20" sqref="AO20"/>
    </sheetView>
  </sheetViews>
  <sheetFormatPr baseColWidth="10" defaultColWidth="11.42578125" defaultRowHeight="15"/>
  <cols>
    <col min="1" max="1" width="21" bestFit="1" customWidth="1"/>
    <col min="2" max="2" width="23.85546875" bestFit="1" customWidth="1"/>
    <col min="3" max="3" width="16.140625" bestFit="1" customWidth="1"/>
    <col min="4" max="4" width="19.140625" bestFit="1" customWidth="1"/>
    <col min="5" max="5" width="16.140625" bestFit="1" customWidth="1"/>
    <col min="6" max="6" width="19.140625" bestFit="1" customWidth="1"/>
    <col min="7" max="7" width="16.140625" bestFit="1" customWidth="1"/>
    <col min="8" max="8" width="19.140625" bestFit="1" customWidth="1"/>
    <col min="9" max="9" width="16.140625" bestFit="1" customWidth="1"/>
    <col min="10" max="10" width="19.140625" bestFit="1" customWidth="1"/>
    <col min="11" max="11" width="16.140625" bestFit="1" customWidth="1"/>
    <col min="12" max="12" width="19.140625" bestFit="1" customWidth="1"/>
    <col min="13" max="13" width="16.140625" bestFit="1" customWidth="1"/>
    <col min="14" max="14" width="19.140625" bestFit="1" customWidth="1"/>
    <col min="15" max="15" width="16.140625" bestFit="1" customWidth="1"/>
    <col min="16" max="16" width="19.140625" bestFit="1" customWidth="1"/>
    <col min="17" max="17" width="16.140625" bestFit="1" customWidth="1"/>
    <col min="18" max="18" width="19.140625" bestFit="1" customWidth="1"/>
    <col min="19" max="19" width="16.140625" bestFit="1" customWidth="1"/>
    <col min="20" max="20" width="19.140625" bestFit="1" customWidth="1"/>
    <col min="21" max="21" width="16.140625" bestFit="1" customWidth="1"/>
    <col min="22" max="22" width="19.140625" bestFit="1" customWidth="1"/>
    <col min="23" max="23" width="16.140625" bestFit="1" customWidth="1"/>
    <col min="24" max="24" width="19.140625" bestFit="1" customWidth="1"/>
    <col min="25" max="25" width="16.140625" bestFit="1" customWidth="1"/>
    <col min="26" max="26" width="19.140625" bestFit="1" customWidth="1"/>
    <col min="27" max="27" width="16.140625" bestFit="1" customWidth="1"/>
    <col min="28" max="28" width="19.140625" bestFit="1" customWidth="1"/>
    <col min="29" max="29" width="16.140625" bestFit="1" customWidth="1"/>
    <col min="30" max="30" width="19.140625" bestFit="1" customWidth="1"/>
    <col min="31" max="31" width="16.140625" bestFit="1" customWidth="1"/>
    <col min="32" max="32" width="19.140625" bestFit="1" customWidth="1"/>
    <col min="33" max="33" width="16.140625" bestFit="1" customWidth="1"/>
    <col min="34" max="34" width="19.140625" bestFit="1" customWidth="1"/>
    <col min="35" max="35" width="16.140625" bestFit="1" customWidth="1"/>
    <col min="36" max="36" width="24.140625" bestFit="1" customWidth="1"/>
    <col min="37" max="37" width="21" bestFit="1" customWidth="1"/>
    <col min="38" max="38" width="1.85546875" customWidth="1"/>
    <col min="39" max="39" width="13.5703125" customWidth="1"/>
    <col min="40" max="40" width="15" customWidth="1"/>
    <col min="41" max="41" width="16.140625" bestFit="1" customWidth="1"/>
    <col min="42" max="42" width="14.140625" customWidth="1"/>
    <col min="43" max="43" width="12.85546875" customWidth="1"/>
    <col min="44" max="44" width="19.140625" bestFit="1" customWidth="1"/>
    <col min="45" max="45" width="16.140625" bestFit="1" customWidth="1"/>
    <col min="46" max="46" width="19.140625" bestFit="1" customWidth="1"/>
    <col min="47" max="47" width="16.140625" bestFit="1" customWidth="1"/>
    <col min="48" max="48" width="24.140625" bestFit="1" customWidth="1"/>
    <col min="49" max="49" width="21" bestFit="1" customWidth="1"/>
  </cols>
  <sheetData>
    <row r="3" spans="1:43">
      <c r="B3" s="52" t="s">
        <v>176</v>
      </c>
    </row>
    <row r="4" spans="1:43">
      <c r="B4" t="s">
        <v>28</v>
      </c>
      <c r="D4" t="s">
        <v>26</v>
      </c>
      <c r="F4" t="s">
        <v>196</v>
      </c>
      <c r="H4" t="s">
        <v>177</v>
      </c>
      <c r="J4" t="s">
        <v>79</v>
      </c>
      <c r="L4" t="s">
        <v>64</v>
      </c>
      <c r="N4" t="s">
        <v>80</v>
      </c>
      <c r="P4" t="s">
        <v>15</v>
      </c>
      <c r="R4" t="s">
        <v>17</v>
      </c>
      <c r="T4" t="s">
        <v>30</v>
      </c>
      <c r="V4" t="s">
        <v>20</v>
      </c>
      <c r="X4" t="s">
        <v>68</v>
      </c>
      <c r="Z4" t="s">
        <v>78</v>
      </c>
      <c r="AB4" t="s">
        <v>463</v>
      </c>
      <c r="AD4" t="s">
        <v>147</v>
      </c>
      <c r="AF4" t="s">
        <v>82</v>
      </c>
      <c r="AH4" t="s">
        <v>131</v>
      </c>
      <c r="AJ4" t="s">
        <v>184</v>
      </c>
      <c r="AK4" t="s">
        <v>186</v>
      </c>
    </row>
    <row r="5" spans="1:43">
      <c r="A5" s="52" t="s">
        <v>174</v>
      </c>
      <c r="B5" t="s">
        <v>185</v>
      </c>
      <c r="C5" t="s">
        <v>164</v>
      </c>
      <c r="D5" t="s">
        <v>185</v>
      </c>
      <c r="E5" t="s">
        <v>164</v>
      </c>
      <c r="F5" t="s">
        <v>185</v>
      </c>
      <c r="G5" t="s">
        <v>164</v>
      </c>
      <c r="H5" t="s">
        <v>185</v>
      </c>
      <c r="I5" t="s">
        <v>164</v>
      </c>
      <c r="J5" t="s">
        <v>185</v>
      </c>
      <c r="K5" t="s">
        <v>164</v>
      </c>
      <c r="L5" t="s">
        <v>185</v>
      </c>
      <c r="M5" t="s">
        <v>164</v>
      </c>
      <c r="N5" t="s">
        <v>185</v>
      </c>
      <c r="O5" t="s">
        <v>164</v>
      </c>
      <c r="P5" t="s">
        <v>185</v>
      </c>
      <c r="Q5" t="s">
        <v>164</v>
      </c>
      <c r="R5" t="s">
        <v>185</v>
      </c>
      <c r="S5" t="s">
        <v>164</v>
      </c>
      <c r="T5" t="s">
        <v>185</v>
      </c>
      <c r="U5" t="s">
        <v>164</v>
      </c>
      <c r="V5" t="s">
        <v>185</v>
      </c>
      <c r="W5" t="s">
        <v>164</v>
      </c>
      <c r="X5" t="s">
        <v>185</v>
      </c>
      <c r="Y5" t="s">
        <v>164</v>
      </c>
      <c r="Z5" t="s">
        <v>185</v>
      </c>
      <c r="AA5" t="s">
        <v>164</v>
      </c>
      <c r="AB5" t="s">
        <v>185</v>
      </c>
      <c r="AC5" t="s">
        <v>164</v>
      </c>
      <c r="AD5" t="s">
        <v>185</v>
      </c>
      <c r="AE5" t="s">
        <v>164</v>
      </c>
      <c r="AF5" t="s">
        <v>185</v>
      </c>
      <c r="AG5" t="s">
        <v>164</v>
      </c>
      <c r="AH5" t="s">
        <v>185</v>
      </c>
      <c r="AI5" t="s">
        <v>164</v>
      </c>
      <c r="AN5" s="107" t="s">
        <v>95</v>
      </c>
      <c r="AO5" s="107" t="s">
        <v>96</v>
      </c>
      <c r="AP5" s="107" t="s">
        <v>97</v>
      </c>
      <c r="AQ5" s="107" t="s">
        <v>98</v>
      </c>
    </row>
    <row r="6" spans="1:43">
      <c r="A6" s="53" t="s">
        <v>60</v>
      </c>
      <c r="B6" s="54"/>
      <c r="C6" s="54">
        <v>11455</v>
      </c>
      <c r="D6" s="54"/>
      <c r="E6" s="54">
        <v>266000</v>
      </c>
      <c r="F6" s="54">
        <v>10380044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>
        <v>5500000</v>
      </c>
      <c r="AJ6" s="54">
        <v>10380044</v>
      </c>
      <c r="AK6" s="54">
        <v>5777455</v>
      </c>
      <c r="AL6" s="54"/>
      <c r="AM6" s="107" t="s">
        <v>100</v>
      </c>
      <c r="AN6" s="109">
        <f>+AH6</f>
        <v>0</v>
      </c>
      <c r="AO6" s="109">
        <f>+AI6</f>
        <v>5500000</v>
      </c>
      <c r="AP6" s="109">
        <f t="shared" ref="AP6:AP24" si="0">+AK6-AO6</f>
        <v>277455</v>
      </c>
      <c r="AQ6" s="109">
        <f>+F6</f>
        <v>10380044</v>
      </c>
    </row>
    <row r="7" spans="1:43">
      <c r="A7" s="53" t="s">
        <v>62</v>
      </c>
      <c r="B7" s="54"/>
      <c r="C7" s="54">
        <v>18476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>
        <v>4083284</v>
      </c>
      <c r="R7" s="54"/>
      <c r="S7" s="54">
        <v>500000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>
        <v>372000</v>
      </c>
      <c r="AJ7" s="54"/>
      <c r="AK7" s="54">
        <v>4973760</v>
      </c>
      <c r="AL7" s="54"/>
      <c r="AM7" s="107" t="s">
        <v>101</v>
      </c>
      <c r="AN7" s="109">
        <f t="shared" ref="AN7:AN24" si="1">+AH7</f>
        <v>0</v>
      </c>
      <c r="AO7" s="109">
        <f t="shared" ref="AO7:AO24" si="2">+AI7</f>
        <v>372000</v>
      </c>
      <c r="AP7" s="109">
        <f t="shared" si="0"/>
        <v>4601760</v>
      </c>
      <c r="AQ7" s="109">
        <f t="shared" ref="AQ7:AQ24" si="3">+F7</f>
        <v>0</v>
      </c>
    </row>
    <row r="8" spans="1:43">
      <c r="A8" s="53" t="s">
        <v>66</v>
      </c>
      <c r="B8" s="54"/>
      <c r="C8" s="54"/>
      <c r="D8" s="54"/>
      <c r="E8" s="54">
        <v>345000</v>
      </c>
      <c r="F8" s="54"/>
      <c r="G8" s="54"/>
      <c r="H8" s="54"/>
      <c r="I8" s="54">
        <v>89175</v>
      </c>
      <c r="J8" s="54"/>
      <c r="K8" s="54">
        <v>35700</v>
      </c>
      <c r="L8" s="54"/>
      <c r="M8" s="54">
        <v>173000</v>
      </c>
      <c r="N8" s="54"/>
      <c r="O8" s="54">
        <v>128900</v>
      </c>
      <c r="P8" s="54"/>
      <c r="Q8" s="54">
        <v>97500</v>
      </c>
      <c r="R8" s="54"/>
      <c r="S8" s="54">
        <v>76500</v>
      </c>
      <c r="T8" s="54"/>
      <c r="U8" s="54">
        <v>135000</v>
      </c>
      <c r="V8" s="54"/>
      <c r="W8" s="54">
        <v>45000</v>
      </c>
      <c r="X8" s="54"/>
      <c r="Y8" s="54">
        <v>52485</v>
      </c>
      <c r="Z8" s="54"/>
      <c r="AA8" s="54">
        <v>25000</v>
      </c>
      <c r="AB8" s="54"/>
      <c r="AC8" s="54">
        <v>80000</v>
      </c>
      <c r="AD8" s="54"/>
      <c r="AE8" s="54">
        <v>200000</v>
      </c>
      <c r="AF8" s="54"/>
      <c r="AG8" s="54">
        <v>40000</v>
      </c>
      <c r="AH8" s="54">
        <v>5872000</v>
      </c>
      <c r="AI8" s="54">
        <v>3517119</v>
      </c>
      <c r="AJ8" s="54">
        <v>5872000</v>
      </c>
      <c r="AK8" s="54">
        <v>5040379</v>
      </c>
      <c r="AL8" s="54"/>
      <c r="AM8" s="107" t="s">
        <v>66</v>
      </c>
      <c r="AN8" s="109">
        <f t="shared" si="1"/>
        <v>5872000</v>
      </c>
      <c r="AO8" s="109">
        <f t="shared" si="2"/>
        <v>3517119</v>
      </c>
      <c r="AP8" s="109">
        <f t="shared" si="0"/>
        <v>1523260</v>
      </c>
      <c r="AQ8" s="109">
        <f t="shared" si="3"/>
        <v>0</v>
      </c>
    </row>
    <row r="9" spans="1:43">
      <c r="A9" s="53" t="s">
        <v>133</v>
      </c>
      <c r="B9" s="54"/>
      <c r="C9" s="54"/>
      <c r="D9" s="54"/>
      <c r="E9" s="54"/>
      <c r="F9" s="54"/>
      <c r="G9" s="54"/>
      <c r="H9" s="54"/>
      <c r="I9" s="54"/>
      <c r="J9" s="54"/>
      <c r="K9" s="54">
        <v>12000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>
        <v>56000</v>
      </c>
      <c r="AB9" s="54"/>
      <c r="AC9" s="54"/>
      <c r="AD9" s="54"/>
      <c r="AE9" s="54">
        <v>50000</v>
      </c>
      <c r="AF9" s="54"/>
      <c r="AG9" s="54"/>
      <c r="AH9" s="54">
        <v>122000</v>
      </c>
      <c r="AI9" s="54"/>
      <c r="AJ9" s="54">
        <v>122000</v>
      </c>
      <c r="AK9" s="54">
        <v>118000</v>
      </c>
      <c r="AL9" s="54"/>
      <c r="AM9" s="107" t="s">
        <v>133</v>
      </c>
      <c r="AN9" s="109">
        <f t="shared" si="1"/>
        <v>122000</v>
      </c>
      <c r="AO9" s="109">
        <f t="shared" si="2"/>
        <v>0</v>
      </c>
      <c r="AP9" s="109">
        <f t="shared" si="0"/>
        <v>118000</v>
      </c>
      <c r="AQ9" s="109">
        <f t="shared" si="3"/>
        <v>0</v>
      </c>
    </row>
    <row r="10" spans="1:43">
      <c r="A10" s="53" t="s">
        <v>102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>
        <v>95500</v>
      </c>
      <c r="AB10" s="54"/>
      <c r="AC10" s="54"/>
      <c r="AD10" s="54"/>
      <c r="AE10" s="54">
        <v>93000</v>
      </c>
      <c r="AF10" s="54"/>
      <c r="AG10" s="54">
        <v>21000</v>
      </c>
      <c r="AH10" s="54">
        <v>214750</v>
      </c>
      <c r="AI10" s="54"/>
      <c r="AJ10" s="54">
        <v>214750</v>
      </c>
      <c r="AK10" s="54">
        <v>209500</v>
      </c>
      <c r="AL10" s="54"/>
      <c r="AM10" s="107" t="s">
        <v>102</v>
      </c>
      <c r="AN10" s="109">
        <f t="shared" si="1"/>
        <v>214750</v>
      </c>
      <c r="AO10" s="109">
        <f t="shared" si="2"/>
        <v>0</v>
      </c>
      <c r="AP10" s="109">
        <f t="shared" si="0"/>
        <v>209500</v>
      </c>
      <c r="AQ10" s="109">
        <f t="shared" si="3"/>
        <v>0</v>
      </c>
    </row>
    <row r="11" spans="1:43">
      <c r="A11" s="53" t="s">
        <v>75</v>
      </c>
      <c r="B11" s="54"/>
      <c r="C11" s="54"/>
      <c r="D11" s="54"/>
      <c r="E11" s="54"/>
      <c r="F11" s="54"/>
      <c r="G11" s="54"/>
      <c r="H11" s="54"/>
      <c r="I11" s="54"/>
      <c r="J11" s="54"/>
      <c r="K11" s="54">
        <v>2800</v>
      </c>
      <c r="L11" s="54"/>
      <c r="M11" s="54"/>
      <c r="N11" s="54"/>
      <c r="O11" s="54">
        <v>5300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>
        <v>59000</v>
      </c>
      <c r="AB11" s="54"/>
      <c r="AC11" s="54"/>
      <c r="AD11" s="54"/>
      <c r="AE11" s="54"/>
      <c r="AF11" s="54"/>
      <c r="AG11" s="54"/>
      <c r="AH11" s="54">
        <v>74000</v>
      </c>
      <c r="AI11" s="54"/>
      <c r="AJ11" s="54">
        <v>74000</v>
      </c>
      <c r="AK11" s="54">
        <v>67100</v>
      </c>
      <c r="AL11" s="54"/>
      <c r="AM11" s="107" t="s">
        <v>75</v>
      </c>
      <c r="AN11" s="109">
        <f t="shared" si="1"/>
        <v>74000</v>
      </c>
      <c r="AO11" s="109">
        <f t="shared" si="2"/>
        <v>0</v>
      </c>
      <c r="AP11" s="109">
        <f t="shared" si="0"/>
        <v>67100</v>
      </c>
      <c r="AQ11" s="109">
        <f t="shared" si="3"/>
        <v>0</v>
      </c>
    </row>
    <row r="12" spans="1:43">
      <c r="A12" s="53" t="s">
        <v>134</v>
      </c>
      <c r="B12" s="54"/>
      <c r="C12" s="54"/>
      <c r="D12" s="54"/>
      <c r="E12" s="54"/>
      <c r="F12" s="54"/>
      <c r="G12" s="54"/>
      <c r="H12" s="54"/>
      <c r="I12" s="54"/>
      <c r="J12" s="54"/>
      <c r="K12" s="54">
        <v>91200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>
        <v>145500</v>
      </c>
      <c r="AB12" s="54"/>
      <c r="AC12" s="54"/>
      <c r="AD12" s="54"/>
      <c r="AE12" s="54">
        <v>315000</v>
      </c>
      <c r="AF12" s="54"/>
      <c r="AG12" s="54"/>
      <c r="AH12" s="54">
        <v>492100</v>
      </c>
      <c r="AI12" s="54">
        <v>61600</v>
      </c>
      <c r="AJ12" s="54">
        <v>492100</v>
      </c>
      <c r="AK12" s="54">
        <v>613300</v>
      </c>
      <c r="AL12" s="54"/>
      <c r="AM12" s="107" t="s">
        <v>134</v>
      </c>
      <c r="AN12" s="109">
        <f t="shared" si="1"/>
        <v>492100</v>
      </c>
      <c r="AO12" s="109">
        <f t="shared" si="2"/>
        <v>61600</v>
      </c>
      <c r="AP12" s="109">
        <f t="shared" si="0"/>
        <v>551700</v>
      </c>
      <c r="AQ12" s="109">
        <f t="shared" si="3"/>
        <v>0</v>
      </c>
    </row>
    <row r="13" spans="1:43">
      <c r="A13" s="53" t="s">
        <v>69</v>
      </c>
      <c r="B13" s="54"/>
      <c r="C13" s="54"/>
      <c r="D13" s="54"/>
      <c r="E13" s="54">
        <v>130000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>
        <v>51000</v>
      </c>
      <c r="AB13" s="54"/>
      <c r="AC13" s="54"/>
      <c r="AD13" s="54"/>
      <c r="AE13" s="54"/>
      <c r="AF13" s="54"/>
      <c r="AG13" s="54">
        <v>2500</v>
      </c>
      <c r="AH13" s="54">
        <v>194000</v>
      </c>
      <c r="AI13" s="54">
        <v>17000</v>
      </c>
      <c r="AJ13" s="54">
        <v>194000</v>
      </c>
      <c r="AK13" s="54">
        <v>200500</v>
      </c>
      <c r="AL13" s="54"/>
      <c r="AM13" s="107" t="s">
        <v>69</v>
      </c>
      <c r="AN13" s="109">
        <f t="shared" si="1"/>
        <v>194000</v>
      </c>
      <c r="AO13" s="109">
        <f t="shared" si="2"/>
        <v>17000</v>
      </c>
      <c r="AP13" s="109">
        <f t="shared" si="0"/>
        <v>183500</v>
      </c>
      <c r="AQ13" s="109">
        <f t="shared" si="3"/>
        <v>0</v>
      </c>
    </row>
    <row r="14" spans="1:43">
      <c r="A14" s="53" t="s">
        <v>178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>
        <v>156000</v>
      </c>
      <c r="AB14" s="54"/>
      <c r="AC14" s="54"/>
      <c r="AD14" s="54"/>
      <c r="AE14" s="54">
        <v>250000</v>
      </c>
      <c r="AF14" s="54"/>
      <c r="AG14" s="54">
        <v>205000</v>
      </c>
      <c r="AH14" s="54">
        <v>599900</v>
      </c>
      <c r="AI14" s="54"/>
      <c r="AJ14" s="54">
        <v>599900</v>
      </c>
      <c r="AK14" s="54">
        <v>611000</v>
      </c>
      <c r="AL14" s="54"/>
      <c r="AM14" s="107" t="s">
        <v>74</v>
      </c>
      <c r="AN14" s="109">
        <f t="shared" si="1"/>
        <v>599900</v>
      </c>
      <c r="AO14" s="109">
        <f t="shared" si="2"/>
        <v>0</v>
      </c>
      <c r="AP14" s="109">
        <f t="shared" si="0"/>
        <v>611000</v>
      </c>
      <c r="AQ14" s="109">
        <f t="shared" si="3"/>
        <v>0</v>
      </c>
    </row>
    <row r="15" spans="1:43">
      <c r="A15" s="53" t="s">
        <v>142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107" t="s">
        <v>142</v>
      </c>
      <c r="AN15" s="109">
        <f t="shared" si="1"/>
        <v>0</v>
      </c>
      <c r="AO15" s="109">
        <f t="shared" si="2"/>
        <v>0</v>
      </c>
      <c r="AP15" s="109">
        <f t="shared" si="0"/>
        <v>0</v>
      </c>
      <c r="AQ15" s="109">
        <f t="shared" si="3"/>
        <v>0</v>
      </c>
    </row>
    <row r="16" spans="1:43">
      <c r="A16" s="53" t="s">
        <v>141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107" t="s">
        <v>141</v>
      </c>
      <c r="AN16" s="109">
        <f t="shared" si="1"/>
        <v>0</v>
      </c>
      <c r="AO16" s="109">
        <f t="shared" si="2"/>
        <v>0</v>
      </c>
      <c r="AP16" s="109">
        <f t="shared" si="0"/>
        <v>0</v>
      </c>
      <c r="AQ16" s="109">
        <f t="shared" si="3"/>
        <v>0</v>
      </c>
    </row>
    <row r="17" spans="1:43">
      <c r="A17" s="53" t="s">
        <v>83</v>
      </c>
      <c r="B17" s="54"/>
      <c r="C17" s="54"/>
      <c r="D17" s="54"/>
      <c r="E17" s="54">
        <v>120000</v>
      </c>
      <c r="F17" s="54"/>
      <c r="G17" s="54"/>
      <c r="H17" s="54"/>
      <c r="I17" s="54"/>
      <c r="J17" s="54"/>
      <c r="K17" s="54">
        <v>64350</v>
      </c>
      <c r="L17" s="54"/>
      <c r="M17" s="54"/>
      <c r="N17" s="54"/>
      <c r="O17" s="54">
        <v>10200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>
        <v>213500</v>
      </c>
      <c r="AB17" s="54"/>
      <c r="AC17" s="54"/>
      <c r="AD17" s="54"/>
      <c r="AE17" s="54">
        <v>425000</v>
      </c>
      <c r="AF17" s="54"/>
      <c r="AG17" s="54">
        <v>39000</v>
      </c>
      <c r="AH17" s="54">
        <v>858060</v>
      </c>
      <c r="AI17" s="54"/>
      <c r="AJ17" s="54">
        <v>858060</v>
      </c>
      <c r="AK17" s="54">
        <v>872050</v>
      </c>
      <c r="AL17" s="54"/>
      <c r="AM17" s="107" t="s">
        <v>83</v>
      </c>
      <c r="AN17" s="109">
        <f t="shared" si="1"/>
        <v>858060</v>
      </c>
      <c r="AO17" s="109">
        <f t="shared" si="2"/>
        <v>0</v>
      </c>
      <c r="AP17" s="109">
        <f t="shared" si="0"/>
        <v>872050</v>
      </c>
      <c r="AQ17" s="109">
        <f t="shared" si="3"/>
        <v>0</v>
      </c>
    </row>
    <row r="18" spans="1:43">
      <c r="A18" s="53" t="s">
        <v>158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>
        <v>50500</v>
      </c>
      <c r="AB18" s="54"/>
      <c r="AC18" s="54"/>
      <c r="AD18" s="54"/>
      <c r="AE18" s="54"/>
      <c r="AF18" s="54"/>
      <c r="AG18" s="54"/>
      <c r="AH18" s="54">
        <v>40000</v>
      </c>
      <c r="AI18" s="54"/>
      <c r="AJ18" s="54">
        <v>40000</v>
      </c>
      <c r="AK18" s="54">
        <v>50500</v>
      </c>
      <c r="AL18" s="54"/>
      <c r="AM18" s="107" t="s">
        <v>158</v>
      </c>
      <c r="AN18" s="109">
        <f t="shared" si="1"/>
        <v>40000</v>
      </c>
      <c r="AO18" s="109">
        <f t="shared" si="2"/>
        <v>0</v>
      </c>
      <c r="AP18" s="109">
        <f t="shared" si="0"/>
        <v>50500</v>
      </c>
      <c r="AQ18" s="109">
        <f t="shared" si="3"/>
        <v>0</v>
      </c>
    </row>
    <row r="19" spans="1:43">
      <c r="A19" s="53" t="s">
        <v>72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>
        <v>30000</v>
      </c>
      <c r="AB19" s="54"/>
      <c r="AC19" s="54"/>
      <c r="AD19" s="54"/>
      <c r="AE19" s="54"/>
      <c r="AF19" s="54"/>
      <c r="AG19" s="54">
        <v>2000</v>
      </c>
      <c r="AH19" s="54">
        <v>60000</v>
      </c>
      <c r="AI19" s="54"/>
      <c r="AJ19" s="54">
        <v>60000</v>
      </c>
      <c r="AK19" s="54">
        <v>32000</v>
      </c>
      <c r="AL19" s="54"/>
      <c r="AM19" s="107" t="s">
        <v>72</v>
      </c>
      <c r="AN19" s="109">
        <f t="shared" si="1"/>
        <v>60000</v>
      </c>
      <c r="AO19" s="109">
        <f t="shared" si="2"/>
        <v>0</v>
      </c>
      <c r="AP19" s="109">
        <f t="shared" si="0"/>
        <v>32000</v>
      </c>
      <c r="AQ19" s="109">
        <f t="shared" si="3"/>
        <v>0</v>
      </c>
    </row>
    <row r="20" spans="1:43">
      <c r="A20" s="53" t="s">
        <v>104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>
        <v>851709</v>
      </c>
      <c r="AI20" s="54"/>
      <c r="AJ20" s="54">
        <v>851709</v>
      </c>
      <c r="AK20" s="54"/>
      <c r="AL20" s="54"/>
      <c r="AM20" s="107" t="s">
        <v>167</v>
      </c>
      <c r="AN20" s="109">
        <f t="shared" si="1"/>
        <v>851709</v>
      </c>
      <c r="AO20" s="109">
        <f t="shared" si="2"/>
        <v>0</v>
      </c>
      <c r="AP20" s="109">
        <f t="shared" si="0"/>
        <v>0</v>
      </c>
      <c r="AQ20" s="109">
        <f t="shared" si="3"/>
        <v>0</v>
      </c>
    </row>
    <row r="21" spans="1:43">
      <c r="A21" s="53" t="s">
        <v>179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>
        <v>4000</v>
      </c>
      <c r="R21" s="54"/>
      <c r="S21" s="54"/>
      <c r="T21" s="54"/>
      <c r="U21" s="54"/>
      <c r="V21" s="54"/>
      <c r="W21" s="54"/>
      <c r="X21" s="54"/>
      <c r="Y21" s="54"/>
      <c r="Z21" s="54"/>
      <c r="AA21" s="54">
        <v>54000</v>
      </c>
      <c r="AB21" s="54"/>
      <c r="AC21" s="54"/>
      <c r="AD21" s="54"/>
      <c r="AE21" s="54">
        <v>100000</v>
      </c>
      <c r="AF21" s="54"/>
      <c r="AG21" s="54">
        <v>1500</v>
      </c>
      <c r="AH21" s="54">
        <v>69200</v>
      </c>
      <c r="AI21" s="54"/>
      <c r="AJ21" s="54">
        <v>69200</v>
      </c>
      <c r="AK21" s="54">
        <v>159500</v>
      </c>
      <c r="AL21" s="54"/>
      <c r="AM21" s="107" t="s">
        <v>179</v>
      </c>
      <c r="AN21" s="109">
        <f t="shared" si="1"/>
        <v>69200</v>
      </c>
      <c r="AO21" s="109">
        <f t="shared" si="2"/>
        <v>0</v>
      </c>
      <c r="AP21" s="109">
        <f t="shared" si="0"/>
        <v>159500</v>
      </c>
      <c r="AQ21" s="109">
        <f t="shared" si="3"/>
        <v>0</v>
      </c>
    </row>
    <row r="22" spans="1:43">
      <c r="A22" s="53" t="s">
        <v>76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>
        <v>11000</v>
      </c>
      <c r="AB22" s="54"/>
      <c r="AC22" s="54"/>
      <c r="AD22" s="54"/>
      <c r="AE22" s="54"/>
      <c r="AF22" s="54"/>
      <c r="AG22" s="54"/>
      <c r="AH22" s="54">
        <v>20000</v>
      </c>
      <c r="AI22" s="54"/>
      <c r="AJ22" s="54">
        <v>20000</v>
      </c>
      <c r="AK22" s="54">
        <v>11000</v>
      </c>
      <c r="AL22" s="54"/>
      <c r="AM22" s="107" t="s">
        <v>76</v>
      </c>
      <c r="AN22" s="109">
        <f t="shared" si="1"/>
        <v>20000</v>
      </c>
      <c r="AO22" s="109">
        <f t="shared" si="2"/>
        <v>0</v>
      </c>
      <c r="AP22" s="109">
        <f t="shared" si="0"/>
        <v>11000</v>
      </c>
      <c r="AQ22" s="109">
        <f t="shared" si="3"/>
        <v>0</v>
      </c>
    </row>
    <row r="23" spans="1:43">
      <c r="A23" s="53" t="s">
        <v>385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>
        <v>14000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>
        <v>14000</v>
      </c>
      <c r="AL23" s="54"/>
      <c r="AM23" s="259" t="s">
        <v>385</v>
      </c>
      <c r="AN23" s="109">
        <f t="shared" si="1"/>
        <v>0</v>
      </c>
      <c r="AO23" s="109">
        <f t="shared" si="2"/>
        <v>0</v>
      </c>
      <c r="AP23" s="109">
        <f t="shared" si="0"/>
        <v>14000</v>
      </c>
      <c r="AQ23" s="109">
        <f t="shared" si="3"/>
        <v>0</v>
      </c>
    </row>
    <row r="24" spans="1:43">
      <c r="A24" s="53" t="s">
        <v>175</v>
      </c>
      <c r="B24" s="54"/>
      <c r="C24" s="54">
        <v>29931</v>
      </c>
      <c r="D24" s="54"/>
      <c r="E24" s="54">
        <v>861000</v>
      </c>
      <c r="F24" s="54">
        <v>10380044</v>
      </c>
      <c r="G24" s="54"/>
      <c r="H24" s="54"/>
      <c r="I24" s="54">
        <v>89175</v>
      </c>
      <c r="J24" s="54"/>
      <c r="K24" s="54">
        <v>206050</v>
      </c>
      <c r="L24" s="54"/>
      <c r="M24" s="54">
        <v>173000</v>
      </c>
      <c r="N24" s="54"/>
      <c r="O24" s="54">
        <v>144400</v>
      </c>
      <c r="P24" s="54"/>
      <c r="Q24" s="54">
        <v>4184784</v>
      </c>
      <c r="R24" s="54"/>
      <c r="S24" s="54">
        <v>576500</v>
      </c>
      <c r="T24" s="54"/>
      <c r="U24" s="54">
        <v>135000</v>
      </c>
      <c r="V24" s="54"/>
      <c r="W24" s="54">
        <v>45000</v>
      </c>
      <c r="X24" s="54"/>
      <c r="Y24" s="54">
        <v>52485</v>
      </c>
      <c r="Z24" s="54"/>
      <c r="AA24" s="54">
        <v>961000</v>
      </c>
      <c r="AB24" s="54"/>
      <c r="AC24" s="54">
        <v>80000</v>
      </c>
      <c r="AD24" s="54"/>
      <c r="AE24" s="54">
        <v>1433000</v>
      </c>
      <c r="AF24" s="54"/>
      <c r="AG24" s="54">
        <v>311000</v>
      </c>
      <c r="AH24" s="54">
        <v>9467719</v>
      </c>
      <c r="AI24" s="54">
        <v>9467719</v>
      </c>
      <c r="AJ24" s="54">
        <v>19847763</v>
      </c>
      <c r="AK24" s="54">
        <v>18750044</v>
      </c>
      <c r="AL24" s="54"/>
      <c r="AM24" s="54"/>
      <c r="AN24" s="109">
        <f t="shared" si="1"/>
        <v>9467719</v>
      </c>
      <c r="AO24" s="109">
        <f t="shared" si="2"/>
        <v>9467719</v>
      </c>
      <c r="AP24" s="109">
        <f t="shared" si="0"/>
        <v>9282325</v>
      </c>
      <c r="AQ24" s="109">
        <f t="shared" si="3"/>
        <v>10380044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K24" sqref="K24"/>
    </sheetView>
  </sheetViews>
  <sheetFormatPr baseColWidth="10" defaultColWidth="11.42578125" defaultRowHeight="15"/>
  <cols>
    <col min="1" max="1" width="21" bestFit="1" customWidth="1"/>
    <col min="2" max="2" width="16.140625" bestFit="1" customWidth="1"/>
  </cols>
  <sheetData>
    <row r="3" spans="1:2">
      <c r="A3" s="52" t="s">
        <v>174</v>
      </c>
      <c r="B3" t="s">
        <v>164</v>
      </c>
    </row>
    <row r="4" spans="1:2">
      <c r="A4" s="53" t="s">
        <v>39</v>
      </c>
      <c r="B4" s="54">
        <v>1317000</v>
      </c>
    </row>
    <row r="5" spans="1:2">
      <c r="A5" s="53" t="s">
        <v>195</v>
      </c>
      <c r="B5" s="54">
        <v>2354005</v>
      </c>
    </row>
    <row r="6" spans="1:2">
      <c r="A6" s="53" t="s">
        <v>183</v>
      </c>
      <c r="B6" s="54">
        <v>5611320</v>
      </c>
    </row>
    <row r="7" spans="1:2">
      <c r="A7" s="53" t="s">
        <v>175</v>
      </c>
      <c r="B7" s="54">
        <v>9282325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7030A0"/>
  </sheetPr>
  <dimension ref="A1:BN294"/>
  <sheetViews>
    <sheetView zoomScale="85" zoomScaleNormal="85" workbookViewId="0">
      <selection activeCell="G8" sqref="G8"/>
    </sheetView>
  </sheetViews>
  <sheetFormatPr baseColWidth="10" defaultColWidth="11.42578125" defaultRowHeight="15"/>
  <cols>
    <col min="1" max="1" width="12.140625" style="47" customWidth="1"/>
    <col min="2" max="2" width="62.5703125" style="47" customWidth="1"/>
    <col min="3" max="3" width="17.140625" style="47" customWidth="1"/>
    <col min="4" max="4" width="14" style="47" customWidth="1"/>
    <col min="5" max="5" width="12.42578125" style="225" customWidth="1"/>
    <col min="6" max="6" width="13.140625" style="452" customWidth="1"/>
    <col min="7" max="7" width="17.85546875" style="48" customWidth="1"/>
    <col min="8" max="8" width="14.5703125" style="47" customWidth="1"/>
    <col min="9" max="9" width="16.5703125" style="228" customWidth="1"/>
    <col min="10" max="10" width="10.5703125" style="47" customWidth="1"/>
    <col min="11" max="11" width="8.42578125" style="47" customWidth="1"/>
    <col min="12" max="12" width="8.28515625" style="47" customWidth="1"/>
    <col min="13" max="13" width="15.85546875" style="47" customWidth="1"/>
    <col min="14" max="14" width="11.42578125" style="47"/>
    <col min="15" max="15" width="12" style="47" customWidth="1"/>
    <col min="16" max="16384" width="11.42578125" style="47"/>
  </cols>
  <sheetData>
    <row r="1" spans="1:17" s="218" customFormat="1" ht="27.75" customHeight="1">
      <c r="A1" s="522" t="s">
        <v>209</v>
      </c>
      <c r="B1" s="522"/>
      <c r="C1" s="522"/>
      <c r="D1" s="522"/>
      <c r="E1" s="522"/>
      <c r="F1" s="523"/>
      <c r="G1" s="522"/>
      <c r="H1" s="522"/>
      <c r="I1" s="522"/>
      <c r="J1" s="522"/>
      <c r="K1" s="522"/>
      <c r="L1" s="522"/>
      <c r="M1" s="522"/>
      <c r="N1" s="522"/>
      <c r="O1" s="522"/>
      <c r="P1" s="220"/>
    </row>
    <row r="2" spans="1:17">
      <c r="B2" s="244" t="s">
        <v>210</v>
      </c>
      <c r="C2" s="245">
        <f>+'[2]DATA  JANV'!$C$7</f>
        <v>16998426.99927</v>
      </c>
    </row>
    <row r="4" spans="1:17" ht="15.75">
      <c r="B4" s="224" t="s">
        <v>42</v>
      </c>
      <c r="C4" s="224" t="s">
        <v>43</v>
      </c>
    </row>
    <row r="5" spans="1:17">
      <c r="B5" s="49" t="s">
        <v>44</v>
      </c>
      <c r="C5" s="50">
        <f>SUM(E13:E1142)</f>
        <v>19847763</v>
      </c>
      <c r="E5" s="225" t="s">
        <v>173</v>
      </c>
      <c r="H5" s="51"/>
      <c r="I5" s="302"/>
    </row>
    <row r="6" spans="1:17" ht="16.5">
      <c r="B6" s="49" t="s">
        <v>45</v>
      </c>
      <c r="C6" s="50">
        <f>SUM(F13:F1143)</f>
        <v>18750044</v>
      </c>
      <c r="E6" s="282">
        <f>+C7-Récapitulatif!I21</f>
        <v>0</v>
      </c>
      <c r="J6" s="51"/>
      <c r="K6" s="298"/>
      <c r="N6" s="130"/>
    </row>
    <row r="7" spans="1:17" ht="16.5">
      <c r="B7" s="49" t="s">
        <v>46</v>
      </c>
      <c r="C7" s="50">
        <f>C2+C5-C6</f>
        <v>18096145.99927</v>
      </c>
      <c r="D7" s="154" t="b">
        <f>C7=Récapitulatif!I21</f>
        <v>1</v>
      </c>
      <c r="K7" s="298"/>
      <c r="N7" s="130"/>
    </row>
    <row r="9" spans="1:17" ht="16.5">
      <c r="B9" s="153"/>
    </row>
    <row r="11" spans="1:17" ht="15.75">
      <c r="A11" s="215" t="s">
        <v>4</v>
      </c>
      <c r="B11" s="216" t="s">
        <v>47</v>
      </c>
      <c r="C11" s="216" t="s">
        <v>48</v>
      </c>
      <c r="D11" s="216" t="s">
        <v>49</v>
      </c>
      <c r="E11" s="227" t="s">
        <v>50</v>
      </c>
      <c r="F11" s="453" t="s">
        <v>51</v>
      </c>
      <c r="G11" s="217" t="s">
        <v>52</v>
      </c>
      <c r="H11" s="216" t="s">
        <v>53</v>
      </c>
      <c r="I11" s="229" t="s">
        <v>54</v>
      </c>
      <c r="J11" s="216" t="s">
        <v>55</v>
      </c>
      <c r="K11" s="216" t="s">
        <v>56</v>
      </c>
      <c r="L11" s="216" t="s">
        <v>57</v>
      </c>
      <c r="M11" s="216" t="s">
        <v>139</v>
      </c>
      <c r="N11" s="216" t="s">
        <v>59</v>
      </c>
      <c r="O11" s="216" t="s">
        <v>58</v>
      </c>
      <c r="P11" s="192"/>
      <c r="Q11" s="234" t="s">
        <v>156</v>
      </c>
    </row>
    <row r="12" spans="1:17" ht="15.75">
      <c r="A12" s="334">
        <v>44228</v>
      </c>
      <c r="B12" s="335" t="s">
        <v>211</v>
      </c>
      <c r="C12" s="335"/>
      <c r="D12" s="335"/>
      <c r="E12" s="336"/>
      <c r="F12" s="454"/>
      <c r="G12" s="337">
        <f>+C2</f>
        <v>16998426.99927</v>
      </c>
      <c r="H12" s="335"/>
      <c r="I12" s="338"/>
      <c r="J12" s="335"/>
      <c r="K12" s="335"/>
      <c r="L12" s="335"/>
      <c r="M12" s="335"/>
      <c r="N12" s="335"/>
      <c r="O12" s="335"/>
      <c r="P12" s="300"/>
      <c r="Q12" s="301"/>
    </row>
    <row r="13" spans="1:17" ht="15.75" hidden="1">
      <c r="A13" s="334">
        <v>44229</v>
      </c>
      <c r="B13" s="329" t="s">
        <v>213</v>
      </c>
      <c r="C13" s="329" t="s">
        <v>131</v>
      </c>
      <c r="D13" s="329"/>
      <c r="E13" s="444"/>
      <c r="F13" s="455">
        <v>1500000</v>
      </c>
      <c r="G13" s="476">
        <f>+G12+E13-F13</f>
        <v>15498426.99927</v>
      </c>
      <c r="H13" s="339" t="s">
        <v>60</v>
      </c>
      <c r="I13" s="342">
        <v>3654426</v>
      </c>
      <c r="J13" s="464"/>
      <c r="K13" s="340"/>
      <c r="L13" s="340"/>
      <c r="M13" s="341"/>
      <c r="N13" s="342"/>
      <c r="O13" s="341"/>
      <c r="P13" s="311"/>
    </row>
    <row r="14" spans="1:17" s="154" customFormat="1" ht="15" customHeight="1">
      <c r="A14" s="334">
        <v>44229</v>
      </c>
      <c r="B14" s="329" t="s">
        <v>225</v>
      </c>
      <c r="C14" s="343" t="s">
        <v>15</v>
      </c>
      <c r="D14" s="334" t="s">
        <v>31</v>
      </c>
      <c r="E14" s="445"/>
      <c r="F14" s="446">
        <v>400000</v>
      </c>
      <c r="G14" s="476">
        <f t="shared" ref="G14:G77" si="0">G13+E14-F14</f>
        <v>15098426.99927</v>
      </c>
      <c r="H14" s="339" t="s">
        <v>62</v>
      </c>
      <c r="I14" s="459">
        <v>3643411</v>
      </c>
      <c r="J14" s="464" t="s">
        <v>39</v>
      </c>
      <c r="K14" s="340" t="s">
        <v>63</v>
      </c>
      <c r="L14" s="340" t="s">
        <v>61</v>
      </c>
      <c r="M14" s="328" t="s">
        <v>466</v>
      </c>
      <c r="N14" s="342" t="s">
        <v>87</v>
      </c>
      <c r="O14" s="341"/>
      <c r="P14" s="475"/>
    </row>
    <row r="15" spans="1:17" s="286" customFormat="1" ht="15" hidden="1" customHeight="1">
      <c r="A15" s="334">
        <v>44229</v>
      </c>
      <c r="B15" s="344" t="s">
        <v>60</v>
      </c>
      <c r="C15" s="334" t="s">
        <v>131</v>
      </c>
      <c r="D15" s="344"/>
      <c r="E15" s="446">
        <v>1500000</v>
      </c>
      <c r="F15" s="446"/>
      <c r="G15" s="476">
        <f t="shared" si="0"/>
        <v>16598426.99927</v>
      </c>
      <c r="H15" s="348" t="s">
        <v>66</v>
      </c>
      <c r="I15" s="460"/>
      <c r="J15" s="464"/>
      <c r="K15" s="340"/>
      <c r="L15" s="340"/>
      <c r="M15" s="341"/>
      <c r="N15" s="342"/>
      <c r="O15" s="341"/>
      <c r="P15" s="311"/>
    </row>
    <row r="16" spans="1:17" s="154" customFormat="1" ht="15" customHeight="1">
      <c r="A16" s="334">
        <v>44229</v>
      </c>
      <c r="B16" s="344" t="s">
        <v>245</v>
      </c>
      <c r="C16" s="344" t="s">
        <v>15</v>
      </c>
      <c r="D16" s="344" t="s">
        <v>246</v>
      </c>
      <c r="E16" s="446"/>
      <c r="F16" s="446">
        <v>13500</v>
      </c>
      <c r="G16" s="476">
        <f t="shared" si="0"/>
        <v>16584926.99927</v>
      </c>
      <c r="H16" s="348" t="s">
        <v>66</v>
      </c>
      <c r="I16" s="342" t="s">
        <v>81</v>
      </c>
      <c r="J16" s="464" t="s">
        <v>195</v>
      </c>
      <c r="K16" s="340" t="s">
        <v>35</v>
      </c>
      <c r="L16" s="340" t="s">
        <v>61</v>
      </c>
      <c r="M16" s="328"/>
      <c r="N16" s="342"/>
      <c r="O16" s="341"/>
    </row>
    <row r="17" spans="1:17" s="154" customFormat="1" ht="15" customHeight="1">
      <c r="A17" s="334">
        <v>44229</v>
      </c>
      <c r="B17" s="344" t="s">
        <v>347</v>
      </c>
      <c r="C17" s="339" t="s">
        <v>82</v>
      </c>
      <c r="D17" s="344" t="s">
        <v>207</v>
      </c>
      <c r="E17" s="446"/>
      <c r="F17" s="446">
        <v>30000</v>
      </c>
      <c r="G17" s="476">
        <f t="shared" si="0"/>
        <v>16554926.99927</v>
      </c>
      <c r="H17" s="339" t="s">
        <v>83</v>
      </c>
      <c r="I17" s="459" t="s">
        <v>81</v>
      </c>
      <c r="J17" s="465" t="s">
        <v>195</v>
      </c>
      <c r="K17" s="339" t="s">
        <v>35</v>
      </c>
      <c r="L17" s="340" t="s">
        <v>61</v>
      </c>
      <c r="M17" s="328"/>
      <c r="N17" s="342" t="s">
        <v>88</v>
      </c>
      <c r="O17" s="341"/>
    </row>
    <row r="18" spans="1:17" s="154" customFormat="1" ht="15" hidden="1" customHeight="1">
      <c r="A18" s="334">
        <v>44229</v>
      </c>
      <c r="B18" s="344" t="s">
        <v>83</v>
      </c>
      <c r="C18" s="344" t="s">
        <v>131</v>
      </c>
      <c r="D18" s="344"/>
      <c r="E18" s="446"/>
      <c r="F18" s="446">
        <v>135000</v>
      </c>
      <c r="G18" s="476">
        <f t="shared" si="0"/>
        <v>16419926.99927</v>
      </c>
      <c r="H18" s="349" t="s">
        <v>66</v>
      </c>
      <c r="I18" s="352"/>
      <c r="J18" s="464"/>
      <c r="K18" s="340"/>
      <c r="L18" s="340"/>
      <c r="M18" s="341"/>
      <c r="N18" s="342"/>
      <c r="O18" s="341"/>
      <c r="P18" s="308"/>
    </row>
    <row r="19" spans="1:17" s="154" customFormat="1" ht="15" customHeight="1">
      <c r="A19" s="334">
        <v>44229</v>
      </c>
      <c r="B19" s="344" t="s">
        <v>394</v>
      </c>
      <c r="C19" s="344" t="s">
        <v>177</v>
      </c>
      <c r="D19" s="344" t="s">
        <v>21</v>
      </c>
      <c r="E19" s="446"/>
      <c r="F19" s="446">
        <v>89175</v>
      </c>
      <c r="G19" s="476">
        <f t="shared" si="0"/>
        <v>16330751.99927</v>
      </c>
      <c r="H19" s="349" t="s">
        <v>66</v>
      </c>
      <c r="I19" s="352" t="s">
        <v>81</v>
      </c>
      <c r="J19" s="352" t="s">
        <v>183</v>
      </c>
      <c r="K19" s="340" t="s">
        <v>63</v>
      </c>
      <c r="L19" s="340" t="s">
        <v>61</v>
      </c>
      <c r="M19" s="328" t="s">
        <v>467</v>
      </c>
      <c r="N19" s="342" t="s">
        <v>180</v>
      </c>
      <c r="O19" s="341"/>
    </row>
    <row r="20" spans="1:17" ht="15" customHeight="1">
      <c r="A20" s="334">
        <v>44229</v>
      </c>
      <c r="B20" s="344" t="s">
        <v>243</v>
      </c>
      <c r="C20" s="344" t="s">
        <v>17</v>
      </c>
      <c r="D20" s="344" t="s">
        <v>21</v>
      </c>
      <c r="E20" s="446"/>
      <c r="F20" s="446">
        <v>24000</v>
      </c>
      <c r="G20" s="476">
        <f t="shared" si="0"/>
        <v>16306751.99927</v>
      </c>
      <c r="H20" s="349" t="s">
        <v>66</v>
      </c>
      <c r="I20" s="459" t="s">
        <v>81</v>
      </c>
      <c r="J20" s="352" t="s">
        <v>183</v>
      </c>
      <c r="K20" s="340" t="s">
        <v>63</v>
      </c>
      <c r="L20" s="340" t="s">
        <v>61</v>
      </c>
      <c r="M20" s="341" t="s">
        <v>468</v>
      </c>
      <c r="N20" s="342" t="s">
        <v>160</v>
      </c>
      <c r="O20" s="341"/>
      <c r="P20" s="308"/>
    </row>
    <row r="21" spans="1:17" ht="15" customHeight="1">
      <c r="A21" s="334">
        <v>44229</v>
      </c>
      <c r="B21" s="344" t="s">
        <v>244</v>
      </c>
      <c r="C21" s="344" t="s">
        <v>68</v>
      </c>
      <c r="D21" s="344" t="s">
        <v>21</v>
      </c>
      <c r="E21" s="446"/>
      <c r="F21" s="446">
        <v>4050</v>
      </c>
      <c r="G21" s="476">
        <f t="shared" si="0"/>
        <v>16302701.99927</v>
      </c>
      <c r="H21" s="349" t="s">
        <v>66</v>
      </c>
      <c r="I21" s="342" t="s">
        <v>81</v>
      </c>
      <c r="J21" s="464" t="s">
        <v>183</v>
      </c>
      <c r="K21" s="340" t="s">
        <v>63</v>
      </c>
      <c r="L21" s="340" t="s">
        <v>61</v>
      </c>
      <c r="M21" s="341" t="s">
        <v>469</v>
      </c>
      <c r="N21" s="342" t="s">
        <v>155</v>
      </c>
      <c r="O21" s="341"/>
      <c r="P21" s="308"/>
    </row>
    <row r="22" spans="1:17" ht="15" hidden="1" customHeight="1">
      <c r="A22" s="334">
        <v>44230</v>
      </c>
      <c r="B22" s="344" t="s">
        <v>75</v>
      </c>
      <c r="C22" s="344" t="s">
        <v>131</v>
      </c>
      <c r="D22" s="344"/>
      <c r="E22" s="446"/>
      <c r="F22" s="446">
        <v>10000</v>
      </c>
      <c r="G22" s="476">
        <f t="shared" si="0"/>
        <v>16292701.99927</v>
      </c>
      <c r="H22" s="349" t="s">
        <v>66</v>
      </c>
      <c r="I22" s="460"/>
      <c r="J22" s="464"/>
      <c r="K22" s="340"/>
      <c r="L22" s="340"/>
      <c r="M22" s="328"/>
      <c r="N22" s="342"/>
      <c r="O22" s="341"/>
      <c r="P22" s="308"/>
    </row>
    <row r="23" spans="1:17" ht="15" hidden="1" customHeight="1">
      <c r="A23" s="334">
        <v>44230</v>
      </c>
      <c r="B23" s="344" t="s">
        <v>158</v>
      </c>
      <c r="C23" s="344" t="s">
        <v>131</v>
      </c>
      <c r="D23" s="344"/>
      <c r="E23" s="446"/>
      <c r="F23" s="446">
        <v>10000</v>
      </c>
      <c r="G23" s="476">
        <f t="shared" si="0"/>
        <v>16282701.99927</v>
      </c>
      <c r="H23" s="349" t="s">
        <v>66</v>
      </c>
      <c r="I23" s="347"/>
      <c r="J23" s="464"/>
      <c r="K23" s="340"/>
      <c r="L23" s="340"/>
      <c r="M23" s="341"/>
      <c r="N23" s="342"/>
      <c r="O23" s="341"/>
      <c r="P23" s="308"/>
    </row>
    <row r="24" spans="1:17" ht="15" hidden="1" customHeight="1">
      <c r="A24" s="334">
        <v>44230</v>
      </c>
      <c r="B24" s="344" t="s">
        <v>83</v>
      </c>
      <c r="C24" s="344" t="s">
        <v>131</v>
      </c>
      <c r="D24" s="344"/>
      <c r="E24" s="446"/>
      <c r="F24" s="446">
        <v>155000</v>
      </c>
      <c r="G24" s="476">
        <f t="shared" si="0"/>
        <v>16127701.99927</v>
      </c>
      <c r="H24" s="349" t="s">
        <v>66</v>
      </c>
      <c r="I24" s="347"/>
      <c r="J24" s="464"/>
      <c r="K24" s="340"/>
      <c r="L24" s="340"/>
      <c r="M24" s="341"/>
      <c r="N24" s="342"/>
      <c r="O24" s="341"/>
      <c r="P24" s="308"/>
    </row>
    <row r="25" spans="1:17" s="154" customFormat="1" ht="15" customHeight="1">
      <c r="A25" s="334">
        <v>44230</v>
      </c>
      <c r="B25" s="344" t="s">
        <v>244</v>
      </c>
      <c r="C25" s="344" t="s">
        <v>68</v>
      </c>
      <c r="D25" s="344" t="s">
        <v>21</v>
      </c>
      <c r="E25" s="446"/>
      <c r="F25" s="446">
        <v>4650</v>
      </c>
      <c r="G25" s="476">
        <f t="shared" si="0"/>
        <v>16123051.99927</v>
      </c>
      <c r="H25" s="349" t="s">
        <v>66</v>
      </c>
      <c r="I25" s="342" t="s">
        <v>81</v>
      </c>
      <c r="J25" s="464" t="s">
        <v>183</v>
      </c>
      <c r="K25" s="340" t="s">
        <v>63</v>
      </c>
      <c r="L25" s="340" t="s">
        <v>61</v>
      </c>
      <c r="M25" s="328" t="s">
        <v>470</v>
      </c>
      <c r="N25" s="342" t="s">
        <v>155</v>
      </c>
      <c r="O25" s="341"/>
      <c r="P25" s="475"/>
    </row>
    <row r="26" spans="1:17" ht="15" hidden="1" customHeight="1">
      <c r="A26" s="334">
        <v>44230</v>
      </c>
      <c r="B26" s="344" t="s">
        <v>247</v>
      </c>
      <c r="C26" s="344" t="s">
        <v>131</v>
      </c>
      <c r="D26" s="344"/>
      <c r="E26" s="446"/>
      <c r="F26" s="446">
        <v>14000</v>
      </c>
      <c r="G26" s="476">
        <f t="shared" si="0"/>
        <v>16109051.99927</v>
      </c>
      <c r="H26" s="348" t="s">
        <v>66</v>
      </c>
      <c r="I26" s="347"/>
      <c r="J26" s="466"/>
      <c r="K26" s="340"/>
      <c r="L26" s="340"/>
      <c r="M26" s="341"/>
      <c r="N26" s="342"/>
      <c r="O26" s="341"/>
      <c r="P26" s="308"/>
    </row>
    <row r="27" spans="1:17" s="286" customFormat="1" ht="15" hidden="1" customHeight="1">
      <c r="A27" s="334">
        <v>44230</v>
      </c>
      <c r="B27" s="344" t="s">
        <v>102</v>
      </c>
      <c r="C27" s="344" t="s">
        <v>131</v>
      </c>
      <c r="D27" s="344"/>
      <c r="E27" s="446"/>
      <c r="F27" s="446">
        <v>5000</v>
      </c>
      <c r="G27" s="476">
        <f t="shared" si="0"/>
        <v>16104051.99927</v>
      </c>
      <c r="H27" s="349" t="s">
        <v>66</v>
      </c>
      <c r="I27" s="347"/>
      <c r="J27" s="466"/>
      <c r="K27" s="340"/>
      <c r="L27" s="340"/>
      <c r="M27" s="328"/>
      <c r="N27" s="342"/>
      <c r="O27" s="341"/>
      <c r="P27" s="308"/>
    </row>
    <row r="28" spans="1:17" s="286" customFormat="1" ht="15" hidden="1" customHeight="1">
      <c r="A28" s="334">
        <v>44230</v>
      </c>
      <c r="B28" s="344" t="s">
        <v>37</v>
      </c>
      <c r="C28" s="344" t="s">
        <v>131</v>
      </c>
      <c r="D28" s="334"/>
      <c r="E28" s="446"/>
      <c r="F28" s="446">
        <f>32081+643428+174200+2000</f>
        <v>851709</v>
      </c>
      <c r="G28" s="476">
        <f t="shared" si="0"/>
        <v>15252342.99927</v>
      </c>
      <c r="H28" s="349" t="s">
        <v>66</v>
      </c>
      <c r="I28" s="460"/>
      <c r="J28" s="465"/>
      <c r="K28" s="340"/>
      <c r="L28" s="340"/>
      <c r="M28" s="328"/>
      <c r="N28" s="342"/>
      <c r="O28" s="341"/>
      <c r="P28" s="308"/>
    </row>
    <row r="29" spans="1:17" ht="15" hidden="1" customHeight="1">
      <c r="A29" s="334">
        <v>44230</v>
      </c>
      <c r="B29" s="344" t="s">
        <v>199</v>
      </c>
      <c r="C29" s="344" t="s">
        <v>131</v>
      </c>
      <c r="D29" s="334"/>
      <c r="E29" s="446">
        <v>14000</v>
      </c>
      <c r="F29" s="446"/>
      <c r="G29" s="476">
        <f t="shared" si="0"/>
        <v>15266342.99927</v>
      </c>
      <c r="H29" s="329" t="s">
        <v>133</v>
      </c>
      <c r="I29" s="342"/>
      <c r="J29" s="460"/>
      <c r="K29" s="340"/>
      <c r="L29" s="340"/>
      <c r="M29" s="341"/>
      <c r="N29" s="342"/>
      <c r="O29" s="341"/>
      <c r="P29" s="308"/>
      <c r="Q29" s="286"/>
    </row>
    <row r="30" spans="1:17" s="154" customFormat="1" ht="15" hidden="1" customHeight="1">
      <c r="A30" s="334">
        <v>44230</v>
      </c>
      <c r="B30" s="344" t="s">
        <v>325</v>
      </c>
      <c r="C30" s="344" t="s">
        <v>131</v>
      </c>
      <c r="D30" s="344"/>
      <c r="E30" s="446">
        <v>5000</v>
      </c>
      <c r="F30" s="446"/>
      <c r="G30" s="476">
        <f t="shared" si="0"/>
        <v>15271342.99927</v>
      </c>
      <c r="H30" s="477" t="s">
        <v>102</v>
      </c>
      <c r="I30" s="459"/>
      <c r="J30" s="464"/>
      <c r="K30" s="340"/>
      <c r="L30" s="340"/>
      <c r="M30" s="328"/>
      <c r="N30" s="342"/>
      <c r="O30" s="341"/>
      <c r="P30" s="308"/>
    </row>
    <row r="31" spans="1:17" ht="15.75" hidden="1">
      <c r="A31" s="334">
        <v>44230</v>
      </c>
      <c r="B31" s="344" t="s">
        <v>332</v>
      </c>
      <c r="C31" s="344" t="s">
        <v>131</v>
      </c>
      <c r="D31" s="334"/>
      <c r="E31" s="446">
        <v>10000</v>
      </c>
      <c r="F31" s="446"/>
      <c r="G31" s="476">
        <f t="shared" si="0"/>
        <v>15281342.99927</v>
      </c>
      <c r="H31" s="329" t="s">
        <v>75</v>
      </c>
      <c r="I31" s="347"/>
      <c r="J31" s="464"/>
      <c r="K31" s="340"/>
      <c r="L31" s="340"/>
      <c r="M31" s="341"/>
      <c r="N31" s="342"/>
      <c r="O31" s="341"/>
      <c r="P31" s="308"/>
      <c r="Q31" s="154"/>
    </row>
    <row r="32" spans="1:17" s="154" customFormat="1" ht="15" customHeight="1">
      <c r="A32" s="334">
        <v>44230</v>
      </c>
      <c r="B32" s="344" t="s">
        <v>333</v>
      </c>
      <c r="C32" s="344" t="s">
        <v>80</v>
      </c>
      <c r="D32" s="334" t="s">
        <v>21</v>
      </c>
      <c r="E32" s="446"/>
      <c r="F32" s="446">
        <v>800</v>
      </c>
      <c r="G32" s="476">
        <f t="shared" si="0"/>
        <v>15280542.99927</v>
      </c>
      <c r="H32" s="329" t="s">
        <v>75</v>
      </c>
      <c r="I32" s="459" t="s">
        <v>67</v>
      </c>
      <c r="J32" s="464" t="s">
        <v>183</v>
      </c>
      <c r="K32" s="340" t="s">
        <v>63</v>
      </c>
      <c r="L32" s="340" t="s">
        <v>61</v>
      </c>
      <c r="M32" s="328" t="s">
        <v>471</v>
      </c>
      <c r="N32" s="342" t="s">
        <v>154</v>
      </c>
      <c r="O32" s="341"/>
      <c r="P32" s="475"/>
    </row>
    <row r="33" spans="1:17" s="154" customFormat="1" ht="15.75">
      <c r="A33" s="334">
        <v>44230</v>
      </c>
      <c r="B33" s="344" t="s">
        <v>344</v>
      </c>
      <c r="C33" s="339" t="s">
        <v>147</v>
      </c>
      <c r="D33" s="344" t="s">
        <v>207</v>
      </c>
      <c r="E33" s="446"/>
      <c r="F33" s="446">
        <v>90000</v>
      </c>
      <c r="G33" s="476">
        <f t="shared" si="0"/>
        <v>15190542.99927</v>
      </c>
      <c r="H33" s="348" t="s">
        <v>134</v>
      </c>
      <c r="I33" s="347" t="s">
        <v>146</v>
      </c>
      <c r="J33" s="464" t="s">
        <v>183</v>
      </c>
      <c r="K33" s="340" t="s">
        <v>63</v>
      </c>
      <c r="L33" s="340" t="s">
        <v>61</v>
      </c>
      <c r="M33" s="328" t="s">
        <v>472</v>
      </c>
      <c r="N33" s="342" t="s">
        <v>88</v>
      </c>
      <c r="O33" s="341"/>
    </row>
    <row r="34" spans="1:17" s="193" customFormat="1" ht="15.75" hidden="1">
      <c r="A34" s="334">
        <v>44230</v>
      </c>
      <c r="B34" s="344" t="s">
        <v>348</v>
      </c>
      <c r="C34" s="344" t="s">
        <v>131</v>
      </c>
      <c r="D34" s="344"/>
      <c r="E34" s="446">
        <v>155000</v>
      </c>
      <c r="F34" s="446"/>
      <c r="G34" s="476">
        <f t="shared" si="0"/>
        <v>15345542.99927</v>
      </c>
      <c r="H34" s="339" t="s">
        <v>83</v>
      </c>
      <c r="I34" s="347"/>
      <c r="J34" s="464"/>
      <c r="K34" s="340"/>
      <c r="L34" s="340"/>
      <c r="M34" s="341"/>
      <c r="N34" s="342"/>
      <c r="O34" s="341"/>
      <c r="P34" s="308"/>
    </row>
    <row r="35" spans="1:17" s="193" customFormat="1" ht="15.75" hidden="1">
      <c r="A35" s="334">
        <v>44230</v>
      </c>
      <c r="B35" s="344" t="s">
        <v>182</v>
      </c>
      <c r="C35" s="344" t="s">
        <v>131</v>
      </c>
      <c r="D35" s="344"/>
      <c r="E35" s="446">
        <v>10000</v>
      </c>
      <c r="F35" s="446"/>
      <c r="G35" s="476">
        <f t="shared" si="0"/>
        <v>15355542.99927</v>
      </c>
      <c r="H35" s="329" t="s">
        <v>158</v>
      </c>
      <c r="I35" s="460"/>
      <c r="J35" s="464"/>
      <c r="K35" s="340"/>
      <c r="L35" s="340"/>
      <c r="M35" s="328"/>
      <c r="N35" s="342"/>
      <c r="O35" s="341"/>
      <c r="P35" s="308"/>
    </row>
    <row r="36" spans="1:17" s="193" customFormat="1" ht="15.75" hidden="1">
      <c r="A36" s="334">
        <v>44230</v>
      </c>
      <c r="B36" s="344" t="s">
        <v>450</v>
      </c>
      <c r="C36" s="329" t="s">
        <v>131</v>
      </c>
      <c r="D36" s="345"/>
      <c r="E36" s="446">
        <f>32081+643428+174200+2000</f>
        <v>851709</v>
      </c>
      <c r="F36" s="455"/>
      <c r="G36" s="476">
        <f t="shared" si="0"/>
        <v>16207251.99927</v>
      </c>
      <c r="H36" s="341" t="s">
        <v>104</v>
      </c>
      <c r="I36" s="459"/>
      <c r="J36" s="464"/>
      <c r="K36" s="340"/>
      <c r="L36" s="340"/>
      <c r="M36" s="341"/>
      <c r="N36" s="342"/>
      <c r="O36" s="341"/>
      <c r="P36" s="308"/>
    </row>
    <row r="37" spans="1:17" s="286" customFormat="1" ht="15" customHeight="1">
      <c r="A37" s="334">
        <v>44231</v>
      </c>
      <c r="B37" s="329" t="s">
        <v>214</v>
      </c>
      <c r="C37" s="349" t="s">
        <v>196</v>
      </c>
      <c r="D37" s="329"/>
      <c r="E37" s="487">
        <f>5190022+2146034</f>
        <v>7336056</v>
      </c>
      <c r="F37" s="455"/>
      <c r="G37" s="476">
        <f t="shared" si="0"/>
        <v>23543307.99927</v>
      </c>
      <c r="H37" s="339" t="s">
        <v>60</v>
      </c>
      <c r="I37" s="342" t="s">
        <v>29</v>
      </c>
      <c r="J37" s="464" t="s">
        <v>195</v>
      </c>
      <c r="K37" s="340" t="s">
        <v>35</v>
      </c>
      <c r="L37" s="340" t="s">
        <v>61</v>
      </c>
      <c r="M37" s="341"/>
      <c r="N37" s="342"/>
      <c r="O37" s="341"/>
      <c r="P37" s="308"/>
      <c r="Q37" s="154"/>
    </row>
    <row r="38" spans="1:17" s="286" customFormat="1" ht="15" customHeight="1">
      <c r="A38" s="334">
        <v>44231</v>
      </c>
      <c r="B38" s="329" t="s">
        <v>215</v>
      </c>
      <c r="C38" s="349" t="s">
        <v>196</v>
      </c>
      <c r="D38" s="329"/>
      <c r="E38" s="444">
        <f>5190022-2146034</f>
        <v>3043988</v>
      </c>
      <c r="F38" s="455"/>
      <c r="G38" s="476">
        <f t="shared" si="0"/>
        <v>26587295.99927</v>
      </c>
      <c r="H38" s="339" t="s">
        <v>60</v>
      </c>
      <c r="I38" s="342" t="s">
        <v>29</v>
      </c>
      <c r="J38" s="464" t="s">
        <v>195</v>
      </c>
      <c r="K38" s="340" t="s">
        <v>35</v>
      </c>
      <c r="L38" s="340" t="s">
        <v>61</v>
      </c>
      <c r="M38" s="328"/>
      <c r="N38" s="342"/>
      <c r="O38" s="340"/>
      <c r="P38" s="308"/>
      <c r="Q38" s="154"/>
    </row>
    <row r="39" spans="1:17" s="286" customFormat="1" ht="15" hidden="1" customHeight="1">
      <c r="A39" s="334">
        <v>44231</v>
      </c>
      <c r="B39" s="334" t="s">
        <v>83</v>
      </c>
      <c r="C39" s="334" t="s">
        <v>131</v>
      </c>
      <c r="D39" s="334"/>
      <c r="E39" s="446"/>
      <c r="F39" s="446">
        <v>61600</v>
      </c>
      <c r="G39" s="476">
        <f t="shared" si="0"/>
        <v>26525695.99927</v>
      </c>
      <c r="H39" s="349" t="s">
        <v>66</v>
      </c>
      <c r="I39" s="461"/>
      <c r="J39" s="464"/>
      <c r="K39" s="340"/>
      <c r="L39" s="340"/>
      <c r="M39" s="341"/>
      <c r="N39" s="342"/>
      <c r="O39" s="341"/>
      <c r="P39" s="308"/>
      <c r="Q39" s="154"/>
    </row>
    <row r="40" spans="1:17" s="286" customFormat="1" ht="15" hidden="1" customHeight="1">
      <c r="A40" s="334">
        <v>44231</v>
      </c>
      <c r="B40" s="334" t="s">
        <v>134</v>
      </c>
      <c r="C40" s="334" t="s">
        <v>131</v>
      </c>
      <c r="D40" s="334"/>
      <c r="E40" s="446"/>
      <c r="F40" s="446">
        <v>199100</v>
      </c>
      <c r="G40" s="476">
        <f t="shared" si="0"/>
        <v>26326595.99927</v>
      </c>
      <c r="H40" s="349" t="s">
        <v>66</v>
      </c>
      <c r="I40" s="460"/>
      <c r="J40" s="464"/>
      <c r="K40" s="340"/>
      <c r="L40" s="340"/>
      <c r="M40" s="328"/>
      <c r="N40" s="342"/>
      <c r="O40" s="341"/>
      <c r="P40" s="308"/>
      <c r="Q40" s="154"/>
    </row>
    <row r="41" spans="1:17" s="154" customFormat="1" ht="15" customHeight="1">
      <c r="A41" s="334">
        <v>44231</v>
      </c>
      <c r="B41" s="334" t="s">
        <v>464</v>
      </c>
      <c r="C41" s="443" t="s">
        <v>80</v>
      </c>
      <c r="D41" s="443" t="s">
        <v>21</v>
      </c>
      <c r="E41" s="446"/>
      <c r="F41" s="446">
        <v>22000</v>
      </c>
      <c r="G41" s="476">
        <f t="shared" si="0"/>
        <v>26304595.99927</v>
      </c>
      <c r="H41" s="349" t="s">
        <v>66</v>
      </c>
      <c r="I41" s="463" t="s">
        <v>81</v>
      </c>
      <c r="J41" s="352" t="s">
        <v>195</v>
      </c>
      <c r="K41" s="340" t="s">
        <v>35</v>
      </c>
      <c r="L41" s="340" t="s">
        <v>61</v>
      </c>
      <c r="M41" s="328"/>
      <c r="N41" s="342"/>
      <c r="O41" s="341"/>
    </row>
    <row r="42" spans="1:17" s="154" customFormat="1" ht="15" customHeight="1">
      <c r="A42" s="334">
        <v>44231</v>
      </c>
      <c r="B42" s="334" t="s">
        <v>349</v>
      </c>
      <c r="C42" s="334" t="s">
        <v>80</v>
      </c>
      <c r="D42" s="334" t="s">
        <v>132</v>
      </c>
      <c r="E42" s="446"/>
      <c r="F42" s="446">
        <v>1000</v>
      </c>
      <c r="G42" s="476">
        <f t="shared" si="0"/>
        <v>26303595.99927</v>
      </c>
      <c r="H42" s="339" t="s">
        <v>83</v>
      </c>
      <c r="I42" s="462" t="s">
        <v>81</v>
      </c>
      <c r="J42" s="465" t="s">
        <v>195</v>
      </c>
      <c r="K42" s="340" t="s">
        <v>35</v>
      </c>
      <c r="L42" s="340" t="s">
        <v>61</v>
      </c>
      <c r="M42" s="328"/>
      <c r="N42" s="342"/>
      <c r="O42" s="341"/>
    </row>
    <row r="43" spans="1:17" s="154" customFormat="1" ht="15" customHeight="1">
      <c r="A43" s="334">
        <v>44231</v>
      </c>
      <c r="B43" s="334" t="s">
        <v>350</v>
      </c>
      <c r="C43" s="334" t="s">
        <v>26</v>
      </c>
      <c r="D43" s="334" t="s">
        <v>207</v>
      </c>
      <c r="E43" s="446"/>
      <c r="F43" s="446">
        <v>120000</v>
      </c>
      <c r="G43" s="476">
        <f t="shared" si="0"/>
        <v>26183595.99927</v>
      </c>
      <c r="H43" s="339" t="s">
        <v>83</v>
      </c>
      <c r="I43" s="347" t="s">
        <v>146</v>
      </c>
      <c r="J43" s="465" t="s">
        <v>195</v>
      </c>
      <c r="K43" s="340" t="s">
        <v>35</v>
      </c>
      <c r="L43" s="340" t="s">
        <v>61</v>
      </c>
      <c r="M43" s="328"/>
      <c r="N43" s="342"/>
      <c r="O43" s="341"/>
      <c r="P43" s="308"/>
    </row>
    <row r="44" spans="1:17" s="154" customFormat="1" ht="15" hidden="1" customHeight="1">
      <c r="A44" s="334">
        <v>44231</v>
      </c>
      <c r="B44" s="334" t="s">
        <v>348</v>
      </c>
      <c r="C44" s="334" t="s">
        <v>131</v>
      </c>
      <c r="D44" s="334"/>
      <c r="E44" s="446">
        <v>135000</v>
      </c>
      <c r="F44" s="446"/>
      <c r="G44" s="476">
        <f t="shared" si="0"/>
        <v>26318595.99927</v>
      </c>
      <c r="H44" s="339" t="s">
        <v>83</v>
      </c>
      <c r="I44" s="347"/>
      <c r="J44" s="464"/>
      <c r="K44" s="340"/>
      <c r="L44" s="340"/>
      <c r="M44" s="328"/>
      <c r="N44" s="342"/>
      <c r="O44" s="341"/>
      <c r="P44" s="308"/>
    </row>
    <row r="45" spans="1:17" s="154" customFormat="1" ht="15" customHeight="1">
      <c r="A45" s="334">
        <v>44231</v>
      </c>
      <c r="B45" s="334" t="s">
        <v>402</v>
      </c>
      <c r="C45" s="334" t="s">
        <v>78</v>
      </c>
      <c r="D45" s="344" t="s">
        <v>207</v>
      </c>
      <c r="E45" s="446"/>
      <c r="F45" s="446">
        <v>25000</v>
      </c>
      <c r="G45" s="476">
        <f t="shared" si="0"/>
        <v>26293595.99927</v>
      </c>
      <c r="H45" s="339" t="s">
        <v>83</v>
      </c>
      <c r="I45" s="462" t="s">
        <v>146</v>
      </c>
      <c r="J45" s="465" t="s">
        <v>195</v>
      </c>
      <c r="K45" s="340" t="s">
        <v>35</v>
      </c>
      <c r="L45" s="340" t="s">
        <v>61</v>
      </c>
      <c r="M45" s="341"/>
      <c r="N45" s="342"/>
      <c r="O45" s="341"/>
    </row>
    <row r="46" spans="1:17" ht="15" customHeight="1">
      <c r="A46" s="334">
        <v>44231</v>
      </c>
      <c r="B46" s="334" t="s">
        <v>375</v>
      </c>
      <c r="C46" s="334" t="s">
        <v>78</v>
      </c>
      <c r="D46" s="344" t="s">
        <v>31</v>
      </c>
      <c r="E46" s="446"/>
      <c r="F46" s="446">
        <v>10000</v>
      </c>
      <c r="G46" s="476">
        <f t="shared" si="0"/>
        <v>26283595.99927</v>
      </c>
      <c r="H46" s="340" t="s">
        <v>179</v>
      </c>
      <c r="I46" s="347" t="s">
        <v>81</v>
      </c>
      <c r="J46" s="465" t="s">
        <v>195</v>
      </c>
      <c r="K46" s="340" t="s">
        <v>35</v>
      </c>
      <c r="L46" s="340" t="s">
        <v>61</v>
      </c>
      <c r="M46" s="341"/>
      <c r="N46" s="342"/>
      <c r="O46" s="341"/>
      <c r="P46" s="308"/>
      <c r="Q46" s="154"/>
    </row>
    <row r="47" spans="1:17" s="154" customFormat="1" ht="15" customHeight="1">
      <c r="A47" s="334">
        <v>44231</v>
      </c>
      <c r="B47" s="334" t="s">
        <v>383</v>
      </c>
      <c r="C47" s="334" t="s">
        <v>15</v>
      </c>
      <c r="D47" s="344" t="s">
        <v>31</v>
      </c>
      <c r="E47" s="446"/>
      <c r="F47" s="446">
        <v>4000</v>
      </c>
      <c r="G47" s="476">
        <f t="shared" si="0"/>
        <v>26279595.99927</v>
      </c>
      <c r="H47" s="340" t="s">
        <v>179</v>
      </c>
      <c r="I47" s="347" t="s">
        <v>146</v>
      </c>
      <c r="J47" s="465" t="s">
        <v>195</v>
      </c>
      <c r="K47" s="340" t="s">
        <v>35</v>
      </c>
      <c r="L47" s="340" t="s">
        <v>61</v>
      </c>
      <c r="M47" s="341"/>
      <c r="N47" s="342"/>
      <c r="O47" s="479"/>
    </row>
    <row r="48" spans="1:17" s="286" customFormat="1" ht="15" hidden="1" customHeight="1">
      <c r="A48" s="334">
        <v>44231</v>
      </c>
      <c r="B48" s="334" t="s">
        <v>348</v>
      </c>
      <c r="C48" s="334" t="s">
        <v>131</v>
      </c>
      <c r="D48" s="334"/>
      <c r="E48" s="446">
        <v>61600</v>
      </c>
      <c r="F48" s="446"/>
      <c r="G48" s="476">
        <f t="shared" si="0"/>
        <v>26341195.99927</v>
      </c>
      <c r="H48" s="339" t="s">
        <v>83</v>
      </c>
      <c r="I48" s="347"/>
      <c r="J48" s="464"/>
      <c r="K48" s="340"/>
      <c r="L48" s="340"/>
      <c r="M48" s="328"/>
      <c r="N48" s="342"/>
      <c r="O48" s="341"/>
      <c r="P48" s="308"/>
    </row>
    <row r="49" spans="1:66" s="286" customFormat="1" ht="15" customHeight="1">
      <c r="A49" s="334">
        <v>44231</v>
      </c>
      <c r="B49" s="334" t="s">
        <v>556</v>
      </c>
      <c r="C49" s="334" t="s">
        <v>68</v>
      </c>
      <c r="D49" s="334" t="s">
        <v>21</v>
      </c>
      <c r="E49" s="446"/>
      <c r="F49" s="446">
        <f>1850+5975</f>
        <v>7825</v>
      </c>
      <c r="G49" s="476">
        <f t="shared" si="0"/>
        <v>26333370.99927</v>
      </c>
      <c r="H49" s="348" t="s">
        <v>66</v>
      </c>
      <c r="I49" s="350" t="s">
        <v>81</v>
      </c>
      <c r="J49" s="464" t="s">
        <v>183</v>
      </c>
      <c r="K49" s="340" t="s">
        <v>63</v>
      </c>
      <c r="L49" s="340" t="s">
        <v>61</v>
      </c>
      <c r="M49" s="341" t="s">
        <v>473</v>
      </c>
      <c r="N49" s="342" t="s">
        <v>155</v>
      </c>
      <c r="O49" s="346"/>
      <c r="P49" s="308"/>
    </row>
    <row r="50" spans="1:66" s="286" customFormat="1" ht="15" customHeight="1">
      <c r="A50" s="334">
        <v>44231</v>
      </c>
      <c r="B50" s="334" t="s">
        <v>248</v>
      </c>
      <c r="C50" s="351" t="s">
        <v>80</v>
      </c>
      <c r="D50" s="343" t="s">
        <v>21</v>
      </c>
      <c r="E50" s="446"/>
      <c r="F50" s="446">
        <v>6800</v>
      </c>
      <c r="G50" s="476">
        <f t="shared" si="0"/>
        <v>26326570.99927</v>
      </c>
      <c r="H50" s="349" t="s">
        <v>66</v>
      </c>
      <c r="I50" s="342" t="s">
        <v>81</v>
      </c>
      <c r="J50" s="464" t="s">
        <v>183</v>
      </c>
      <c r="K50" s="340" t="s">
        <v>63</v>
      </c>
      <c r="L50" s="340" t="s">
        <v>61</v>
      </c>
      <c r="M50" s="341" t="s">
        <v>474</v>
      </c>
      <c r="N50" s="352" t="s">
        <v>154</v>
      </c>
      <c r="O50" s="341"/>
      <c r="P50" s="308"/>
    </row>
    <row r="51" spans="1:66" s="154" customFormat="1" ht="15" hidden="1" customHeight="1">
      <c r="A51" s="334">
        <v>44232</v>
      </c>
      <c r="B51" s="343" t="s">
        <v>216</v>
      </c>
      <c r="C51" s="343" t="s">
        <v>131</v>
      </c>
      <c r="D51" s="343"/>
      <c r="E51" s="447"/>
      <c r="F51" s="455">
        <v>1000000</v>
      </c>
      <c r="G51" s="476">
        <f t="shared" si="0"/>
        <v>25326570.99927</v>
      </c>
      <c r="H51" s="339" t="s">
        <v>60</v>
      </c>
      <c r="I51" s="350">
        <v>3654427</v>
      </c>
      <c r="J51" s="464"/>
      <c r="K51" s="340"/>
      <c r="L51" s="340"/>
      <c r="M51" s="341"/>
      <c r="N51" s="342"/>
      <c r="O51" s="341"/>
      <c r="P51" s="308"/>
    </row>
    <row r="52" spans="1:66" s="286" customFormat="1" ht="15" customHeight="1">
      <c r="A52" s="334">
        <v>44232</v>
      </c>
      <c r="B52" s="334" t="s">
        <v>462</v>
      </c>
      <c r="C52" s="443" t="s">
        <v>80</v>
      </c>
      <c r="D52" s="443" t="s">
        <v>21</v>
      </c>
      <c r="E52" s="446"/>
      <c r="F52" s="446">
        <v>22400</v>
      </c>
      <c r="G52" s="476">
        <f t="shared" si="0"/>
        <v>25304170.99927</v>
      </c>
      <c r="H52" s="349" t="s">
        <v>66</v>
      </c>
      <c r="I52" s="463" t="s">
        <v>81</v>
      </c>
      <c r="J52" s="352" t="s">
        <v>195</v>
      </c>
      <c r="K52" s="340" t="s">
        <v>35</v>
      </c>
      <c r="L52" s="340" t="s">
        <v>61</v>
      </c>
      <c r="M52" s="341"/>
      <c r="N52" s="342"/>
      <c r="O52" s="341"/>
      <c r="P52" s="308"/>
    </row>
    <row r="53" spans="1:66" s="154" customFormat="1" ht="15" hidden="1" customHeight="1">
      <c r="A53" s="334">
        <v>44232</v>
      </c>
      <c r="B53" s="334" t="s">
        <v>76</v>
      </c>
      <c r="C53" s="334" t="s">
        <v>131</v>
      </c>
      <c r="D53" s="334"/>
      <c r="E53" s="446"/>
      <c r="F53" s="446">
        <v>10000</v>
      </c>
      <c r="G53" s="476">
        <f t="shared" si="0"/>
        <v>25294170.99927</v>
      </c>
      <c r="H53" s="349" t="s">
        <v>66</v>
      </c>
      <c r="I53" s="480"/>
      <c r="J53" s="464"/>
      <c r="K53" s="340"/>
      <c r="L53" s="340"/>
      <c r="M53" s="341"/>
      <c r="N53" s="342"/>
      <c r="O53" s="341"/>
      <c r="P53" s="308"/>
    </row>
    <row r="54" spans="1:66" s="305" customFormat="1" ht="15" hidden="1" customHeight="1">
      <c r="A54" s="334">
        <v>44232</v>
      </c>
      <c r="B54" s="334" t="s">
        <v>102</v>
      </c>
      <c r="C54" s="334" t="s">
        <v>131</v>
      </c>
      <c r="D54" s="334"/>
      <c r="E54" s="446"/>
      <c r="F54" s="446">
        <v>70000</v>
      </c>
      <c r="G54" s="476">
        <f t="shared" si="0"/>
        <v>25224170.99927</v>
      </c>
      <c r="H54" s="348" t="s">
        <v>66</v>
      </c>
      <c r="I54" s="342"/>
      <c r="J54" s="464"/>
      <c r="K54" s="340"/>
      <c r="L54" s="340"/>
      <c r="M54" s="328"/>
      <c r="N54" s="342"/>
      <c r="O54" s="341"/>
      <c r="P54" s="312"/>
    </row>
    <row r="55" spans="1:66" s="286" customFormat="1" ht="15" hidden="1" customHeight="1">
      <c r="A55" s="334">
        <v>44232</v>
      </c>
      <c r="B55" s="334" t="s">
        <v>179</v>
      </c>
      <c r="C55" s="344" t="s">
        <v>131</v>
      </c>
      <c r="D55" s="344"/>
      <c r="E55" s="446"/>
      <c r="F55" s="446">
        <v>60000</v>
      </c>
      <c r="G55" s="476">
        <f t="shared" si="0"/>
        <v>25164170.99927</v>
      </c>
      <c r="H55" s="349" t="s">
        <v>66</v>
      </c>
      <c r="I55" s="460"/>
      <c r="J55" s="464"/>
      <c r="K55" s="340"/>
      <c r="L55" s="340"/>
      <c r="M55" s="341"/>
      <c r="N55" s="342"/>
      <c r="O55" s="341"/>
      <c r="P55" s="308"/>
    </row>
    <row r="56" spans="1:66" s="154" customFormat="1" ht="15" customHeight="1">
      <c r="A56" s="334">
        <v>44232</v>
      </c>
      <c r="B56" s="334" t="s">
        <v>351</v>
      </c>
      <c r="C56" s="334" t="s">
        <v>249</v>
      </c>
      <c r="D56" s="334" t="s">
        <v>132</v>
      </c>
      <c r="E56" s="446"/>
      <c r="F56" s="446">
        <v>3900</v>
      </c>
      <c r="G56" s="476">
        <f t="shared" si="0"/>
        <v>25160270.99927</v>
      </c>
      <c r="H56" s="339" t="s">
        <v>83</v>
      </c>
      <c r="I56" s="462" t="s">
        <v>81</v>
      </c>
      <c r="J56" s="465" t="s">
        <v>195</v>
      </c>
      <c r="K56" s="340" t="s">
        <v>35</v>
      </c>
      <c r="L56" s="340" t="s">
        <v>61</v>
      </c>
      <c r="M56" s="328"/>
      <c r="N56" s="342"/>
      <c r="O56" s="341"/>
    </row>
    <row r="57" spans="1:66" s="154" customFormat="1" ht="15" hidden="1" customHeight="1">
      <c r="A57" s="334">
        <v>44232</v>
      </c>
      <c r="B57" s="334" t="s">
        <v>75</v>
      </c>
      <c r="C57" s="334" t="s">
        <v>131</v>
      </c>
      <c r="D57" s="334"/>
      <c r="E57" s="446"/>
      <c r="F57" s="446">
        <v>10000</v>
      </c>
      <c r="G57" s="476">
        <f t="shared" si="0"/>
        <v>25150270.99927</v>
      </c>
      <c r="H57" s="349" t="s">
        <v>66</v>
      </c>
      <c r="I57" s="461"/>
      <c r="J57" s="464"/>
      <c r="K57" s="340"/>
      <c r="L57" s="340"/>
      <c r="M57" s="328"/>
      <c r="N57" s="342"/>
      <c r="O57" s="340"/>
      <c r="P57" s="308"/>
    </row>
    <row r="58" spans="1:66" ht="15" hidden="1" customHeight="1">
      <c r="A58" s="334">
        <v>44232</v>
      </c>
      <c r="B58" s="334" t="s">
        <v>325</v>
      </c>
      <c r="C58" s="334" t="s">
        <v>131</v>
      </c>
      <c r="D58" s="334"/>
      <c r="E58" s="446">
        <v>70000</v>
      </c>
      <c r="F58" s="446"/>
      <c r="G58" s="476">
        <f t="shared" si="0"/>
        <v>25220270.99927</v>
      </c>
      <c r="H58" s="477" t="s">
        <v>102</v>
      </c>
      <c r="I58" s="459"/>
      <c r="J58" s="464"/>
      <c r="K58" s="339"/>
      <c r="L58" s="339"/>
      <c r="M58" s="341"/>
      <c r="N58" s="352"/>
      <c r="O58" s="341"/>
      <c r="P58" s="308"/>
    </row>
    <row r="59" spans="1:66" ht="15" customHeight="1">
      <c r="A59" s="334">
        <v>44232</v>
      </c>
      <c r="B59" s="334" t="s">
        <v>377</v>
      </c>
      <c r="C59" s="334" t="s">
        <v>147</v>
      </c>
      <c r="D59" s="334" t="s">
        <v>31</v>
      </c>
      <c r="E59" s="446"/>
      <c r="F59" s="446">
        <v>40000</v>
      </c>
      <c r="G59" s="476">
        <f t="shared" si="0"/>
        <v>25180270.99927</v>
      </c>
      <c r="H59" s="340" t="s">
        <v>179</v>
      </c>
      <c r="I59" s="462" t="s">
        <v>146</v>
      </c>
      <c r="J59" s="485" t="s">
        <v>195</v>
      </c>
      <c r="K59" s="340" t="s">
        <v>35</v>
      </c>
      <c r="L59" s="340" t="s">
        <v>61</v>
      </c>
      <c r="M59" s="328"/>
      <c r="N59" s="471"/>
      <c r="O59" s="479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</row>
    <row r="60" spans="1:66" s="154" customFormat="1" ht="15" hidden="1" customHeight="1">
      <c r="A60" s="334">
        <v>44232</v>
      </c>
      <c r="B60" s="334" t="s">
        <v>332</v>
      </c>
      <c r="C60" s="334" t="s">
        <v>131</v>
      </c>
      <c r="D60" s="334"/>
      <c r="E60" s="446">
        <v>10000</v>
      </c>
      <c r="F60" s="446"/>
      <c r="G60" s="476">
        <f t="shared" si="0"/>
        <v>25190270.99927</v>
      </c>
      <c r="H60" s="329" t="s">
        <v>75</v>
      </c>
      <c r="I60" s="347"/>
      <c r="J60" s="468"/>
      <c r="K60" s="340"/>
      <c r="L60" s="340"/>
      <c r="M60" s="341"/>
      <c r="N60" s="342"/>
      <c r="O60" s="341"/>
      <c r="P60" s="308"/>
    </row>
    <row r="61" spans="1:66" s="286" customFormat="1" ht="15" hidden="1" customHeight="1">
      <c r="A61" s="334">
        <v>44232</v>
      </c>
      <c r="B61" s="334" t="s">
        <v>339</v>
      </c>
      <c r="C61" s="334" t="s">
        <v>131</v>
      </c>
      <c r="D61" s="334"/>
      <c r="E61" s="446">
        <v>199100</v>
      </c>
      <c r="F61" s="446"/>
      <c r="G61" s="476">
        <f t="shared" si="0"/>
        <v>25389370.99927</v>
      </c>
      <c r="H61" s="348" t="s">
        <v>134</v>
      </c>
      <c r="I61" s="347"/>
      <c r="J61" s="464"/>
      <c r="K61" s="339"/>
      <c r="L61" s="340"/>
      <c r="M61" s="328"/>
      <c r="N61" s="342"/>
      <c r="O61" s="341"/>
      <c r="P61" s="308"/>
    </row>
    <row r="62" spans="1:66" s="154" customFormat="1" ht="15" customHeight="1">
      <c r="A62" s="334">
        <v>44232</v>
      </c>
      <c r="B62" s="334" t="s">
        <v>252</v>
      </c>
      <c r="C62" s="334" t="s">
        <v>68</v>
      </c>
      <c r="D62" s="344" t="s">
        <v>21</v>
      </c>
      <c r="E62" s="446"/>
      <c r="F62" s="446">
        <f>60000*0.03</f>
        <v>1800</v>
      </c>
      <c r="G62" s="476">
        <f t="shared" si="0"/>
        <v>25387570.99927</v>
      </c>
      <c r="H62" s="349" t="s">
        <v>66</v>
      </c>
      <c r="I62" s="342" t="s">
        <v>81</v>
      </c>
      <c r="J62" s="464" t="s">
        <v>183</v>
      </c>
      <c r="K62" s="340" t="s">
        <v>63</v>
      </c>
      <c r="L62" s="340" t="s">
        <v>61</v>
      </c>
      <c r="M62" s="341" t="s">
        <v>475</v>
      </c>
      <c r="N62" s="342" t="s">
        <v>155</v>
      </c>
      <c r="O62" s="341"/>
    </row>
    <row r="63" spans="1:66" ht="15" hidden="1" customHeight="1">
      <c r="A63" s="334">
        <v>44232</v>
      </c>
      <c r="B63" s="334" t="s">
        <v>376</v>
      </c>
      <c r="C63" s="334" t="s">
        <v>131</v>
      </c>
      <c r="D63" s="334"/>
      <c r="E63" s="446">
        <v>60000</v>
      </c>
      <c r="F63" s="446"/>
      <c r="G63" s="476">
        <f t="shared" si="0"/>
        <v>25447570.99927</v>
      </c>
      <c r="H63" s="340" t="s">
        <v>179</v>
      </c>
      <c r="I63" s="347"/>
      <c r="J63" s="464"/>
      <c r="K63" s="340"/>
      <c r="L63" s="340"/>
      <c r="M63" s="328"/>
      <c r="N63" s="352"/>
      <c r="O63" s="341"/>
      <c r="P63" s="308"/>
    </row>
    <row r="64" spans="1:66" s="219" customFormat="1" ht="15" customHeight="1">
      <c r="A64" s="334">
        <v>44232</v>
      </c>
      <c r="B64" s="334" t="s">
        <v>200</v>
      </c>
      <c r="C64" s="334" t="s">
        <v>78</v>
      </c>
      <c r="D64" s="334" t="s">
        <v>19</v>
      </c>
      <c r="E64" s="446"/>
      <c r="F64" s="446">
        <v>20000</v>
      </c>
      <c r="G64" s="476">
        <f t="shared" si="0"/>
        <v>25427570.99927</v>
      </c>
      <c r="H64" s="477" t="s">
        <v>102</v>
      </c>
      <c r="I64" s="347" t="s">
        <v>67</v>
      </c>
      <c r="J64" s="464" t="s">
        <v>183</v>
      </c>
      <c r="K64" s="340" t="s">
        <v>63</v>
      </c>
      <c r="L64" s="340" t="s">
        <v>61</v>
      </c>
      <c r="M64" s="341" t="s">
        <v>476</v>
      </c>
      <c r="N64" s="342" t="s">
        <v>153</v>
      </c>
      <c r="O64" s="341"/>
      <c r="P64" s="312"/>
    </row>
    <row r="65" spans="1:16" s="154" customFormat="1" ht="15" hidden="1" customHeight="1">
      <c r="A65" s="334">
        <v>44232</v>
      </c>
      <c r="B65" s="353" t="s">
        <v>386</v>
      </c>
      <c r="C65" s="334" t="s">
        <v>131</v>
      </c>
      <c r="D65" s="334"/>
      <c r="E65" s="448">
        <v>10000</v>
      </c>
      <c r="F65" s="448"/>
      <c r="G65" s="476">
        <f t="shared" si="0"/>
        <v>25437570.99927</v>
      </c>
      <c r="H65" s="341" t="s">
        <v>76</v>
      </c>
      <c r="I65" s="460"/>
      <c r="J65" s="464"/>
      <c r="K65" s="340"/>
      <c r="L65" s="340"/>
      <c r="M65" s="328"/>
      <c r="N65" s="342"/>
      <c r="O65" s="341"/>
      <c r="P65" s="308"/>
    </row>
    <row r="66" spans="1:16" s="154" customFormat="1" ht="15" customHeight="1">
      <c r="A66" s="334">
        <v>44233</v>
      </c>
      <c r="B66" s="334" t="s">
        <v>378</v>
      </c>
      <c r="C66" s="334" t="s">
        <v>147</v>
      </c>
      <c r="D66" s="344" t="s">
        <v>31</v>
      </c>
      <c r="E66" s="446"/>
      <c r="F66" s="446">
        <v>15000</v>
      </c>
      <c r="G66" s="476">
        <f t="shared" si="0"/>
        <v>25422570.99927</v>
      </c>
      <c r="H66" s="340" t="s">
        <v>179</v>
      </c>
      <c r="I66" s="347" t="s">
        <v>81</v>
      </c>
      <c r="J66" s="465" t="s">
        <v>195</v>
      </c>
      <c r="K66" s="340" t="s">
        <v>35</v>
      </c>
      <c r="L66" s="340" t="s">
        <v>61</v>
      </c>
      <c r="M66" s="328"/>
      <c r="N66" s="342"/>
      <c r="O66" s="341"/>
    </row>
    <row r="67" spans="1:16" s="154" customFormat="1" ht="15" customHeight="1">
      <c r="A67" s="334">
        <v>44233</v>
      </c>
      <c r="B67" s="334" t="s">
        <v>358</v>
      </c>
      <c r="C67" s="334" t="s">
        <v>181</v>
      </c>
      <c r="D67" s="334" t="s">
        <v>207</v>
      </c>
      <c r="E67" s="446"/>
      <c r="F67" s="446">
        <v>100000</v>
      </c>
      <c r="G67" s="476">
        <f t="shared" si="0"/>
        <v>25322570.99927</v>
      </c>
      <c r="H67" s="339" t="s">
        <v>83</v>
      </c>
      <c r="I67" s="347" t="s">
        <v>146</v>
      </c>
      <c r="J67" s="465" t="s">
        <v>183</v>
      </c>
      <c r="K67" s="340" t="s">
        <v>63</v>
      </c>
      <c r="L67" s="340" t="s">
        <v>61</v>
      </c>
      <c r="M67" s="328" t="s">
        <v>477</v>
      </c>
      <c r="N67" s="342" t="s">
        <v>88</v>
      </c>
      <c r="O67" s="341"/>
      <c r="P67" s="308"/>
    </row>
    <row r="68" spans="1:16" s="303" customFormat="1" ht="15" customHeight="1">
      <c r="A68" s="334">
        <v>44234</v>
      </c>
      <c r="B68" s="334" t="s">
        <v>551</v>
      </c>
      <c r="C68" s="334" t="s">
        <v>82</v>
      </c>
      <c r="D68" s="334" t="s">
        <v>31</v>
      </c>
      <c r="E68" s="446"/>
      <c r="F68" s="446">
        <v>1500</v>
      </c>
      <c r="G68" s="476">
        <f t="shared" si="0"/>
        <v>25321070.99927</v>
      </c>
      <c r="H68" s="340" t="s">
        <v>179</v>
      </c>
      <c r="I68" s="347" t="s">
        <v>146</v>
      </c>
      <c r="J68" s="465" t="s">
        <v>195</v>
      </c>
      <c r="K68" s="340" t="s">
        <v>35</v>
      </c>
      <c r="L68" s="340" t="s">
        <v>61</v>
      </c>
      <c r="M68" s="328"/>
      <c r="N68" s="342"/>
      <c r="O68" s="341"/>
      <c r="P68" s="312"/>
    </row>
    <row r="69" spans="1:16" ht="15" hidden="1" customHeight="1">
      <c r="A69" s="334">
        <v>44235</v>
      </c>
      <c r="B69" s="343" t="s">
        <v>217</v>
      </c>
      <c r="C69" s="343" t="s">
        <v>131</v>
      </c>
      <c r="D69" s="343"/>
      <c r="E69" s="447"/>
      <c r="F69" s="455">
        <v>1000000</v>
      </c>
      <c r="G69" s="476">
        <f t="shared" si="0"/>
        <v>24321070.99927</v>
      </c>
      <c r="H69" s="339" t="s">
        <v>60</v>
      </c>
      <c r="I69" s="342">
        <v>3654428</v>
      </c>
      <c r="J69" s="464"/>
      <c r="K69" s="340"/>
      <c r="L69" s="340"/>
      <c r="M69" s="341"/>
      <c r="N69" s="342"/>
      <c r="O69" s="341"/>
      <c r="P69" s="308"/>
    </row>
    <row r="70" spans="1:16" ht="15" hidden="1" customHeight="1">
      <c r="A70" s="334">
        <v>44235</v>
      </c>
      <c r="B70" s="334" t="s">
        <v>60</v>
      </c>
      <c r="C70" s="334" t="s">
        <v>131</v>
      </c>
      <c r="D70" s="334"/>
      <c r="E70" s="446">
        <v>1000000</v>
      </c>
      <c r="F70" s="446"/>
      <c r="G70" s="476">
        <f t="shared" si="0"/>
        <v>25321070.99927</v>
      </c>
      <c r="H70" s="349" t="s">
        <v>66</v>
      </c>
      <c r="I70" s="463"/>
      <c r="J70" s="464"/>
      <c r="K70" s="339"/>
      <c r="L70" s="339"/>
      <c r="M70" s="341"/>
      <c r="N70" s="352"/>
      <c r="O70" s="341"/>
      <c r="P70" s="308"/>
    </row>
    <row r="71" spans="1:16" ht="15" customHeight="1">
      <c r="A71" s="334">
        <v>44235</v>
      </c>
      <c r="B71" s="334" t="s">
        <v>253</v>
      </c>
      <c r="C71" s="334" t="s">
        <v>147</v>
      </c>
      <c r="D71" s="334" t="s">
        <v>208</v>
      </c>
      <c r="E71" s="446"/>
      <c r="F71" s="446">
        <v>60000</v>
      </c>
      <c r="G71" s="476">
        <f t="shared" si="0"/>
        <v>25261070.99927</v>
      </c>
      <c r="H71" s="348" t="s">
        <v>66</v>
      </c>
      <c r="I71" s="347" t="s">
        <v>146</v>
      </c>
      <c r="J71" s="352" t="s">
        <v>195</v>
      </c>
      <c r="K71" s="340" t="s">
        <v>35</v>
      </c>
      <c r="L71" s="340" t="s">
        <v>61</v>
      </c>
      <c r="M71" s="341"/>
      <c r="N71" s="342"/>
      <c r="O71" s="341"/>
      <c r="P71" s="308"/>
    </row>
    <row r="72" spans="1:16" s="154" customFormat="1" ht="15" customHeight="1">
      <c r="A72" s="334">
        <v>44235</v>
      </c>
      <c r="B72" s="334" t="s">
        <v>552</v>
      </c>
      <c r="C72" s="334" t="s">
        <v>82</v>
      </c>
      <c r="D72" s="334" t="s">
        <v>31</v>
      </c>
      <c r="E72" s="446"/>
      <c r="F72" s="446">
        <v>10500</v>
      </c>
      <c r="G72" s="476">
        <f t="shared" si="0"/>
        <v>25250570.99927</v>
      </c>
      <c r="H72" s="349" t="s">
        <v>66</v>
      </c>
      <c r="I72" s="347" t="s">
        <v>146</v>
      </c>
      <c r="J72" s="464" t="s">
        <v>195</v>
      </c>
      <c r="K72" s="340" t="s">
        <v>35</v>
      </c>
      <c r="L72" s="340" t="s">
        <v>61</v>
      </c>
      <c r="M72" s="328"/>
      <c r="N72" s="342"/>
      <c r="O72" s="341"/>
    </row>
    <row r="73" spans="1:16" ht="15" hidden="1" customHeight="1">
      <c r="A73" s="334">
        <v>44235</v>
      </c>
      <c r="B73" s="334" t="s">
        <v>134</v>
      </c>
      <c r="C73" s="334" t="s">
        <v>131</v>
      </c>
      <c r="D73" s="334"/>
      <c r="E73" s="446"/>
      <c r="F73" s="446">
        <v>90200</v>
      </c>
      <c r="G73" s="476">
        <f t="shared" si="0"/>
        <v>25160370.99927</v>
      </c>
      <c r="H73" s="349" t="s">
        <v>66</v>
      </c>
      <c r="I73" s="460"/>
      <c r="J73" s="464"/>
      <c r="K73" s="340"/>
      <c r="L73" s="340"/>
      <c r="M73" s="328"/>
      <c r="N73" s="342"/>
      <c r="O73" s="340"/>
      <c r="P73" s="308"/>
    </row>
    <row r="74" spans="1:16" ht="15" hidden="1" customHeight="1">
      <c r="A74" s="334">
        <v>44235</v>
      </c>
      <c r="B74" s="334" t="s">
        <v>83</v>
      </c>
      <c r="C74" s="334" t="s">
        <v>131</v>
      </c>
      <c r="D74" s="334"/>
      <c r="E74" s="446"/>
      <c r="F74" s="446">
        <v>61600</v>
      </c>
      <c r="G74" s="476">
        <f t="shared" si="0"/>
        <v>25098770.99927</v>
      </c>
      <c r="H74" s="348" t="s">
        <v>66</v>
      </c>
      <c r="I74" s="342"/>
      <c r="J74" s="464"/>
      <c r="K74" s="340"/>
      <c r="L74" s="340"/>
      <c r="M74" s="341"/>
      <c r="N74" s="342"/>
      <c r="O74" s="341"/>
      <c r="P74" s="308"/>
    </row>
    <row r="75" spans="1:16" s="286" customFormat="1" ht="15" customHeight="1">
      <c r="A75" s="334">
        <v>44235</v>
      </c>
      <c r="B75" s="334" t="s">
        <v>256</v>
      </c>
      <c r="C75" s="334" t="s">
        <v>68</v>
      </c>
      <c r="D75" s="334" t="s">
        <v>21</v>
      </c>
      <c r="E75" s="446"/>
      <c r="F75" s="446">
        <f>1850+2710</f>
        <v>4560</v>
      </c>
      <c r="G75" s="476">
        <f t="shared" si="0"/>
        <v>25094210.99927</v>
      </c>
      <c r="H75" s="349" t="s">
        <v>66</v>
      </c>
      <c r="I75" s="342" t="s">
        <v>81</v>
      </c>
      <c r="J75" s="464" t="s">
        <v>183</v>
      </c>
      <c r="K75" s="340" t="s">
        <v>63</v>
      </c>
      <c r="L75" s="340" t="s">
        <v>61</v>
      </c>
      <c r="M75" s="341" t="s">
        <v>478</v>
      </c>
      <c r="N75" s="342" t="s">
        <v>155</v>
      </c>
      <c r="O75" s="341"/>
      <c r="P75" s="308"/>
    </row>
    <row r="76" spans="1:16" ht="15" customHeight="1">
      <c r="A76" s="334">
        <v>44235</v>
      </c>
      <c r="B76" s="334" t="s">
        <v>353</v>
      </c>
      <c r="C76" s="334" t="s">
        <v>249</v>
      </c>
      <c r="D76" s="334" t="s">
        <v>132</v>
      </c>
      <c r="E76" s="446"/>
      <c r="F76" s="446">
        <v>1000</v>
      </c>
      <c r="G76" s="476">
        <f t="shared" si="0"/>
        <v>25093210.99927</v>
      </c>
      <c r="H76" s="339" t="s">
        <v>83</v>
      </c>
      <c r="I76" s="347" t="s">
        <v>146</v>
      </c>
      <c r="J76" s="465" t="s">
        <v>195</v>
      </c>
      <c r="K76" s="340" t="s">
        <v>35</v>
      </c>
      <c r="L76" s="340" t="s">
        <v>61</v>
      </c>
      <c r="M76" s="328"/>
      <c r="N76" s="342"/>
      <c r="O76" s="341"/>
      <c r="P76" s="308"/>
    </row>
    <row r="77" spans="1:16" s="154" customFormat="1" ht="15" customHeight="1">
      <c r="A77" s="334">
        <v>44235</v>
      </c>
      <c r="B77" s="334" t="s">
        <v>379</v>
      </c>
      <c r="C77" s="334" t="s">
        <v>147</v>
      </c>
      <c r="D77" s="334" t="s">
        <v>31</v>
      </c>
      <c r="E77" s="446"/>
      <c r="F77" s="446">
        <v>30000</v>
      </c>
      <c r="G77" s="476">
        <f t="shared" si="0"/>
        <v>25063210.99927</v>
      </c>
      <c r="H77" s="340" t="s">
        <v>179</v>
      </c>
      <c r="I77" s="347" t="s">
        <v>81</v>
      </c>
      <c r="J77" s="465" t="s">
        <v>195</v>
      </c>
      <c r="K77" s="340" t="s">
        <v>35</v>
      </c>
      <c r="L77" s="340" t="s">
        <v>61</v>
      </c>
      <c r="M77" s="328"/>
      <c r="N77" s="342"/>
      <c r="O77" s="341"/>
    </row>
    <row r="78" spans="1:16" s="154" customFormat="1" ht="15" customHeight="1">
      <c r="A78" s="334">
        <v>44235</v>
      </c>
      <c r="B78" s="334" t="s">
        <v>328</v>
      </c>
      <c r="C78" s="334" t="s">
        <v>147</v>
      </c>
      <c r="D78" s="344" t="s">
        <v>19</v>
      </c>
      <c r="E78" s="446"/>
      <c r="F78" s="446">
        <v>30000</v>
      </c>
      <c r="G78" s="476">
        <f t="shared" ref="G78:G141" si="1">G77+E78-F78</f>
        <v>25033210.99927</v>
      </c>
      <c r="H78" s="477" t="s">
        <v>102</v>
      </c>
      <c r="I78" s="347" t="s">
        <v>146</v>
      </c>
      <c r="J78" s="464" t="s">
        <v>183</v>
      </c>
      <c r="K78" s="340" t="s">
        <v>63</v>
      </c>
      <c r="L78" s="340" t="s">
        <v>61</v>
      </c>
      <c r="M78" s="328" t="s">
        <v>479</v>
      </c>
      <c r="N78" s="342" t="s">
        <v>88</v>
      </c>
      <c r="O78" s="341"/>
    </row>
    <row r="79" spans="1:16" s="154" customFormat="1" ht="15" customHeight="1">
      <c r="A79" s="334">
        <v>44235</v>
      </c>
      <c r="B79" s="334" t="s">
        <v>334</v>
      </c>
      <c r="C79" s="334" t="s">
        <v>80</v>
      </c>
      <c r="D79" s="344" t="s">
        <v>21</v>
      </c>
      <c r="E79" s="446"/>
      <c r="F79" s="446">
        <v>3000</v>
      </c>
      <c r="G79" s="476">
        <f t="shared" si="1"/>
        <v>25030210.99927</v>
      </c>
      <c r="H79" s="329" t="s">
        <v>75</v>
      </c>
      <c r="I79" s="347" t="s">
        <v>146</v>
      </c>
      <c r="J79" s="464" t="s">
        <v>183</v>
      </c>
      <c r="K79" s="340" t="s">
        <v>63</v>
      </c>
      <c r="L79" s="340" t="s">
        <v>61</v>
      </c>
      <c r="M79" s="341" t="s">
        <v>480</v>
      </c>
      <c r="N79" s="342" t="s">
        <v>154</v>
      </c>
      <c r="O79" s="341"/>
    </row>
    <row r="80" spans="1:16" s="154" customFormat="1" ht="15" hidden="1" customHeight="1">
      <c r="A80" s="334">
        <v>44235</v>
      </c>
      <c r="B80" s="334" t="s">
        <v>182</v>
      </c>
      <c r="C80" s="334" t="s">
        <v>131</v>
      </c>
      <c r="D80" s="334"/>
      <c r="E80" s="446">
        <v>10000</v>
      </c>
      <c r="F80" s="446"/>
      <c r="G80" s="476">
        <f t="shared" si="1"/>
        <v>25040210.99927</v>
      </c>
      <c r="H80" s="329" t="s">
        <v>158</v>
      </c>
      <c r="I80" s="460"/>
      <c r="J80" s="464"/>
      <c r="K80" s="340"/>
      <c r="L80" s="340"/>
      <c r="M80" s="328"/>
      <c r="N80" s="342"/>
      <c r="O80" s="341"/>
      <c r="P80" s="308"/>
    </row>
    <row r="81" spans="1:66" s="154" customFormat="1" ht="15" customHeight="1">
      <c r="A81" s="334">
        <v>44235</v>
      </c>
      <c r="B81" s="334" t="s">
        <v>352</v>
      </c>
      <c r="C81" s="334" t="s">
        <v>249</v>
      </c>
      <c r="D81" s="334" t="s">
        <v>132</v>
      </c>
      <c r="E81" s="446"/>
      <c r="F81" s="446">
        <v>4300</v>
      </c>
      <c r="G81" s="476">
        <f t="shared" si="1"/>
        <v>25035910.99927</v>
      </c>
      <c r="H81" s="339" t="s">
        <v>83</v>
      </c>
      <c r="I81" s="462" t="s">
        <v>81</v>
      </c>
      <c r="J81" s="465" t="s">
        <v>183</v>
      </c>
      <c r="K81" s="340" t="s">
        <v>63</v>
      </c>
      <c r="L81" s="340" t="s">
        <v>61</v>
      </c>
      <c r="M81" s="328" t="s">
        <v>481</v>
      </c>
      <c r="N81" s="342" t="s">
        <v>154</v>
      </c>
      <c r="O81" s="341"/>
      <c r="P81" s="308"/>
    </row>
    <row r="82" spans="1:66" s="154" customFormat="1" ht="15" customHeight="1">
      <c r="A82" s="334">
        <v>44236</v>
      </c>
      <c r="B82" s="334" t="s">
        <v>260</v>
      </c>
      <c r="C82" s="334" t="s">
        <v>80</v>
      </c>
      <c r="D82" s="334" t="s">
        <v>21</v>
      </c>
      <c r="E82" s="446"/>
      <c r="F82" s="446">
        <v>2000</v>
      </c>
      <c r="G82" s="476">
        <f t="shared" si="1"/>
        <v>25033910.99927</v>
      </c>
      <c r="H82" s="349" t="s">
        <v>66</v>
      </c>
      <c r="I82" s="459" t="s">
        <v>81</v>
      </c>
      <c r="J82" s="352" t="s">
        <v>195</v>
      </c>
      <c r="K82" s="340" t="s">
        <v>35</v>
      </c>
      <c r="L82" s="340" t="s">
        <v>61</v>
      </c>
      <c r="M82" s="328"/>
      <c r="N82" s="342"/>
      <c r="O82" s="341"/>
      <c r="P82" s="308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spans="1:66" ht="15" hidden="1" customHeight="1">
      <c r="A83" s="334">
        <v>44236</v>
      </c>
      <c r="B83" s="334" t="s">
        <v>75</v>
      </c>
      <c r="C83" s="334" t="s">
        <v>131</v>
      </c>
      <c r="D83" s="334"/>
      <c r="E83" s="446"/>
      <c r="F83" s="446">
        <v>40000</v>
      </c>
      <c r="G83" s="476">
        <f t="shared" si="1"/>
        <v>24993910.99927</v>
      </c>
      <c r="H83" s="349" t="s">
        <v>66</v>
      </c>
      <c r="I83" s="342"/>
      <c r="J83" s="464"/>
      <c r="K83" s="340"/>
      <c r="L83" s="340"/>
      <c r="M83" s="341"/>
      <c r="N83" s="342"/>
      <c r="O83" s="341"/>
      <c r="P83" s="308"/>
    </row>
    <row r="84" spans="1:66" ht="15" hidden="1" customHeight="1">
      <c r="A84" s="334">
        <v>44236</v>
      </c>
      <c r="B84" s="334" t="s">
        <v>102</v>
      </c>
      <c r="C84" s="334" t="s">
        <v>131</v>
      </c>
      <c r="D84" s="334"/>
      <c r="E84" s="446"/>
      <c r="F84" s="446">
        <v>64750</v>
      </c>
      <c r="G84" s="476">
        <f t="shared" si="1"/>
        <v>24929160.99927</v>
      </c>
      <c r="H84" s="349" t="s">
        <v>66</v>
      </c>
      <c r="I84" s="342"/>
      <c r="J84" s="466"/>
      <c r="K84" s="340"/>
      <c r="L84" s="340"/>
      <c r="M84" s="341"/>
      <c r="N84" s="342"/>
      <c r="O84" s="341"/>
      <c r="P84" s="308"/>
    </row>
    <row r="85" spans="1:66" s="154" customFormat="1" ht="15" customHeight="1">
      <c r="A85" s="334">
        <v>44236</v>
      </c>
      <c r="B85" s="334" t="s">
        <v>261</v>
      </c>
      <c r="C85" s="334" t="s">
        <v>20</v>
      </c>
      <c r="D85" s="334" t="s">
        <v>208</v>
      </c>
      <c r="E85" s="446"/>
      <c r="F85" s="446">
        <v>10000</v>
      </c>
      <c r="G85" s="476">
        <f t="shared" si="1"/>
        <v>24919160.99927</v>
      </c>
      <c r="H85" s="349" t="s">
        <v>66</v>
      </c>
      <c r="I85" s="342" t="s">
        <v>81</v>
      </c>
      <c r="J85" s="464" t="s">
        <v>195</v>
      </c>
      <c r="K85" s="340" t="s">
        <v>35</v>
      </c>
      <c r="L85" s="340" t="s">
        <v>61</v>
      </c>
      <c r="M85" s="328"/>
      <c r="N85" s="342"/>
      <c r="O85" s="341"/>
    </row>
    <row r="86" spans="1:66" ht="15" hidden="1" customHeight="1">
      <c r="A86" s="334">
        <v>44236</v>
      </c>
      <c r="B86" s="334" t="s">
        <v>158</v>
      </c>
      <c r="C86" s="334" t="s">
        <v>131</v>
      </c>
      <c r="D86" s="334"/>
      <c r="E86" s="446"/>
      <c r="F86" s="446">
        <v>10000</v>
      </c>
      <c r="G86" s="476">
        <f t="shared" si="1"/>
        <v>24909160.99927</v>
      </c>
      <c r="H86" s="348" t="s">
        <v>66</v>
      </c>
      <c r="I86" s="459"/>
      <c r="J86" s="464"/>
      <c r="K86" s="340"/>
      <c r="L86" s="340"/>
      <c r="M86" s="328"/>
      <c r="N86" s="342"/>
      <c r="O86" s="341"/>
      <c r="P86" s="308"/>
    </row>
    <row r="87" spans="1:66" s="154" customFormat="1" ht="15" customHeight="1">
      <c r="A87" s="334">
        <v>44236</v>
      </c>
      <c r="B87" s="334" t="s">
        <v>380</v>
      </c>
      <c r="C87" s="334" t="s">
        <v>147</v>
      </c>
      <c r="D87" s="334" t="s">
        <v>31</v>
      </c>
      <c r="E87" s="446"/>
      <c r="F87" s="446">
        <v>15000</v>
      </c>
      <c r="G87" s="476">
        <f t="shared" si="1"/>
        <v>24894160.99927</v>
      </c>
      <c r="H87" s="340" t="s">
        <v>179</v>
      </c>
      <c r="I87" s="347" t="s">
        <v>81</v>
      </c>
      <c r="J87" s="465" t="s">
        <v>195</v>
      </c>
      <c r="K87" s="340" t="s">
        <v>35</v>
      </c>
      <c r="L87" s="340" t="s">
        <v>61</v>
      </c>
      <c r="M87" s="328"/>
      <c r="N87" s="342"/>
      <c r="O87" s="341"/>
      <c r="P87" s="308"/>
    </row>
    <row r="88" spans="1:66" ht="15" customHeight="1">
      <c r="A88" s="334">
        <v>44236</v>
      </c>
      <c r="B88" s="334" t="s">
        <v>381</v>
      </c>
      <c r="C88" s="334" t="s">
        <v>78</v>
      </c>
      <c r="D88" s="334" t="s">
        <v>31</v>
      </c>
      <c r="E88" s="446"/>
      <c r="F88" s="446">
        <v>6000</v>
      </c>
      <c r="G88" s="476">
        <f t="shared" si="1"/>
        <v>24888160.99927</v>
      </c>
      <c r="H88" s="340" t="s">
        <v>179</v>
      </c>
      <c r="I88" s="347" t="s">
        <v>146</v>
      </c>
      <c r="J88" s="484" t="s">
        <v>195</v>
      </c>
      <c r="K88" s="340" t="s">
        <v>35</v>
      </c>
      <c r="L88" s="340" t="s">
        <v>61</v>
      </c>
      <c r="M88" s="328"/>
      <c r="N88" s="342"/>
      <c r="O88" s="341"/>
      <c r="P88" s="308"/>
    </row>
    <row r="89" spans="1:66" ht="15" hidden="1" customHeight="1">
      <c r="A89" s="334">
        <v>44236</v>
      </c>
      <c r="B89" s="334" t="s">
        <v>134</v>
      </c>
      <c r="C89" s="334" t="s">
        <v>131</v>
      </c>
      <c r="D89" s="334"/>
      <c r="E89" s="446"/>
      <c r="F89" s="446">
        <v>153800</v>
      </c>
      <c r="G89" s="476">
        <f t="shared" si="1"/>
        <v>24734360.99927</v>
      </c>
      <c r="H89" s="349" t="s">
        <v>66</v>
      </c>
      <c r="I89" s="460"/>
      <c r="J89" s="464"/>
      <c r="K89" s="340"/>
      <c r="L89" s="340"/>
      <c r="M89" s="328"/>
      <c r="N89" s="342"/>
      <c r="O89" s="341"/>
      <c r="P89" s="308"/>
    </row>
    <row r="90" spans="1:66" ht="15" hidden="1" customHeight="1">
      <c r="A90" s="334">
        <v>44236</v>
      </c>
      <c r="B90" s="334" t="s">
        <v>325</v>
      </c>
      <c r="C90" s="334" t="s">
        <v>131</v>
      </c>
      <c r="D90" s="334"/>
      <c r="E90" s="446">
        <v>64750</v>
      </c>
      <c r="F90" s="446"/>
      <c r="G90" s="476">
        <f t="shared" si="1"/>
        <v>24799110.99927</v>
      </c>
      <c r="H90" s="477" t="s">
        <v>102</v>
      </c>
      <c r="I90" s="459"/>
      <c r="J90" s="464"/>
      <c r="K90" s="340"/>
      <c r="L90" s="340"/>
      <c r="M90" s="328"/>
      <c r="N90" s="342"/>
      <c r="O90" s="340"/>
      <c r="P90" s="308"/>
    </row>
    <row r="91" spans="1:66" s="286" customFormat="1" ht="15" hidden="1" customHeight="1">
      <c r="A91" s="334">
        <v>44236</v>
      </c>
      <c r="B91" s="334" t="s">
        <v>332</v>
      </c>
      <c r="C91" s="334" t="s">
        <v>131</v>
      </c>
      <c r="D91" s="334"/>
      <c r="E91" s="446">
        <v>40000</v>
      </c>
      <c r="F91" s="446"/>
      <c r="G91" s="476">
        <f t="shared" si="1"/>
        <v>24839110.99927</v>
      </c>
      <c r="H91" s="329" t="s">
        <v>75</v>
      </c>
      <c r="I91" s="347"/>
      <c r="J91" s="464"/>
      <c r="K91" s="340"/>
      <c r="L91" s="340"/>
      <c r="M91" s="328"/>
      <c r="N91" s="342"/>
      <c r="O91" s="341"/>
      <c r="P91" s="308"/>
    </row>
    <row r="92" spans="1:66" s="154" customFormat="1" ht="15" hidden="1" customHeight="1">
      <c r="A92" s="334">
        <v>44236</v>
      </c>
      <c r="B92" s="334" t="s">
        <v>339</v>
      </c>
      <c r="C92" s="334" t="s">
        <v>131</v>
      </c>
      <c r="D92" s="334"/>
      <c r="E92" s="446">
        <v>90200</v>
      </c>
      <c r="F92" s="446"/>
      <c r="G92" s="476">
        <f t="shared" si="1"/>
        <v>24929310.99927</v>
      </c>
      <c r="H92" s="348" t="s">
        <v>134</v>
      </c>
      <c r="I92" s="347"/>
      <c r="J92" s="464"/>
      <c r="K92" s="340"/>
      <c r="L92" s="340"/>
      <c r="M92" s="328"/>
      <c r="N92" s="342"/>
      <c r="O92" s="341"/>
      <c r="P92" s="308"/>
    </row>
    <row r="93" spans="1:66" ht="15" hidden="1" customHeight="1">
      <c r="A93" s="334">
        <v>44236</v>
      </c>
      <c r="B93" s="334" t="s">
        <v>348</v>
      </c>
      <c r="C93" s="334" t="s">
        <v>131</v>
      </c>
      <c r="D93" s="334"/>
      <c r="E93" s="446">
        <v>61600</v>
      </c>
      <c r="F93" s="446"/>
      <c r="G93" s="476">
        <f t="shared" si="1"/>
        <v>24990910.99927</v>
      </c>
      <c r="H93" s="339" t="s">
        <v>83</v>
      </c>
      <c r="I93" s="347"/>
      <c r="J93" s="464"/>
      <c r="K93" s="340"/>
      <c r="L93" s="340"/>
      <c r="M93" s="328"/>
      <c r="N93" s="342"/>
      <c r="O93" s="346"/>
      <c r="P93" s="308"/>
    </row>
    <row r="94" spans="1:66" s="286" customFormat="1" ht="15" customHeight="1">
      <c r="A94" s="334">
        <v>44236</v>
      </c>
      <c r="B94" s="343" t="s">
        <v>227</v>
      </c>
      <c r="C94" s="343" t="s">
        <v>17</v>
      </c>
      <c r="D94" s="343" t="s">
        <v>21</v>
      </c>
      <c r="E94" s="445"/>
      <c r="F94" s="446">
        <v>500000</v>
      </c>
      <c r="G94" s="476">
        <f t="shared" si="1"/>
        <v>24490910.99927</v>
      </c>
      <c r="H94" s="339" t="s">
        <v>62</v>
      </c>
      <c r="I94" s="463" t="s">
        <v>29</v>
      </c>
      <c r="J94" s="464" t="s">
        <v>183</v>
      </c>
      <c r="K94" s="340" t="s">
        <v>63</v>
      </c>
      <c r="L94" s="340" t="s">
        <v>61</v>
      </c>
      <c r="M94" s="328" t="s">
        <v>482</v>
      </c>
      <c r="N94" s="342" t="s">
        <v>159</v>
      </c>
      <c r="O94" s="341"/>
      <c r="P94" s="308"/>
    </row>
    <row r="95" spans="1:66" ht="15" customHeight="1">
      <c r="A95" s="334">
        <v>44236</v>
      </c>
      <c r="B95" s="334" t="s">
        <v>259</v>
      </c>
      <c r="C95" s="334" t="s">
        <v>68</v>
      </c>
      <c r="D95" s="334" t="s">
        <v>21</v>
      </c>
      <c r="E95" s="446"/>
      <c r="F95" s="446">
        <v>1945</v>
      </c>
      <c r="G95" s="476">
        <f t="shared" si="1"/>
        <v>24488965.99927</v>
      </c>
      <c r="H95" s="349" t="s">
        <v>66</v>
      </c>
      <c r="I95" s="342" t="s">
        <v>81</v>
      </c>
      <c r="J95" s="464" t="s">
        <v>183</v>
      </c>
      <c r="K95" s="340" t="s">
        <v>63</v>
      </c>
      <c r="L95" s="340" t="s">
        <v>61</v>
      </c>
      <c r="M95" s="328" t="s">
        <v>483</v>
      </c>
      <c r="N95" s="342" t="s">
        <v>155</v>
      </c>
      <c r="O95" s="341"/>
      <c r="P95" s="308"/>
      <c r="Q95" s="286"/>
    </row>
    <row r="96" spans="1:66" s="154" customFormat="1" ht="15" customHeight="1">
      <c r="A96" s="334">
        <v>44237</v>
      </c>
      <c r="B96" s="334" t="s">
        <v>326</v>
      </c>
      <c r="C96" s="334" t="s">
        <v>78</v>
      </c>
      <c r="D96" s="334" t="s">
        <v>19</v>
      </c>
      <c r="E96" s="446"/>
      <c r="F96" s="446">
        <v>20000</v>
      </c>
      <c r="G96" s="476">
        <f t="shared" si="1"/>
        <v>24468965.99927</v>
      </c>
      <c r="H96" s="477" t="s">
        <v>102</v>
      </c>
      <c r="I96" s="347" t="s">
        <v>67</v>
      </c>
      <c r="J96" s="464" t="s">
        <v>183</v>
      </c>
      <c r="K96" s="340" t="s">
        <v>63</v>
      </c>
      <c r="L96" s="340" t="s">
        <v>61</v>
      </c>
      <c r="M96" s="328" t="s">
        <v>484</v>
      </c>
      <c r="N96" s="342" t="s">
        <v>153</v>
      </c>
      <c r="O96" s="341"/>
    </row>
    <row r="97" spans="1:66" s="154" customFormat="1" ht="15" customHeight="1">
      <c r="A97" s="334">
        <v>44237</v>
      </c>
      <c r="B97" s="334" t="s">
        <v>264</v>
      </c>
      <c r="C97" s="334" t="s">
        <v>68</v>
      </c>
      <c r="D97" s="334" t="s">
        <v>21</v>
      </c>
      <c r="E97" s="446"/>
      <c r="F97" s="446">
        <v>4615</v>
      </c>
      <c r="G97" s="476">
        <f t="shared" si="1"/>
        <v>24464350.99927</v>
      </c>
      <c r="H97" s="349" t="s">
        <v>66</v>
      </c>
      <c r="I97" s="342" t="s">
        <v>81</v>
      </c>
      <c r="J97" s="464" t="s">
        <v>183</v>
      </c>
      <c r="K97" s="340" t="s">
        <v>63</v>
      </c>
      <c r="L97" s="340" t="s">
        <v>61</v>
      </c>
      <c r="M97" s="328" t="s">
        <v>485</v>
      </c>
      <c r="N97" s="342" t="s">
        <v>155</v>
      </c>
      <c r="O97" s="342"/>
    </row>
    <row r="98" spans="1:66" s="154" customFormat="1" ht="15" hidden="1" customHeight="1">
      <c r="A98" s="334">
        <v>44238</v>
      </c>
      <c r="B98" s="334" t="s">
        <v>178</v>
      </c>
      <c r="C98" s="334" t="s">
        <v>131</v>
      </c>
      <c r="D98" s="334"/>
      <c r="E98" s="446"/>
      <c r="F98" s="446">
        <v>174900</v>
      </c>
      <c r="G98" s="476">
        <f t="shared" si="1"/>
        <v>24289450.99927</v>
      </c>
      <c r="H98" s="348" t="s">
        <v>66</v>
      </c>
      <c r="I98" s="463"/>
      <c r="J98" s="464"/>
      <c r="K98" s="340"/>
      <c r="L98" s="340"/>
      <c r="M98" s="328"/>
      <c r="N98" s="342"/>
      <c r="O98" s="341"/>
      <c r="P98" s="308"/>
      <c r="Q98" s="47"/>
    </row>
    <row r="99" spans="1:66" s="154" customFormat="1" ht="15" customHeight="1">
      <c r="A99" s="334">
        <v>44238</v>
      </c>
      <c r="B99" s="334" t="s">
        <v>553</v>
      </c>
      <c r="C99" s="334" t="s">
        <v>82</v>
      </c>
      <c r="D99" s="334" t="s">
        <v>31</v>
      </c>
      <c r="E99" s="446"/>
      <c r="F99" s="446">
        <v>19000</v>
      </c>
      <c r="G99" s="476">
        <f t="shared" si="1"/>
        <v>24270450.99927</v>
      </c>
      <c r="H99" s="349" t="s">
        <v>66</v>
      </c>
      <c r="I99" s="347" t="s">
        <v>146</v>
      </c>
      <c r="J99" s="464" t="s">
        <v>195</v>
      </c>
      <c r="K99" s="340" t="s">
        <v>35</v>
      </c>
      <c r="L99" s="340" t="s">
        <v>61</v>
      </c>
      <c r="M99" s="328"/>
      <c r="N99" s="342"/>
      <c r="O99" s="341"/>
    </row>
    <row r="100" spans="1:66" s="219" customFormat="1" ht="15" customHeight="1">
      <c r="A100" s="334">
        <v>44238</v>
      </c>
      <c r="B100" s="334" t="s">
        <v>265</v>
      </c>
      <c r="C100" s="344" t="s">
        <v>68</v>
      </c>
      <c r="D100" s="344" t="s">
        <v>21</v>
      </c>
      <c r="E100" s="446"/>
      <c r="F100" s="446">
        <v>5250</v>
      </c>
      <c r="G100" s="476">
        <f t="shared" si="1"/>
        <v>24265200.99927</v>
      </c>
      <c r="H100" s="349" t="s">
        <v>66</v>
      </c>
      <c r="I100" s="342" t="s">
        <v>81</v>
      </c>
      <c r="J100" s="464" t="s">
        <v>183</v>
      </c>
      <c r="K100" s="340" t="s">
        <v>63</v>
      </c>
      <c r="L100" s="340" t="s">
        <v>61</v>
      </c>
      <c r="M100" s="341" t="s">
        <v>486</v>
      </c>
      <c r="N100" s="342" t="s">
        <v>155</v>
      </c>
      <c r="O100" s="341"/>
      <c r="P100" s="312"/>
    </row>
    <row r="101" spans="1:66" s="286" customFormat="1" ht="15" hidden="1" customHeight="1">
      <c r="A101" s="334">
        <v>44238</v>
      </c>
      <c r="B101" s="334" t="s">
        <v>60</v>
      </c>
      <c r="C101" s="334" t="s">
        <v>131</v>
      </c>
      <c r="D101" s="334"/>
      <c r="E101" s="446">
        <v>1000000</v>
      </c>
      <c r="F101" s="446"/>
      <c r="G101" s="476">
        <f t="shared" si="1"/>
        <v>25265200.99927</v>
      </c>
      <c r="H101" s="349" t="s">
        <v>66</v>
      </c>
      <c r="I101" s="352"/>
      <c r="J101" s="464"/>
      <c r="K101" s="339"/>
      <c r="L101" s="340"/>
      <c r="M101" s="328"/>
      <c r="N101" s="342"/>
      <c r="O101" s="341"/>
      <c r="P101" s="308"/>
    </row>
    <row r="102" spans="1:66" s="286" customFormat="1" ht="15" customHeight="1">
      <c r="A102" s="334">
        <v>44238</v>
      </c>
      <c r="B102" s="334" t="s">
        <v>327</v>
      </c>
      <c r="C102" s="344" t="s">
        <v>147</v>
      </c>
      <c r="D102" s="344" t="s">
        <v>19</v>
      </c>
      <c r="E102" s="446"/>
      <c r="F102" s="446">
        <v>45000</v>
      </c>
      <c r="G102" s="476">
        <f t="shared" si="1"/>
        <v>25220200.99927</v>
      </c>
      <c r="H102" s="477" t="s">
        <v>102</v>
      </c>
      <c r="I102" s="459" t="s">
        <v>67</v>
      </c>
      <c r="J102" s="464" t="s">
        <v>183</v>
      </c>
      <c r="K102" s="340" t="s">
        <v>63</v>
      </c>
      <c r="L102" s="340" t="s">
        <v>61</v>
      </c>
      <c r="M102" s="328" t="s">
        <v>487</v>
      </c>
      <c r="N102" s="342" t="s">
        <v>88</v>
      </c>
      <c r="O102" s="341"/>
      <c r="P102" s="308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</row>
    <row r="103" spans="1:66" s="474" customFormat="1" ht="15" customHeight="1">
      <c r="A103" s="334">
        <v>44238</v>
      </c>
      <c r="B103" s="334" t="s">
        <v>335</v>
      </c>
      <c r="C103" s="334" t="s">
        <v>80</v>
      </c>
      <c r="D103" s="334" t="s">
        <v>21</v>
      </c>
      <c r="E103" s="446"/>
      <c r="F103" s="446">
        <v>1000</v>
      </c>
      <c r="G103" s="476">
        <f t="shared" si="1"/>
        <v>25219200.99927</v>
      </c>
      <c r="H103" s="329" t="s">
        <v>75</v>
      </c>
      <c r="I103" s="459" t="s">
        <v>67</v>
      </c>
      <c r="J103" s="468" t="s">
        <v>183</v>
      </c>
      <c r="K103" s="340" t="s">
        <v>63</v>
      </c>
      <c r="L103" s="340" t="s">
        <v>61</v>
      </c>
      <c r="M103" s="328" t="s">
        <v>488</v>
      </c>
      <c r="N103" s="342" t="s">
        <v>154</v>
      </c>
      <c r="O103" s="341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</row>
    <row r="104" spans="1:66" s="286" customFormat="1" ht="15" hidden="1" customHeight="1">
      <c r="A104" s="334">
        <v>44238</v>
      </c>
      <c r="B104" s="334" t="s">
        <v>339</v>
      </c>
      <c r="C104" s="344" t="s">
        <v>131</v>
      </c>
      <c r="D104" s="344"/>
      <c r="E104" s="446">
        <v>153800</v>
      </c>
      <c r="F104" s="446"/>
      <c r="G104" s="476">
        <f t="shared" si="1"/>
        <v>25373000.99927</v>
      </c>
      <c r="H104" s="348" t="s">
        <v>134</v>
      </c>
      <c r="I104" s="347"/>
      <c r="J104" s="464"/>
      <c r="K104" s="340"/>
      <c r="L104" s="340"/>
      <c r="M104" s="341"/>
      <c r="N104" s="342"/>
      <c r="O104" s="340"/>
      <c r="P104" s="308"/>
    </row>
    <row r="105" spans="1:66" ht="15" hidden="1" customHeight="1">
      <c r="A105" s="334">
        <v>44238</v>
      </c>
      <c r="B105" s="334" t="s">
        <v>340</v>
      </c>
      <c r="C105" s="334" t="s">
        <v>131</v>
      </c>
      <c r="D105" s="334"/>
      <c r="E105" s="446"/>
      <c r="F105" s="446">
        <v>61600</v>
      </c>
      <c r="G105" s="476">
        <f t="shared" si="1"/>
        <v>25311400.99927</v>
      </c>
      <c r="H105" s="348" t="s">
        <v>134</v>
      </c>
      <c r="I105" s="347"/>
      <c r="J105" s="464"/>
      <c r="K105" s="340"/>
      <c r="L105" s="340"/>
      <c r="M105" s="328"/>
      <c r="N105" s="342"/>
      <c r="O105" s="341"/>
      <c r="P105" s="308"/>
    </row>
    <row r="106" spans="1:66" s="219" customFormat="1" ht="15" hidden="1" customHeight="1">
      <c r="A106" s="334">
        <v>44238</v>
      </c>
      <c r="B106" s="334" t="s">
        <v>354</v>
      </c>
      <c r="C106" s="334" t="s">
        <v>131</v>
      </c>
      <c r="D106" s="334"/>
      <c r="E106" s="446">
        <v>61600</v>
      </c>
      <c r="F106" s="446"/>
      <c r="G106" s="476">
        <f t="shared" si="1"/>
        <v>25373000.99927</v>
      </c>
      <c r="H106" s="339" t="s">
        <v>83</v>
      </c>
      <c r="I106" s="347"/>
      <c r="J106" s="464"/>
      <c r="K106" s="340"/>
      <c r="L106" s="340"/>
      <c r="M106" s="328"/>
      <c r="N106" s="342"/>
      <c r="O106" s="341"/>
      <c r="P106" s="312"/>
    </row>
    <row r="107" spans="1:66" s="154" customFormat="1" ht="15" customHeight="1">
      <c r="A107" s="334">
        <v>44238</v>
      </c>
      <c r="B107" s="334" t="s">
        <v>369</v>
      </c>
      <c r="C107" s="334" t="s">
        <v>78</v>
      </c>
      <c r="D107" s="334" t="s">
        <v>31</v>
      </c>
      <c r="E107" s="446"/>
      <c r="F107" s="446">
        <v>15000</v>
      </c>
      <c r="G107" s="476">
        <f t="shared" si="1"/>
        <v>25358000.99927</v>
      </c>
      <c r="H107" s="341" t="s">
        <v>178</v>
      </c>
      <c r="I107" s="347" t="s">
        <v>81</v>
      </c>
      <c r="J107" s="465" t="s">
        <v>183</v>
      </c>
      <c r="K107" s="340" t="s">
        <v>63</v>
      </c>
      <c r="L107" s="340" t="s">
        <v>61</v>
      </c>
      <c r="M107" s="328" t="s">
        <v>489</v>
      </c>
      <c r="N107" s="342" t="s">
        <v>153</v>
      </c>
      <c r="O107" s="341"/>
    </row>
    <row r="108" spans="1:66" s="154" customFormat="1" ht="15" customHeight="1">
      <c r="A108" s="334">
        <v>44238</v>
      </c>
      <c r="B108" s="334" t="s">
        <v>370</v>
      </c>
      <c r="C108" s="334" t="s">
        <v>147</v>
      </c>
      <c r="D108" s="334" t="s">
        <v>31</v>
      </c>
      <c r="E108" s="446"/>
      <c r="F108" s="446">
        <v>100000</v>
      </c>
      <c r="G108" s="476">
        <f t="shared" si="1"/>
        <v>25258000.99927</v>
      </c>
      <c r="H108" s="341" t="s">
        <v>178</v>
      </c>
      <c r="I108" s="347" t="s">
        <v>146</v>
      </c>
      <c r="J108" s="465" t="s">
        <v>183</v>
      </c>
      <c r="K108" s="340" t="s">
        <v>63</v>
      </c>
      <c r="L108" s="340" t="s">
        <v>61</v>
      </c>
      <c r="M108" s="328" t="s">
        <v>490</v>
      </c>
      <c r="N108" s="342" t="s">
        <v>88</v>
      </c>
      <c r="O108" s="341"/>
      <c r="P108" s="308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  <c r="AV108" s="286"/>
      <c r="AW108" s="286"/>
      <c r="AX108" s="286"/>
      <c r="AY108" s="286"/>
      <c r="AZ108" s="286"/>
      <c r="BA108" s="286"/>
      <c r="BB108" s="286"/>
      <c r="BC108" s="286"/>
      <c r="BD108" s="286"/>
      <c r="BE108" s="286"/>
      <c r="BF108" s="286"/>
      <c r="BG108" s="286"/>
      <c r="BH108" s="286"/>
      <c r="BI108" s="286"/>
      <c r="BJ108" s="286"/>
      <c r="BK108" s="286"/>
      <c r="BL108" s="286"/>
      <c r="BM108" s="286"/>
      <c r="BN108" s="286"/>
    </row>
    <row r="109" spans="1:66" ht="15" customHeight="1">
      <c r="A109" s="334">
        <v>44239</v>
      </c>
      <c r="B109" s="334" t="s">
        <v>254</v>
      </c>
      <c r="C109" s="334" t="s">
        <v>78</v>
      </c>
      <c r="D109" s="334" t="s">
        <v>208</v>
      </c>
      <c r="E109" s="446"/>
      <c r="F109" s="446">
        <v>3000</v>
      </c>
      <c r="G109" s="476">
        <f t="shared" si="1"/>
        <v>25255000.99927</v>
      </c>
      <c r="H109" s="349" t="s">
        <v>66</v>
      </c>
      <c r="I109" s="347" t="s">
        <v>146</v>
      </c>
      <c r="J109" s="464" t="s">
        <v>195</v>
      </c>
      <c r="K109" s="340" t="s">
        <v>35</v>
      </c>
      <c r="L109" s="340" t="s">
        <v>61</v>
      </c>
      <c r="M109" s="357"/>
      <c r="N109" s="342"/>
      <c r="O109" s="342"/>
      <c r="P109" s="308"/>
      <c r="Q109" s="286"/>
    </row>
    <row r="110" spans="1:66" s="154" customFormat="1" ht="15" customHeight="1">
      <c r="A110" s="334">
        <v>44239</v>
      </c>
      <c r="B110" s="334" t="s">
        <v>255</v>
      </c>
      <c r="C110" s="334" t="s">
        <v>463</v>
      </c>
      <c r="D110" s="334" t="s">
        <v>208</v>
      </c>
      <c r="E110" s="446"/>
      <c r="F110" s="446">
        <v>20000</v>
      </c>
      <c r="G110" s="476">
        <f t="shared" si="1"/>
        <v>25235000.99927</v>
      </c>
      <c r="H110" s="349" t="s">
        <v>66</v>
      </c>
      <c r="I110" s="463" t="s">
        <v>81</v>
      </c>
      <c r="J110" s="352" t="s">
        <v>195</v>
      </c>
      <c r="K110" s="340" t="s">
        <v>35</v>
      </c>
      <c r="L110" s="340" t="s">
        <v>61</v>
      </c>
      <c r="M110" s="440"/>
      <c r="N110" s="472"/>
      <c r="O110" s="341"/>
      <c r="P110" s="308"/>
      <c r="Q110" s="286"/>
    </row>
    <row r="111" spans="1:66" s="193" customFormat="1" ht="15.75">
      <c r="A111" s="334">
        <v>44239</v>
      </c>
      <c r="B111" s="334" t="s">
        <v>313</v>
      </c>
      <c r="C111" s="334" t="s">
        <v>15</v>
      </c>
      <c r="D111" s="334" t="s">
        <v>65</v>
      </c>
      <c r="E111" s="446"/>
      <c r="F111" s="446">
        <v>10500</v>
      </c>
      <c r="G111" s="476">
        <f t="shared" si="1"/>
        <v>25224500.99927</v>
      </c>
      <c r="H111" s="349" t="s">
        <v>66</v>
      </c>
      <c r="I111" s="350" t="s">
        <v>81</v>
      </c>
      <c r="J111" s="464" t="s">
        <v>195</v>
      </c>
      <c r="K111" s="340" t="s">
        <v>35</v>
      </c>
      <c r="L111" s="340" t="s">
        <v>61</v>
      </c>
      <c r="M111" s="328"/>
      <c r="N111" s="342"/>
      <c r="O111" s="341"/>
      <c r="P111" s="308"/>
      <c r="Q111" s="286"/>
    </row>
    <row r="112" spans="1:66" s="193" customFormat="1" ht="15" customHeight="1">
      <c r="A112" s="334">
        <v>44239</v>
      </c>
      <c r="B112" s="334" t="s">
        <v>540</v>
      </c>
      <c r="C112" s="334" t="s">
        <v>15</v>
      </c>
      <c r="D112" s="334" t="s">
        <v>31</v>
      </c>
      <c r="E112" s="446"/>
      <c r="F112" s="446">
        <v>10500</v>
      </c>
      <c r="G112" s="476">
        <f t="shared" si="1"/>
        <v>25214000.99927</v>
      </c>
      <c r="H112" s="348" t="s">
        <v>66</v>
      </c>
      <c r="I112" s="342" t="s">
        <v>81</v>
      </c>
      <c r="J112" s="464" t="s">
        <v>195</v>
      </c>
      <c r="K112" s="340" t="s">
        <v>35</v>
      </c>
      <c r="L112" s="340" t="s">
        <v>61</v>
      </c>
      <c r="M112" s="328"/>
      <c r="N112" s="352"/>
      <c r="O112" s="341"/>
      <c r="P112" s="308"/>
      <c r="Q112" s="47"/>
    </row>
    <row r="113" spans="1:66" s="286" customFormat="1" ht="15" customHeight="1">
      <c r="A113" s="334">
        <v>44239</v>
      </c>
      <c r="B113" s="334" t="s">
        <v>314</v>
      </c>
      <c r="C113" s="334" t="s">
        <v>15</v>
      </c>
      <c r="D113" s="334" t="s">
        <v>132</v>
      </c>
      <c r="E113" s="446"/>
      <c r="F113" s="446">
        <v>31500</v>
      </c>
      <c r="G113" s="476">
        <f t="shared" si="1"/>
        <v>25182500.99927</v>
      </c>
      <c r="H113" s="349" t="s">
        <v>66</v>
      </c>
      <c r="I113" s="342" t="s">
        <v>81</v>
      </c>
      <c r="J113" s="464" t="s">
        <v>195</v>
      </c>
      <c r="K113" s="340" t="s">
        <v>35</v>
      </c>
      <c r="L113" s="340" t="s">
        <v>61</v>
      </c>
      <c r="M113" s="328"/>
      <c r="N113" s="342"/>
      <c r="O113" s="341"/>
      <c r="P113" s="308"/>
    </row>
    <row r="114" spans="1:66" ht="15" customHeight="1">
      <c r="A114" s="334">
        <v>44239</v>
      </c>
      <c r="B114" s="334" t="s">
        <v>315</v>
      </c>
      <c r="C114" s="334" t="s">
        <v>15</v>
      </c>
      <c r="D114" s="334" t="s">
        <v>19</v>
      </c>
      <c r="E114" s="446"/>
      <c r="F114" s="446">
        <v>31500</v>
      </c>
      <c r="G114" s="476">
        <f t="shared" si="1"/>
        <v>25151000.99927</v>
      </c>
      <c r="H114" s="349" t="s">
        <v>66</v>
      </c>
      <c r="I114" s="342" t="s">
        <v>81</v>
      </c>
      <c r="J114" s="464" t="s">
        <v>195</v>
      </c>
      <c r="K114" s="340" t="s">
        <v>35</v>
      </c>
      <c r="L114" s="340" t="s">
        <v>61</v>
      </c>
      <c r="M114" s="328"/>
      <c r="N114" s="342"/>
      <c r="O114" s="341"/>
      <c r="P114" s="308"/>
      <c r="Q114" s="286"/>
    </row>
    <row r="115" spans="1:66" s="286" customFormat="1" ht="15" hidden="1" customHeight="1">
      <c r="A115" s="334">
        <v>44239</v>
      </c>
      <c r="B115" s="334" t="s">
        <v>158</v>
      </c>
      <c r="C115" s="334" t="s">
        <v>131</v>
      </c>
      <c r="D115" s="334"/>
      <c r="E115" s="446"/>
      <c r="F115" s="446">
        <v>10000</v>
      </c>
      <c r="G115" s="476">
        <f t="shared" si="1"/>
        <v>25141000.99927</v>
      </c>
      <c r="H115" s="349" t="s">
        <v>66</v>
      </c>
      <c r="I115" s="342"/>
      <c r="J115" s="464"/>
      <c r="K115" s="340"/>
      <c r="L115" s="340"/>
      <c r="M115" s="341"/>
      <c r="N115" s="342"/>
      <c r="O115" s="341"/>
      <c r="P115" s="308"/>
    </row>
    <row r="116" spans="1:66" ht="15" hidden="1" customHeight="1">
      <c r="A116" s="334">
        <v>44239</v>
      </c>
      <c r="B116" s="334" t="s">
        <v>133</v>
      </c>
      <c r="C116" s="334" t="s">
        <v>131</v>
      </c>
      <c r="D116" s="334"/>
      <c r="E116" s="446"/>
      <c r="F116" s="446">
        <v>10000</v>
      </c>
      <c r="G116" s="476">
        <f t="shared" si="1"/>
        <v>25131000.99927</v>
      </c>
      <c r="H116" s="349" t="s">
        <v>66</v>
      </c>
      <c r="I116" s="342"/>
      <c r="J116" s="464"/>
      <c r="K116" s="340"/>
      <c r="L116" s="340"/>
      <c r="M116" s="341"/>
      <c r="N116" s="342"/>
      <c r="O116" s="341"/>
      <c r="P116" s="308"/>
      <c r="Q116" s="286"/>
    </row>
    <row r="117" spans="1:66" s="154" customFormat="1" ht="15" customHeight="1">
      <c r="A117" s="334">
        <v>44239</v>
      </c>
      <c r="B117" s="334" t="s">
        <v>329</v>
      </c>
      <c r="C117" s="334" t="s">
        <v>147</v>
      </c>
      <c r="D117" s="334" t="s">
        <v>19</v>
      </c>
      <c r="E117" s="446"/>
      <c r="F117" s="446">
        <v>8000</v>
      </c>
      <c r="G117" s="476">
        <f t="shared" si="1"/>
        <v>25123000.99927</v>
      </c>
      <c r="H117" s="477" t="s">
        <v>102</v>
      </c>
      <c r="I117" s="459" t="s">
        <v>67</v>
      </c>
      <c r="J117" s="464" t="s">
        <v>195</v>
      </c>
      <c r="K117" s="340" t="s">
        <v>35</v>
      </c>
      <c r="L117" s="340" t="s">
        <v>61</v>
      </c>
      <c r="M117" s="328"/>
      <c r="N117" s="342"/>
      <c r="O117" s="341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3"/>
      <c r="AL117" s="303"/>
      <c r="AM117" s="303"/>
      <c r="AN117" s="303"/>
      <c r="AO117" s="303"/>
      <c r="AP117" s="303"/>
      <c r="AQ117" s="303"/>
      <c r="AR117" s="303"/>
      <c r="AS117" s="303"/>
      <c r="AT117" s="303"/>
      <c r="AU117" s="303"/>
      <c r="AV117" s="303"/>
      <c r="AW117" s="303"/>
      <c r="AX117" s="303"/>
      <c r="AY117" s="303"/>
      <c r="AZ117" s="303"/>
      <c r="BA117" s="303"/>
      <c r="BB117" s="303"/>
      <c r="BC117" s="303"/>
      <c r="BD117" s="303"/>
      <c r="BE117" s="303"/>
      <c r="BF117" s="303"/>
      <c r="BG117" s="303"/>
      <c r="BH117" s="303"/>
      <c r="BI117" s="303"/>
      <c r="BJ117" s="303"/>
      <c r="BK117" s="303"/>
      <c r="BL117" s="303"/>
      <c r="BM117" s="303"/>
      <c r="BN117" s="303"/>
    </row>
    <row r="118" spans="1:66" ht="15" hidden="1" customHeight="1">
      <c r="A118" s="334">
        <v>44239</v>
      </c>
      <c r="B118" s="334" t="s">
        <v>83</v>
      </c>
      <c r="C118" s="334" t="s">
        <v>131</v>
      </c>
      <c r="D118" s="344"/>
      <c r="E118" s="446"/>
      <c r="F118" s="446">
        <v>183000</v>
      </c>
      <c r="G118" s="476">
        <f t="shared" si="1"/>
        <v>24940000.99927</v>
      </c>
      <c r="H118" s="349" t="s">
        <v>66</v>
      </c>
      <c r="I118" s="342"/>
      <c r="J118" s="464"/>
      <c r="K118" s="340"/>
      <c r="L118" s="340"/>
      <c r="M118" s="341"/>
      <c r="N118" s="342"/>
      <c r="O118" s="341"/>
      <c r="P118" s="308"/>
      <c r="Q118" s="286"/>
    </row>
    <row r="119" spans="1:66" ht="15" hidden="1" customHeight="1">
      <c r="A119" s="334">
        <v>44239</v>
      </c>
      <c r="B119" s="334" t="s">
        <v>134</v>
      </c>
      <c r="C119" s="334" t="s">
        <v>131</v>
      </c>
      <c r="D119" s="334"/>
      <c r="E119" s="446"/>
      <c r="F119" s="446">
        <v>45000</v>
      </c>
      <c r="G119" s="476">
        <f t="shared" si="1"/>
        <v>24895000.99927</v>
      </c>
      <c r="H119" s="349" t="s">
        <v>66</v>
      </c>
      <c r="I119" s="350"/>
      <c r="J119" s="464"/>
      <c r="K119" s="340"/>
      <c r="L119" s="340"/>
      <c r="M119" s="355"/>
      <c r="N119" s="342"/>
      <c r="O119" s="341"/>
      <c r="P119" s="308"/>
      <c r="Q119" s="286"/>
    </row>
    <row r="120" spans="1:66" s="154" customFormat="1" ht="15" customHeight="1">
      <c r="A120" s="334">
        <v>44239</v>
      </c>
      <c r="B120" s="334" t="s">
        <v>331</v>
      </c>
      <c r="C120" s="334" t="s">
        <v>147</v>
      </c>
      <c r="D120" s="334" t="s">
        <v>19</v>
      </c>
      <c r="E120" s="446"/>
      <c r="F120" s="446">
        <v>10000</v>
      </c>
      <c r="G120" s="476">
        <f t="shared" si="1"/>
        <v>24885000.99927</v>
      </c>
      <c r="H120" s="477" t="s">
        <v>102</v>
      </c>
      <c r="I120" s="347" t="s">
        <v>146</v>
      </c>
      <c r="J120" s="464" t="s">
        <v>195</v>
      </c>
      <c r="K120" s="340" t="s">
        <v>35</v>
      </c>
      <c r="L120" s="340" t="s">
        <v>61</v>
      </c>
      <c r="M120" s="328"/>
      <c r="N120" s="342"/>
      <c r="O120" s="341"/>
    </row>
    <row r="121" spans="1:66" ht="15" hidden="1" customHeight="1">
      <c r="A121" s="334">
        <v>44239</v>
      </c>
      <c r="B121" s="334" t="s">
        <v>102</v>
      </c>
      <c r="C121" s="334" t="s">
        <v>131</v>
      </c>
      <c r="D121" s="334"/>
      <c r="E121" s="446"/>
      <c r="F121" s="446">
        <v>20000</v>
      </c>
      <c r="G121" s="476">
        <f t="shared" si="1"/>
        <v>24865000.99927</v>
      </c>
      <c r="H121" s="349" t="s">
        <v>66</v>
      </c>
      <c r="I121" s="342"/>
      <c r="J121" s="464"/>
      <c r="K121" s="340"/>
      <c r="L121" s="340"/>
      <c r="M121" s="328"/>
      <c r="N121" s="441"/>
      <c r="O121" s="341"/>
      <c r="P121" s="308"/>
      <c r="Q121" s="286"/>
    </row>
    <row r="122" spans="1:66" ht="15" hidden="1" customHeight="1">
      <c r="A122" s="334">
        <v>44239</v>
      </c>
      <c r="B122" s="334" t="s">
        <v>199</v>
      </c>
      <c r="C122" s="334" t="s">
        <v>131</v>
      </c>
      <c r="D122" s="334"/>
      <c r="E122" s="446">
        <v>10000</v>
      </c>
      <c r="F122" s="446"/>
      <c r="G122" s="476">
        <f t="shared" si="1"/>
        <v>24875000.99927</v>
      </c>
      <c r="H122" s="329" t="s">
        <v>133</v>
      </c>
      <c r="I122" s="350"/>
      <c r="J122" s="464"/>
      <c r="K122" s="340"/>
      <c r="L122" s="340"/>
      <c r="M122" s="328"/>
      <c r="N122" s="342"/>
      <c r="O122" s="341"/>
      <c r="P122" s="308"/>
      <c r="Q122" s="286"/>
    </row>
    <row r="123" spans="1:66" s="154" customFormat="1" ht="15" customHeight="1">
      <c r="A123" s="334">
        <v>44239</v>
      </c>
      <c r="B123" s="334" t="s">
        <v>397</v>
      </c>
      <c r="C123" s="334" t="s">
        <v>64</v>
      </c>
      <c r="D123" s="334" t="s">
        <v>132</v>
      </c>
      <c r="E123" s="446"/>
      <c r="F123" s="446">
        <v>89000</v>
      </c>
      <c r="G123" s="476">
        <f t="shared" si="1"/>
        <v>24786000.99927</v>
      </c>
      <c r="H123" s="348" t="s">
        <v>66</v>
      </c>
      <c r="I123" s="342" t="s">
        <v>81</v>
      </c>
      <c r="J123" s="352" t="s">
        <v>183</v>
      </c>
      <c r="K123" s="339" t="s">
        <v>63</v>
      </c>
      <c r="L123" s="339" t="s">
        <v>61</v>
      </c>
      <c r="M123" s="341" t="s">
        <v>491</v>
      </c>
      <c r="N123" s="352" t="s">
        <v>73</v>
      </c>
      <c r="O123" s="341"/>
    </row>
    <row r="124" spans="1:66" ht="15" customHeight="1">
      <c r="A124" s="334">
        <v>44239</v>
      </c>
      <c r="B124" s="334" t="s">
        <v>256</v>
      </c>
      <c r="C124" s="334" t="s">
        <v>68</v>
      </c>
      <c r="D124" s="334" t="s">
        <v>21</v>
      </c>
      <c r="E124" s="446"/>
      <c r="F124" s="446">
        <f>5490+1350</f>
        <v>6840</v>
      </c>
      <c r="G124" s="476">
        <f t="shared" si="1"/>
        <v>24779160.99927</v>
      </c>
      <c r="H124" s="349" t="s">
        <v>66</v>
      </c>
      <c r="I124" s="342" t="s">
        <v>81</v>
      </c>
      <c r="J124" s="464" t="s">
        <v>183</v>
      </c>
      <c r="K124" s="340" t="s">
        <v>63</v>
      </c>
      <c r="L124" s="340" t="s">
        <v>61</v>
      </c>
      <c r="M124" s="341" t="s">
        <v>492</v>
      </c>
      <c r="N124" s="342" t="s">
        <v>155</v>
      </c>
      <c r="O124" s="341"/>
      <c r="P124" s="308"/>
      <c r="Q124" s="286"/>
    </row>
    <row r="125" spans="1:66" ht="15" hidden="1" customHeight="1">
      <c r="A125" s="334">
        <v>44239</v>
      </c>
      <c r="B125" s="334" t="s">
        <v>325</v>
      </c>
      <c r="C125" s="334" t="s">
        <v>131</v>
      </c>
      <c r="D125" s="334"/>
      <c r="E125" s="446">
        <v>20000</v>
      </c>
      <c r="F125" s="446"/>
      <c r="G125" s="476">
        <f t="shared" si="1"/>
        <v>24799160.99927</v>
      </c>
      <c r="H125" s="477" t="s">
        <v>102</v>
      </c>
      <c r="I125" s="459"/>
      <c r="J125" s="464"/>
      <c r="K125" s="340"/>
      <c r="L125" s="340"/>
      <c r="M125" s="328"/>
      <c r="N125" s="342"/>
      <c r="O125" s="341"/>
      <c r="P125" s="308"/>
      <c r="Q125" s="286"/>
    </row>
    <row r="126" spans="1:66" s="154" customFormat="1" ht="15" customHeight="1">
      <c r="A126" s="334">
        <v>44239</v>
      </c>
      <c r="B126" s="334" t="s">
        <v>346</v>
      </c>
      <c r="C126" s="354" t="s">
        <v>147</v>
      </c>
      <c r="D126" s="344" t="s">
        <v>207</v>
      </c>
      <c r="E126" s="446"/>
      <c r="F126" s="446">
        <v>225000</v>
      </c>
      <c r="G126" s="476">
        <f t="shared" si="1"/>
        <v>24574160.99927</v>
      </c>
      <c r="H126" s="348" t="s">
        <v>134</v>
      </c>
      <c r="I126" s="462" t="s">
        <v>81</v>
      </c>
      <c r="J126" s="464" t="s">
        <v>183</v>
      </c>
      <c r="K126" s="340" t="s">
        <v>63</v>
      </c>
      <c r="L126" s="340" t="s">
        <v>61</v>
      </c>
      <c r="M126" s="328" t="s">
        <v>493</v>
      </c>
      <c r="N126" s="342" t="s">
        <v>88</v>
      </c>
      <c r="O126" s="346"/>
    </row>
    <row r="127" spans="1:66" s="154" customFormat="1" ht="15" hidden="1" customHeight="1">
      <c r="A127" s="334">
        <v>44239</v>
      </c>
      <c r="B127" s="334" t="s">
        <v>339</v>
      </c>
      <c r="C127" s="334" t="s">
        <v>131</v>
      </c>
      <c r="D127" s="334"/>
      <c r="E127" s="446">
        <v>45000</v>
      </c>
      <c r="F127" s="446"/>
      <c r="G127" s="476">
        <f t="shared" si="1"/>
        <v>24619160.99927</v>
      </c>
      <c r="H127" s="348" t="s">
        <v>134</v>
      </c>
      <c r="I127" s="462"/>
      <c r="J127" s="464"/>
      <c r="K127" s="340"/>
      <c r="L127" s="340"/>
      <c r="M127" s="328"/>
      <c r="N127" s="342"/>
      <c r="O127" s="346"/>
      <c r="P127" s="308"/>
    </row>
    <row r="128" spans="1:66" s="154" customFormat="1" ht="15" customHeight="1">
      <c r="A128" s="334">
        <v>44239</v>
      </c>
      <c r="B128" s="334" t="s">
        <v>345</v>
      </c>
      <c r="C128" s="334" t="s">
        <v>78</v>
      </c>
      <c r="D128" s="344" t="s">
        <v>207</v>
      </c>
      <c r="E128" s="446"/>
      <c r="F128" s="446">
        <v>22000</v>
      </c>
      <c r="G128" s="476">
        <f t="shared" si="1"/>
        <v>24597160.99927</v>
      </c>
      <c r="H128" s="348" t="s">
        <v>134</v>
      </c>
      <c r="I128" s="347" t="s">
        <v>146</v>
      </c>
      <c r="J128" s="464" t="s">
        <v>183</v>
      </c>
      <c r="K128" s="340" t="s">
        <v>63</v>
      </c>
      <c r="L128" s="340" t="s">
        <v>61</v>
      </c>
      <c r="M128" s="328" t="s">
        <v>494</v>
      </c>
      <c r="N128" s="342" t="s">
        <v>153</v>
      </c>
      <c r="O128" s="346"/>
    </row>
    <row r="129" spans="1:66" ht="15" hidden="1" customHeight="1">
      <c r="A129" s="334">
        <v>44239</v>
      </c>
      <c r="B129" s="334" t="s">
        <v>348</v>
      </c>
      <c r="C129" s="334" t="s">
        <v>131</v>
      </c>
      <c r="D129" s="334"/>
      <c r="E129" s="446">
        <v>183000</v>
      </c>
      <c r="F129" s="446"/>
      <c r="G129" s="476">
        <f t="shared" si="1"/>
        <v>24780160.99927</v>
      </c>
      <c r="H129" s="339" t="s">
        <v>83</v>
      </c>
      <c r="I129" s="347"/>
      <c r="J129" s="464"/>
      <c r="K129" s="340"/>
      <c r="L129" s="340"/>
      <c r="M129" s="341"/>
      <c r="N129" s="342"/>
      <c r="O129" s="341"/>
      <c r="P129" s="308"/>
    </row>
    <row r="130" spans="1:66" s="193" customFormat="1" ht="15" hidden="1" customHeight="1">
      <c r="A130" s="334">
        <v>44239</v>
      </c>
      <c r="B130" s="334" t="s">
        <v>367</v>
      </c>
      <c r="C130" s="334" t="s">
        <v>131</v>
      </c>
      <c r="D130" s="334"/>
      <c r="E130" s="446">
        <v>174900</v>
      </c>
      <c r="F130" s="446"/>
      <c r="G130" s="476">
        <f t="shared" si="1"/>
        <v>24955060.99927</v>
      </c>
      <c r="H130" s="341" t="s">
        <v>178</v>
      </c>
      <c r="I130" s="347"/>
      <c r="J130" s="464"/>
      <c r="K130" s="340"/>
      <c r="L130" s="340"/>
      <c r="M130" s="328"/>
      <c r="N130" s="342"/>
      <c r="O130" s="341"/>
      <c r="P130" s="308"/>
    </row>
    <row r="131" spans="1:66" s="286" customFormat="1" ht="15" hidden="1" customHeight="1">
      <c r="A131" s="334">
        <v>44239</v>
      </c>
      <c r="B131" s="334" t="s">
        <v>182</v>
      </c>
      <c r="C131" s="334" t="s">
        <v>131</v>
      </c>
      <c r="D131" s="334"/>
      <c r="E131" s="446">
        <v>10000</v>
      </c>
      <c r="F131" s="446"/>
      <c r="G131" s="476">
        <f t="shared" si="1"/>
        <v>24965060.99927</v>
      </c>
      <c r="H131" s="329" t="s">
        <v>158</v>
      </c>
      <c r="I131" s="347"/>
      <c r="J131" s="464"/>
      <c r="K131" s="340"/>
      <c r="L131" s="340"/>
      <c r="M131" s="341"/>
      <c r="N131" s="342"/>
      <c r="O131" s="342"/>
      <c r="P131" s="308"/>
    </row>
    <row r="132" spans="1:66" s="154" customFormat="1" ht="15" customHeight="1">
      <c r="A132" s="334">
        <v>44240</v>
      </c>
      <c r="B132" s="334" t="s">
        <v>355</v>
      </c>
      <c r="C132" s="334" t="s">
        <v>181</v>
      </c>
      <c r="D132" s="344" t="s">
        <v>207</v>
      </c>
      <c r="E132" s="446"/>
      <c r="F132" s="446">
        <v>210000</v>
      </c>
      <c r="G132" s="476">
        <f t="shared" si="1"/>
        <v>24755060.99927</v>
      </c>
      <c r="H132" s="339" t="s">
        <v>83</v>
      </c>
      <c r="I132" s="459" t="s">
        <v>81</v>
      </c>
      <c r="J132" s="465" t="s">
        <v>183</v>
      </c>
      <c r="K132" s="340" t="s">
        <v>63</v>
      </c>
      <c r="L132" s="340" t="s">
        <v>61</v>
      </c>
      <c r="M132" s="328" t="s">
        <v>495</v>
      </c>
      <c r="N132" s="342" t="s">
        <v>88</v>
      </c>
      <c r="O132" s="341"/>
    </row>
    <row r="133" spans="1:66" s="286" customFormat="1" ht="15" customHeight="1">
      <c r="A133" s="334">
        <v>44242</v>
      </c>
      <c r="B133" s="343" t="s">
        <v>389</v>
      </c>
      <c r="C133" s="343" t="s">
        <v>26</v>
      </c>
      <c r="D133" s="343" t="s">
        <v>65</v>
      </c>
      <c r="E133" s="444"/>
      <c r="F133" s="455">
        <v>128000</v>
      </c>
      <c r="G133" s="476">
        <f t="shared" si="1"/>
        <v>24627060.99927</v>
      </c>
      <c r="H133" s="339" t="s">
        <v>60</v>
      </c>
      <c r="I133" s="342">
        <v>3654429</v>
      </c>
      <c r="J133" s="464" t="s">
        <v>195</v>
      </c>
      <c r="K133" s="340" t="s">
        <v>35</v>
      </c>
      <c r="L133" s="340" t="s">
        <v>61</v>
      </c>
      <c r="M133" s="328"/>
      <c r="N133" s="342"/>
      <c r="O133" s="341"/>
      <c r="P133" s="308"/>
    </row>
    <row r="134" spans="1:66" ht="15" customHeight="1">
      <c r="A134" s="334">
        <v>44242</v>
      </c>
      <c r="B134" s="334" t="s">
        <v>272</v>
      </c>
      <c r="C134" s="334" t="s">
        <v>147</v>
      </c>
      <c r="D134" s="334" t="s">
        <v>208</v>
      </c>
      <c r="E134" s="446"/>
      <c r="F134" s="446">
        <v>50000</v>
      </c>
      <c r="G134" s="476">
        <f t="shared" si="1"/>
        <v>24577060.99927</v>
      </c>
      <c r="H134" s="348" t="s">
        <v>66</v>
      </c>
      <c r="I134" s="347" t="s">
        <v>146</v>
      </c>
      <c r="J134" s="352" t="s">
        <v>195</v>
      </c>
      <c r="K134" s="340" t="s">
        <v>35</v>
      </c>
      <c r="L134" s="340" t="s">
        <v>61</v>
      </c>
      <c r="M134" s="328"/>
      <c r="N134" s="342"/>
      <c r="O134" s="341"/>
      <c r="P134" s="308"/>
    </row>
    <row r="135" spans="1:66" s="154" customFormat="1" ht="15" customHeight="1">
      <c r="A135" s="334">
        <v>44242</v>
      </c>
      <c r="B135" s="334" t="s">
        <v>273</v>
      </c>
      <c r="C135" s="334" t="s">
        <v>78</v>
      </c>
      <c r="D135" s="334" t="s">
        <v>208</v>
      </c>
      <c r="E135" s="446"/>
      <c r="F135" s="446">
        <v>15000</v>
      </c>
      <c r="G135" s="476">
        <f t="shared" si="1"/>
        <v>24562060.99927</v>
      </c>
      <c r="H135" s="349" t="s">
        <v>66</v>
      </c>
      <c r="I135" s="347" t="s">
        <v>146</v>
      </c>
      <c r="J135" s="467" t="s">
        <v>195</v>
      </c>
      <c r="K135" s="333" t="s">
        <v>35</v>
      </c>
      <c r="L135" s="340" t="s">
        <v>61</v>
      </c>
      <c r="M135" s="328"/>
      <c r="N135" s="342"/>
      <c r="O135" s="341"/>
      <c r="P135" s="308"/>
    </row>
    <row r="136" spans="1:66" s="154" customFormat="1" ht="15" customHeight="1">
      <c r="A136" s="334">
        <v>44242</v>
      </c>
      <c r="B136" s="334" t="s">
        <v>541</v>
      </c>
      <c r="C136" s="334" t="s">
        <v>68</v>
      </c>
      <c r="D136" s="334" t="s">
        <v>21</v>
      </c>
      <c r="E136" s="446"/>
      <c r="F136" s="446">
        <v>4950</v>
      </c>
      <c r="G136" s="476">
        <f t="shared" si="1"/>
        <v>24557110.99927</v>
      </c>
      <c r="H136" s="349" t="s">
        <v>66</v>
      </c>
      <c r="I136" s="350" t="s">
        <v>81</v>
      </c>
      <c r="J136" s="464" t="s">
        <v>183</v>
      </c>
      <c r="K136" s="340" t="s">
        <v>63</v>
      </c>
      <c r="L136" s="340" t="s">
        <v>61</v>
      </c>
      <c r="M136" s="328" t="s">
        <v>496</v>
      </c>
      <c r="N136" s="342" t="s">
        <v>155</v>
      </c>
      <c r="O136" s="341"/>
    </row>
    <row r="137" spans="1:66" s="286" customFormat="1" ht="15" hidden="1" customHeight="1">
      <c r="A137" s="334">
        <v>44242</v>
      </c>
      <c r="B137" s="334" t="s">
        <v>178</v>
      </c>
      <c r="C137" s="334" t="s">
        <v>131</v>
      </c>
      <c r="D137" s="334"/>
      <c r="E137" s="446"/>
      <c r="F137" s="446">
        <v>165000</v>
      </c>
      <c r="G137" s="476">
        <f t="shared" si="1"/>
        <v>24392110.99927</v>
      </c>
      <c r="H137" s="349" t="s">
        <v>66</v>
      </c>
      <c r="I137" s="342"/>
      <c r="J137" s="464"/>
      <c r="K137" s="340"/>
      <c r="L137" s="340"/>
      <c r="M137" s="341"/>
      <c r="N137" s="342"/>
      <c r="O137" s="341"/>
      <c r="P137" s="308"/>
      <c r="Q137" s="308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spans="1:66" s="154" customFormat="1" ht="15" customHeight="1">
      <c r="A138" s="334">
        <v>44242</v>
      </c>
      <c r="B138" s="334" t="s">
        <v>275</v>
      </c>
      <c r="C138" s="334" t="s">
        <v>80</v>
      </c>
      <c r="D138" s="334" t="s">
        <v>21</v>
      </c>
      <c r="E138" s="446"/>
      <c r="F138" s="446">
        <v>34500</v>
      </c>
      <c r="G138" s="476">
        <f t="shared" si="1"/>
        <v>24357610.99927</v>
      </c>
      <c r="H138" s="349" t="s">
        <v>66</v>
      </c>
      <c r="I138" s="459" t="s">
        <v>81</v>
      </c>
      <c r="J138" s="352" t="s">
        <v>183</v>
      </c>
      <c r="K138" s="340" t="s">
        <v>63</v>
      </c>
      <c r="L138" s="340" t="s">
        <v>61</v>
      </c>
      <c r="M138" s="328" t="s">
        <v>497</v>
      </c>
      <c r="N138" s="352" t="s">
        <v>154</v>
      </c>
      <c r="O138" s="341"/>
    </row>
    <row r="139" spans="1:66" s="286" customFormat="1" ht="15" hidden="1" customHeight="1">
      <c r="A139" s="334">
        <v>44242</v>
      </c>
      <c r="B139" s="334" t="s">
        <v>76</v>
      </c>
      <c r="C139" s="334" t="s">
        <v>131</v>
      </c>
      <c r="D139" s="334"/>
      <c r="E139" s="446"/>
      <c r="F139" s="446">
        <v>10000</v>
      </c>
      <c r="G139" s="476">
        <f t="shared" si="1"/>
        <v>24347610.99927</v>
      </c>
      <c r="H139" s="348" t="s">
        <v>66</v>
      </c>
      <c r="I139" s="342"/>
      <c r="J139" s="469"/>
      <c r="K139" s="340"/>
      <c r="L139" s="340"/>
      <c r="M139" s="328"/>
      <c r="N139" s="342"/>
      <c r="O139" s="341"/>
      <c r="P139" s="308"/>
      <c r="Q139" s="308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spans="1:66" s="154" customFormat="1" ht="15" customHeight="1">
      <c r="A140" s="334">
        <v>44242</v>
      </c>
      <c r="B140" s="334" t="s">
        <v>458</v>
      </c>
      <c r="C140" s="351" t="s">
        <v>80</v>
      </c>
      <c r="D140" s="343" t="s">
        <v>21</v>
      </c>
      <c r="E140" s="446"/>
      <c r="F140" s="446">
        <v>2000</v>
      </c>
      <c r="G140" s="476">
        <f t="shared" si="1"/>
        <v>24345610.99927</v>
      </c>
      <c r="H140" s="349" t="s">
        <v>66</v>
      </c>
      <c r="I140" s="342" t="s">
        <v>81</v>
      </c>
      <c r="J140" s="464" t="s">
        <v>183</v>
      </c>
      <c r="K140" s="340" t="s">
        <v>63</v>
      </c>
      <c r="L140" s="340" t="s">
        <v>61</v>
      </c>
      <c r="M140" s="328" t="s">
        <v>498</v>
      </c>
      <c r="N140" s="352" t="s">
        <v>154</v>
      </c>
      <c r="O140" s="346"/>
    </row>
    <row r="141" spans="1:66" s="286" customFormat="1" ht="15" hidden="1" customHeight="1">
      <c r="A141" s="334">
        <v>44242</v>
      </c>
      <c r="B141" s="334" t="s">
        <v>179</v>
      </c>
      <c r="C141" s="334" t="s">
        <v>131</v>
      </c>
      <c r="D141" s="334"/>
      <c r="E141" s="446"/>
      <c r="F141" s="446">
        <v>9200</v>
      </c>
      <c r="G141" s="476">
        <f t="shared" si="1"/>
        <v>24336410.99927</v>
      </c>
      <c r="H141" s="349" t="s">
        <v>66</v>
      </c>
      <c r="I141" s="463"/>
      <c r="J141" s="465"/>
      <c r="K141" s="340"/>
      <c r="L141" s="340"/>
      <c r="M141" s="328"/>
      <c r="N141" s="342"/>
      <c r="O141" s="341"/>
      <c r="P141" s="308"/>
    </row>
    <row r="142" spans="1:66" s="154" customFormat="1" ht="15" customHeight="1">
      <c r="A142" s="334">
        <v>44242</v>
      </c>
      <c r="B142" s="334" t="s">
        <v>356</v>
      </c>
      <c r="C142" s="334" t="s">
        <v>78</v>
      </c>
      <c r="D142" s="344" t="s">
        <v>207</v>
      </c>
      <c r="E142" s="446"/>
      <c r="F142" s="446">
        <v>15000</v>
      </c>
      <c r="G142" s="476">
        <f t="shared" ref="G142:G205" si="2">G141+E142-F142</f>
        <v>24321410.99927</v>
      </c>
      <c r="H142" s="339" t="s">
        <v>83</v>
      </c>
      <c r="I142" s="462" t="s">
        <v>81</v>
      </c>
      <c r="J142" s="465" t="s">
        <v>183</v>
      </c>
      <c r="K142" s="340" t="s">
        <v>63</v>
      </c>
      <c r="L142" s="340" t="s">
        <v>61</v>
      </c>
      <c r="M142" s="328" t="s">
        <v>499</v>
      </c>
      <c r="N142" s="342" t="s">
        <v>153</v>
      </c>
      <c r="O142" s="341"/>
    </row>
    <row r="143" spans="1:66" ht="15" hidden="1" customHeight="1">
      <c r="A143" s="334">
        <v>44242</v>
      </c>
      <c r="B143" s="353" t="s">
        <v>386</v>
      </c>
      <c r="C143" s="334" t="s">
        <v>131</v>
      </c>
      <c r="D143" s="334"/>
      <c r="E143" s="448">
        <v>10000</v>
      </c>
      <c r="F143" s="448"/>
      <c r="G143" s="476">
        <f t="shared" si="2"/>
        <v>24331410.99927</v>
      </c>
      <c r="H143" s="341" t="s">
        <v>76</v>
      </c>
      <c r="I143" s="461"/>
      <c r="J143" s="464"/>
      <c r="K143" s="340"/>
      <c r="L143" s="340"/>
      <c r="M143" s="341"/>
      <c r="N143" s="342"/>
      <c r="O143" s="341"/>
      <c r="P143" s="308"/>
    </row>
    <row r="144" spans="1:66" ht="15" hidden="1" customHeight="1">
      <c r="A144" s="334">
        <v>44243</v>
      </c>
      <c r="B144" s="343" t="s">
        <v>220</v>
      </c>
      <c r="C144" s="343" t="s">
        <v>131</v>
      </c>
      <c r="D144" s="343"/>
      <c r="E144" s="444"/>
      <c r="F144" s="455">
        <v>1000000</v>
      </c>
      <c r="G144" s="476">
        <f t="shared" si="2"/>
        <v>23331410.99927</v>
      </c>
      <c r="H144" s="339" t="s">
        <v>60</v>
      </c>
      <c r="I144" s="342">
        <v>3654430</v>
      </c>
      <c r="J144" s="464"/>
      <c r="K144" s="340"/>
      <c r="L144" s="340"/>
      <c r="M144" s="328"/>
      <c r="N144" s="342"/>
      <c r="O144" s="341"/>
      <c r="P144" s="308"/>
      <c r="Q144" s="308"/>
    </row>
    <row r="145" spans="1:66" s="154" customFormat="1" ht="15" customHeight="1">
      <c r="A145" s="334">
        <v>44243</v>
      </c>
      <c r="B145" s="443" t="s">
        <v>547</v>
      </c>
      <c r="C145" s="334" t="s">
        <v>82</v>
      </c>
      <c r="D145" s="334" t="s">
        <v>31</v>
      </c>
      <c r="E145" s="446"/>
      <c r="F145" s="446">
        <v>2000</v>
      </c>
      <c r="G145" s="476">
        <f t="shared" si="2"/>
        <v>23329410.99927</v>
      </c>
      <c r="H145" s="340" t="s">
        <v>72</v>
      </c>
      <c r="I145" s="347" t="s">
        <v>146</v>
      </c>
      <c r="J145" s="465" t="s">
        <v>195</v>
      </c>
      <c r="K145" s="340" t="s">
        <v>35</v>
      </c>
      <c r="L145" s="340" t="s">
        <v>61</v>
      </c>
      <c r="M145" s="328"/>
      <c r="N145" s="342"/>
      <c r="O145" s="341"/>
    </row>
    <row r="146" spans="1:66" ht="15" hidden="1" customHeight="1">
      <c r="A146" s="334">
        <v>44243</v>
      </c>
      <c r="B146" s="334" t="s">
        <v>60</v>
      </c>
      <c r="C146" s="344" t="s">
        <v>131</v>
      </c>
      <c r="D146" s="344"/>
      <c r="E146" s="446">
        <v>1000000</v>
      </c>
      <c r="F146" s="446"/>
      <c r="G146" s="476">
        <f t="shared" si="2"/>
        <v>24329410.99927</v>
      </c>
      <c r="H146" s="349" t="s">
        <v>66</v>
      </c>
      <c r="I146" s="460"/>
      <c r="J146" s="464"/>
      <c r="K146" s="340"/>
      <c r="L146" s="340"/>
      <c r="M146" s="341"/>
      <c r="N146" s="352"/>
      <c r="O146" s="341"/>
      <c r="P146" s="308"/>
      <c r="Q146" s="308"/>
    </row>
    <row r="147" spans="1:66" s="154" customFormat="1" ht="14.25" customHeight="1">
      <c r="A147" s="334">
        <v>44243</v>
      </c>
      <c r="B147" s="334" t="s">
        <v>382</v>
      </c>
      <c r="C147" s="344" t="s">
        <v>78</v>
      </c>
      <c r="D147" s="334" t="s">
        <v>31</v>
      </c>
      <c r="E147" s="446"/>
      <c r="F147" s="446">
        <v>38000</v>
      </c>
      <c r="G147" s="476">
        <f t="shared" si="2"/>
        <v>24291410.99927</v>
      </c>
      <c r="H147" s="340" t="s">
        <v>179</v>
      </c>
      <c r="I147" s="347" t="s">
        <v>146</v>
      </c>
      <c r="J147" s="465" t="s">
        <v>195</v>
      </c>
      <c r="K147" s="340" t="s">
        <v>35</v>
      </c>
      <c r="L147" s="340" t="s">
        <v>61</v>
      </c>
      <c r="M147" s="328"/>
      <c r="N147" s="342"/>
      <c r="O147" s="341"/>
    </row>
    <row r="148" spans="1:66" s="154" customFormat="1" ht="15" customHeight="1">
      <c r="A148" s="334">
        <v>44243</v>
      </c>
      <c r="B148" s="334" t="s">
        <v>459</v>
      </c>
      <c r="C148" s="349" t="s">
        <v>80</v>
      </c>
      <c r="D148" s="329" t="s">
        <v>21</v>
      </c>
      <c r="E148" s="446"/>
      <c r="F148" s="446">
        <v>3500</v>
      </c>
      <c r="G148" s="476">
        <f t="shared" si="2"/>
        <v>24287910.99927</v>
      </c>
      <c r="H148" s="349" t="s">
        <v>66</v>
      </c>
      <c r="I148" s="342" t="s">
        <v>81</v>
      </c>
      <c r="J148" s="464" t="s">
        <v>183</v>
      </c>
      <c r="K148" s="340" t="s">
        <v>63</v>
      </c>
      <c r="L148" s="340" t="s">
        <v>61</v>
      </c>
      <c r="M148" s="328" t="s">
        <v>500</v>
      </c>
      <c r="N148" s="352" t="s">
        <v>154</v>
      </c>
      <c r="O148" s="341"/>
    </row>
    <row r="149" spans="1:66" s="193" customFormat="1" ht="15" hidden="1" customHeight="1">
      <c r="A149" s="334">
        <v>44243</v>
      </c>
      <c r="B149" s="334" t="s">
        <v>367</v>
      </c>
      <c r="C149" s="334" t="s">
        <v>131</v>
      </c>
      <c r="D149" s="334"/>
      <c r="E149" s="446">
        <v>165000</v>
      </c>
      <c r="F149" s="446"/>
      <c r="G149" s="476">
        <f t="shared" si="2"/>
        <v>24452910.99927</v>
      </c>
      <c r="H149" s="341" t="s">
        <v>178</v>
      </c>
      <c r="I149" s="347"/>
      <c r="J149" s="464"/>
      <c r="K149" s="340"/>
      <c r="L149" s="340"/>
      <c r="M149" s="328"/>
      <c r="N149" s="342"/>
      <c r="O149" s="341"/>
      <c r="P149" s="308"/>
      <c r="Q149" s="308"/>
    </row>
    <row r="150" spans="1:66" s="305" customFormat="1" ht="15" customHeight="1">
      <c r="A150" s="334">
        <v>44243</v>
      </c>
      <c r="B150" s="334" t="s">
        <v>278</v>
      </c>
      <c r="C150" s="351" t="s">
        <v>80</v>
      </c>
      <c r="D150" s="343" t="s">
        <v>21</v>
      </c>
      <c r="E150" s="446"/>
      <c r="F150" s="446">
        <v>2000</v>
      </c>
      <c r="G150" s="476">
        <f t="shared" si="2"/>
        <v>24450910.99927</v>
      </c>
      <c r="H150" s="348" t="s">
        <v>66</v>
      </c>
      <c r="I150" s="342" t="s">
        <v>81</v>
      </c>
      <c r="J150" s="464" t="s">
        <v>183</v>
      </c>
      <c r="K150" s="340" t="s">
        <v>63</v>
      </c>
      <c r="L150" s="340" t="s">
        <v>61</v>
      </c>
      <c r="M150" s="341" t="s">
        <v>501</v>
      </c>
      <c r="N150" s="352" t="s">
        <v>154</v>
      </c>
      <c r="O150" s="341"/>
      <c r="P150" s="312"/>
      <c r="Q150" s="312"/>
    </row>
    <row r="151" spans="1:66" ht="15" hidden="1" customHeight="1">
      <c r="A151" s="334">
        <v>44243</v>
      </c>
      <c r="B151" s="334" t="s">
        <v>376</v>
      </c>
      <c r="C151" s="334" t="s">
        <v>131</v>
      </c>
      <c r="D151" s="334"/>
      <c r="E151" s="446">
        <v>9200</v>
      </c>
      <c r="F151" s="446"/>
      <c r="G151" s="476">
        <f t="shared" si="2"/>
        <v>24460110.99927</v>
      </c>
      <c r="H151" s="340" t="s">
        <v>179</v>
      </c>
      <c r="I151" s="347"/>
      <c r="J151" s="464"/>
      <c r="K151" s="340"/>
      <c r="L151" s="340"/>
      <c r="M151" s="328"/>
      <c r="N151" s="342"/>
      <c r="O151" s="341"/>
      <c r="P151" s="308"/>
      <c r="Q151" s="308"/>
    </row>
    <row r="152" spans="1:66" s="286" customFormat="1" ht="15" customHeight="1">
      <c r="A152" s="334">
        <v>44243</v>
      </c>
      <c r="B152" s="334" t="s">
        <v>357</v>
      </c>
      <c r="C152" s="334" t="s">
        <v>181</v>
      </c>
      <c r="D152" s="334" t="s">
        <v>207</v>
      </c>
      <c r="E152" s="446"/>
      <c r="F152" s="446">
        <v>45000</v>
      </c>
      <c r="G152" s="476">
        <f t="shared" si="2"/>
        <v>24415110.99927</v>
      </c>
      <c r="H152" s="339" t="s">
        <v>83</v>
      </c>
      <c r="I152" s="459" t="s">
        <v>81</v>
      </c>
      <c r="J152" s="465" t="s">
        <v>183</v>
      </c>
      <c r="K152" s="340" t="s">
        <v>63</v>
      </c>
      <c r="L152" s="340" t="s">
        <v>61</v>
      </c>
      <c r="M152" s="328" t="s">
        <v>502</v>
      </c>
      <c r="N152" s="342" t="s">
        <v>88</v>
      </c>
      <c r="O152" s="341"/>
      <c r="P152" s="308"/>
    </row>
    <row r="153" spans="1:66" s="154" customFormat="1" ht="15" customHeight="1">
      <c r="A153" s="334">
        <v>44244</v>
      </c>
      <c r="B153" s="334" t="s">
        <v>261</v>
      </c>
      <c r="C153" s="334" t="s">
        <v>20</v>
      </c>
      <c r="D153" s="334" t="s">
        <v>208</v>
      </c>
      <c r="E153" s="446"/>
      <c r="F153" s="446">
        <v>5000</v>
      </c>
      <c r="G153" s="476">
        <f t="shared" si="2"/>
        <v>24410110.99927</v>
      </c>
      <c r="H153" s="348" t="s">
        <v>66</v>
      </c>
      <c r="I153" s="342" t="s">
        <v>81</v>
      </c>
      <c r="J153" s="464" t="s">
        <v>195</v>
      </c>
      <c r="K153" s="340" t="s">
        <v>35</v>
      </c>
      <c r="L153" s="340" t="s">
        <v>61</v>
      </c>
      <c r="M153" s="328"/>
      <c r="N153" s="342"/>
      <c r="O153" s="341"/>
    </row>
    <row r="154" spans="1:66" s="193" customFormat="1" ht="15" hidden="1" customHeight="1">
      <c r="A154" s="334">
        <v>44244</v>
      </c>
      <c r="B154" s="334" t="s">
        <v>133</v>
      </c>
      <c r="C154" s="334" t="s">
        <v>131</v>
      </c>
      <c r="D154" s="334"/>
      <c r="E154" s="446"/>
      <c r="F154" s="446">
        <v>84000</v>
      </c>
      <c r="G154" s="476">
        <f t="shared" si="2"/>
        <v>24326110.99927</v>
      </c>
      <c r="H154" s="349" t="s">
        <v>66</v>
      </c>
      <c r="I154" s="352"/>
      <c r="J154" s="464"/>
      <c r="K154" s="339"/>
      <c r="L154" s="339"/>
      <c r="M154" s="346"/>
      <c r="N154" s="352"/>
      <c r="O154" s="352"/>
      <c r="P154" s="308"/>
      <c r="Q154" s="308"/>
    </row>
    <row r="155" spans="1:66" s="286" customFormat="1" ht="15" hidden="1" customHeight="1">
      <c r="A155" s="334">
        <v>44244</v>
      </c>
      <c r="B155" s="334" t="s">
        <v>178</v>
      </c>
      <c r="C155" s="344" t="s">
        <v>131</v>
      </c>
      <c r="D155" s="344"/>
      <c r="E155" s="446"/>
      <c r="F155" s="446">
        <v>100000</v>
      </c>
      <c r="G155" s="476">
        <f t="shared" si="2"/>
        <v>24226110.99927</v>
      </c>
      <c r="H155" s="349" t="s">
        <v>66</v>
      </c>
      <c r="I155" s="347"/>
      <c r="J155" s="464"/>
      <c r="K155" s="340"/>
      <c r="L155" s="340"/>
      <c r="M155" s="341"/>
      <c r="N155" s="342"/>
      <c r="O155" s="341"/>
      <c r="P155" s="308"/>
      <c r="Q155" s="308"/>
    </row>
    <row r="156" spans="1:66" s="154" customFormat="1" ht="15" customHeight="1">
      <c r="A156" s="334">
        <v>44244</v>
      </c>
      <c r="B156" s="334" t="s">
        <v>404</v>
      </c>
      <c r="C156" s="334" t="s">
        <v>30</v>
      </c>
      <c r="D156" s="334" t="s">
        <v>21</v>
      </c>
      <c r="E156" s="446"/>
      <c r="F156" s="446">
        <v>20000</v>
      </c>
      <c r="G156" s="476">
        <f t="shared" si="2"/>
        <v>24206110.99927</v>
      </c>
      <c r="H156" s="349" t="s">
        <v>66</v>
      </c>
      <c r="I156" s="459" t="s">
        <v>81</v>
      </c>
      <c r="J156" s="352" t="s">
        <v>195</v>
      </c>
      <c r="K156" s="340" t="s">
        <v>35</v>
      </c>
      <c r="L156" s="340" t="s">
        <v>61</v>
      </c>
      <c r="M156" s="328"/>
      <c r="N156" s="342"/>
      <c r="O156" s="341"/>
    </row>
    <row r="157" spans="1:66" ht="15" customHeight="1">
      <c r="A157" s="334">
        <v>44244</v>
      </c>
      <c r="B157" s="334" t="s">
        <v>255</v>
      </c>
      <c r="C157" s="334" t="s">
        <v>463</v>
      </c>
      <c r="D157" s="334" t="s">
        <v>208</v>
      </c>
      <c r="E157" s="446"/>
      <c r="F157" s="446">
        <v>20000</v>
      </c>
      <c r="G157" s="476">
        <f t="shared" si="2"/>
        <v>24186110.99927</v>
      </c>
      <c r="H157" s="349" t="s">
        <v>66</v>
      </c>
      <c r="I157" s="463" t="s">
        <v>81</v>
      </c>
      <c r="J157" s="352" t="s">
        <v>195</v>
      </c>
      <c r="K157" s="340" t="s">
        <v>35</v>
      </c>
      <c r="L157" s="340" t="s">
        <v>61</v>
      </c>
      <c r="M157" s="328"/>
      <c r="N157" s="342"/>
      <c r="O157" s="341"/>
      <c r="P157" s="308"/>
      <c r="Q157" s="308"/>
    </row>
    <row r="158" spans="1:66" ht="15" customHeight="1">
      <c r="A158" s="334">
        <v>44244</v>
      </c>
      <c r="B158" s="334" t="s">
        <v>398</v>
      </c>
      <c r="C158" s="334" t="s">
        <v>64</v>
      </c>
      <c r="D158" s="334" t="s">
        <v>132</v>
      </c>
      <c r="E158" s="446"/>
      <c r="F158" s="446">
        <v>84000</v>
      </c>
      <c r="G158" s="476">
        <f t="shared" si="2"/>
        <v>24102110.99927</v>
      </c>
      <c r="H158" s="349" t="s">
        <v>66</v>
      </c>
      <c r="I158" s="342" t="s">
        <v>81</v>
      </c>
      <c r="J158" s="352" t="s">
        <v>183</v>
      </c>
      <c r="K158" s="339" t="s">
        <v>63</v>
      </c>
      <c r="L158" s="339" t="s">
        <v>61</v>
      </c>
      <c r="M158" s="341" t="s">
        <v>503</v>
      </c>
      <c r="N158" s="352" t="s">
        <v>73</v>
      </c>
      <c r="O158" s="341"/>
      <c r="P158" s="308"/>
      <c r="Q158" s="308"/>
    </row>
    <row r="159" spans="1:66" ht="15" hidden="1" customHeight="1">
      <c r="A159" s="334">
        <v>44244</v>
      </c>
      <c r="B159" s="334" t="s">
        <v>199</v>
      </c>
      <c r="C159" s="334" t="s">
        <v>131</v>
      </c>
      <c r="D159" s="334"/>
      <c r="E159" s="446">
        <v>84000</v>
      </c>
      <c r="F159" s="446"/>
      <c r="G159" s="476">
        <f t="shared" si="2"/>
        <v>24186110.99927</v>
      </c>
      <c r="H159" s="329" t="s">
        <v>133</v>
      </c>
      <c r="I159" s="350"/>
      <c r="J159" s="464"/>
      <c r="K159" s="340"/>
      <c r="L159" s="340"/>
      <c r="M159" s="341"/>
      <c r="N159" s="342"/>
      <c r="O159" s="341"/>
      <c r="P159" s="308"/>
      <c r="Q159" s="286"/>
    </row>
    <row r="160" spans="1:66" ht="15" customHeight="1">
      <c r="A160" s="334">
        <v>44244</v>
      </c>
      <c r="B160" s="334" t="s">
        <v>265</v>
      </c>
      <c r="C160" s="334" t="s">
        <v>68</v>
      </c>
      <c r="D160" s="334" t="s">
        <v>21</v>
      </c>
      <c r="E160" s="446"/>
      <c r="F160" s="446">
        <v>3000</v>
      </c>
      <c r="G160" s="476">
        <f t="shared" si="2"/>
        <v>24183110.99927</v>
      </c>
      <c r="H160" s="349" t="s">
        <v>66</v>
      </c>
      <c r="I160" s="342" t="s">
        <v>81</v>
      </c>
      <c r="J160" s="464" t="s">
        <v>183</v>
      </c>
      <c r="K160" s="340" t="s">
        <v>63</v>
      </c>
      <c r="L160" s="340" t="s">
        <v>61</v>
      </c>
      <c r="M160" s="328" t="s">
        <v>504</v>
      </c>
      <c r="N160" s="342" t="s">
        <v>155</v>
      </c>
      <c r="O160" s="341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</row>
    <row r="161" spans="1:66" s="193" customFormat="1" ht="15" hidden="1" customHeight="1">
      <c r="A161" s="334">
        <v>44244</v>
      </c>
      <c r="B161" s="334" t="s">
        <v>367</v>
      </c>
      <c r="C161" s="334" t="s">
        <v>131</v>
      </c>
      <c r="D161" s="334"/>
      <c r="E161" s="446">
        <v>100000</v>
      </c>
      <c r="F161" s="446"/>
      <c r="G161" s="476">
        <f t="shared" si="2"/>
        <v>24283110.99927</v>
      </c>
      <c r="H161" s="341" t="s">
        <v>178</v>
      </c>
      <c r="I161" s="347"/>
      <c r="J161" s="470"/>
      <c r="K161" s="340"/>
      <c r="L161" s="340"/>
      <c r="M161" s="341"/>
      <c r="N161" s="342"/>
      <c r="O161" s="341"/>
      <c r="P161" s="308"/>
      <c r="Q161" s="286"/>
    </row>
    <row r="162" spans="1:66" s="193" customFormat="1" ht="15" customHeight="1">
      <c r="A162" s="334">
        <v>44244</v>
      </c>
      <c r="B162" s="334" t="s">
        <v>322</v>
      </c>
      <c r="C162" s="334" t="s">
        <v>78</v>
      </c>
      <c r="D162" s="334" t="s">
        <v>132</v>
      </c>
      <c r="E162" s="446"/>
      <c r="F162" s="446">
        <v>10000</v>
      </c>
      <c r="G162" s="476">
        <f t="shared" si="2"/>
        <v>24273110.99927</v>
      </c>
      <c r="H162" s="329" t="s">
        <v>133</v>
      </c>
      <c r="I162" s="463" t="s">
        <v>81</v>
      </c>
      <c r="J162" s="464" t="s">
        <v>183</v>
      </c>
      <c r="K162" s="340" t="s">
        <v>63</v>
      </c>
      <c r="L162" s="340" t="s">
        <v>61</v>
      </c>
      <c r="M162" s="341" t="s">
        <v>505</v>
      </c>
      <c r="N162" s="342" t="s">
        <v>153</v>
      </c>
      <c r="O162" s="341"/>
      <c r="P162" s="308"/>
      <c r="Q162" s="286"/>
    </row>
    <row r="163" spans="1:66" ht="15" customHeight="1">
      <c r="A163" s="334">
        <v>44245</v>
      </c>
      <c r="B163" s="343" t="s">
        <v>390</v>
      </c>
      <c r="C163" s="343" t="s">
        <v>26</v>
      </c>
      <c r="D163" s="343" t="s">
        <v>65</v>
      </c>
      <c r="E163" s="455"/>
      <c r="F163" s="455">
        <v>138000</v>
      </c>
      <c r="G163" s="476">
        <f t="shared" si="2"/>
        <v>24135110.99927</v>
      </c>
      <c r="H163" s="339" t="s">
        <v>60</v>
      </c>
      <c r="I163" s="342">
        <v>3654431</v>
      </c>
      <c r="J163" s="464" t="s">
        <v>195</v>
      </c>
      <c r="K163" s="340" t="s">
        <v>35</v>
      </c>
      <c r="L163" s="340" t="s">
        <v>61</v>
      </c>
      <c r="M163" s="341"/>
      <c r="N163" s="342"/>
      <c r="O163" s="341"/>
      <c r="P163" s="308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6"/>
      <c r="AV163" s="286"/>
      <c r="AW163" s="286"/>
      <c r="AX163" s="286"/>
      <c r="AY163" s="286"/>
      <c r="AZ163" s="286"/>
      <c r="BA163" s="286"/>
      <c r="BB163" s="286"/>
      <c r="BC163" s="286"/>
      <c r="BD163" s="286"/>
      <c r="BE163" s="286"/>
      <c r="BF163" s="286"/>
      <c r="BG163" s="286"/>
      <c r="BH163" s="286"/>
      <c r="BI163" s="286"/>
      <c r="BJ163" s="286"/>
      <c r="BK163" s="286"/>
      <c r="BL163" s="286"/>
      <c r="BM163" s="286"/>
      <c r="BN163" s="286"/>
    </row>
    <row r="164" spans="1:66" ht="15" customHeight="1">
      <c r="A164" s="334">
        <v>44245</v>
      </c>
      <c r="B164" s="334" t="s">
        <v>400</v>
      </c>
      <c r="C164" s="334" t="s">
        <v>17</v>
      </c>
      <c r="D164" s="334" t="s">
        <v>21</v>
      </c>
      <c r="E164" s="446"/>
      <c r="F164" s="446">
        <v>13500</v>
      </c>
      <c r="G164" s="476">
        <f t="shared" si="2"/>
        <v>24121610.99927</v>
      </c>
      <c r="H164" s="349" t="s">
        <v>66</v>
      </c>
      <c r="I164" s="459" t="s">
        <v>81</v>
      </c>
      <c r="J164" s="352" t="s">
        <v>195</v>
      </c>
      <c r="K164" s="340" t="s">
        <v>35</v>
      </c>
      <c r="L164" s="340" t="s">
        <v>61</v>
      </c>
      <c r="M164" s="341"/>
      <c r="N164" s="342"/>
      <c r="O164" s="341"/>
      <c r="P164" s="308"/>
    </row>
    <row r="165" spans="1:66" ht="15" hidden="1" customHeight="1">
      <c r="A165" s="334">
        <v>44245</v>
      </c>
      <c r="B165" s="334" t="s">
        <v>178</v>
      </c>
      <c r="C165" s="334" t="s">
        <v>131</v>
      </c>
      <c r="D165" s="334"/>
      <c r="E165" s="446"/>
      <c r="F165" s="446">
        <v>100000</v>
      </c>
      <c r="G165" s="476">
        <f t="shared" si="2"/>
        <v>24021610.99927</v>
      </c>
      <c r="H165" s="349" t="s">
        <v>66</v>
      </c>
      <c r="I165" s="464"/>
      <c r="J165" s="464"/>
      <c r="K165" s="340"/>
      <c r="L165" s="340"/>
      <c r="M165" s="341"/>
      <c r="N165" s="342"/>
      <c r="O165" s="341"/>
      <c r="P165" s="308"/>
    </row>
    <row r="166" spans="1:66" s="154" customFormat="1" ht="15.75">
      <c r="A166" s="334">
        <v>44245</v>
      </c>
      <c r="B166" s="334" t="s">
        <v>265</v>
      </c>
      <c r="C166" s="334" t="s">
        <v>68</v>
      </c>
      <c r="D166" s="334" t="s">
        <v>21</v>
      </c>
      <c r="E166" s="446"/>
      <c r="F166" s="446">
        <v>3000</v>
      </c>
      <c r="G166" s="476">
        <f t="shared" si="2"/>
        <v>24018610.99927</v>
      </c>
      <c r="H166" s="349" t="s">
        <v>66</v>
      </c>
      <c r="I166" s="342" t="s">
        <v>81</v>
      </c>
      <c r="J166" s="464" t="s">
        <v>183</v>
      </c>
      <c r="K166" s="340" t="s">
        <v>63</v>
      </c>
      <c r="L166" s="340" t="s">
        <v>61</v>
      </c>
      <c r="M166" s="328" t="s">
        <v>506</v>
      </c>
      <c r="N166" s="342" t="s">
        <v>155</v>
      </c>
      <c r="O166" s="341"/>
    </row>
    <row r="167" spans="1:66" ht="15.75">
      <c r="A167" s="334">
        <v>44245</v>
      </c>
      <c r="B167" s="334" t="s">
        <v>323</v>
      </c>
      <c r="C167" s="334" t="s">
        <v>78</v>
      </c>
      <c r="D167" s="334" t="s">
        <v>132</v>
      </c>
      <c r="E167" s="446"/>
      <c r="F167" s="446">
        <v>4000</v>
      </c>
      <c r="G167" s="476">
        <f t="shared" si="2"/>
        <v>24014610.99927</v>
      </c>
      <c r="H167" s="329" t="s">
        <v>133</v>
      </c>
      <c r="I167" s="459" t="s">
        <v>81</v>
      </c>
      <c r="J167" s="464" t="s">
        <v>183</v>
      </c>
      <c r="K167" s="340" t="s">
        <v>63</v>
      </c>
      <c r="L167" s="340" t="s">
        <v>61</v>
      </c>
      <c r="M167" s="328" t="s">
        <v>507</v>
      </c>
      <c r="N167" s="342" t="s">
        <v>153</v>
      </c>
      <c r="O167" s="340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</row>
    <row r="168" spans="1:66" ht="15.75">
      <c r="A168" s="334">
        <v>44245</v>
      </c>
      <c r="B168" s="334" t="s">
        <v>317</v>
      </c>
      <c r="C168" s="334" t="s">
        <v>181</v>
      </c>
      <c r="D168" s="334" t="s">
        <v>132</v>
      </c>
      <c r="E168" s="446"/>
      <c r="F168" s="446">
        <v>20000</v>
      </c>
      <c r="G168" s="476">
        <f t="shared" si="2"/>
        <v>23994610.99927</v>
      </c>
      <c r="H168" s="329" t="s">
        <v>133</v>
      </c>
      <c r="I168" s="347" t="s">
        <v>146</v>
      </c>
      <c r="J168" s="464" t="s">
        <v>183</v>
      </c>
      <c r="K168" s="340" t="s">
        <v>63</v>
      </c>
      <c r="L168" s="340" t="s">
        <v>61</v>
      </c>
      <c r="M168" s="328" t="s">
        <v>508</v>
      </c>
      <c r="N168" s="342" t="s">
        <v>88</v>
      </c>
      <c r="O168" s="341"/>
      <c r="P168" s="308"/>
      <c r="Q168" s="286"/>
    </row>
    <row r="169" spans="1:66" ht="15.75">
      <c r="A169" s="334">
        <v>44246</v>
      </c>
      <c r="B169" s="334" t="s">
        <v>282</v>
      </c>
      <c r="C169" s="334" t="s">
        <v>26</v>
      </c>
      <c r="D169" s="334" t="s">
        <v>132</v>
      </c>
      <c r="E169" s="446"/>
      <c r="F169" s="446">
        <v>35000</v>
      </c>
      <c r="G169" s="476">
        <f t="shared" si="2"/>
        <v>23959610.99927</v>
      </c>
      <c r="H169" s="348" t="s">
        <v>66</v>
      </c>
      <c r="I169" s="347" t="s">
        <v>146</v>
      </c>
      <c r="J169" s="464" t="s">
        <v>195</v>
      </c>
      <c r="K169" s="340" t="s">
        <v>35</v>
      </c>
      <c r="L169" s="340" t="s">
        <v>61</v>
      </c>
      <c r="M169" s="328"/>
      <c r="N169" s="342"/>
      <c r="O169" s="341"/>
      <c r="P169" s="308"/>
    </row>
    <row r="170" spans="1:66" s="193" customFormat="1" ht="15.75">
      <c r="A170" s="334">
        <v>44246</v>
      </c>
      <c r="B170" s="334" t="s">
        <v>283</v>
      </c>
      <c r="C170" s="334" t="s">
        <v>26</v>
      </c>
      <c r="D170" s="334" t="s">
        <v>19</v>
      </c>
      <c r="E170" s="446"/>
      <c r="F170" s="446">
        <v>35000</v>
      </c>
      <c r="G170" s="476">
        <f t="shared" si="2"/>
        <v>23924610.99927</v>
      </c>
      <c r="H170" s="349" t="s">
        <v>66</v>
      </c>
      <c r="I170" s="347" t="s">
        <v>146</v>
      </c>
      <c r="J170" s="464" t="s">
        <v>195</v>
      </c>
      <c r="K170" s="340" t="s">
        <v>35</v>
      </c>
      <c r="L170" s="340" t="s">
        <v>61</v>
      </c>
      <c r="M170" s="341"/>
      <c r="N170" s="342"/>
      <c r="O170" s="341"/>
      <c r="P170" s="308"/>
      <c r="Q170" s="286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spans="1:66" s="154" customFormat="1" ht="15.75">
      <c r="A171" s="334">
        <v>44246</v>
      </c>
      <c r="B171" s="334" t="s">
        <v>284</v>
      </c>
      <c r="C171" s="334" t="s">
        <v>26</v>
      </c>
      <c r="D171" s="334" t="s">
        <v>132</v>
      </c>
      <c r="E171" s="446"/>
      <c r="F171" s="446">
        <v>20000</v>
      </c>
      <c r="G171" s="476">
        <f t="shared" si="2"/>
        <v>23904610.99927</v>
      </c>
      <c r="H171" s="349" t="s">
        <v>66</v>
      </c>
      <c r="I171" s="347" t="s">
        <v>146</v>
      </c>
      <c r="J171" s="464" t="s">
        <v>195</v>
      </c>
      <c r="K171" s="340" t="s">
        <v>35</v>
      </c>
      <c r="L171" s="340" t="s">
        <v>61</v>
      </c>
      <c r="M171" s="341"/>
      <c r="N171" s="342"/>
      <c r="O171" s="341"/>
    </row>
    <row r="172" spans="1:66" s="154" customFormat="1" ht="15" customHeight="1">
      <c r="A172" s="334">
        <v>44246</v>
      </c>
      <c r="B172" s="334" t="s">
        <v>285</v>
      </c>
      <c r="C172" s="334" t="s">
        <v>26</v>
      </c>
      <c r="D172" s="334" t="s">
        <v>132</v>
      </c>
      <c r="E172" s="446"/>
      <c r="F172" s="446">
        <v>20000</v>
      </c>
      <c r="G172" s="476">
        <f t="shared" si="2"/>
        <v>23884610.99927</v>
      </c>
      <c r="H172" s="349" t="s">
        <v>66</v>
      </c>
      <c r="I172" s="347" t="s">
        <v>146</v>
      </c>
      <c r="J172" s="464" t="s">
        <v>195</v>
      </c>
      <c r="K172" s="340" t="s">
        <v>35</v>
      </c>
      <c r="L172" s="340" t="s">
        <v>61</v>
      </c>
      <c r="M172" s="341"/>
      <c r="N172" s="342"/>
      <c r="O172" s="341"/>
    </row>
    <row r="173" spans="1:66" ht="15" customHeight="1">
      <c r="A173" s="334">
        <v>44246</v>
      </c>
      <c r="B173" s="334" t="s">
        <v>286</v>
      </c>
      <c r="C173" s="334" t="s">
        <v>26</v>
      </c>
      <c r="D173" s="343" t="s">
        <v>65</v>
      </c>
      <c r="E173" s="446"/>
      <c r="F173" s="446">
        <v>20000</v>
      </c>
      <c r="G173" s="476">
        <f t="shared" si="2"/>
        <v>23864610.99927</v>
      </c>
      <c r="H173" s="349" t="s">
        <v>66</v>
      </c>
      <c r="I173" s="347" t="s">
        <v>146</v>
      </c>
      <c r="J173" s="464" t="s">
        <v>195</v>
      </c>
      <c r="K173" s="340" t="s">
        <v>35</v>
      </c>
      <c r="L173" s="340" t="s">
        <v>61</v>
      </c>
      <c r="M173" s="341"/>
      <c r="N173" s="342"/>
      <c r="O173" s="341"/>
      <c r="P173" s="308"/>
    </row>
    <row r="174" spans="1:66" ht="15" customHeight="1">
      <c r="A174" s="334">
        <v>44246</v>
      </c>
      <c r="B174" s="334" t="s">
        <v>393</v>
      </c>
      <c r="C174" s="344" t="s">
        <v>26</v>
      </c>
      <c r="D174" s="344" t="s">
        <v>207</v>
      </c>
      <c r="E174" s="446"/>
      <c r="F174" s="446">
        <v>50000</v>
      </c>
      <c r="G174" s="476">
        <f t="shared" si="2"/>
        <v>23814610.99927</v>
      </c>
      <c r="H174" s="348" t="s">
        <v>66</v>
      </c>
      <c r="I174" s="347" t="s">
        <v>146</v>
      </c>
      <c r="J174" s="466" t="s">
        <v>195</v>
      </c>
      <c r="K174" s="340" t="s">
        <v>35</v>
      </c>
      <c r="L174" s="340" t="s">
        <v>61</v>
      </c>
      <c r="M174" s="341"/>
      <c r="N174" s="342"/>
      <c r="O174" s="341"/>
      <c r="P174" s="313"/>
      <c r="Q174" s="286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3"/>
      <c r="AV174" s="193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</row>
    <row r="175" spans="1:66" s="219" customFormat="1" ht="15" customHeight="1">
      <c r="A175" s="334">
        <v>44246</v>
      </c>
      <c r="B175" s="334" t="s">
        <v>288</v>
      </c>
      <c r="C175" s="334" t="s">
        <v>26</v>
      </c>
      <c r="D175" s="334" t="s">
        <v>31</v>
      </c>
      <c r="E175" s="449"/>
      <c r="F175" s="449">
        <v>10000</v>
      </c>
      <c r="G175" s="476">
        <f t="shared" si="2"/>
        <v>23804610.99927</v>
      </c>
      <c r="H175" s="349" t="s">
        <v>66</v>
      </c>
      <c r="I175" s="347" t="s">
        <v>146</v>
      </c>
      <c r="J175" s="464" t="s">
        <v>195</v>
      </c>
      <c r="K175" s="340" t="s">
        <v>35</v>
      </c>
      <c r="L175" s="340" t="s">
        <v>61</v>
      </c>
      <c r="M175" s="341"/>
      <c r="N175" s="342"/>
      <c r="O175" s="341"/>
      <c r="P175" s="312"/>
      <c r="Q175" s="305"/>
    </row>
    <row r="176" spans="1:66" s="286" customFormat="1" ht="15" hidden="1" customHeight="1">
      <c r="A176" s="334">
        <v>44246</v>
      </c>
      <c r="B176" s="334" t="s">
        <v>83</v>
      </c>
      <c r="C176" s="334" t="s">
        <v>131</v>
      </c>
      <c r="D176" s="334"/>
      <c r="E176" s="449"/>
      <c r="F176" s="449">
        <v>47760</v>
      </c>
      <c r="G176" s="476">
        <f t="shared" si="2"/>
        <v>23756850.99927</v>
      </c>
      <c r="H176" s="349" t="s">
        <v>66</v>
      </c>
      <c r="I176" s="342"/>
      <c r="J176" s="464"/>
      <c r="K176" s="339"/>
      <c r="L176" s="340"/>
      <c r="M176" s="341"/>
      <c r="N176" s="352"/>
      <c r="O176" s="346"/>
      <c r="P176" s="308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spans="1:66" ht="15" customHeight="1">
      <c r="A177" s="334">
        <v>44246</v>
      </c>
      <c r="B177" s="334" t="s">
        <v>401</v>
      </c>
      <c r="C177" s="334" t="s">
        <v>17</v>
      </c>
      <c r="D177" s="334" t="s">
        <v>21</v>
      </c>
      <c r="E177" s="449"/>
      <c r="F177" s="449">
        <v>15000</v>
      </c>
      <c r="G177" s="476">
        <f t="shared" si="2"/>
        <v>23741850.99927</v>
      </c>
      <c r="H177" s="349" t="s">
        <v>66</v>
      </c>
      <c r="I177" s="459" t="s">
        <v>81</v>
      </c>
      <c r="J177" s="352" t="s">
        <v>195</v>
      </c>
      <c r="K177" s="340" t="s">
        <v>35</v>
      </c>
      <c r="L177" s="340" t="s">
        <v>61</v>
      </c>
      <c r="M177" s="328"/>
      <c r="N177" s="342"/>
      <c r="O177" s="341"/>
      <c r="P177" s="308"/>
    </row>
    <row r="178" spans="1:66" ht="15" hidden="1" customHeight="1">
      <c r="A178" s="334">
        <v>44246</v>
      </c>
      <c r="B178" s="334" t="s">
        <v>158</v>
      </c>
      <c r="C178" s="334" t="s">
        <v>131</v>
      </c>
      <c r="D178" s="334"/>
      <c r="E178" s="449"/>
      <c r="F178" s="449">
        <v>10000</v>
      </c>
      <c r="G178" s="476">
        <f t="shared" si="2"/>
        <v>23731850.99927</v>
      </c>
      <c r="H178" s="349" t="s">
        <v>66</v>
      </c>
      <c r="I178" s="464"/>
      <c r="J178" s="465"/>
      <c r="K178" s="340"/>
      <c r="L178" s="340"/>
      <c r="M178" s="341"/>
      <c r="N178" s="342"/>
      <c r="O178" s="341"/>
      <c r="P178" s="308"/>
      <c r="Q178" s="286"/>
    </row>
    <row r="179" spans="1:66" s="193" customFormat="1" ht="15" customHeight="1">
      <c r="A179" s="334">
        <v>44246</v>
      </c>
      <c r="B179" s="334" t="s">
        <v>316</v>
      </c>
      <c r="C179" s="334" t="s">
        <v>30</v>
      </c>
      <c r="D179" s="334" t="s">
        <v>21</v>
      </c>
      <c r="E179" s="449"/>
      <c r="F179" s="449">
        <v>5000</v>
      </c>
      <c r="G179" s="476">
        <f t="shared" si="2"/>
        <v>23726850.99927</v>
      </c>
      <c r="H179" s="348" t="s">
        <v>66</v>
      </c>
      <c r="I179" s="459" t="s">
        <v>81</v>
      </c>
      <c r="J179" s="352" t="s">
        <v>195</v>
      </c>
      <c r="K179" s="340" t="s">
        <v>35</v>
      </c>
      <c r="L179" s="340" t="s">
        <v>61</v>
      </c>
      <c r="M179" s="356"/>
      <c r="N179" s="352"/>
      <c r="O179" s="341"/>
      <c r="P179" s="308"/>
      <c r="Q179" s="286"/>
    </row>
    <row r="180" spans="1:66" s="154" customFormat="1" ht="15" hidden="1" customHeight="1">
      <c r="A180" s="334">
        <v>44246</v>
      </c>
      <c r="B180" s="334" t="s">
        <v>83</v>
      </c>
      <c r="C180" s="334" t="s">
        <v>131</v>
      </c>
      <c r="D180" s="334"/>
      <c r="E180" s="449"/>
      <c r="F180" s="449">
        <v>10000</v>
      </c>
      <c r="G180" s="476">
        <f t="shared" si="2"/>
        <v>23716850.99927</v>
      </c>
      <c r="H180" s="349" t="s">
        <v>66</v>
      </c>
      <c r="I180" s="459"/>
      <c r="J180" s="464"/>
      <c r="K180" s="340"/>
      <c r="L180" s="340"/>
      <c r="M180" s="341"/>
      <c r="N180" s="342"/>
      <c r="O180" s="341"/>
      <c r="P180" s="308"/>
    </row>
    <row r="181" spans="1:66" ht="15" customHeight="1">
      <c r="A181" s="334">
        <v>44246</v>
      </c>
      <c r="B181" s="334" t="s">
        <v>291</v>
      </c>
      <c r="C181" s="334" t="s">
        <v>147</v>
      </c>
      <c r="D181" s="334" t="s">
        <v>208</v>
      </c>
      <c r="E181" s="449"/>
      <c r="F181" s="449">
        <v>40000</v>
      </c>
      <c r="G181" s="476">
        <f t="shared" si="2"/>
        <v>23676850.99927</v>
      </c>
      <c r="H181" s="349" t="s">
        <v>66</v>
      </c>
      <c r="I181" s="347" t="s">
        <v>146</v>
      </c>
      <c r="J181" s="352" t="s">
        <v>195</v>
      </c>
      <c r="K181" s="340" t="s">
        <v>35</v>
      </c>
      <c r="L181" s="340" t="s">
        <v>61</v>
      </c>
      <c r="M181" s="328"/>
      <c r="N181" s="342"/>
      <c r="O181" s="341"/>
      <c r="P181" s="308"/>
    </row>
    <row r="182" spans="1:66" s="286" customFormat="1" ht="15" customHeight="1">
      <c r="A182" s="334">
        <v>44246</v>
      </c>
      <c r="B182" s="334" t="s">
        <v>293</v>
      </c>
      <c r="C182" s="334" t="s">
        <v>78</v>
      </c>
      <c r="D182" s="334" t="s">
        <v>208</v>
      </c>
      <c r="E182" s="449"/>
      <c r="F182" s="449">
        <v>7000</v>
      </c>
      <c r="G182" s="476">
        <f t="shared" si="2"/>
        <v>23669850.99927</v>
      </c>
      <c r="H182" s="349" t="s">
        <v>66</v>
      </c>
      <c r="I182" s="347" t="s">
        <v>146</v>
      </c>
      <c r="J182" s="464" t="s">
        <v>195</v>
      </c>
      <c r="K182" s="340" t="s">
        <v>35</v>
      </c>
      <c r="L182" s="340" t="s">
        <v>61</v>
      </c>
      <c r="M182" s="328"/>
      <c r="N182" s="342"/>
      <c r="O182" s="341"/>
      <c r="P182" s="308"/>
    </row>
    <row r="183" spans="1:66" ht="15" hidden="1" customHeight="1">
      <c r="A183" s="334">
        <v>44246</v>
      </c>
      <c r="B183" s="334" t="s">
        <v>325</v>
      </c>
      <c r="C183" s="334" t="s">
        <v>131</v>
      </c>
      <c r="D183" s="334"/>
      <c r="E183" s="449">
        <v>5000</v>
      </c>
      <c r="F183" s="449"/>
      <c r="G183" s="476">
        <f t="shared" si="2"/>
        <v>23674850.99927</v>
      </c>
      <c r="H183" s="477" t="s">
        <v>102</v>
      </c>
      <c r="I183" s="459"/>
      <c r="J183" s="464"/>
      <c r="K183" s="340"/>
      <c r="L183" s="340"/>
      <c r="M183" s="341"/>
      <c r="N183" s="342"/>
      <c r="O183" s="342"/>
      <c r="P183" s="308"/>
    </row>
    <row r="184" spans="1:66" s="193" customFormat="1" ht="15" customHeight="1">
      <c r="A184" s="334">
        <v>44246</v>
      </c>
      <c r="B184" s="334" t="s">
        <v>544</v>
      </c>
      <c r="C184" s="443" t="s">
        <v>82</v>
      </c>
      <c r="D184" s="344" t="s">
        <v>207</v>
      </c>
      <c r="E184" s="449"/>
      <c r="F184" s="449">
        <v>5000</v>
      </c>
      <c r="G184" s="476">
        <f t="shared" si="2"/>
        <v>23669850.99927</v>
      </c>
      <c r="H184" s="477" t="s">
        <v>102</v>
      </c>
      <c r="I184" s="459" t="s">
        <v>67</v>
      </c>
      <c r="J184" s="464" t="s">
        <v>195</v>
      </c>
      <c r="K184" s="340" t="s">
        <v>35</v>
      </c>
      <c r="L184" s="340" t="s">
        <v>61</v>
      </c>
      <c r="M184" s="341"/>
      <c r="N184" s="342"/>
      <c r="O184" s="341"/>
      <c r="P184" s="308"/>
      <c r="Q184" s="286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spans="1:66" ht="15" hidden="1" customHeight="1">
      <c r="A185" s="334">
        <v>44246</v>
      </c>
      <c r="B185" s="334" t="s">
        <v>325</v>
      </c>
      <c r="C185" s="334" t="s">
        <v>131</v>
      </c>
      <c r="D185" s="334"/>
      <c r="E185" s="449">
        <v>15000</v>
      </c>
      <c r="F185" s="449"/>
      <c r="G185" s="476">
        <f t="shared" si="2"/>
        <v>23684850.99927</v>
      </c>
      <c r="H185" s="477" t="s">
        <v>102</v>
      </c>
      <c r="I185" s="459"/>
      <c r="J185" s="464"/>
      <c r="K185" s="340"/>
      <c r="L185" s="340"/>
      <c r="M185" s="357"/>
      <c r="N185" s="342"/>
      <c r="O185" s="341"/>
      <c r="P185" s="308"/>
    </row>
    <row r="186" spans="1:66" s="154" customFormat="1" ht="15" hidden="1" customHeight="1">
      <c r="A186" s="334">
        <v>44246</v>
      </c>
      <c r="B186" s="334" t="s">
        <v>348</v>
      </c>
      <c r="C186" s="334" t="s">
        <v>131</v>
      </c>
      <c r="D186" s="334"/>
      <c r="E186" s="449">
        <v>47760</v>
      </c>
      <c r="F186" s="449"/>
      <c r="G186" s="476">
        <f t="shared" si="2"/>
        <v>23732610.99927</v>
      </c>
      <c r="H186" s="339" t="s">
        <v>83</v>
      </c>
      <c r="I186" s="347"/>
      <c r="J186" s="468"/>
      <c r="K186" s="340"/>
      <c r="L186" s="340"/>
      <c r="M186" s="355"/>
      <c r="N186" s="342"/>
      <c r="O186" s="341"/>
      <c r="P186" s="308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6"/>
      <c r="AU186" s="286"/>
      <c r="AV186" s="286"/>
      <c r="AW186" s="286"/>
      <c r="AX186" s="286"/>
      <c r="AY186" s="286"/>
      <c r="AZ186" s="286"/>
      <c r="BA186" s="286"/>
      <c r="BB186" s="286"/>
      <c r="BC186" s="286"/>
      <c r="BD186" s="286"/>
      <c r="BE186" s="286"/>
      <c r="BF186" s="286"/>
      <c r="BG186" s="286"/>
      <c r="BH186" s="286"/>
      <c r="BI186" s="286"/>
      <c r="BJ186" s="286"/>
      <c r="BK186" s="286"/>
      <c r="BL186" s="286"/>
      <c r="BM186" s="286"/>
      <c r="BN186" s="286"/>
    </row>
    <row r="187" spans="1:66" ht="15" hidden="1" customHeight="1">
      <c r="A187" s="334">
        <v>44246</v>
      </c>
      <c r="B187" s="334" t="s">
        <v>348</v>
      </c>
      <c r="C187" s="334" t="s">
        <v>131</v>
      </c>
      <c r="D187" s="334"/>
      <c r="E187" s="449">
        <v>10000</v>
      </c>
      <c r="F187" s="449"/>
      <c r="G187" s="476">
        <f t="shared" si="2"/>
        <v>23742610.99927</v>
      </c>
      <c r="H187" s="339" t="s">
        <v>83</v>
      </c>
      <c r="I187" s="347"/>
      <c r="J187" s="464"/>
      <c r="K187" s="340"/>
      <c r="L187" s="340"/>
      <c r="M187" s="341"/>
      <c r="N187" s="342"/>
      <c r="O187" s="341"/>
      <c r="P187" s="308"/>
    </row>
    <row r="188" spans="1:66" ht="15" hidden="1" customHeight="1">
      <c r="A188" s="334">
        <v>44246</v>
      </c>
      <c r="B188" s="334" t="s">
        <v>348</v>
      </c>
      <c r="C188" s="334" t="s">
        <v>131</v>
      </c>
      <c r="D188" s="334"/>
      <c r="E188" s="449">
        <v>15000</v>
      </c>
      <c r="F188" s="449"/>
      <c r="G188" s="476">
        <f t="shared" si="2"/>
        <v>23757610.99927</v>
      </c>
      <c r="H188" s="339" t="s">
        <v>83</v>
      </c>
      <c r="I188" s="347"/>
      <c r="J188" s="468"/>
      <c r="K188" s="340"/>
      <c r="L188" s="340"/>
      <c r="M188" s="356"/>
      <c r="N188" s="342"/>
      <c r="O188" s="341"/>
      <c r="P188" s="308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6"/>
      <c r="AU188" s="286"/>
      <c r="AV188" s="286"/>
      <c r="AW188" s="286"/>
      <c r="AX188" s="286"/>
      <c r="AY188" s="286"/>
      <c r="AZ188" s="286"/>
      <c r="BA188" s="286"/>
      <c r="BB188" s="286"/>
      <c r="BC188" s="286"/>
      <c r="BD188" s="286"/>
      <c r="BE188" s="286"/>
      <c r="BF188" s="286"/>
      <c r="BG188" s="286"/>
      <c r="BH188" s="286"/>
      <c r="BI188" s="286"/>
      <c r="BJ188" s="286"/>
      <c r="BK188" s="286"/>
      <c r="BL188" s="286"/>
      <c r="BM188" s="286"/>
      <c r="BN188" s="286"/>
    </row>
    <row r="189" spans="1:66" s="154" customFormat="1" ht="15.75">
      <c r="A189" s="334">
        <v>44246</v>
      </c>
      <c r="B189" s="334" t="s">
        <v>545</v>
      </c>
      <c r="C189" s="443" t="s">
        <v>82</v>
      </c>
      <c r="D189" s="344" t="s">
        <v>207</v>
      </c>
      <c r="E189" s="449"/>
      <c r="F189" s="449">
        <v>4000</v>
      </c>
      <c r="G189" s="476">
        <f t="shared" si="2"/>
        <v>23753610.99927</v>
      </c>
      <c r="H189" s="339" t="s">
        <v>83</v>
      </c>
      <c r="I189" s="347" t="s">
        <v>146</v>
      </c>
      <c r="J189" s="465" t="s">
        <v>195</v>
      </c>
      <c r="K189" s="340" t="s">
        <v>35</v>
      </c>
      <c r="L189" s="340" t="s">
        <v>61</v>
      </c>
      <c r="M189" s="341"/>
      <c r="N189" s="342"/>
      <c r="O189" s="341"/>
      <c r="P189" s="308"/>
    </row>
    <row r="190" spans="1:66" s="154" customFormat="1" ht="15" hidden="1" customHeight="1">
      <c r="A190" s="334">
        <v>44246</v>
      </c>
      <c r="B190" s="334" t="s">
        <v>198</v>
      </c>
      <c r="C190" s="334" t="s">
        <v>131</v>
      </c>
      <c r="D190" s="334"/>
      <c r="E190" s="449">
        <v>194000</v>
      </c>
      <c r="F190" s="449"/>
      <c r="G190" s="476">
        <f t="shared" si="2"/>
        <v>23947610.99927</v>
      </c>
      <c r="H190" s="339" t="s">
        <v>69</v>
      </c>
      <c r="I190" s="481"/>
      <c r="J190" s="464"/>
      <c r="K190" s="340"/>
      <c r="L190" s="340"/>
      <c r="M190" s="341"/>
      <c r="N190" s="342"/>
      <c r="O190" s="341"/>
      <c r="P190" s="308"/>
    </row>
    <row r="191" spans="1:66" s="303" customFormat="1" ht="15" hidden="1" customHeight="1">
      <c r="A191" s="334">
        <v>44246</v>
      </c>
      <c r="B191" s="334" t="s">
        <v>367</v>
      </c>
      <c r="C191" s="334" t="s">
        <v>131</v>
      </c>
      <c r="D191" s="334"/>
      <c r="E191" s="449">
        <v>100000</v>
      </c>
      <c r="F191" s="449"/>
      <c r="G191" s="476">
        <f t="shared" si="2"/>
        <v>24047610.99927</v>
      </c>
      <c r="H191" s="341" t="s">
        <v>178</v>
      </c>
      <c r="I191" s="347"/>
      <c r="J191" s="352"/>
      <c r="K191" s="340"/>
      <c r="L191" s="340"/>
      <c r="M191" s="341"/>
      <c r="N191" s="342"/>
      <c r="O191" s="341"/>
      <c r="P191" s="312"/>
    </row>
    <row r="192" spans="1:66" ht="15" hidden="1" customHeight="1">
      <c r="A192" s="334">
        <v>44246</v>
      </c>
      <c r="B192" s="334" t="s">
        <v>182</v>
      </c>
      <c r="C192" s="334" t="s">
        <v>131</v>
      </c>
      <c r="D192" s="334"/>
      <c r="E192" s="449">
        <v>10000</v>
      </c>
      <c r="F192" s="449"/>
      <c r="G192" s="476">
        <f t="shared" si="2"/>
        <v>24057610.99927</v>
      </c>
      <c r="H192" s="329" t="s">
        <v>158</v>
      </c>
      <c r="I192" s="459"/>
      <c r="J192" s="468"/>
      <c r="K192" s="340"/>
      <c r="L192" s="340"/>
      <c r="M192" s="328"/>
      <c r="N192" s="342"/>
      <c r="O192" s="341"/>
      <c r="P192" s="308"/>
      <c r="Q192" s="286"/>
    </row>
    <row r="193" spans="1:66" s="286" customFormat="1" ht="15" customHeight="1">
      <c r="A193" s="334">
        <v>44247</v>
      </c>
      <c r="B193" s="334" t="s">
        <v>465</v>
      </c>
      <c r="C193" s="334" t="s">
        <v>463</v>
      </c>
      <c r="D193" s="334" t="s">
        <v>208</v>
      </c>
      <c r="E193" s="449"/>
      <c r="F193" s="456">
        <v>20000</v>
      </c>
      <c r="G193" s="476">
        <f t="shared" si="2"/>
        <v>24037610.99927</v>
      </c>
      <c r="H193" s="349" t="s">
        <v>66</v>
      </c>
      <c r="I193" s="459" t="s">
        <v>81</v>
      </c>
      <c r="J193" s="352" t="s">
        <v>195</v>
      </c>
      <c r="K193" s="340" t="s">
        <v>35</v>
      </c>
      <c r="L193" s="340" t="s">
        <v>61</v>
      </c>
      <c r="M193" s="355"/>
      <c r="N193" s="342"/>
      <c r="O193" s="341"/>
      <c r="P193" s="308"/>
    </row>
    <row r="194" spans="1:66" ht="15" customHeight="1">
      <c r="A194" s="334">
        <v>44247</v>
      </c>
      <c r="B194" s="334" t="s">
        <v>546</v>
      </c>
      <c r="C194" s="443" t="s">
        <v>82</v>
      </c>
      <c r="D194" s="334" t="s">
        <v>207</v>
      </c>
      <c r="E194" s="449"/>
      <c r="F194" s="449">
        <v>5000</v>
      </c>
      <c r="G194" s="476">
        <f t="shared" si="2"/>
        <v>24032610.99927</v>
      </c>
      <c r="H194" s="477" t="s">
        <v>102</v>
      </c>
      <c r="I194" s="459" t="s">
        <v>67</v>
      </c>
      <c r="J194" s="464" t="s">
        <v>195</v>
      </c>
      <c r="K194" s="340" t="s">
        <v>35</v>
      </c>
      <c r="L194" s="340" t="s">
        <v>61</v>
      </c>
      <c r="M194" s="328"/>
      <c r="N194" s="342"/>
      <c r="O194" s="341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</row>
    <row r="195" spans="1:66" ht="15" customHeight="1">
      <c r="A195" s="334">
        <v>44247</v>
      </c>
      <c r="B195" s="334" t="s">
        <v>544</v>
      </c>
      <c r="C195" s="443" t="s">
        <v>82</v>
      </c>
      <c r="D195" s="334" t="s">
        <v>207</v>
      </c>
      <c r="E195" s="449"/>
      <c r="F195" s="449">
        <v>5000</v>
      </c>
      <c r="G195" s="476">
        <f t="shared" si="2"/>
        <v>24027610.99927</v>
      </c>
      <c r="H195" s="477" t="s">
        <v>102</v>
      </c>
      <c r="I195" s="459" t="s">
        <v>67</v>
      </c>
      <c r="J195" s="468" t="s">
        <v>195</v>
      </c>
      <c r="K195" s="340" t="s">
        <v>35</v>
      </c>
      <c r="L195" s="340" t="s">
        <v>61</v>
      </c>
      <c r="M195" s="328"/>
      <c r="N195" s="342"/>
      <c r="O195" s="340"/>
      <c r="P195" s="310"/>
      <c r="Q195" s="286"/>
    </row>
    <row r="196" spans="1:66" s="303" customFormat="1" ht="15" customHeight="1">
      <c r="A196" s="334">
        <v>44247</v>
      </c>
      <c r="B196" s="334" t="s">
        <v>544</v>
      </c>
      <c r="C196" s="443" t="s">
        <v>82</v>
      </c>
      <c r="D196" s="334" t="s">
        <v>207</v>
      </c>
      <c r="E196" s="449"/>
      <c r="F196" s="449">
        <v>5000</v>
      </c>
      <c r="G196" s="476">
        <f t="shared" si="2"/>
        <v>24022610.99927</v>
      </c>
      <c r="H196" s="477" t="s">
        <v>102</v>
      </c>
      <c r="I196" s="459" t="s">
        <v>67</v>
      </c>
      <c r="J196" s="464" t="s">
        <v>195</v>
      </c>
      <c r="K196" s="340" t="s">
        <v>35</v>
      </c>
      <c r="L196" s="340" t="s">
        <v>61</v>
      </c>
      <c r="M196" s="328"/>
      <c r="N196" s="342"/>
      <c r="O196" s="341"/>
      <c r="P196" s="308"/>
      <c r="Q196" s="286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spans="1:66" s="303" customFormat="1" ht="15" customHeight="1">
      <c r="A197" s="334">
        <v>44247</v>
      </c>
      <c r="B197" s="334" t="s">
        <v>545</v>
      </c>
      <c r="C197" s="443" t="s">
        <v>82</v>
      </c>
      <c r="D197" s="344" t="s">
        <v>207</v>
      </c>
      <c r="E197" s="449"/>
      <c r="F197" s="449">
        <v>5000</v>
      </c>
      <c r="G197" s="476">
        <f t="shared" si="2"/>
        <v>24017610.99927</v>
      </c>
      <c r="H197" s="339" t="s">
        <v>83</v>
      </c>
      <c r="I197" s="347" t="s">
        <v>81</v>
      </c>
      <c r="J197" s="465" t="s">
        <v>195</v>
      </c>
      <c r="K197" s="340" t="s">
        <v>35</v>
      </c>
      <c r="L197" s="340" t="s">
        <v>61</v>
      </c>
      <c r="M197" s="479"/>
      <c r="N197" s="472"/>
      <c r="O197" s="341"/>
      <c r="P197" s="312"/>
      <c r="Q197" s="154"/>
    </row>
    <row r="198" spans="1:66" s="286" customFormat="1" ht="15" customHeight="1">
      <c r="A198" s="334">
        <v>44247</v>
      </c>
      <c r="B198" s="334" t="s">
        <v>318</v>
      </c>
      <c r="C198" s="334" t="s">
        <v>181</v>
      </c>
      <c r="D198" s="344" t="s">
        <v>132</v>
      </c>
      <c r="E198" s="449"/>
      <c r="F198" s="449">
        <v>30000</v>
      </c>
      <c r="G198" s="476">
        <f t="shared" si="2"/>
        <v>23987610.99927</v>
      </c>
      <c r="H198" s="329" t="s">
        <v>133</v>
      </c>
      <c r="I198" s="459" t="s">
        <v>81</v>
      </c>
      <c r="J198" s="468" t="s">
        <v>183</v>
      </c>
      <c r="K198" s="340" t="s">
        <v>63</v>
      </c>
      <c r="L198" s="340" t="s">
        <v>61</v>
      </c>
      <c r="M198" s="357" t="s">
        <v>509</v>
      </c>
      <c r="N198" s="342" t="s">
        <v>88</v>
      </c>
      <c r="O198" s="341"/>
      <c r="P198" s="308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</row>
    <row r="199" spans="1:66" s="286" customFormat="1" ht="15" customHeight="1">
      <c r="A199" s="334">
        <v>44247</v>
      </c>
      <c r="B199" s="334" t="s">
        <v>548</v>
      </c>
      <c r="C199" s="334" t="s">
        <v>82</v>
      </c>
      <c r="D199" s="344" t="s">
        <v>31</v>
      </c>
      <c r="E199" s="449"/>
      <c r="F199" s="449">
        <v>205000</v>
      </c>
      <c r="G199" s="476">
        <f t="shared" si="2"/>
        <v>23782610.99927</v>
      </c>
      <c r="H199" s="341" t="s">
        <v>178</v>
      </c>
      <c r="I199" s="347" t="s">
        <v>146</v>
      </c>
      <c r="J199" s="465" t="s">
        <v>195</v>
      </c>
      <c r="K199" s="340" t="s">
        <v>35</v>
      </c>
      <c r="L199" s="340" t="s">
        <v>61</v>
      </c>
      <c r="M199" s="341"/>
      <c r="N199" s="342"/>
      <c r="O199" s="341"/>
      <c r="P199" s="308"/>
      <c r="Q199" s="47"/>
    </row>
    <row r="200" spans="1:66" s="286" customFormat="1" ht="15" customHeight="1">
      <c r="A200" s="334">
        <v>44247</v>
      </c>
      <c r="B200" s="334" t="s">
        <v>324</v>
      </c>
      <c r="C200" s="334" t="s">
        <v>78</v>
      </c>
      <c r="D200" s="344" t="s">
        <v>132</v>
      </c>
      <c r="E200" s="449"/>
      <c r="F200" s="449">
        <v>6000</v>
      </c>
      <c r="G200" s="476">
        <f t="shared" si="2"/>
        <v>23776610.99927</v>
      </c>
      <c r="H200" s="329" t="s">
        <v>133</v>
      </c>
      <c r="I200" s="459" t="s">
        <v>81</v>
      </c>
      <c r="J200" s="464" t="s">
        <v>183</v>
      </c>
      <c r="K200" s="340" t="s">
        <v>63</v>
      </c>
      <c r="L200" s="340" t="s">
        <v>61</v>
      </c>
      <c r="M200" s="328" t="s">
        <v>510</v>
      </c>
      <c r="N200" s="342" t="s">
        <v>153</v>
      </c>
      <c r="O200" s="346"/>
      <c r="P200" s="308"/>
    </row>
    <row r="201" spans="1:66" s="154" customFormat="1" ht="15" customHeight="1">
      <c r="A201" s="334">
        <v>44247</v>
      </c>
      <c r="B201" s="334" t="s">
        <v>319</v>
      </c>
      <c r="C201" s="334" t="s">
        <v>78</v>
      </c>
      <c r="D201" s="334" t="s">
        <v>132</v>
      </c>
      <c r="E201" s="449"/>
      <c r="F201" s="449">
        <v>8000</v>
      </c>
      <c r="G201" s="476">
        <f t="shared" si="2"/>
        <v>23768610.99927</v>
      </c>
      <c r="H201" s="329" t="s">
        <v>133</v>
      </c>
      <c r="I201" s="459" t="s">
        <v>81</v>
      </c>
      <c r="J201" s="464" t="s">
        <v>183</v>
      </c>
      <c r="K201" s="340" t="s">
        <v>63</v>
      </c>
      <c r="L201" s="340" t="s">
        <v>61</v>
      </c>
      <c r="M201" s="328" t="s">
        <v>511</v>
      </c>
      <c r="N201" s="342" t="s">
        <v>153</v>
      </c>
      <c r="O201" s="341"/>
      <c r="P201" s="308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spans="1:66" s="286" customFormat="1" ht="15" customHeight="1">
      <c r="A202" s="334">
        <v>44247</v>
      </c>
      <c r="B202" s="334" t="s">
        <v>371</v>
      </c>
      <c r="C202" s="334" t="s">
        <v>78</v>
      </c>
      <c r="D202" s="334" t="s">
        <v>31</v>
      </c>
      <c r="E202" s="449"/>
      <c r="F202" s="449">
        <v>15000</v>
      </c>
      <c r="G202" s="476">
        <f t="shared" si="2"/>
        <v>23753610.99927</v>
      </c>
      <c r="H202" s="341" t="s">
        <v>178</v>
      </c>
      <c r="I202" s="347" t="s">
        <v>81</v>
      </c>
      <c r="J202" s="465" t="s">
        <v>183</v>
      </c>
      <c r="K202" s="340" t="s">
        <v>63</v>
      </c>
      <c r="L202" s="340" t="s">
        <v>61</v>
      </c>
      <c r="M202" s="341" t="s">
        <v>512</v>
      </c>
      <c r="N202" s="342" t="s">
        <v>153</v>
      </c>
      <c r="O202" s="341"/>
      <c r="P202" s="310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3"/>
      <c r="AT202" s="193"/>
      <c r="AU202" s="193"/>
      <c r="AV202" s="193"/>
      <c r="AW202" s="193"/>
      <c r="AX202" s="193"/>
      <c r="AY202" s="193"/>
      <c r="AZ202" s="193"/>
      <c r="BA202" s="193"/>
      <c r="BB202" s="193"/>
      <c r="BC202" s="193"/>
      <c r="BD202" s="193"/>
      <c r="BE202" s="193"/>
      <c r="BF202" s="193"/>
      <c r="BG202" s="193"/>
      <c r="BH202" s="193"/>
      <c r="BI202" s="193"/>
      <c r="BJ202" s="193"/>
      <c r="BK202" s="193"/>
      <c r="BL202" s="193"/>
      <c r="BM202" s="193"/>
      <c r="BN202" s="193"/>
    </row>
    <row r="203" spans="1:66" s="286" customFormat="1" ht="15" hidden="1" customHeight="1">
      <c r="A203" s="334">
        <v>44248</v>
      </c>
      <c r="B203" s="334" t="s">
        <v>325</v>
      </c>
      <c r="C203" s="334" t="s">
        <v>131</v>
      </c>
      <c r="D203" s="334"/>
      <c r="E203" s="449">
        <v>5000</v>
      </c>
      <c r="F203" s="449"/>
      <c r="G203" s="476">
        <f t="shared" si="2"/>
        <v>23758610.99927</v>
      </c>
      <c r="H203" s="477" t="s">
        <v>102</v>
      </c>
      <c r="I203" s="459"/>
      <c r="J203" s="464"/>
      <c r="K203" s="340"/>
      <c r="L203" s="340"/>
      <c r="M203" s="341"/>
      <c r="N203" s="342"/>
      <c r="O203" s="341"/>
      <c r="P203" s="308"/>
    </row>
    <row r="204" spans="1:66" s="154" customFormat="1" ht="15" customHeight="1">
      <c r="A204" s="334">
        <v>44248</v>
      </c>
      <c r="B204" s="334" t="s">
        <v>368</v>
      </c>
      <c r="C204" s="334" t="s">
        <v>147</v>
      </c>
      <c r="D204" s="334" t="s">
        <v>31</v>
      </c>
      <c r="E204" s="449"/>
      <c r="F204" s="449">
        <v>150000</v>
      </c>
      <c r="G204" s="476">
        <f t="shared" si="2"/>
        <v>23608610.99927</v>
      </c>
      <c r="H204" s="341" t="s">
        <v>178</v>
      </c>
      <c r="I204" s="347" t="s">
        <v>81</v>
      </c>
      <c r="J204" s="465" t="s">
        <v>183</v>
      </c>
      <c r="K204" s="340" t="s">
        <v>63</v>
      </c>
      <c r="L204" s="340" t="s">
        <v>61</v>
      </c>
      <c r="M204" s="328" t="s">
        <v>513</v>
      </c>
      <c r="N204" s="342" t="s">
        <v>88</v>
      </c>
      <c r="O204" s="341"/>
      <c r="P204" s="308"/>
      <c r="Q204" s="286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spans="1:66" s="286" customFormat="1" ht="15" customHeight="1">
      <c r="A205" s="334">
        <v>44249</v>
      </c>
      <c r="B205" s="334" t="s">
        <v>294</v>
      </c>
      <c r="C205" s="334" t="s">
        <v>20</v>
      </c>
      <c r="D205" s="344" t="s">
        <v>207</v>
      </c>
      <c r="E205" s="449"/>
      <c r="F205" s="449">
        <v>5000</v>
      </c>
      <c r="G205" s="476">
        <f t="shared" si="2"/>
        <v>23603610.99927</v>
      </c>
      <c r="H205" s="348" t="s">
        <v>66</v>
      </c>
      <c r="I205" s="342" t="s">
        <v>81</v>
      </c>
      <c r="J205" s="464" t="s">
        <v>195</v>
      </c>
      <c r="K205" s="340" t="s">
        <v>35</v>
      </c>
      <c r="L205" s="340" t="s">
        <v>61</v>
      </c>
      <c r="M205" s="341"/>
      <c r="N205" s="342"/>
      <c r="O205" s="341"/>
      <c r="P205" s="308"/>
    </row>
    <row r="206" spans="1:66" s="154" customFormat="1" ht="15" customHeight="1">
      <c r="A206" s="334">
        <v>44249</v>
      </c>
      <c r="B206" s="334" t="s">
        <v>295</v>
      </c>
      <c r="C206" s="334" t="s">
        <v>20</v>
      </c>
      <c r="D206" s="344" t="s">
        <v>207</v>
      </c>
      <c r="E206" s="449"/>
      <c r="F206" s="449">
        <v>5000</v>
      </c>
      <c r="G206" s="476">
        <f t="shared" ref="G206:G269" si="3">G205+E206-F206</f>
        <v>23598610.99927</v>
      </c>
      <c r="H206" s="349" t="s">
        <v>66</v>
      </c>
      <c r="I206" s="342" t="s">
        <v>81</v>
      </c>
      <c r="J206" s="464" t="s">
        <v>195</v>
      </c>
      <c r="K206" s="339" t="s">
        <v>35</v>
      </c>
      <c r="L206" s="340" t="s">
        <v>61</v>
      </c>
      <c r="M206" s="341"/>
      <c r="N206" s="342"/>
      <c r="O206" s="341"/>
      <c r="P206" s="308"/>
      <c r="Q206" s="47"/>
    </row>
    <row r="207" spans="1:66" s="154" customFormat="1" ht="15" hidden="1" customHeight="1">
      <c r="A207" s="334">
        <v>44249</v>
      </c>
      <c r="B207" s="334" t="s">
        <v>125</v>
      </c>
      <c r="C207" s="334" t="s">
        <v>131</v>
      </c>
      <c r="D207" s="334"/>
      <c r="E207" s="449"/>
      <c r="F207" s="449">
        <v>194000</v>
      </c>
      <c r="G207" s="476">
        <f t="shared" si="3"/>
        <v>23404610.99927</v>
      </c>
      <c r="H207" s="349" t="s">
        <v>66</v>
      </c>
      <c r="I207" s="342"/>
      <c r="J207" s="464"/>
      <c r="K207" s="340"/>
      <c r="L207" s="340"/>
      <c r="M207" s="328"/>
      <c r="N207" s="342"/>
      <c r="O207" s="342"/>
      <c r="P207" s="313"/>
    </row>
    <row r="208" spans="1:66" ht="15" hidden="1" customHeight="1">
      <c r="A208" s="334">
        <v>44249</v>
      </c>
      <c r="B208" s="334" t="s">
        <v>102</v>
      </c>
      <c r="C208" s="334" t="s">
        <v>131</v>
      </c>
      <c r="D208" s="334"/>
      <c r="E208" s="449"/>
      <c r="F208" s="449">
        <v>20000</v>
      </c>
      <c r="G208" s="476">
        <f t="shared" si="3"/>
        <v>23384610.99927</v>
      </c>
      <c r="H208" s="349" t="s">
        <v>66</v>
      </c>
      <c r="I208" s="342"/>
      <c r="J208" s="464"/>
      <c r="K208" s="340"/>
      <c r="L208" s="340"/>
      <c r="M208" s="341"/>
      <c r="N208" s="342"/>
      <c r="O208" s="341"/>
      <c r="P208" s="308"/>
    </row>
    <row r="209" spans="1:66" ht="15" hidden="1" customHeight="1">
      <c r="A209" s="334">
        <v>44249</v>
      </c>
      <c r="B209" s="334" t="s">
        <v>83</v>
      </c>
      <c r="C209" s="334" t="s">
        <v>131</v>
      </c>
      <c r="D209" s="334"/>
      <c r="E209" s="449"/>
      <c r="F209" s="449">
        <v>90000</v>
      </c>
      <c r="G209" s="476">
        <f t="shared" si="3"/>
        <v>23294610.99927</v>
      </c>
      <c r="H209" s="348" t="s">
        <v>66</v>
      </c>
      <c r="I209" s="464"/>
      <c r="J209" s="465"/>
      <c r="K209" s="340"/>
      <c r="L209" s="340"/>
      <c r="M209" s="341"/>
      <c r="N209" s="342"/>
      <c r="O209" s="341"/>
      <c r="P209" s="308"/>
    </row>
    <row r="210" spans="1:66" s="154" customFormat="1" ht="15" hidden="1" customHeight="1">
      <c r="A210" s="334">
        <v>44249</v>
      </c>
      <c r="B210" s="334" t="s">
        <v>83</v>
      </c>
      <c r="C210" s="344" t="s">
        <v>131</v>
      </c>
      <c r="D210" s="334"/>
      <c r="E210" s="449"/>
      <c r="F210" s="449">
        <v>15000</v>
      </c>
      <c r="G210" s="476">
        <f t="shared" si="3"/>
        <v>23279610.99927</v>
      </c>
      <c r="H210" s="349" t="s">
        <v>66</v>
      </c>
      <c r="I210" s="464"/>
      <c r="J210" s="464"/>
      <c r="K210" s="340"/>
      <c r="L210" s="340"/>
      <c r="M210" s="341"/>
      <c r="N210" s="342"/>
      <c r="O210" s="341"/>
      <c r="P210" s="308"/>
    </row>
    <row r="211" spans="1:66" s="154" customFormat="1" ht="15" customHeight="1">
      <c r="A211" s="334">
        <v>44249</v>
      </c>
      <c r="B211" s="334" t="s">
        <v>296</v>
      </c>
      <c r="C211" s="334" t="s">
        <v>80</v>
      </c>
      <c r="D211" s="334" t="s">
        <v>21</v>
      </c>
      <c r="E211" s="449"/>
      <c r="F211" s="449">
        <v>4700</v>
      </c>
      <c r="G211" s="476">
        <f t="shared" si="3"/>
        <v>23274910.99927</v>
      </c>
      <c r="H211" s="349" t="s">
        <v>66</v>
      </c>
      <c r="I211" s="459" t="s">
        <v>81</v>
      </c>
      <c r="J211" s="352" t="s">
        <v>195</v>
      </c>
      <c r="K211" s="340" t="s">
        <v>35</v>
      </c>
      <c r="L211" s="340" t="s">
        <v>61</v>
      </c>
      <c r="M211" s="341"/>
      <c r="N211" s="352"/>
      <c r="O211" s="341"/>
      <c r="P211" s="308"/>
    </row>
    <row r="212" spans="1:66" ht="15" customHeight="1">
      <c r="A212" s="334">
        <v>44249</v>
      </c>
      <c r="B212" s="334" t="s">
        <v>392</v>
      </c>
      <c r="C212" s="334" t="s">
        <v>26</v>
      </c>
      <c r="D212" s="334" t="s">
        <v>31</v>
      </c>
      <c r="E212" s="449"/>
      <c r="F212" s="449">
        <v>35000</v>
      </c>
      <c r="G212" s="476">
        <f t="shared" si="3"/>
        <v>23239910.99927</v>
      </c>
      <c r="H212" s="349" t="s">
        <v>66</v>
      </c>
      <c r="I212" s="347" t="s">
        <v>146</v>
      </c>
      <c r="J212" s="464" t="s">
        <v>195</v>
      </c>
      <c r="K212" s="340" t="s">
        <v>35</v>
      </c>
      <c r="L212" s="340" t="s">
        <v>61</v>
      </c>
      <c r="M212" s="341"/>
      <c r="N212" s="342"/>
      <c r="O212" s="341"/>
      <c r="P212" s="308"/>
      <c r="Q212" s="286"/>
    </row>
    <row r="213" spans="1:66" s="286" customFormat="1" ht="15" customHeight="1">
      <c r="A213" s="334">
        <v>44249</v>
      </c>
      <c r="B213" s="334" t="s">
        <v>298</v>
      </c>
      <c r="C213" s="334" t="s">
        <v>26</v>
      </c>
      <c r="D213" s="334" t="s">
        <v>132</v>
      </c>
      <c r="E213" s="449"/>
      <c r="F213" s="449">
        <v>20000</v>
      </c>
      <c r="G213" s="476">
        <f t="shared" si="3"/>
        <v>23219910.99927</v>
      </c>
      <c r="H213" s="349" t="s">
        <v>66</v>
      </c>
      <c r="I213" s="347" t="s">
        <v>146</v>
      </c>
      <c r="J213" s="464" t="s">
        <v>195</v>
      </c>
      <c r="K213" s="340" t="s">
        <v>35</v>
      </c>
      <c r="L213" s="340" t="s">
        <v>61</v>
      </c>
      <c r="M213" s="341"/>
      <c r="N213" s="352"/>
      <c r="O213" s="341"/>
      <c r="P213" s="313"/>
    </row>
    <row r="214" spans="1:66" ht="15" customHeight="1">
      <c r="A214" s="334">
        <v>44249</v>
      </c>
      <c r="B214" s="334" t="s">
        <v>395</v>
      </c>
      <c r="C214" s="351" t="s">
        <v>79</v>
      </c>
      <c r="D214" s="334" t="s">
        <v>132</v>
      </c>
      <c r="E214" s="449"/>
      <c r="F214" s="449">
        <v>30000</v>
      </c>
      <c r="G214" s="476">
        <f t="shared" si="3"/>
        <v>23189910.99927</v>
      </c>
      <c r="H214" s="349" t="s">
        <v>66</v>
      </c>
      <c r="I214" s="347" t="s">
        <v>146</v>
      </c>
      <c r="J214" s="464" t="s">
        <v>195</v>
      </c>
      <c r="K214" s="358" t="s">
        <v>35</v>
      </c>
      <c r="L214" s="340" t="s">
        <v>61</v>
      </c>
      <c r="M214" s="341"/>
      <c r="N214" s="342"/>
      <c r="O214" s="341"/>
      <c r="P214" s="308"/>
      <c r="Q214" s="308"/>
      <c r="R214" s="308"/>
    </row>
    <row r="215" spans="1:66" s="286" customFormat="1" ht="15" hidden="1" customHeight="1">
      <c r="A215" s="334">
        <v>44249</v>
      </c>
      <c r="B215" s="334" t="s">
        <v>320</v>
      </c>
      <c r="C215" s="344" t="s">
        <v>131</v>
      </c>
      <c r="D215" s="334"/>
      <c r="E215" s="449">
        <v>4000</v>
      </c>
      <c r="F215" s="449"/>
      <c r="G215" s="476">
        <f t="shared" si="3"/>
        <v>23193910.99927</v>
      </c>
      <c r="H215" s="329" t="s">
        <v>133</v>
      </c>
      <c r="I215" s="460"/>
      <c r="J215" s="464"/>
      <c r="K215" s="340"/>
      <c r="L215" s="340"/>
      <c r="M215" s="328"/>
      <c r="N215" s="342"/>
      <c r="O215" s="341"/>
      <c r="P215" s="308"/>
    </row>
    <row r="216" spans="1:66" s="193" customFormat="1" ht="15" hidden="1" customHeight="1">
      <c r="A216" s="334">
        <v>44249</v>
      </c>
      <c r="B216" s="334" t="s">
        <v>330</v>
      </c>
      <c r="C216" s="334" t="s">
        <v>131</v>
      </c>
      <c r="D216" s="334"/>
      <c r="E216" s="449">
        <v>5000</v>
      </c>
      <c r="F216" s="449"/>
      <c r="G216" s="476">
        <f t="shared" si="3"/>
        <v>23198910.99927</v>
      </c>
      <c r="H216" s="477" t="s">
        <v>102</v>
      </c>
      <c r="I216" s="459"/>
      <c r="J216" s="352"/>
      <c r="K216" s="340"/>
      <c r="L216" s="340"/>
      <c r="M216" s="328"/>
      <c r="N216" s="342"/>
      <c r="O216" s="341"/>
      <c r="P216" s="308"/>
      <c r="Q216" s="286"/>
    </row>
    <row r="217" spans="1:66" s="193" customFormat="1" ht="15" customHeight="1">
      <c r="A217" s="334">
        <v>44249</v>
      </c>
      <c r="B217" s="334" t="s">
        <v>549</v>
      </c>
      <c r="C217" s="443" t="s">
        <v>82</v>
      </c>
      <c r="D217" s="443" t="s">
        <v>31</v>
      </c>
      <c r="E217" s="449"/>
      <c r="F217" s="449">
        <v>1000</v>
      </c>
      <c r="G217" s="476">
        <f t="shared" si="3"/>
        <v>23197910.99927</v>
      </c>
      <c r="H217" s="477" t="s">
        <v>102</v>
      </c>
      <c r="I217" s="347" t="s">
        <v>146</v>
      </c>
      <c r="J217" s="464" t="s">
        <v>195</v>
      </c>
      <c r="K217" s="340" t="s">
        <v>35</v>
      </c>
      <c r="L217" s="340" t="s">
        <v>61</v>
      </c>
      <c r="M217" s="341"/>
      <c r="N217" s="342"/>
      <c r="O217" s="341"/>
      <c r="P217" s="308"/>
      <c r="Q217" s="308"/>
      <c r="R217" s="308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spans="1:66" s="193" customFormat="1" ht="15" hidden="1" customHeight="1">
      <c r="A218" s="334">
        <v>44249</v>
      </c>
      <c r="B218" s="334" t="s">
        <v>336</v>
      </c>
      <c r="C218" s="334" t="s">
        <v>131</v>
      </c>
      <c r="D218" s="334"/>
      <c r="E218" s="449">
        <v>4000</v>
      </c>
      <c r="F218" s="449"/>
      <c r="G218" s="476">
        <f t="shared" si="3"/>
        <v>23201910.99927</v>
      </c>
      <c r="H218" s="329" t="s">
        <v>75</v>
      </c>
      <c r="I218" s="347"/>
      <c r="J218" s="464"/>
      <c r="K218" s="339"/>
      <c r="L218" s="339"/>
      <c r="M218" s="482"/>
      <c r="N218" s="342"/>
      <c r="O218" s="346"/>
      <c r="P218" s="315"/>
      <c r="Q218" s="308"/>
      <c r="R218" s="308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286"/>
      <c r="AH218" s="286"/>
      <c r="AI218" s="286"/>
      <c r="AJ218" s="286"/>
      <c r="AK218" s="286"/>
      <c r="AL218" s="286"/>
      <c r="AM218" s="286"/>
      <c r="AN218" s="286"/>
      <c r="AO218" s="286"/>
      <c r="AP218" s="286"/>
      <c r="AQ218" s="286"/>
      <c r="AR218" s="286"/>
      <c r="AS218" s="286"/>
      <c r="AT218" s="286"/>
      <c r="AU218" s="286"/>
      <c r="AV218" s="286"/>
      <c r="AW218" s="286"/>
      <c r="AX218" s="286"/>
      <c r="AY218" s="286"/>
      <c r="AZ218" s="286"/>
      <c r="BA218" s="286"/>
      <c r="BB218" s="286"/>
      <c r="BC218" s="286"/>
      <c r="BD218" s="286"/>
      <c r="BE218" s="286"/>
      <c r="BF218" s="286"/>
      <c r="BG218" s="286"/>
      <c r="BH218" s="286"/>
      <c r="BI218" s="286"/>
      <c r="BJ218" s="286"/>
      <c r="BK218" s="286"/>
      <c r="BL218" s="286"/>
      <c r="BM218" s="286"/>
      <c r="BN218" s="286"/>
    </row>
    <row r="219" spans="1:66" s="286" customFormat="1" ht="15" customHeight="1">
      <c r="A219" s="334">
        <v>44249</v>
      </c>
      <c r="B219" s="334" t="s">
        <v>457</v>
      </c>
      <c r="C219" s="334" t="s">
        <v>79</v>
      </c>
      <c r="D219" s="334" t="s">
        <v>132</v>
      </c>
      <c r="E219" s="449"/>
      <c r="F219" s="449">
        <v>2300</v>
      </c>
      <c r="G219" s="476">
        <f t="shared" si="3"/>
        <v>23199610.99927</v>
      </c>
      <c r="H219" s="329" t="s">
        <v>75</v>
      </c>
      <c r="I219" s="459" t="s">
        <v>67</v>
      </c>
      <c r="J219" s="464" t="s">
        <v>195</v>
      </c>
      <c r="K219" s="340" t="s">
        <v>35</v>
      </c>
      <c r="L219" s="340" t="s">
        <v>61</v>
      </c>
      <c r="M219" s="341"/>
      <c r="N219" s="352"/>
      <c r="O219" s="341"/>
      <c r="P219" s="310"/>
    </row>
    <row r="220" spans="1:66" s="193" customFormat="1" ht="15" customHeight="1">
      <c r="A220" s="334">
        <v>44249</v>
      </c>
      <c r="B220" s="334" t="s">
        <v>337</v>
      </c>
      <c r="C220" s="334" t="s">
        <v>79</v>
      </c>
      <c r="D220" s="334" t="s">
        <v>132</v>
      </c>
      <c r="E220" s="449"/>
      <c r="F220" s="449">
        <v>500</v>
      </c>
      <c r="G220" s="476">
        <f t="shared" si="3"/>
        <v>23199110.99927</v>
      </c>
      <c r="H220" s="329" t="s">
        <v>75</v>
      </c>
      <c r="I220" s="347" t="s">
        <v>146</v>
      </c>
      <c r="J220" s="464" t="s">
        <v>195</v>
      </c>
      <c r="K220" s="340" t="s">
        <v>35</v>
      </c>
      <c r="L220" s="340" t="s">
        <v>61</v>
      </c>
      <c r="M220" s="341"/>
      <c r="N220" s="342"/>
      <c r="O220" s="341"/>
      <c r="P220" s="314"/>
      <c r="Q220" s="248"/>
    </row>
    <row r="221" spans="1:66" s="193" customFormat="1" ht="15" hidden="1" customHeight="1">
      <c r="A221" s="334">
        <v>44249</v>
      </c>
      <c r="B221" s="334" t="s">
        <v>341</v>
      </c>
      <c r="C221" s="334" t="s">
        <v>131</v>
      </c>
      <c r="D221" s="334"/>
      <c r="E221" s="449">
        <v>4000</v>
      </c>
      <c r="F221" s="449"/>
      <c r="G221" s="476">
        <f t="shared" si="3"/>
        <v>23203110.99927</v>
      </c>
      <c r="H221" s="348" t="s">
        <v>134</v>
      </c>
      <c r="I221" s="347"/>
      <c r="J221" s="464"/>
      <c r="K221" s="340"/>
      <c r="L221" s="340"/>
      <c r="M221" s="328"/>
      <c r="N221" s="342"/>
      <c r="O221" s="346"/>
      <c r="P221" s="310"/>
      <c r="Q221" s="286"/>
    </row>
    <row r="222" spans="1:66" s="193" customFormat="1" ht="15" customHeight="1">
      <c r="A222" s="334">
        <v>44249</v>
      </c>
      <c r="B222" s="334" t="s">
        <v>343</v>
      </c>
      <c r="C222" s="334" t="s">
        <v>79</v>
      </c>
      <c r="D222" s="334" t="s">
        <v>132</v>
      </c>
      <c r="E222" s="449"/>
      <c r="F222" s="449">
        <v>91200</v>
      </c>
      <c r="G222" s="476">
        <f t="shared" si="3"/>
        <v>23111910.99927</v>
      </c>
      <c r="H222" s="348" t="s">
        <v>134</v>
      </c>
      <c r="I222" s="347" t="s">
        <v>146</v>
      </c>
      <c r="J222" s="464" t="s">
        <v>195</v>
      </c>
      <c r="K222" s="340" t="s">
        <v>35</v>
      </c>
      <c r="L222" s="340" t="s">
        <v>61</v>
      </c>
      <c r="M222" s="328"/>
      <c r="N222" s="350"/>
      <c r="O222" s="357"/>
      <c r="P222" s="308"/>
      <c r="Q222" s="286"/>
    </row>
    <row r="223" spans="1:66" s="193" customFormat="1" ht="15" hidden="1" customHeight="1">
      <c r="A223" s="334">
        <v>44249</v>
      </c>
      <c r="B223" s="334" t="s">
        <v>348</v>
      </c>
      <c r="C223" s="334" t="s">
        <v>131</v>
      </c>
      <c r="D223" s="334"/>
      <c r="E223" s="449">
        <v>90000</v>
      </c>
      <c r="F223" s="449"/>
      <c r="G223" s="476">
        <f t="shared" si="3"/>
        <v>23201910.99927</v>
      </c>
      <c r="H223" s="339" t="s">
        <v>83</v>
      </c>
      <c r="I223" s="347"/>
      <c r="J223" s="464"/>
      <c r="K223" s="340"/>
      <c r="L223" s="340"/>
      <c r="M223" s="328"/>
      <c r="N223" s="342"/>
      <c r="O223" s="341"/>
      <c r="P223" s="308"/>
      <c r="Q223" s="286"/>
    </row>
    <row r="224" spans="1:66" s="154" customFormat="1" ht="15" customHeight="1">
      <c r="A224" s="334">
        <v>44249</v>
      </c>
      <c r="B224" s="334" t="s">
        <v>359</v>
      </c>
      <c r="C224" s="443" t="s">
        <v>147</v>
      </c>
      <c r="D224" s="344" t="s">
        <v>207</v>
      </c>
      <c r="E224" s="449"/>
      <c r="F224" s="449">
        <v>70000</v>
      </c>
      <c r="G224" s="476">
        <f t="shared" si="3"/>
        <v>23131910.99927</v>
      </c>
      <c r="H224" s="339" t="s">
        <v>83</v>
      </c>
      <c r="I224" s="347" t="s">
        <v>81</v>
      </c>
      <c r="J224" s="465" t="s">
        <v>195</v>
      </c>
      <c r="K224" s="340" t="s">
        <v>35</v>
      </c>
      <c r="L224" s="340" t="s">
        <v>61</v>
      </c>
      <c r="M224" s="328"/>
      <c r="N224" s="342"/>
      <c r="O224" s="341"/>
    </row>
    <row r="225" spans="1:66" s="154" customFormat="1" ht="15" hidden="1" customHeight="1">
      <c r="A225" s="334">
        <v>44249</v>
      </c>
      <c r="B225" s="334" t="s">
        <v>362</v>
      </c>
      <c r="C225" s="334" t="s">
        <v>131</v>
      </c>
      <c r="D225" s="334"/>
      <c r="E225" s="449"/>
      <c r="F225" s="449">
        <v>4000</v>
      </c>
      <c r="G225" s="476">
        <f t="shared" si="3"/>
        <v>23127910.99927</v>
      </c>
      <c r="H225" s="339" t="s">
        <v>69</v>
      </c>
      <c r="I225" s="481"/>
      <c r="J225" s="464"/>
      <c r="K225" s="339"/>
      <c r="L225" s="339"/>
      <c r="M225" s="328"/>
      <c r="N225" s="352"/>
      <c r="O225" s="341"/>
      <c r="P225" s="308"/>
    </row>
    <row r="226" spans="1:66" s="219" customFormat="1" ht="15" hidden="1" customHeight="1">
      <c r="A226" s="334">
        <v>44249</v>
      </c>
      <c r="B226" s="334" t="s">
        <v>197</v>
      </c>
      <c r="C226" s="334" t="s">
        <v>131</v>
      </c>
      <c r="D226" s="334"/>
      <c r="E226" s="449"/>
      <c r="F226" s="449">
        <v>4000</v>
      </c>
      <c r="G226" s="476">
        <f t="shared" si="3"/>
        <v>23123910.99927</v>
      </c>
      <c r="H226" s="339" t="s">
        <v>69</v>
      </c>
      <c r="I226" s="481"/>
      <c r="J226" s="352"/>
      <c r="K226" s="339"/>
      <c r="L226" s="339"/>
      <c r="M226" s="328"/>
      <c r="N226" s="352"/>
      <c r="O226" s="341"/>
      <c r="P226" s="312"/>
      <c r="Q226" s="286"/>
    </row>
    <row r="227" spans="1:66" s="219" customFormat="1" ht="15" hidden="1" customHeight="1">
      <c r="A227" s="334">
        <v>44249</v>
      </c>
      <c r="B227" s="334" t="s">
        <v>363</v>
      </c>
      <c r="C227" s="334" t="s">
        <v>131</v>
      </c>
      <c r="D227" s="334"/>
      <c r="E227" s="449"/>
      <c r="F227" s="449">
        <v>5000</v>
      </c>
      <c r="G227" s="476">
        <f t="shared" si="3"/>
        <v>23118910.99927</v>
      </c>
      <c r="H227" s="339" t="s">
        <v>69</v>
      </c>
      <c r="I227" s="481"/>
      <c r="J227" s="464"/>
      <c r="K227" s="340"/>
      <c r="L227" s="340"/>
      <c r="M227" s="328"/>
      <c r="N227" s="342"/>
      <c r="O227" s="341"/>
      <c r="P227" s="312"/>
      <c r="Q227" s="286"/>
    </row>
    <row r="228" spans="1:66" s="193" customFormat="1" ht="15" customHeight="1">
      <c r="A228" s="334">
        <v>44249</v>
      </c>
      <c r="B228" s="334" t="s">
        <v>554</v>
      </c>
      <c r="C228" s="443" t="s">
        <v>82</v>
      </c>
      <c r="D228" s="334" t="s">
        <v>31</v>
      </c>
      <c r="E228" s="449"/>
      <c r="F228" s="449">
        <v>2500</v>
      </c>
      <c r="G228" s="476">
        <f t="shared" si="3"/>
        <v>23116410.99927</v>
      </c>
      <c r="H228" s="339" t="s">
        <v>69</v>
      </c>
      <c r="I228" s="347" t="s">
        <v>146</v>
      </c>
      <c r="J228" s="465" t="s">
        <v>195</v>
      </c>
      <c r="K228" s="340" t="s">
        <v>35</v>
      </c>
      <c r="L228" s="340" t="s">
        <v>61</v>
      </c>
      <c r="M228" s="328"/>
      <c r="N228" s="342"/>
      <c r="O228" s="341"/>
      <c r="P228" s="308"/>
    </row>
    <row r="229" spans="1:66" s="193" customFormat="1" ht="15" hidden="1" customHeight="1">
      <c r="A229" s="334">
        <v>44249</v>
      </c>
      <c r="B229" s="334" t="s">
        <v>364</v>
      </c>
      <c r="C229" s="334" t="s">
        <v>131</v>
      </c>
      <c r="D229" s="334"/>
      <c r="E229" s="449"/>
      <c r="F229" s="449">
        <v>4000</v>
      </c>
      <c r="G229" s="476">
        <f t="shared" si="3"/>
        <v>23112410.99927</v>
      </c>
      <c r="H229" s="339" t="s">
        <v>69</v>
      </c>
      <c r="I229" s="481"/>
      <c r="J229" s="464"/>
      <c r="K229" s="340"/>
      <c r="L229" s="340"/>
      <c r="M229" s="328"/>
      <c r="N229" s="342"/>
      <c r="O229" s="341"/>
      <c r="P229" s="308"/>
    </row>
    <row r="230" spans="1:66" s="154" customFormat="1" ht="15" customHeight="1">
      <c r="A230" s="334">
        <v>44250</v>
      </c>
      <c r="B230" s="343" t="s">
        <v>229</v>
      </c>
      <c r="C230" s="343" t="s">
        <v>15</v>
      </c>
      <c r="D230" s="343" t="s">
        <v>31</v>
      </c>
      <c r="E230" s="450"/>
      <c r="F230" s="449">
        <v>400000</v>
      </c>
      <c r="G230" s="476">
        <f t="shared" si="3"/>
        <v>22712410.99927</v>
      </c>
      <c r="H230" s="339" t="s">
        <v>62</v>
      </c>
      <c r="I230" s="459">
        <v>3643412</v>
      </c>
      <c r="J230" s="464" t="s">
        <v>39</v>
      </c>
      <c r="K230" s="340" t="s">
        <v>63</v>
      </c>
      <c r="L230" s="340" t="s">
        <v>61</v>
      </c>
      <c r="M230" s="328" t="s">
        <v>514</v>
      </c>
      <c r="N230" s="342" t="s">
        <v>87</v>
      </c>
      <c r="O230" s="341"/>
      <c r="P230" s="312"/>
      <c r="R230" s="303"/>
      <c r="S230" s="303"/>
      <c r="T230" s="303"/>
      <c r="U230" s="303"/>
      <c r="V230" s="303"/>
      <c r="W230" s="303"/>
      <c r="X230" s="303"/>
      <c r="Y230" s="303"/>
      <c r="Z230" s="303"/>
      <c r="AA230" s="303"/>
      <c r="AB230" s="303"/>
      <c r="AC230" s="303"/>
      <c r="AD230" s="303"/>
      <c r="AE230" s="303"/>
      <c r="AF230" s="303"/>
      <c r="AG230" s="303"/>
      <c r="AH230" s="303"/>
      <c r="AI230" s="303"/>
      <c r="AJ230" s="303"/>
      <c r="AK230" s="303"/>
      <c r="AL230" s="303"/>
      <c r="AM230" s="303"/>
      <c r="AN230" s="303"/>
      <c r="AO230" s="303"/>
      <c r="AP230" s="303"/>
      <c r="AQ230" s="303"/>
      <c r="AR230" s="303"/>
      <c r="AS230" s="303"/>
      <c r="AT230" s="303"/>
      <c r="AU230" s="303"/>
      <c r="AV230" s="303"/>
      <c r="AW230" s="303"/>
      <c r="AX230" s="303"/>
      <c r="AY230" s="303"/>
      <c r="AZ230" s="303"/>
      <c r="BA230" s="303"/>
      <c r="BB230" s="303"/>
      <c r="BC230" s="303"/>
      <c r="BD230" s="303"/>
      <c r="BE230" s="303"/>
      <c r="BF230" s="303"/>
      <c r="BG230" s="303"/>
      <c r="BH230" s="303"/>
      <c r="BI230" s="303"/>
      <c r="BJ230" s="303"/>
      <c r="BK230" s="303"/>
      <c r="BL230" s="303"/>
      <c r="BM230" s="303"/>
      <c r="BN230" s="303"/>
    </row>
    <row r="231" spans="1:66" s="154" customFormat="1" ht="15" customHeight="1">
      <c r="A231" s="334">
        <v>44250</v>
      </c>
      <c r="B231" s="343" t="s">
        <v>461</v>
      </c>
      <c r="C231" s="343" t="s">
        <v>15</v>
      </c>
      <c r="D231" s="343" t="s">
        <v>31</v>
      </c>
      <c r="E231" s="450"/>
      <c r="F231" s="449">
        <v>191000</v>
      </c>
      <c r="G231" s="476">
        <f t="shared" si="3"/>
        <v>22521410.99927</v>
      </c>
      <c r="H231" s="339" t="s">
        <v>62</v>
      </c>
      <c r="I231" s="459">
        <v>3643417</v>
      </c>
      <c r="J231" s="464" t="s">
        <v>39</v>
      </c>
      <c r="K231" s="340" t="s">
        <v>63</v>
      </c>
      <c r="L231" s="340" t="s">
        <v>61</v>
      </c>
      <c r="M231" s="328" t="s">
        <v>519</v>
      </c>
      <c r="N231" s="342" t="s">
        <v>87</v>
      </c>
      <c r="O231" s="341"/>
    </row>
    <row r="232" spans="1:66" s="154" customFormat="1" ht="15" customHeight="1">
      <c r="A232" s="334">
        <v>44250</v>
      </c>
      <c r="B232" s="343" t="s">
        <v>240</v>
      </c>
      <c r="C232" s="343" t="s">
        <v>15</v>
      </c>
      <c r="D232" s="351" t="s">
        <v>132</v>
      </c>
      <c r="E232" s="450"/>
      <c r="F232" s="449">
        <v>326000</v>
      </c>
      <c r="G232" s="476">
        <f t="shared" si="3"/>
        <v>22195410.99927</v>
      </c>
      <c r="H232" s="339" t="s">
        <v>62</v>
      </c>
      <c r="I232" s="459" t="s">
        <v>29</v>
      </c>
      <c r="J232" s="464" t="s">
        <v>39</v>
      </c>
      <c r="K232" s="340" t="s">
        <v>63</v>
      </c>
      <c r="L232" s="340" t="s">
        <v>61</v>
      </c>
      <c r="M232" s="328" t="s">
        <v>523</v>
      </c>
      <c r="N232" s="342" t="s">
        <v>84</v>
      </c>
      <c r="O232" s="342"/>
    </row>
    <row r="233" spans="1:66" s="154" customFormat="1" ht="15" customHeight="1">
      <c r="A233" s="334">
        <v>44250</v>
      </c>
      <c r="B233" s="343" t="s">
        <v>230</v>
      </c>
      <c r="C233" s="343" t="s">
        <v>15</v>
      </c>
      <c r="D233" s="343" t="s">
        <v>19</v>
      </c>
      <c r="E233" s="450"/>
      <c r="F233" s="449">
        <v>275000</v>
      </c>
      <c r="G233" s="476">
        <f t="shared" si="3"/>
        <v>21920410.99927</v>
      </c>
      <c r="H233" s="339" t="s">
        <v>62</v>
      </c>
      <c r="I233" s="459">
        <v>3643413</v>
      </c>
      <c r="J233" s="464" t="s">
        <v>183</v>
      </c>
      <c r="K233" s="340" t="s">
        <v>63</v>
      </c>
      <c r="L233" s="340" t="s">
        <v>61</v>
      </c>
      <c r="M233" s="328" t="s">
        <v>515</v>
      </c>
      <c r="N233" s="342" t="s">
        <v>86</v>
      </c>
      <c r="O233" s="341"/>
    </row>
    <row r="234" spans="1:66" s="154" customFormat="1" ht="15" customHeight="1">
      <c r="A234" s="334">
        <v>44250</v>
      </c>
      <c r="B234" s="343" t="s">
        <v>460</v>
      </c>
      <c r="C234" s="343" t="s">
        <v>15</v>
      </c>
      <c r="D234" s="343" t="s">
        <v>19</v>
      </c>
      <c r="E234" s="450"/>
      <c r="F234" s="449">
        <v>400000</v>
      </c>
      <c r="G234" s="476">
        <f t="shared" si="3"/>
        <v>21520410.99927</v>
      </c>
      <c r="H234" s="339" t="s">
        <v>62</v>
      </c>
      <c r="I234" s="459">
        <v>3643414</v>
      </c>
      <c r="J234" s="464" t="s">
        <v>183</v>
      </c>
      <c r="K234" s="340" t="s">
        <v>63</v>
      </c>
      <c r="L234" s="340" t="s">
        <v>61</v>
      </c>
      <c r="M234" s="328" t="s">
        <v>516</v>
      </c>
      <c r="N234" s="342" t="s">
        <v>86</v>
      </c>
      <c r="O234" s="341"/>
    </row>
    <row r="235" spans="1:66" s="154" customFormat="1" ht="15" customHeight="1">
      <c r="A235" s="334">
        <v>44250</v>
      </c>
      <c r="B235" s="343" t="s">
        <v>232</v>
      </c>
      <c r="C235" s="343" t="s">
        <v>15</v>
      </c>
      <c r="D235" s="351" t="s">
        <v>132</v>
      </c>
      <c r="E235" s="450"/>
      <c r="F235" s="449">
        <v>356500</v>
      </c>
      <c r="G235" s="476">
        <f t="shared" si="3"/>
        <v>21163910.99927</v>
      </c>
      <c r="H235" s="339" t="s">
        <v>62</v>
      </c>
      <c r="I235" s="459">
        <v>3643415</v>
      </c>
      <c r="J235" s="464" t="s">
        <v>183</v>
      </c>
      <c r="K235" s="340" t="s">
        <v>63</v>
      </c>
      <c r="L235" s="340" t="s">
        <v>61</v>
      </c>
      <c r="M235" s="328" t="s">
        <v>517</v>
      </c>
      <c r="N235" s="342" t="s">
        <v>84</v>
      </c>
      <c r="O235" s="341"/>
    </row>
    <row r="236" spans="1:66" s="154" customFormat="1" ht="15" customHeight="1">
      <c r="A236" s="334">
        <v>44250</v>
      </c>
      <c r="B236" s="343" t="s">
        <v>233</v>
      </c>
      <c r="C236" s="343" t="s">
        <v>15</v>
      </c>
      <c r="D236" s="351" t="s">
        <v>132</v>
      </c>
      <c r="E236" s="450"/>
      <c r="F236" s="449">
        <v>308000</v>
      </c>
      <c r="G236" s="476">
        <f t="shared" si="3"/>
        <v>20855910.99927</v>
      </c>
      <c r="H236" s="339" t="s">
        <v>62</v>
      </c>
      <c r="I236" s="459">
        <v>3643416</v>
      </c>
      <c r="J236" s="464" t="s">
        <v>183</v>
      </c>
      <c r="K236" s="340" t="s">
        <v>63</v>
      </c>
      <c r="L236" s="340" t="s">
        <v>61</v>
      </c>
      <c r="M236" s="328" t="s">
        <v>518</v>
      </c>
      <c r="N236" s="342" t="s">
        <v>84</v>
      </c>
      <c r="O236" s="341"/>
    </row>
    <row r="237" spans="1:66" s="154" customFormat="1" ht="15" customHeight="1">
      <c r="A237" s="334">
        <v>44250</v>
      </c>
      <c r="B237" s="343" t="s">
        <v>235</v>
      </c>
      <c r="C237" s="343" t="s">
        <v>15</v>
      </c>
      <c r="D237" s="351" t="s">
        <v>132</v>
      </c>
      <c r="E237" s="450"/>
      <c r="F237" s="449">
        <v>193600</v>
      </c>
      <c r="G237" s="476">
        <f t="shared" si="3"/>
        <v>20662310.99927</v>
      </c>
      <c r="H237" s="339" t="s">
        <v>62</v>
      </c>
      <c r="I237" s="459">
        <v>3643419</v>
      </c>
      <c r="J237" s="464" t="s">
        <v>183</v>
      </c>
      <c r="K237" s="340" t="s">
        <v>63</v>
      </c>
      <c r="L237" s="340" t="s">
        <v>61</v>
      </c>
      <c r="M237" s="328" t="s">
        <v>520</v>
      </c>
      <c r="N237" s="342" t="s">
        <v>84</v>
      </c>
      <c r="O237" s="341"/>
    </row>
    <row r="238" spans="1:66" s="154" customFormat="1" ht="15" hidden="1" customHeight="1">
      <c r="A238" s="334">
        <v>44250</v>
      </c>
      <c r="B238" s="343" t="s">
        <v>237</v>
      </c>
      <c r="C238" s="343" t="s">
        <v>131</v>
      </c>
      <c r="D238" s="343"/>
      <c r="E238" s="450"/>
      <c r="F238" s="449">
        <v>189000</v>
      </c>
      <c r="G238" s="476">
        <f t="shared" si="3"/>
        <v>20473310.99927</v>
      </c>
      <c r="H238" s="339" t="s">
        <v>62</v>
      </c>
      <c r="I238" s="459">
        <v>3643421</v>
      </c>
      <c r="J238" s="464"/>
      <c r="K238" s="340"/>
      <c r="L238" s="340"/>
      <c r="M238" s="328"/>
      <c r="N238" s="342"/>
      <c r="O238" s="341"/>
      <c r="P238" s="308"/>
    </row>
    <row r="239" spans="1:66" s="154" customFormat="1" ht="15" hidden="1" customHeight="1">
      <c r="A239" s="334">
        <v>44250</v>
      </c>
      <c r="B239" s="343" t="s">
        <v>238</v>
      </c>
      <c r="C239" s="343" t="s">
        <v>131</v>
      </c>
      <c r="D239" s="343"/>
      <c r="E239" s="450"/>
      <c r="F239" s="449">
        <v>183000</v>
      </c>
      <c r="G239" s="476">
        <f t="shared" si="3"/>
        <v>20290310.99927</v>
      </c>
      <c r="H239" s="339" t="s">
        <v>62</v>
      </c>
      <c r="I239" s="459">
        <v>3643422</v>
      </c>
      <c r="J239" s="465"/>
      <c r="K239" s="340"/>
      <c r="L239" s="340"/>
      <c r="M239" s="341"/>
      <c r="N239" s="342"/>
      <c r="O239" s="341"/>
    </row>
    <row r="240" spans="1:66" s="154" customFormat="1" ht="15" customHeight="1">
      <c r="A240" s="334">
        <v>44250</v>
      </c>
      <c r="B240" s="343" t="s">
        <v>236</v>
      </c>
      <c r="C240" s="343" t="s">
        <v>15</v>
      </c>
      <c r="D240" s="351" t="s">
        <v>132</v>
      </c>
      <c r="E240" s="450"/>
      <c r="F240" s="449">
        <v>193600</v>
      </c>
      <c r="G240" s="476">
        <f t="shared" si="3"/>
        <v>20096710.99927</v>
      </c>
      <c r="H240" s="339" t="s">
        <v>62</v>
      </c>
      <c r="I240" s="459">
        <v>3643420</v>
      </c>
      <c r="J240" s="464" t="s">
        <v>183</v>
      </c>
      <c r="K240" s="340" t="s">
        <v>63</v>
      </c>
      <c r="L240" s="340" t="s">
        <v>61</v>
      </c>
      <c r="M240" s="328" t="s">
        <v>521</v>
      </c>
      <c r="N240" s="342" t="s">
        <v>84</v>
      </c>
      <c r="O240" s="341"/>
    </row>
    <row r="241" spans="1:17" s="154" customFormat="1" ht="15" customHeight="1">
      <c r="A241" s="334">
        <v>44250</v>
      </c>
      <c r="B241" s="343" t="s">
        <v>239</v>
      </c>
      <c r="C241" s="343" t="s">
        <v>15</v>
      </c>
      <c r="D241" s="343" t="s">
        <v>19</v>
      </c>
      <c r="E241" s="450"/>
      <c r="F241" s="449">
        <v>809584</v>
      </c>
      <c r="G241" s="476">
        <f t="shared" si="3"/>
        <v>19287126.99927</v>
      </c>
      <c r="H241" s="339" t="s">
        <v>62</v>
      </c>
      <c r="I241" s="459">
        <v>3643423</v>
      </c>
      <c r="J241" s="464" t="s">
        <v>183</v>
      </c>
      <c r="K241" s="340" t="s">
        <v>63</v>
      </c>
      <c r="L241" s="340" t="s">
        <v>61</v>
      </c>
      <c r="M241" s="328" t="s">
        <v>522</v>
      </c>
      <c r="N241" s="342" t="s">
        <v>135</v>
      </c>
      <c r="O241" s="341"/>
    </row>
    <row r="242" spans="1:17" s="154" customFormat="1" ht="15" customHeight="1">
      <c r="A242" s="334">
        <v>44250</v>
      </c>
      <c r="B242" s="343" t="s">
        <v>241</v>
      </c>
      <c r="C242" s="343" t="s">
        <v>15</v>
      </c>
      <c r="D242" s="334" t="s">
        <v>65</v>
      </c>
      <c r="E242" s="450"/>
      <c r="F242" s="449">
        <v>230000</v>
      </c>
      <c r="G242" s="476">
        <f t="shared" si="3"/>
        <v>19057126.99927</v>
      </c>
      <c r="H242" s="339" t="s">
        <v>62</v>
      </c>
      <c r="I242" s="459" t="s">
        <v>29</v>
      </c>
      <c r="J242" s="464" t="s">
        <v>183</v>
      </c>
      <c r="K242" s="340" t="s">
        <v>63</v>
      </c>
      <c r="L242" s="340" t="s">
        <v>61</v>
      </c>
      <c r="M242" s="328" t="s">
        <v>524</v>
      </c>
      <c r="N242" s="342" t="s">
        <v>85</v>
      </c>
      <c r="O242" s="341"/>
    </row>
    <row r="243" spans="1:17" s="305" customFormat="1" ht="15" hidden="1" customHeight="1">
      <c r="A243" s="334">
        <v>44250</v>
      </c>
      <c r="B243" s="334" t="s">
        <v>102</v>
      </c>
      <c r="C243" s="334" t="s">
        <v>131</v>
      </c>
      <c r="D243" s="334"/>
      <c r="E243" s="449"/>
      <c r="F243" s="449">
        <v>5000</v>
      </c>
      <c r="G243" s="476">
        <f t="shared" si="3"/>
        <v>19052126.99927</v>
      </c>
      <c r="H243" s="349" t="s">
        <v>66</v>
      </c>
      <c r="I243" s="342"/>
      <c r="J243" s="464"/>
      <c r="K243" s="340"/>
      <c r="L243" s="340"/>
      <c r="M243" s="341"/>
      <c r="N243" s="342"/>
      <c r="O243" s="341"/>
      <c r="P243" s="312"/>
      <c r="Q243" s="286"/>
    </row>
    <row r="244" spans="1:17" ht="15" hidden="1" customHeight="1">
      <c r="A244" s="334">
        <v>44250</v>
      </c>
      <c r="B244" s="334" t="s">
        <v>102</v>
      </c>
      <c r="C244" s="334" t="s">
        <v>131</v>
      </c>
      <c r="D244" s="334"/>
      <c r="E244" s="449"/>
      <c r="F244" s="449">
        <v>15000</v>
      </c>
      <c r="G244" s="476">
        <f t="shared" si="3"/>
        <v>19037126.99927</v>
      </c>
      <c r="H244" s="348" t="s">
        <v>66</v>
      </c>
      <c r="I244" s="460"/>
      <c r="J244" s="465"/>
      <c r="K244" s="339"/>
      <c r="L244" s="339"/>
      <c r="M244" s="341"/>
      <c r="N244" s="352"/>
      <c r="O244" s="341"/>
      <c r="P244" s="308"/>
    </row>
    <row r="245" spans="1:17" ht="15" hidden="1" customHeight="1">
      <c r="A245" s="334">
        <v>44250</v>
      </c>
      <c r="B245" s="334" t="s">
        <v>133</v>
      </c>
      <c r="C245" s="334" t="s">
        <v>131</v>
      </c>
      <c r="D245" s="334"/>
      <c r="E245" s="449"/>
      <c r="F245" s="449">
        <v>10000</v>
      </c>
      <c r="G245" s="476">
        <f t="shared" si="3"/>
        <v>19027126.99927</v>
      </c>
      <c r="H245" s="349" t="s">
        <v>66</v>
      </c>
      <c r="I245" s="460"/>
      <c r="J245" s="464"/>
      <c r="K245" s="340"/>
      <c r="L245" s="340"/>
      <c r="M245" s="341"/>
      <c r="N245" s="342"/>
      <c r="O245" s="341"/>
      <c r="P245" s="308"/>
      <c r="Q245" s="286"/>
    </row>
    <row r="246" spans="1:17" s="286" customFormat="1" ht="15" customHeight="1">
      <c r="A246" s="334">
        <v>44250</v>
      </c>
      <c r="B246" s="334" t="s">
        <v>396</v>
      </c>
      <c r="C246" s="351" t="s">
        <v>79</v>
      </c>
      <c r="D246" s="355" t="s">
        <v>132</v>
      </c>
      <c r="E246" s="449"/>
      <c r="F246" s="449">
        <v>12000</v>
      </c>
      <c r="G246" s="476">
        <f t="shared" si="3"/>
        <v>19015126.99927</v>
      </c>
      <c r="H246" s="329" t="s">
        <v>133</v>
      </c>
      <c r="I246" s="347" t="s">
        <v>146</v>
      </c>
      <c r="J246" s="464" t="s">
        <v>195</v>
      </c>
      <c r="K246" s="340" t="s">
        <v>35</v>
      </c>
      <c r="L246" s="340" t="s">
        <v>61</v>
      </c>
      <c r="M246" s="328"/>
      <c r="N246" s="342"/>
      <c r="O246" s="341"/>
      <c r="P246" s="308"/>
    </row>
    <row r="247" spans="1:17" ht="15" hidden="1" customHeight="1">
      <c r="A247" s="334">
        <v>44250</v>
      </c>
      <c r="B247" s="334" t="s">
        <v>199</v>
      </c>
      <c r="C247" s="334" t="s">
        <v>131</v>
      </c>
      <c r="D247" s="334"/>
      <c r="E247" s="449">
        <v>10000</v>
      </c>
      <c r="F247" s="449"/>
      <c r="G247" s="476">
        <f t="shared" si="3"/>
        <v>19025126.99927</v>
      </c>
      <c r="H247" s="329" t="s">
        <v>133</v>
      </c>
      <c r="I247" s="352"/>
      <c r="J247" s="464"/>
      <c r="K247" s="339"/>
      <c r="L247" s="339"/>
      <c r="M247" s="346"/>
      <c r="N247" s="352"/>
      <c r="O247" s="346"/>
      <c r="P247" s="308"/>
      <c r="Q247" s="286"/>
    </row>
    <row r="248" spans="1:17" s="154" customFormat="1" ht="15" hidden="1" customHeight="1">
      <c r="A248" s="334">
        <v>44250</v>
      </c>
      <c r="B248" s="334" t="s">
        <v>325</v>
      </c>
      <c r="C248" s="334" t="s">
        <v>131</v>
      </c>
      <c r="D248" s="334"/>
      <c r="E248" s="449">
        <v>15000</v>
      </c>
      <c r="F248" s="449"/>
      <c r="G248" s="476">
        <f t="shared" si="3"/>
        <v>19040126.99927</v>
      </c>
      <c r="H248" s="477" t="s">
        <v>102</v>
      </c>
      <c r="I248" s="459"/>
      <c r="J248" s="464"/>
      <c r="K248" s="340"/>
      <c r="L248" s="340"/>
      <c r="M248" s="341"/>
      <c r="N248" s="342"/>
      <c r="O248" s="479"/>
    </row>
    <row r="249" spans="1:17" s="286" customFormat="1" ht="15" customHeight="1">
      <c r="A249" s="334">
        <v>44250</v>
      </c>
      <c r="B249" s="334" t="s">
        <v>365</v>
      </c>
      <c r="C249" s="334" t="s">
        <v>26</v>
      </c>
      <c r="D249" s="344" t="s">
        <v>207</v>
      </c>
      <c r="E249" s="449"/>
      <c r="F249" s="449">
        <v>130000</v>
      </c>
      <c r="G249" s="476">
        <f t="shared" si="3"/>
        <v>18910126.99927</v>
      </c>
      <c r="H249" s="339" t="s">
        <v>69</v>
      </c>
      <c r="I249" s="347" t="s">
        <v>146</v>
      </c>
      <c r="J249" s="465" t="s">
        <v>195</v>
      </c>
      <c r="K249" s="340" t="s">
        <v>35</v>
      </c>
      <c r="L249" s="340" t="s">
        <v>61</v>
      </c>
      <c r="M249" s="341"/>
      <c r="N249" s="352"/>
      <c r="O249" s="341"/>
      <c r="P249" s="308"/>
      <c r="Q249" s="47"/>
    </row>
    <row r="250" spans="1:17" s="154" customFormat="1" ht="15" customHeight="1">
      <c r="A250" s="334">
        <v>44250</v>
      </c>
      <c r="B250" s="334" t="s">
        <v>403</v>
      </c>
      <c r="C250" s="334" t="s">
        <v>78</v>
      </c>
      <c r="D250" s="344" t="s">
        <v>207</v>
      </c>
      <c r="E250" s="449"/>
      <c r="F250" s="449">
        <v>25000</v>
      </c>
      <c r="G250" s="476">
        <f t="shared" si="3"/>
        <v>18885126.99927</v>
      </c>
      <c r="H250" s="339" t="s">
        <v>69</v>
      </c>
      <c r="I250" s="347" t="s">
        <v>146</v>
      </c>
      <c r="J250" s="465" t="s">
        <v>195</v>
      </c>
      <c r="K250" s="340" t="s">
        <v>35</v>
      </c>
      <c r="L250" s="340" t="s">
        <v>61</v>
      </c>
      <c r="M250" s="328"/>
      <c r="N250" s="352"/>
      <c r="O250" s="341"/>
    </row>
    <row r="251" spans="1:17" s="154" customFormat="1" ht="15" customHeight="1">
      <c r="A251" s="334">
        <v>44251</v>
      </c>
      <c r="B251" s="334" t="s">
        <v>555</v>
      </c>
      <c r="C251" s="334" t="s">
        <v>17</v>
      </c>
      <c r="D251" s="334" t="s">
        <v>21</v>
      </c>
      <c r="E251" s="449"/>
      <c r="F251" s="449">
        <v>24000</v>
      </c>
      <c r="G251" s="476">
        <f t="shared" si="3"/>
        <v>18861126.99927</v>
      </c>
      <c r="H251" s="349" t="s">
        <v>66</v>
      </c>
      <c r="I251" s="459" t="s">
        <v>81</v>
      </c>
      <c r="J251" s="352" t="s">
        <v>183</v>
      </c>
      <c r="K251" s="340" t="s">
        <v>63</v>
      </c>
      <c r="L251" s="340" t="s">
        <v>61</v>
      </c>
      <c r="M251" s="328" t="s">
        <v>526</v>
      </c>
      <c r="N251" s="342" t="s">
        <v>160</v>
      </c>
      <c r="O251" s="341"/>
    </row>
    <row r="252" spans="1:17" s="154" customFormat="1" ht="15" customHeight="1">
      <c r="A252" s="334">
        <v>44251</v>
      </c>
      <c r="B252" s="334" t="s">
        <v>550</v>
      </c>
      <c r="C252" s="334" t="s">
        <v>82</v>
      </c>
      <c r="D252" s="334" t="s">
        <v>31</v>
      </c>
      <c r="E252" s="449"/>
      <c r="F252" s="449">
        <v>10500</v>
      </c>
      <c r="G252" s="476">
        <f t="shared" si="3"/>
        <v>18850626.99927</v>
      </c>
      <c r="H252" s="349" t="s">
        <v>66</v>
      </c>
      <c r="I252" s="347" t="s">
        <v>146</v>
      </c>
      <c r="J252" s="464" t="s">
        <v>195</v>
      </c>
      <c r="K252" s="340" t="s">
        <v>35</v>
      </c>
      <c r="L252" s="340" t="s">
        <v>61</v>
      </c>
      <c r="M252" s="328"/>
      <c r="N252" s="441"/>
      <c r="O252" s="341"/>
    </row>
    <row r="253" spans="1:17" s="286" customFormat="1" ht="15" customHeight="1">
      <c r="A253" s="334">
        <v>44251</v>
      </c>
      <c r="B253" s="334" t="s">
        <v>301</v>
      </c>
      <c r="C253" s="334" t="s">
        <v>147</v>
      </c>
      <c r="D253" s="334" t="s">
        <v>208</v>
      </c>
      <c r="E253" s="449"/>
      <c r="F253" s="449">
        <v>50000</v>
      </c>
      <c r="G253" s="476">
        <f t="shared" si="3"/>
        <v>18800626.99927</v>
      </c>
      <c r="H253" s="349" t="s">
        <v>66</v>
      </c>
      <c r="I253" s="347" t="s">
        <v>146</v>
      </c>
      <c r="J253" s="352" t="s">
        <v>195</v>
      </c>
      <c r="K253" s="340" t="s">
        <v>35</v>
      </c>
      <c r="L253" s="340" t="s">
        <v>61</v>
      </c>
      <c r="M253" s="341"/>
      <c r="N253" s="359"/>
      <c r="O253" s="341"/>
      <c r="P253" s="308"/>
    </row>
    <row r="254" spans="1:17" ht="15" customHeight="1">
      <c r="A254" s="334">
        <v>44251</v>
      </c>
      <c r="B254" s="334" t="s">
        <v>302</v>
      </c>
      <c r="C254" s="334" t="s">
        <v>20</v>
      </c>
      <c r="D254" s="334" t="s">
        <v>19</v>
      </c>
      <c r="E254" s="449"/>
      <c r="F254" s="449">
        <v>5000</v>
      </c>
      <c r="G254" s="476">
        <f t="shared" si="3"/>
        <v>18795626.99927</v>
      </c>
      <c r="H254" s="348" t="s">
        <v>66</v>
      </c>
      <c r="I254" s="342" t="s">
        <v>81</v>
      </c>
      <c r="J254" s="464" t="s">
        <v>195</v>
      </c>
      <c r="K254" s="339" t="s">
        <v>35</v>
      </c>
      <c r="L254" s="340" t="s">
        <v>61</v>
      </c>
      <c r="M254" s="341"/>
      <c r="N254" s="473"/>
      <c r="O254" s="341"/>
      <c r="P254" s="308"/>
    </row>
    <row r="255" spans="1:17" s="286" customFormat="1" ht="15" customHeight="1">
      <c r="A255" s="334">
        <v>44252</v>
      </c>
      <c r="B255" s="334" t="s">
        <v>303</v>
      </c>
      <c r="C255" s="351" t="s">
        <v>80</v>
      </c>
      <c r="D255" s="343" t="s">
        <v>21</v>
      </c>
      <c r="E255" s="449"/>
      <c r="F255" s="449">
        <v>26000</v>
      </c>
      <c r="G255" s="476">
        <f t="shared" si="3"/>
        <v>18769626.99927</v>
      </c>
      <c r="H255" s="349" t="s">
        <v>66</v>
      </c>
      <c r="I255" s="342" t="s">
        <v>81</v>
      </c>
      <c r="J255" s="464" t="s">
        <v>183</v>
      </c>
      <c r="K255" s="340" t="s">
        <v>63</v>
      </c>
      <c r="L255" s="340" t="s">
        <v>61</v>
      </c>
      <c r="M255" s="341" t="s">
        <v>527</v>
      </c>
      <c r="N255" s="486" t="s">
        <v>154</v>
      </c>
      <c r="O255" s="341"/>
      <c r="P255" s="308"/>
      <c r="Q255" s="47"/>
    </row>
    <row r="256" spans="1:17" s="286" customFormat="1" ht="15" hidden="1" customHeight="1">
      <c r="A256" s="334">
        <v>44252</v>
      </c>
      <c r="B256" s="343" t="s">
        <v>222</v>
      </c>
      <c r="C256" s="343" t="s">
        <v>131</v>
      </c>
      <c r="D256" s="343"/>
      <c r="E256" s="483"/>
      <c r="F256" s="483">
        <v>1000000</v>
      </c>
      <c r="G256" s="476">
        <f t="shared" si="3"/>
        <v>17769626.99927</v>
      </c>
      <c r="H256" s="339" t="s">
        <v>60</v>
      </c>
      <c r="I256" s="342">
        <v>3654432</v>
      </c>
      <c r="J256" s="464"/>
      <c r="K256" s="340"/>
      <c r="L256" s="340"/>
      <c r="M256" s="341"/>
      <c r="N256" s="473"/>
      <c r="O256" s="341"/>
      <c r="P256" s="308"/>
    </row>
    <row r="257" spans="1:18" s="154" customFormat="1" ht="15" hidden="1" customHeight="1">
      <c r="A257" s="334">
        <v>44252</v>
      </c>
      <c r="B257" s="334" t="s">
        <v>60</v>
      </c>
      <c r="C257" s="334" t="s">
        <v>131</v>
      </c>
      <c r="D257" s="334"/>
      <c r="E257" s="449">
        <v>1000000</v>
      </c>
      <c r="F257" s="449"/>
      <c r="G257" s="476">
        <f t="shared" si="3"/>
        <v>18769626.99927</v>
      </c>
      <c r="H257" s="349" t="s">
        <v>66</v>
      </c>
      <c r="I257" s="342"/>
      <c r="J257" s="464"/>
      <c r="K257" s="340"/>
      <c r="L257" s="340"/>
      <c r="M257" s="328"/>
      <c r="N257" s="342"/>
      <c r="O257" s="342"/>
    </row>
    <row r="258" spans="1:18" s="154" customFormat="1" ht="15" customHeight="1">
      <c r="A258" s="334">
        <v>44252</v>
      </c>
      <c r="B258" s="334" t="s">
        <v>312</v>
      </c>
      <c r="C258" s="351" t="s">
        <v>79</v>
      </c>
      <c r="D258" s="334" t="s">
        <v>132</v>
      </c>
      <c r="E258" s="449"/>
      <c r="F258" s="449">
        <v>5700</v>
      </c>
      <c r="G258" s="476">
        <f t="shared" si="3"/>
        <v>18763926.99927</v>
      </c>
      <c r="H258" s="349" t="s">
        <v>66</v>
      </c>
      <c r="I258" s="347" t="s">
        <v>146</v>
      </c>
      <c r="J258" s="464" t="s">
        <v>195</v>
      </c>
      <c r="K258" s="358" t="s">
        <v>35</v>
      </c>
      <c r="L258" s="340" t="s">
        <v>61</v>
      </c>
      <c r="M258" s="328"/>
      <c r="N258" s="342"/>
      <c r="O258" s="341"/>
    </row>
    <row r="259" spans="1:18" s="154" customFormat="1" ht="15" customHeight="1">
      <c r="A259" s="334">
        <v>44252</v>
      </c>
      <c r="B259" s="334" t="s">
        <v>307</v>
      </c>
      <c r="C259" s="334" t="s">
        <v>20</v>
      </c>
      <c r="D259" s="334" t="s">
        <v>207</v>
      </c>
      <c r="E259" s="449"/>
      <c r="F259" s="449">
        <v>5000</v>
      </c>
      <c r="G259" s="476">
        <f t="shared" si="3"/>
        <v>18758926.99927</v>
      </c>
      <c r="H259" s="348" t="s">
        <v>66</v>
      </c>
      <c r="I259" s="342" t="s">
        <v>81</v>
      </c>
      <c r="J259" s="464" t="s">
        <v>195</v>
      </c>
      <c r="K259" s="339" t="s">
        <v>35</v>
      </c>
      <c r="L259" s="340" t="s">
        <v>61</v>
      </c>
      <c r="M259" s="341"/>
      <c r="N259" s="342"/>
      <c r="O259" s="341"/>
    </row>
    <row r="260" spans="1:18" ht="15" customHeight="1">
      <c r="A260" s="334">
        <v>44252</v>
      </c>
      <c r="B260" s="334" t="s">
        <v>391</v>
      </c>
      <c r="C260" s="334" t="s">
        <v>26</v>
      </c>
      <c r="D260" s="344" t="s">
        <v>207</v>
      </c>
      <c r="E260" s="449"/>
      <c r="F260" s="449">
        <v>100000</v>
      </c>
      <c r="G260" s="476">
        <f t="shared" si="3"/>
        <v>18658926.99927</v>
      </c>
      <c r="H260" s="349" t="s">
        <v>66</v>
      </c>
      <c r="I260" s="347" t="s">
        <v>146</v>
      </c>
      <c r="J260" s="466" t="s">
        <v>195</v>
      </c>
      <c r="K260" s="340" t="s">
        <v>35</v>
      </c>
      <c r="L260" s="340" t="s">
        <v>61</v>
      </c>
      <c r="M260" s="482"/>
      <c r="N260" s="352"/>
      <c r="O260" s="346"/>
      <c r="P260" s="308"/>
    </row>
    <row r="261" spans="1:18" ht="15" customHeight="1">
      <c r="A261" s="334">
        <v>44252</v>
      </c>
      <c r="B261" s="334" t="s">
        <v>338</v>
      </c>
      <c r="C261" s="334" t="s">
        <v>80</v>
      </c>
      <c r="D261" s="344" t="s">
        <v>21</v>
      </c>
      <c r="E261" s="449"/>
      <c r="F261" s="449">
        <v>500</v>
      </c>
      <c r="G261" s="476">
        <f t="shared" si="3"/>
        <v>18658426.99927</v>
      </c>
      <c r="H261" s="329" t="s">
        <v>75</v>
      </c>
      <c r="I261" s="459" t="s">
        <v>67</v>
      </c>
      <c r="J261" s="468" t="s">
        <v>195</v>
      </c>
      <c r="K261" s="340" t="s">
        <v>35</v>
      </c>
      <c r="L261" s="340" t="s">
        <v>61</v>
      </c>
      <c r="M261" s="341"/>
      <c r="N261" s="342"/>
      <c r="O261" s="341"/>
      <c r="P261" s="308"/>
    </row>
    <row r="262" spans="1:18" ht="15" hidden="1" customHeight="1">
      <c r="A262" s="334">
        <v>44252</v>
      </c>
      <c r="B262" s="334" t="s">
        <v>102</v>
      </c>
      <c r="C262" s="334" t="s">
        <v>131</v>
      </c>
      <c r="D262" s="334"/>
      <c r="E262" s="449"/>
      <c r="F262" s="449">
        <v>10000</v>
      </c>
      <c r="G262" s="476">
        <f t="shared" si="3"/>
        <v>18648426.99927</v>
      </c>
      <c r="H262" s="349" t="s">
        <v>66</v>
      </c>
      <c r="I262" s="342"/>
      <c r="J262" s="464"/>
      <c r="K262" s="340"/>
      <c r="L262" s="340"/>
      <c r="M262" s="328"/>
      <c r="N262" s="342"/>
      <c r="O262" s="341"/>
      <c r="P262" s="308"/>
    </row>
    <row r="263" spans="1:18" ht="15" hidden="1" customHeight="1">
      <c r="A263" s="334">
        <v>44252</v>
      </c>
      <c r="B263" s="334" t="s">
        <v>60</v>
      </c>
      <c r="C263" s="334" t="s">
        <v>131</v>
      </c>
      <c r="D263" s="334"/>
      <c r="E263" s="449">
        <v>189000</v>
      </c>
      <c r="F263" s="449"/>
      <c r="G263" s="476">
        <f t="shared" si="3"/>
        <v>18837426.99927</v>
      </c>
      <c r="H263" s="349" t="s">
        <v>66</v>
      </c>
      <c r="I263" s="342"/>
      <c r="J263" s="460"/>
      <c r="K263" s="349"/>
      <c r="L263" s="340"/>
      <c r="M263" s="328"/>
      <c r="N263" s="342"/>
      <c r="O263" s="341"/>
      <c r="P263" s="308"/>
      <c r="Q263" s="286"/>
    </row>
    <row r="264" spans="1:18" ht="15" hidden="1" customHeight="1">
      <c r="A264" s="334">
        <v>44252</v>
      </c>
      <c r="B264" s="334" t="s">
        <v>60</v>
      </c>
      <c r="C264" s="334" t="s">
        <v>131</v>
      </c>
      <c r="D264" s="334"/>
      <c r="E264" s="449">
        <v>183000</v>
      </c>
      <c r="F264" s="449"/>
      <c r="G264" s="476">
        <f t="shared" si="3"/>
        <v>19020426.99927</v>
      </c>
      <c r="H264" s="349" t="s">
        <v>66</v>
      </c>
      <c r="I264" s="347"/>
      <c r="J264" s="464"/>
      <c r="K264" s="340"/>
      <c r="L264" s="340"/>
      <c r="M264" s="328"/>
      <c r="N264" s="342"/>
      <c r="O264" s="341"/>
      <c r="P264" s="308"/>
    </row>
    <row r="265" spans="1:18" ht="15" hidden="1" customHeight="1">
      <c r="A265" s="334">
        <v>44252</v>
      </c>
      <c r="B265" s="334" t="s">
        <v>325</v>
      </c>
      <c r="C265" s="334" t="s">
        <v>131</v>
      </c>
      <c r="D265" s="334"/>
      <c r="E265" s="449">
        <v>10000</v>
      </c>
      <c r="F265" s="449"/>
      <c r="G265" s="476">
        <f t="shared" si="3"/>
        <v>19030426.99927</v>
      </c>
      <c r="H265" s="477" t="s">
        <v>102</v>
      </c>
      <c r="I265" s="459"/>
      <c r="J265" s="464"/>
      <c r="K265" s="339"/>
      <c r="L265" s="340"/>
      <c r="M265" s="341"/>
      <c r="N265" s="342"/>
      <c r="O265" s="341"/>
      <c r="P265" s="308"/>
    </row>
    <row r="266" spans="1:18" ht="15" customHeight="1">
      <c r="A266" s="334">
        <v>44253</v>
      </c>
      <c r="B266" s="334" t="s">
        <v>366</v>
      </c>
      <c r="C266" s="334" t="s">
        <v>78</v>
      </c>
      <c r="D266" s="334" t="s">
        <v>132</v>
      </c>
      <c r="E266" s="449"/>
      <c r="F266" s="449">
        <v>26000</v>
      </c>
      <c r="G266" s="476">
        <f t="shared" si="3"/>
        <v>19004426.99927</v>
      </c>
      <c r="H266" s="339" t="s">
        <v>69</v>
      </c>
      <c r="I266" s="347" t="s">
        <v>146</v>
      </c>
      <c r="J266" s="465" t="s">
        <v>183</v>
      </c>
      <c r="K266" s="340" t="s">
        <v>63</v>
      </c>
      <c r="L266" s="340" t="s">
        <v>61</v>
      </c>
      <c r="M266" s="328" t="s">
        <v>525</v>
      </c>
      <c r="N266" s="342" t="s">
        <v>153</v>
      </c>
      <c r="O266" s="340"/>
      <c r="P266" s="308"/>
      <c r="Q266" s="308"/>
      <c r="R266" s="308"/>
    </row>
    <row r="267" spans="1:18" ht="15" customHeight="1">
      <c r="A267" s="334">
        <v>44253</v>
      </c>
      <c r="B267" s="334" t="s">
        <v>309</v>
      </c>
      <c r="C267" s="334" t="s">
        <v>20</v>
      </c>
      <c r="D267" s="344" t="s">
        <v>207</v>
      </c>
      <c r="E267" s="449"/>
      <c r="F267" s="449">
        <v>10000</v>
      </c>
      <c r="G267" s="476">
        <f t="shared" si="3"/>
        <v>18994426.99927</v>
      </c>
      <c r="H267" s="348" t="s">
        <v>66</v>
      </c>
      <c r="I267" s="342" t="s">
        <v>81</v>
      </c>
      <c r="J267" s="464" t="s">
        <v>195</v>
      </c>
      <c r="K267" s="340" t="s">
        <v>35</v>
      </c>
      <c r="L267" s="340" t="s">
        <v>61</v>
      </c>
      <c r="M267" s="341"/>
      <c r="N267" s="342"/>
      <c r="O267" s="341"/>
      <c r="P267" s="308"/>
    </row>
    <row r="268" spans="1:18" s="154" customFormat="1" ht="15" customHeight="1">
      <c r="A268" s="334">
        <v>44253</v>
      </c>
      <c r="B268" s="334" t="s">
        <v>399</v>
      </c>
      <c r="C268" s="351" t="s">
        <v>80</v>
      </c>
      <c r="D268" s="343" t="s">
        <v>21</v>
      </c>
      <c r="E268" s="449"/>
      <c r="F268" s="449">
        <v>3000</v>
      </c>
      <c r="G268" s="476">
        <f t="shared" si="3"/>
        <v>18991426.99927</v>
      </c>
      <c r="H268" s="349" t="s">
        <v>66</v>
      </c>
      <c r="I268" s="342" t="s">
        <v>81</v>
      </c>
      <c r="J268" s="464" t="s">
        <v>183</v>
      </c>
      <c r="K268" s="340" t="s">
        <v>63</v>
      </c>
      <c r="L268" s="340" t="s">
        <v>61</v>
      </c>
      <c r="M268" s="328" t="s">
        <v>528</v>
      </c>
      <c r="N268" s="352" t="s">
        <v>154</v>
      </c>
      <c r="O268" s="346"/>
    </row>
    <row r="269" spans="1:18" s="154" customFormat="1" ht="15" hidden="1" customHeight="1">
      <c r="A269" s="334">
        <v>44253</v>
      </c>
      <c r="B269" s="334" t="s">
        <v>83</v>
      </c>
      <c r="C269" s="334" t="s">
        <v>131</v>
      </c>
      <c r="D269" s="334"/>
      <c r="E269" s="449"/>
      <c r="F269" s="449">
        <v>37500</v>
      </c>
      <c r="G269" s="476">
        <f t="shared" si="3"/>
        <v>18953926.99927</v>
      </c>
      <c r="H269" s="349" t="s">
        <v>66</v>
      </c>
      <c r="I269" s="342"/>
      <c r="J269" s="464"/>
      <c r="K269" s="340"/>
      <c r="L269" s="340"/>
      <c r="M269" s="341"/>
      <c r="N269" s="342"/>
      <c r="O269" s="346"/>
      <c r="P269" s="308"/>
    </row>
    <row r="270" spans="1:18" s="154" customFormat="1" ht="15" customHeight="1">
      <c r="A270" s="334">
        <v>44253</v>
      </c>
      <c r="B270" s="334" t="s">
        <v>311</v>
      </c>
      <c r="C270" s="334" t="s">
        <v>30</v>
      </c>
      <c r="D270" s="334" t="s">
        <v>21</v>
      </c>
      <c r="E270" s="449"/>
      <c r="F270" s="449">
        <v>110000</v>
      </c>
      <c r="G270" s="476">
        <f t="shared" ref="G270:G293" si="4">G269+E270-F270</f>
        <v>18843926.99927</v>
      </c>
      <c r="H270" s="349" t="s">
        <v>66</v>
      </c>
      <c r="I270" s="459" t="s">
        <v>81</v>
      </c>
      <c r="J270" s="352" t="s">
        <v>195</v>
      </c>
      <c r="K270" s="340" t="s">
        <v>35</v>
      </c>
      <c r="L270" s="340" t="s">
        <v>61</v>
      </c>
      <c r="M270" s="341"/>
      <c r="N270" s="342"/>
      <c r="O270" s="341"/>
      <c r="P270" s="308"/>
    </row>
    <row r="271" spans="1:18" ht="15" hidden="1" customHeight="1">
      <c r="A271" s="334">
        <v>44253</v>
      </c>
      <c r="B271" s="334" t="s">
        <v>75</v>
      </c>
      <c r="C271" s="334" t="s">
        <v>131</v>
      </c>
      <c r="D271" s="334"/>
      <c r="E271" s="449"/>
      <c r="F271" s="449">
        <v>10000</v>
      </c>
      <c r="G271" s="476">
        <f t="shared" si="4"/>
        <v>18833926.99927</v>
      </c>
      <c r="H271" s="349" t="s">
        <v>66</v>
      </c>
      <c r="I271" s="347"/>
      <c r="J271" s="464"/>
      <c r="K271" s="340"/>
      <c r="L271" s="340"/>
      <c r="M271" s="341"/>
      <c r="N271" s="342"/>
      <c r="O271" s="341"/>
      <c r="P271" s="308"/>
      <c r="Q271" s="308"/>
      <c r="R271" s="308"/>
    </row>
    <row r="272" spans="1:18" ht="15" customHeight="1">
      <c r="A272" s="334">
        <v>44253</v>
      </c>
      <c r="B272" s="334" t="s">
        <v>255</v>
      </c>
      <c r="C272" s="334" t="s">
        <v>463</v>
      </c>
      <c r="D272" s="334" t="s">
        <v>208</v>
      </c>
      <c r="E272" s="449"/>
      <c r="F272" s="449">
        <v>20000</v>
      </c>
      <c r="G272" s="476">
        <f t="shared" si="4"/>
        <v>18813926.99927</v>
      </c>
      <c r="H272" s="348" t="s">
        <v>66</v>
      </c>
      <c r="I272" s="459" t="s">
        <v>81</v>
      </c>
      <c r="J272" s="352" t="s">
        <v>195</v>
      </c>
      <c r="K272" s="340" t="s">
        <v>35</v>
      </c>
      <c r="L272" s="340" t="s">
        <v>61</v>
      </c>
      <c r="M272" s="341"/>
      <c r="N272" s="342"/>
      <c r="O272" s="341"/>
      <c r="P272" s="308"/>
      <c r="Q272" s="286"/>
    </row>
    <row r="273" spans="1:66" s="154" customFormat="1" ht="15" hidden="1" customHeight="1">
      <c r="A273" s="334">
        <v>44253</v>
      </c>
      <c r="B273" s="334" t="s">
        <v>72</v>
      </c>
      <c r="C273" s="334" t="s">
        <v>131</v>
      </c>
      <c r="D273" s="334"/>
      <c r="E273" s="449"/>
      <c r="F273" s="449">
        <v>60000</v>
      </c>
      <c r="G273" s="476">
        <f t="shared" si="4"/>
        <v>18753926.99927</v>
      </c>
      <c r="H273" s="349" t="s">
        <v>66</v>
      </c>
      <c r="I273" s="342"/>
      <c r="J273" s="464"/>
      <c r="K273" s="340"/>
      <c r="L273" s="340"/>
      <c r="M273" s="328"/>
      <c r="N273" s="342"/>
      <c r="O273" s="341"/>
      <c r="P273" s="308"/>
    </row>
    <row r="274" spans="1:66" ht="15" hidden="1" customHeight="1">
      <c r="A274" s="334">
        <v>44253</v>
      </c>
      <c r="B274" s="334" t="s">
        <v>178</v>
      </c>
      <c r="C274" s="334" t="s">
        <v>131</v>
      </c>
      <c r="D274" s="334"/>
      <c r="E274" s="449"/>
      <c r="F274" s="449">
        <v>60000</v>
      </c>
      <c r="G274" s="476">
        <f t="shared" si="4"/>
        <v>18693926.99927</v>
      </c>
      <c r="H274" s="349" t="s">
        <v>66</v>
      </c>
      <c r="I274" s="342"/>
      <c r="J274" s="466"/>
      <c r="K274" s="340"/>
      <c r="L274" s="340"/>
      <c r="M274" s="341"/>
      <c r="N274" s="342"/>
      <c r="O274" s="341"/>
      <c r="P274" s="308"/>
      <c r="Q274" s="286"/>
    </row>
    <row r="275" spans="1:66" s="154" customFormat="1" ht="15" customHeight="1">
      <c r="A275" s="334">
        <v>44253</v>
      </c>
      <c r="B275" s="334" t="s">
        <v>321</v>
      </c>
      <c r="C275" s="334" t="s">
        <v>78</v>
      </c>
      <c r="D275" s="334" t="s">
        <v>132</v>
      </c>
      <c r="E275" s="449"/>
      <c r="F275" s="449">
        <v>28000</v>
      </c>
      <c r="G275" s="476">
        <f t="shared" si="4"/>
        <v>18665926.99927</v>
      </c>
      <c r="H275" s="329" t="s">
        <v>133</v>
      </c>
      <c r="I275" s="459" t="s">
        <v>81</v>
      </c>
      <c r="J275" s="464" t="s">
        <v>183</v>
      </c>
      <c r="K275" s="340" t="s">
        <v>63</v>
      </c>
      <c r="L275" s="340" t="s">
        <v>61</v>
      </c>
      <c r="M275" s="328" t="s">
        <v>529</v>
      </c>
      <c r="N275" s="342" t="s">
        <v>153</v>
      </c>
      <c r="O275" s="341"/>
      <c r="P275" s="308"/>
    </row>
    <row r="276" spans="1:66" s="154" customFormat="1" ht="15" customHeight="1">
      <c r="A276" s="334">
        <v>44253</v>
      </c>
      <c r="B276" s="334" t="s">
        <v>542</v>
      </c>
      <c r="C276" s="334" t="s">
        <v>78</v>
      </c>
      <c r="D276" s="334" t="s">
        <v>19</v>
      </c>
      <c r="E276" s="449"/>
      <c r="F276" s="449">
        <v>55500</v>
      </c>
      <c r="G276" s="476">
        <f t="shared" si="4"/>
        <v>18610426.99927</v>
      </c>
      <c r="H276" s="477" t="s">
        <v>102</v>
      </c>
      <c r="I276" s="347" t="s">
        <v>146</v>
      </c>
      <c r="J276" s="464" t="s">
        <v>183</v>
      </c>
      <c r="K276" s="340" t="s">
        <v>63</v>
      </c>
      <c r="L276" s="340" t="s">
        <v>61</v>
      </c>
      <c r="M276" s="328" t="s">
        <v>530</v>
      </c>
      <c r="N276" s="342" t="s">
        <v>153</v>
      </c>
      <c r="O276" s="341"/>
    </row>
    <row r="277" spans="1:66" ht="15" hidden="1" customHeight="1">
      <c r="A277" s="334">
        <v>44253</v>
      </c>
      <c r="B277" s="334" t="s">
        <v>332</v>
      </c>
      <c r="C277" s="334" t="s">
        <v>131</v>
      </c>
      <c r="D277" s="334"/>
      <c r="E277" s="449">
        <v>10000</v>
      </c>
      <c r="F277" s="449"/>
      <c r="G277" s="476">
        <f t="shared" si="4"/>
        <v>18620426.99927</v>
      </c>
      <c r="H277" s="329" t="s">
        <v>75</v>
      </c>
      <c r="I277" s="347"/>
      <c r="J277" s="472"/>
      <c r="K277" s="479"/>
      <c r="L277" s="479"/>
      <c r="M277" s="440"/>
      <c r="N277" s="472"/>
      <c r="O277" s="479"/>
      <c r="P277" s="308"/>
      <c r="Q277" s="286"/>
    </row>
    <row r="278" spans="1:66" ht="15" customHeight="1">
      <c r="A278" s="334">
        <v>44253</v>
      </c>
      <c r="B278" s="334" t="s">
        <v>455</v>
      </c>
      <c r="C278" s="334" t="s">
        <v>78</v>
      </c>
      <c r="D278" s="334" t="s">
        <v>65</v>
      </c>
      <c r="E278" s="449"/>
      <c r="F278" s="449">
        <v>59000</v>
      </c>
      <c r="G278" s="476">
        <f t="shared" si="4"/>
        <v>18561426.99927</v>
      </c>
      <c r="H278" s="329" t="s">
        <v>75</v>
      </c>
      <c r="I278" s="347" t="s">
        <v>146</v>
      </c>
      <c r="J278" s="464" t="s">
        <v>183</v>
      </c>
      <c r="K278" s="340" t="s">
        <v>63</v>
      </c>
      <c r="L278" s="340" t="s">
        <v>61</v>
      </c>
      <c r="M278" s="328" t="s">
        <v>531</v>
      </c>
      <c r="N278" s="342" t="s">
        <v>153</v>
      </c>
      <c r="O278" s="341"/>
      <c r="P278" s="308"/>
      <c r="Q278" s="308"/>
      <c r="R278" s="308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  <c r="AI278" s="286"/>
      <c r="AJ278" s="286"/>
      <c r="AK278" s="286"/>
      <c r="AL278" s="286"/>
      <c r="AM278" s="286"/>
      <c r="AN278" s="286"/>
      <c r="AO278" s="286"/>
      <c r="AP278" s="286"/>
      <c r="AQ278" s="286"/>
      <c r="AR278" s="286"/>
      <c r="AS278" s="286"/>
      <c r="AT278" s="286"/>
      <c r="AU278" s="286"/>
      <c r="AV278" s="286"/>
      <c r="AW278" s="286"/>
      <c r="AX278" s="286"/>
      <c r="AY278" s="286"/>
      <c r="AZ278" s="286"/>
      <c r="BA278" s="286"/>
      <c r="BB278" s="286"/>
      <c r="BC278" s="286"/>
      <c r="BD278" s="286"/>
      <c r="BE278" s="286"/>
      <c r="BF278" s="286"/>
      <c r="BG278" s="286"/>
      <c r="BH278" s="286"/>
      <c r="BI278" s="286"/>
      <c r="BJ278" s="286"/>
      <c r="BK278" s="286"/>
      <c r="BL278" s="286"/>
      <c r="BM278" s="286"/>
      <c r="BN278" s="286"/>
    </row>
    <row r="279" spans="1:66" s="154" customFormat="1" ht="15" customHeight="1">
      <c r="A279" s="334">
        <v>44253</v>
      </c>
      <c r="B279" s="334" t="s">
        <v>342</v>
      </c>
      <c r="C279" s="334" t="s">
        <v>78</v>
      </c>
      <c r="D279" s="334" t="s">
        <v>132</v>
      </c>
      <c r="E279" s="449"/>
      <c r="F279" s="449">
        <v>123500</v>
      </c>
      <c r="G279" s="476">
        <f t="shared" si="4"/>
        <v>18437926.99927</v>
      </c>
      <c r="H279" s="348" t="s">
        <v>134</v>
      </c>
      <c r="I279" s="347" t="s">
        <v>146</v>
      </c>
      <c r="J279" s="464" t="s">
        <v>183</v>
      </c>
      <c r="K279" s="340" t="s">
        <v>63</v>
      </c>
      <c r="L279" s="340" t="s">
        <v>61</v>
      </c>
      <c r="M279" s="328" t="s">
        <v>532</v>
      </c>
      <c r="N279" s="342" t="s">
        <v>153</v>
      </c>
      <c r="O279" s="341"/>
    </row>
    <row r="280" spans="1:66" ht="15" hidden="1" customHeight="1">
      <c r="A280" s="334">
        <v>44253</v>
      </c>
      <c r="B280" s="334" t="s">
        <v>348</v>
      </c>
      <c r="C280" s="334" t="s">
        <v>131</v>
      </c>
      <c r="D280" s="334"/>
      <c r="E280" s="449">
        <v>37500</v>
      </c>
      <c r="F280" s="449"/>
      <c r="G280" s="476">
        <f t="shared" si="4"/>
        <v>18475426.99927</v>
      </c>
      <c r="H280" s="339" t="s">
        <v>83</v>
      </c>
      <c r="I280" s="347"/>
      <c r="J280" s="464"/>
      <c r="K280" s="340"/>
      <c r="L280" s="340"/>
      <c r="M280" s="341"/>
      <c r="N280" s="342"/>
      <c r="O280" s="341"/>
      <c r="P280" s="308"/>
      <c r="Q280" s="286"/>
    </row>
    <row r="281" spans="1:66" s="154" customFormat="1" ht="15" customHeight="1">
      <c r="A281" s="334">
        <v>44253</v>
      </c>
      <c r="B281" s="334" t="s">
        <v>360</v>
      </c>
      <c r="C281" s="334" t="s">
        <v>78</v>
      </c>
      <c r="D281" s="344" t="s">
        <v>207</v>
      </c>
      <c r="E281" s="449"/>
      <c r="F281" s="449">
        <v>173500</v>
      </c>
      <c r="G281" s="476">
        <f t="shared" si="4"/>
        <v>18301926.99927</v>
      </c>
      <c r="H281" s="339" t="s">
        <v>83</v>
      </c>
      <c r="I281" s="347" t="s">
        <v>146</v>
      </c>
      <c r="J281" s="465" t="s">
        <v>183</v>
      </c>
      <c r="K281" s="340" t="s">
        <v>63</v>
      </c>
      <c r="L281" s="340" t="s">
        <v>61</v>
      </c>
      <c r="M281" s="328" t="s">
        <v>533</v>
      </c>
      <c r="N281" s="342" t="s">
        <v>153</v>
      </c>
      <c r="O281" s="341"/>
    </row>
    <row r="282" spans="1:66" ht="15" customHeight="1">
      <c r="A282" s="334">
        <v>44253</v>
      </c>
      <c r="B282" s="334" t="s">
        <v>361</v>
      </c>
      <c r="C282" s="334" t="s">
        <v>79</v>
      </c>
      <c r="D282" s="334" t="s">
        <v>132</v>
      </c>
      <c r="E282" s="449"/>
      <c r="F282" s="449">
        <v>64350</v>
      </c>
      <c r="G282" s="476">
        <f t="shared" si="4"/>
        <v>18237576.99927</v>
      </c>
      <c r="H282" s="339" t="s">
        <v>83</v>
      </c>
      <c r="I282" s="347" t="s">
        <v>146</v>
      </c>
      <c r="J282" s="465" t="s">
        <v>195</v>
      </c>
      <c r="K282" s="340" t="s">
        <v>35</v>
      </c>
      <c r="L282" s="340" t="s">
        <v>61</v>
      </c>
      <c r="M282" s="341"/>
      <c r="N282" s="342"/>
      <c r="O282" s="341"/>
      <c r="P282" s="308"/>
      <c r="Q282" s="286"/>
    </row>
    <row r="283" spans="1:66" s="154" customFormat="1" ht="15" hidden="1" customHeight="1">
      <c r="A283" s="334">
        <v>44253</v>
      </c>
      <c r="B283" s="334" t="s">
        <v>367</v>
      </c>
      <c r="C283" s="334" t="s">
        <v>131</v>
      </c>
      <c r="D283" s="334"/>
      <c r="E283" s="449">
        <v>60000</v>
      </c>
      <c r="F283" s="449"/>
      <c r="G283" s="476">
        <f t="shared" si="4"/>
        <v>18297576.99927</v>
      </c>
      <c r="H283" s="341" t="s">
        <v>178</v>
      </c>
      <c r="I283" s="347"/>
      <c r="J283" s="464"/>
      <c r="K283" s="340"/>
      <c r="L283" s="340"/>
      <c r="M283" s="341"/>
      <c r="N283" s="342"/>
      <c r="O283" s="341"/>
      <c r="P283" s="308"/>
    </row>
    <row r="284" spans="1:66" s="154" customFormat="1" ht="15" customHeight="1">
      <c r="A284" s="334">
        <v>44253</v>
      </c>
      <c r="B284" s="334" t="s">
        <v>543</v>
      </c>
      <c r="C284" s="334" t="s">
        <v>78</v>
      </c>
      <c r="D284" s="334" t="s">
        <v>31</v>
      </c>
      <c r="E284" s="449"/>
      <c r="F284" s="449">
        <v>126000</v>
      </c>
      <c r="G284" s="476">
        <f t="shared" si="4"/>
        <v>18171576.99927</v>
      </c>
      <c r="H284" s="341" t="s">
        <v>178</v>
      </c>
      <c r="I284" s="347" t="s">
        <v>146</v>
      </c>
      <c r="J284" s="465" t="s">
        <v>183</v>
      </c>
      <c r="K284" s="340" t="s">
        <v>63</v>
      </c>
      <c r="L284" s="340" t="s">
        <v>61</v>
      </c>
      <c r="M284" s="328" t="s">
        <v>534</v>
      </c>
      <c r="N284" s="342" t="s">
        <v>153</v>
      </c>
      <c r="O284" s="341"/>
    </row>
    <row r="285" spans="1:66" ht="15" customHeight="1">
      <c r="A285" s="334">
        <v>44253</v>
      </c>
      <c r="B285" s="334" t="s">
        <v>372</v>
      </c>
      <c r="C285" s="334" t="s">
        <v>78</v>
      </c>
      <c r="D285" s="334" t="s">
        <v>19</v>
      </c>
      <c r="E285" s="449"/>
      <c r="F285" s="449">
        <v>50500</v>
      </c>
      <c r="G285" s="476">
        <f t="shared" si="4"/>
        <v>18121076.99927</v>
      </c>
      <c r="H285" s="329" t="s">
        <v>158</v>
      </c>
      <c r="I285" s="347" t="s">
        <v>146</v>
      </c>
      <c r="J285" s="465" t="s">
        <v>183</v>
      </c>
      <c r="K285" s="340" t="s">
        <v>63</v>
      </c>
      <c r="L285" s="340" t="s">
        <v>61</v>
      </c>
      <c r="M285" s="328" t="s">
        <v>535</v>
      </c>
      <c r="N285" s="342" t="s">
        <v>153</v>
      </c>
      <c r="O285" s="341"/>
      <c r="P285" s="308"/>
      <c r="Q285" s="308"/>
      <c r="R285" s="308"/>
    </row>
    <row r="286" spans="1:66" ht="15" hidden="1" customHeight="1">
      <c r="A286" s="334">
        <v>44253</v>
      </c>
      <c r="B286" s="334" t="s">
        <v>373</v>
      </c>
      <c r="C286" s="334" t="s">
        <v>131</v>
      </c>
      <c r="D286" s="334"/>
      <c r="E286" s="449">
        <v>60000</v>
      </c>
      <c r="F286" s="449"/>
      <c r="G286" s="476">
        <f t="shared" si="4"/>
        <v>18181076.99927</v>
      </c>
      <c r="H286" s="340" t="s">
        <v>72</v>
      </c>
      <c r="I286" s="352"/>
      <c r="J286" s="464"/>
      <c r="K286" s="340"/>
      <c r="L286" s="340"/>
      <c r="M286" s="341"/>
      <c r="N286" s="342"/>
      <c r="O286" s="341"/>
      <c r="P286" s="308"/>
      <c r="Q286" s="286"/>
    </row>
    <row r="287" spans="1:66" s="154" customFormat="1" ht="15" customHeight="1">
      <c r="A287" s="334">
        <v>44253</v>
      </c>
      <c r="B287" s="344" t="s">
        <v>374</v>
      </c>
      <c r="C287" s="334" t="s">
        <v>78</v>
      </c>
      <c r="D287" s="334" t="s">
        <v>31</v>
      </c>
      <c r="E287" s="446"/>
      <c r="F287" s="446">
        <v>30000</v>
      </c>
      <c r="G287" s="476">
        <f t="shared" si="4"/>
        <v>18151076.99927</v>
      </c>
      <c r="H287" s="340" t="s">
        <v>72</v>
      </c>
      <c r="I287" s="347" t="s">
        <v>146</v>
      </c>
      <c r="J287" s="465" t="s">
        <v>183</v>
      </c>
      <c r="K287" s="340" t="s">
        <v>63</v>
      </c>
      <c r="L287" s="340" t="s">
        <v>61</v>
      </c>
      <c r="M287" s="328" t="s">
        <v>536</v>
      </c>
      <c r="N287" s="342" t="s">
        <v>153</v>
      </c>
      <c r="O287" s="346"/>
    </row>
    <row r="288" spans="1:66" ht="15" customHeight="1">
      <c r="A288" s="334">
        <v>44253</v>
      </c>
      <c r="B288" s="340" t="s">
        <v>387</v>
      </c>
      <c r="C288" s="334" t="s">
        <v>78</v>
      </c>
      <c r="D288" s="334" t="s">
        <v>19</v>
      </c>
      <c r="E288" s="448"/>
      <c r="F288" s="448">
        <v>11000</v>
      </c>
      <c r="G288" s="476">
        <f t="shared" si="4"/>
        <v>18140076.99927</v>
      </c>
      <c r="H288" s="341" t="s">
        <v>76</v>
      </c>
      <c r="I288" s="347" t="s">
        <v>146</v>
      </c>
      <c r="J288" s="465" t="s">
        <v>183</v>
      </c>
      <c r="K288" s="340" t="s">
        <v>63</v>
      </c>
      <c r="L288" s="340" t="s">
        <v>61</v>
      </c>
      <c r="M288" s="328" t="s">
        <v>537</v>
      </c>
      <c r="N288" s="342" t="s">
        <v>153</v>
      </c>
      <c r="O288" s="479"/>
      <c r="P288" s="308"/>
      <c r="Q288" s="308"/>
      <c r="R288" s="308"/>
    </row>
    <row r="289" spans="1:18" ht="15" hidden="1" customHeight="1">
      <c r="A289" s="334">
        <v>44253</v>
      </c>
      <c r="B289" s="329" t="s">
        <v>165</v>
      </c>
      <c r="C289" s="343" t="s">
        <v>131</v>
      </c>
      <c r="D289" s="351"/>
      <c r="E289" s="455"/>
      <c r="F289" s="455"/>
      <c r="G289" s="476">
        <f t="shared" si="4"/>
        <v>18140076.99927</v>
      </c>
      <c r="H289" s="329" t="s">
        <v>141</v>
      </c>
      <c r="I289" s="460"/>
      <c r="J289" s="464"/>
      <c r="K289" s="340"/>
      <c r="L289" s="340"/>
      <c r="M289" s="328"/>
      <c r="N289" s="342"/>
      <c r="O289" s="341"/>
      <c r="P289" s="308"/>
      <c r="Q289" s="286"/>
    </row>
    <row r="290" spans="1:18" ht="15" hidden="1" customHeight="1">
      <c r="A290" s="334">
        <v>44253</v>
      </c>
      <c r="B290" s="329" t="s">
        <v>166</v>
      </c>
      <c r="C290" s="343" t="s">
        <v>131</v>
      </c>
      <c r="D290" s="351"/>
      <c r="E290" s="455"/>
      <c r="F290" s="455"/>
      <c r="G290" s="476">
        <f t="shared" si="4"/>
        <v>18140076.99927</v>
      </c>
      <c r="H290" s="329" t="s">
        <v>142</v>
      </c>
      <c r="I290" s="460"/>
      <c r="J290" s="464"/>
      <c r="K290" s="340"/>
      <c r="L290" s="340"/>
      <c r="M290" s="341"/>
      <c r="N290" s="342"/>
      <c r="O290" s="341"/>
      <c r="P290" s="308"/>
      <c r="Q290" s="308"/>
      <c r="R290" s="308"/>
    </row>
    <row r="291" spans="1:18" ht="15" customHeight="1">
      <c r="A291" s="334">
        <v>44254</v>
      </c>
      <c r="B291" s="340" t="s">
        <v>384</v>
      </c>
      <c r="C291" s="344" t="s">
        <v>78</v>
      </c>
      <c r="D291" s="344" t="s">
        <v>19</v>
      </c>
      <c r="E291" s="478"/>
      <c r="F291" s="448">
        <v>14000</v>
      </c>
      <c r="G291" s="476">
        <f t="shared" si="4"/>
        <v>18126076.99927</v>
      </c>
      <c r="H291" s="340" t="s">
        <v>385</v>
      </c>
      <c r="I291" s="347" t="s">
        <v>146</v>
      </c>
      <c r="J291" s="465" t="s">
        <v>183</v>
      </c>
      <c r="K291" s="340" t="s">
        <v>63</v>
      </c>
      <c r="L291" s="340" t="s">
        <v>61</v>
      </c>
      <c r="M291" s="328" t="s">
        <v>538</v>
      </c>
      <c r="N291" s="342" t="s">
        <v>153</v>
      </c>
      <c r="O291" s="341"/>
      <c r="P291" s="308"/>
      <c r="Q291" s="286"/>
    </row>
    <row r="292" spans="1:18" ht="15" customHeight="1">
      <c r="A292" s="334">
        <v>44255</v>
      </c>
      <c r="B292" s="329" t="s">
        <v>223</v>
      </c>
      <c r="C292" s="329" t="s">
        <v>28</v>
      </c>
      <c r="D292" s="329" t="s">
        <v>21</v>
      </c>
      <c r="E292" s="451"/>
      <c r="F292" s="457">
        <f>8644+2811</f>
        <v>11455</v>
      </c>
      <c r="G292" s="476">
        <f t="shared" si="4"/>
        <v>18114621.99927</v>
      </c>
      <c r="H292" s="339" t="s">
        <v>60</v>
      </c>
      <c r="I292" s="342" t="s">
        <v>29</v>
      </c>
      <c r="J292" s="464" t="s">
        <v>195</v>
      </c>
      <c r="K292" s="340" t="s">
        <v>35</v>
      </c>
      <c r="L292" s="340" t="s">
        <v>61</v>
      </c>
      <c r="M292" s="341"/>
      <c r="N292" s="342"/>
      <c r="O292" s="341"/>
      <c r="P292" s="308"/>
      <c r="Q292" s="286"/>
    </row>
    <row r="293" spans="1:18" s="154" customFormat="1" ht="15" customHeight="1">
      <c r="A293" s="334">
        <v>44255</v>
      </c>
      <c r="B293" s="439" t="s">
        <v>388</v>
      </c>
      <c r="C293" s="329" t="s">
        <v>28</v>
      </c>
      <c r="D293" s="329" t="s">
        <v>21</v>
      </c>
      <c r="E293" s="445"/>
      <c r="F293" s="446">
        <f>10665+5000+2811</f>
        <v>18476</v>
      </c>
      <c r="G293" s="476">
        <f t="shared" si="4"/>
        <v>18096145.99927</v>
      </c>
      <c r="H293" s="339" t="s">
        <v>62</v>
      </c>
      <c r="I293" s="459" t="s">
        <v>29</v>
      </c>
      <c r="J293" s="464" t="s">
        <v>183</v>
      </c>
      <c r="K293" s="340" t="s">
        <v>63</v>
      </c>
      <c r="L293" s="340" t="s">
        <v>61</v>
      </c>
      <c r="M293" s="328" t="s">
        <v>539</v>
      </c>
      <c r="N293" s="342" t="s">
        <v>155</v>
      </c>
      <c r="O293" s="341"/>
    </row>
    <row r="294" spans="1:18" s="219" customFormat="1" ht="22.5" customHeight="1">
      <c r="A294" s="221"/>
      <c r="B294" s="221"/>
      <c r="C294" s="221"/>
      <c r="D294" s="221"/>
      <c r="E294" s="226"/>
      <c r="F294" s="458"/>
      <c r="G294" s="222"/>
      <c r="H294" s="222"/>
      <c r="I294" s="230"/>
      <c r="J294" s="223"/>
      <c r="K294" s="221"/>
      <c r="L294" s="221"/>
      <c r="M294" s="221"/>
      <c r="N294" s="221"/>
      <c r="O294" s="221"/>
      <c r="P294" s="221"/>
    </row>
  </sheetData>
  <autoFilter ref="A11:GT294">
    <filterColumn colId="2">
      <filters blank="1">
        <filter val="Bank fees"/>
        <filter val="Bonus"/>
        <filter val="Donation"/>
        <filter val="Internet"/>
        <filter val="Jail visits"/>
        <filter val="Lawyer fees"/>
        <filter val="Office Materials"/>
        <filter val="Personnel"/>
        <filter val="Rent &amp; Utilities"/>
        <filter val="Services"/>
        <filter val="Telephone"/>
        <filter val="Transfer fees"/>
        <filter val="Transport"/>
        <filter val="Travel Expenses"/>
        <filter val="Travel Subsistence"/>
        <filter val="Trust building"/>
      </filters>
    </filterColumn>
    <filterColumn colId="9"/>
  </autoFilter>
  <sortState ref="A12:O293">
    <sortCondition ref="A12:A293"/>
  </sortState>
  <mergeCells count="1">
    <mergeCell ref="A1:O1"/>
  </mergeCells>
  <dataValidations count="19">
    <dataValidation type="list" allowBlank="1" showInputMessage="1" showErrorMessage="1" sqref="C27:C28 C32">
      <formula1>$N$3863:$N$3883</formula1>
    </dataValidation>
    <dataValidation type="list" allowBlank="1" showInputMessage="1" showErrorMessage="1" sqref="C35">
      <formula1>$N$27:$N$558</formula1>
    </dataValidation>
    <dataValidation type="list" allowBlank="1" showInputMessage="1" showErrorMessage="1" sqref="C37">
      <formula1>$N$27:$N$555</formula1>
    </dataValidation>
    <dataValidation type="list" showInputMessage="1" showErrorMessage="1" sqref="C14:C15">
      <formula1>$N$486:$N$506</formula1>
    </dataValidation>
    <dataValidation type="list" allowBlank="1" showInputMessage="1" showErrorMessage="1" sqref="C163 C165:C168 C170:C171 C173 C175">
      <formula1>$N$20:$N$581</formula1>
    </dataValidation>
    <dataValidation type="list" allowBlank="1" showInputMessage="1" showErrorMessage="1" sqref="C247 C202 C216:C218 C220 C204:C208 C214">
      <formula1>$N$3917:$N$3937</formula1>
    </dataValidation>
    <dataValidation type="list" allowBlank="1" showInputMessage="1" showErrorMessage="1" sqref="C219">
      <formula1>#REF!</formula1>
    </dataValidation>
    <dataValidation type="list" allowBlank="1" showInputMessage="1" showErrorMessage="1" sqref="C64 C143 C94 C126">
      <formula1>$N$3908:$N$3928</formula1>
    </dataValidation>
    <dataValidation type="list" allowBlank="1" showInputMessage="1" showErrorMessage="1" sqref="C246">
      <formula1>$L$7:$L$10</formula1>
    </dataValidation>
    <dataValidation type="list" allowBlank="1" showInputMessage="1" showErrorMessage="1" sqref="C222:C223 C245 C243 C238:C240 C231:C233 C227">
      <formula1>$N$3922:$N$3942</formula1>
    </dataValidation>
    <dataValidation type="list" allowBlank="1" showInputMessage="1" showErrorMessage="1" sqref="C221 C244 C234:C237 C228:C230 C241:C242">
      <formula1>$N$11:$N$18</formula1>
    </dataValidation>
    <dataValidation type="list" showInputMessage="1" showErrorMessage="1" sqref="C252 C256">
      <formula1>$N$493:$N$513</formula1>
    </dataValidation>
    <dataValidation type="list" allowBlank="1" showInputMessage="1" showErrorMessage="1" sqref="C267">
      <formula1>$L$3861:$L$3881</formula1>
    </dataValidation>
    <dataValidation type="list" allowBlank="1" showInputMessage="1" showErrorMessage="1" sqref="C266">
      <formula1>$L$3880:$L$3900</formula1>
    </dataValidation>
    <dataValidation type="list" allowBlank="1" showInputMessage="1" showErrorMessage="1" sqref="C257:C265">
      <formula1>$N$3903:$N$3923</formula1>
    </dataValidation>
    <dataValidation type="list" allowBlank="1" showInputMessage="1" showErrorMessage="1" sqref="C273 C275">
      <formula1>$N$22:$N$675</formula1>
    </dataValidation>
    <dataValidation type="list" allowBlank="1" showInputMessage="1" showErrorMessage="1" sqref="C286">
      <formula1>$L$23:$L$136</formula1>
    </dataValidation>
    <dataValidation type="list" allowBlank="1" showInputMessage="1" showErrorMessage="1" sqref="C276 C284 C278:C282">
      <formula1>$N$23:$N$114</formula1>
    </dataValidation>
    <dataValidation type="list" allowBlank="1" showInputMessage="1" showErrorMessage="1" sqref="C210 C215">
      <formula1>$N$31:$N$562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5"/>
  <sheetViews>
    <sheetView topLeftCell="C15" workbookViewId="0">
      <selection activeCell="H19" sqref="H19:H20"/>
    </sheetView>
  </sheetViews>
  <sheetFormatPr baseColWidth="10" defaultColWidth="11.42578125" defaultRowHeight="15"/>
  <cols>
    <col min="2" max="2" width="1.28515625" customWidth="1"/>
    <col min="3" max="3" width="13" customWidth="1"/>
    <col min="4" max="4" width="38" customWidth="1"/>
    <col min="5" max="5" width="8.42578125" customWidth="1"/>
    <col min="6" max="6" width="7.42578125" customWidth="1"/>
    <col min="7" max="7" width="0.140625" customWidth="1"/>
    <col min="8" max="8" width="13.42578125" customWidth="1"/>
    <col min="9" max="9" width="14.42578125" customWidth="1"/>
    <col min="10" max="10" width="9.85546875" style="1" customWidth="1"/>
    <col min="11" max="11" width="11.85546875" customWidth="1"/>
    <col min="13" max="13" width="13.85546875" bestFit="1" customWidth="1"/>
  </cols>
  <sheetData>
    <row r="1" spans="1:12">
      <c r="A1" s="33"/>
      <c r="B1" s="33"/>
      <c r="C1" s="33"/>
      <c r="D1" s="33"/>
      <c r="E1" s="33"/>
      <c r="F1" s="33"/>
      <c r="G1" s="33"/>
      <c r="H1" s="33"/>
      <c r="I1" s="1"/>
      <c r="J1"/>
    </row>
    <row r="2" spans="1:12">
      <c r="A2" s="33"/>
      <c r="B2" s="33"/>
      <c r="C2" s="33"/>
      <c r="D2" s="33"/>
      <c r="E2" s="33"/>
      <c r="F2" s="33"/>
      <c r="G2" s="33"/>
      <c r="H2" s="33"/>
      <c r="I2" s="1"/>
      <c r="J2"/>
    </row>
    <row r="3" spans="1:12">
      <c r="A3" s="33"/>
      <c r="B3" s="33"/>
      <c r="C3" s="33"/>
      <c r="D3" s="33"/>
      <c r="E3" s="33"/>
      <c r="F3" s="33"/>
      <c r="G3" s="33"/>
      <c r="H3" s="33"/>
      <c r="I3" s="1"/>
      <c r="J3"/>
    </row>
    <row r="4" spans="1:12">
      <c r="A4" s="34"/>
      <c r="B4" s="35"/>
      <c r="C4" s="35"/>
      <c r="D4" s="35"/>
      <c r="E4" s="35"/>
      <c r="F4" s="35"/>
      <c r="G4" s="35"/>
      <c r="H4" s="35"/>
      <c r="I4" s="1"/>
      <c r="J4"/>
    </row>
    <row r="5" spans="1:12">
      <c r="A5" s="36" t="s">
        <v>32</v>
      </c>
      <c r="B5" s="35"/>
      <c r="C5" s="35"/>
      <c r="D5" s="35"/>
      <c r="E5" s="35"/>
      <c r="F5" s="35"/>
      <c r="G5" s="35"/>
      <c r="H5" s="35"/>
      <c r="I5" s="1"/>
      <c r="J5"/>
    </row>
    <row r="6" spans="1:12">
      <c r="A6" s="37" t="s">
        <v>33</v>
      </c>
      <c r="B6" s="38" t="s">
        <v>34</v>
      </c>
      <c r="C6" s="38"/>
      <c r="D6" s="39"/>
      <c r="E6" s="38"/>
      <c r="F6" s="38"/>
      <c r="G6" s="38"/>
      <c r="H6" s="35"/>
      <c r="I6" s="1"/>
      <c r="J6"/>
    </row>
    <row r="7" spans="1:12">
      <c r="A7" s="38"/>
      <c r="B7" s="38"/>
      <c r="C7" s="38"/>
      <c r="D7" s="38"/>
      <c r="E7" s="38"/>
      <c r="F7" s="38"/>
      <c r="G7" s="38"/>
      <c r="H7" s="35"/>
      <c r="I7" s="1"/>
      <c r="J7"/>
    </row>
    <row r="8" spans="1:12">
      <c r="A8" s="2" t="s">
        <v>0</v>
      </c>
      <c r="B8" s="2"/>
      <c r="C8" s="3"/>
      <c r="D8" s="3"/>
      <c r="E8" s="3"/>
      <c r="F8" s="3"/>
      <c r="G8" s="3"/>
      <c r="H8" s="3"/>
      <c r="I8" s="3"/>
      <c r="J8" s="4"/>
      <c r="K8" s="3"/>
      <c r="L8" s="3"/>
    </row>
    <row r="9" spans="1:12">
      <c r="A9" s="5"/>
      <c r="B9" s="5"/>
      <c r="C9" s="6" t="s">
        <v>1</v>
      </c>
      <c r="D9" s="6"/>
      <c r="E9" s="7"/>
      <c r="F9" s="7"/>
      <c r="G9" s="7"/>
      <c r="H9" s="7"/>
      <c r="I9" s="8"/>
      <c r="J9" s="9"/>
      <c r="K9" s="7"/>
      <c r="L9" s="7"/>
    </row>
    <row r="10" spans="1:12" ht="15.75">
      <c r="A10" s="5"/>
      <c r="B10" s="5"/>
      <c r="C10" s="360" t="s">
        <v>24</v>
      </c>
      <c r="D10" s="360"/>
      <c r="E10" s="7"/>
      <c r="F10" s="7"/>
      <c r="G10" s="7"/>
      <c r="H10" s="7"/>
      <c r="I10" s="8"/>
      <c r="J10" s="9"/>
      <c r="K10" s="7"/>
      <c r="L10" s="7"/>
    </row>
    <row r="11" spans="1:12">
      <c r="A11" s="5"/>
      <c r="B11" s="5"/>
      <c r="C11" s="6" t="s">
        <v>3</v>
      </c>
      <c r="D11" s="6"/>
      <c r="E11" s="7"/>
      <c r="F11" s="7"/>
      <c r="G11" s="7"/>
      <c r="H11" s="7"/>
      <c r="I11" s="8"/>
      <c r="J11" s="9"/>
      <c r="L11" s="7"/>
    </row>
    <row r="12" spans="1:12">
      <c r="A12" s="5"/>
      <c r="B12" s="5"/>
      <c r="C12" s="7"/>
      <c r="D12" s="10"/>
      <c r="E12" s="11"/>
      <c r="F12" s="11"/>
      <c r="G12" s="11"/>
      <c r="H12" s="11"/>
      <c r="I12" s="8"/>
      <c r="J12" s="9"/>
      <c r="K12" s="12"/>
      <c r="L12" s="7"/>
    </row>
    <row r="13" spans="1:12">
      <c r="A13" s="5"/>
      <c r="B13" s="5"/>
      <c r="C13" s="7"/>
      <c r="D13" s="10"/>
      <c r="E13" s="13" t="s">
        <v>409</v>
      </c>
      <c r="F13" s="13"/>
      <c r="G13" s="13"/>
      <c r="H13" s="13"/>
      <c r="I13" s="7"/>
      <c r="J13" s="14"/>
      <c r="K13" s="12"/>
      <c r="L13" s="7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4"/>
      <c r="K14" s="3"/>
      <c r="L14" s="3"/>
    </row>
    <row r="15" spans="1:12" ht="22.5" customHeight="1">
      <c r="A15" s="15" t="s">
        <v>4</v>
      </c>
      <c r="B15" s="16" t="s">
        <v>5</v>
      </c>
      <c r="C15" s="17" t="s">
        <v>6</v>
      </c>
      <c r="D15" s="18" t="s">
        <v>7</v>
      </c>
      <c r="E15" s="18" t="s">
        <v>8</v>
      </c>
      <c r="F15" s="18" t="s">
        <v>9</v>
      </c>
      <c r="G15" s="19" t="s">
        <v>10</v>
      </c>
      <c r="H15" s="18" t="s">
        <v>11</v>
      </c>
      <c r="I15" s="20" t="s">
        <v>25</v>
      </c>
      <c r="J15" s="21" t="s">
        <v>13</v>
      </c>
      <c r="K15" s="22" t="s">
        <v>14</v>
      </c>
    </row>
    <row r="16" spans="1:12">
      <c r="A16" s="30">
        <v>43863</v>
      </c>
      <c r="B16" s="28"/>
      <c r="C16" s="31"/>
      <c r="D16" s="28" t="s">
        <v>410</v>
      </c>
      <c r="E16" s="28"/>
      <c r="F16" s="28"/>
      <c r="G16" s="28"/>
      <c r="H16" s="46">
        <v>5510674</v>
      </c>
      <c r="I16" s="32"/>
      <c r="J16" s="134">
        <f>+H16</f>
        <v>5510674</v>
      </c>
      <c r="K16" s="204"/>
    </row>
    <row r="17" spans="1:12">
      <c r="A17" s="30">
        <v>44229</v>
      </c>
      <c r="B17" s="27"/>
      <c r="C17" s="322" t="s">
        <v>29</v>
      </c>
      <c r="D17" s="28" t="s">
        <v>212</v>
      </c>
      <c r="E17" s="250" t="s">
        <v>28</v>
      </c>
      <c r="F17" s="205" t="s">
        <v>18</v>
      </c>
      <c r="G17" s="250"/>
      <c r="H17" s="306"/>
      <c r="I17" s="133">
        <v>2811</v>
      </c>
      <c r="J17" s="134">
        <f>+J16+H17-I17</f>
        <v>5507863</v>
      </c>
      <c r="K17" s="23"/>
    </row>
    <row r="18" spans="1:12">
      <c r="A18" s="30">
        <v>44229</v>
      </c>
      <c r="B18" s="27"/>
      <c r="C18" s="31">
        <v>3654426</v>
      </c>
      <c r="D18" s="28" t="s">
        <v>213</v>
      </c>
      <c r="E18" s="27" t="s">
        <v>131</v>
      </c>
      <c r="F18" s="27"/>
      <c r="G18" s="318"/>
      <c r="H18" s="319"/>
      <c r="I18" s="133">
        <v>1500000</v>
      </c>
      <c r="J18" s="134">
        <f t="shared" ref="J18:J27" si="0">+J17+H18-I18</f>
        <v>4007863</v>
      </c>
      <c r="K18" s="23"/>
    </row>
    <row r="19" spans="1:12">
      <c r="A19" s="30">
        <v>44231</v>
      </c>
      <c r="B19" s="27"/>
      <c r="C19" s="322" t="s">
        <v>29</v>
      </c>
      <c r="D19" s="28" t="s">
        <v>214</v>
      </c>
      <c r="E19" s="27"/>
      <c r="F19" s="27"/>
      <c r="G19" s="27"/>
      <c r="H19" s="133">
        <f>5190022+2146034</f>
        <v>7336056</v>
      </c>
      <c r="I19" s="133"/>
      <c r="J19" s="134">
        <f t="shared" si="0"/>
        <v>11343919</v>
      </c>
      <c r="K19" s="204" t="s">
        <v>224</v>
      </c>
    </row>
    <row r="20" spans="1:12">
      <c r="A20" s="30">
        <v>44231</v>
      </c>
      <c r="B20" s="27"/>
      <c r="C20" s="322" t="s">
        <v>29</v>
      </c>
      <c r="D20" s="28" t="s">
        <v>215</v>
      </c>
      <c r="E20" s="27"/>
      <c r="F20" s="27"/>
      <c r="G20" s="27"/>
      <c r="H20" s="133">
        <f>5190022-2146034</f>
        <v>3043988</v>
      </c>
      <c r="I20" s="133"/>
      <c r="J20" s="134">
        <f t="shared" si="0"/>
        <v>14387907</v>
      </c>
      <c r="K20" s="204" t="s">
        <v>195</v>
      </c>
    </row>
    <row r="21" spans="1:12">
      <c r="A21" s="30">
        <v>44232</v>
      </c>
      <c r="B21" s="27"/>
      <c r="C21" s="31">
        <v>3654427</v>
      </c>
      <c r="D21" s="28" t="s">
        <v>216</v>
      </c>
      <c r="E21" s="27" t="s">
        <v>131</v>
      </c>
      <c r="F21" s="27"/>
      <c r="I21" s="133">
        <v>1000000</v>
      </c>
      <c r="J21" s="134">
        <f t="shared" si="0"/>
        <v>13387907</v>
      </c>
      <c r="K21" s="23"/>
    </row>
    <row r="22" spans="1:12">
      <c r="A22" s="30">
        <v>44235</v>
      </c>
      <c r="B22" s="27"/>
      <c r="C22" s="31">
        <v>3654428</v>
      </c>
      <c r="D22" s="28" t="s">
        <v>217</v>
      </c>
      <c r="E22" s="27" t="s">
        <v>131</v>
      </c>
      <c r="F22" s="27"/>
      <c r="G22" s="320"/>
      <c r="H22" s="320"/>
      <c r="I22" s="133">
        <v>1000000</v>
      </c>
      <c r="J22" s="134">
        <f t="shared" si="0"/>
        <v>12387907</v>
      </c>
      <c r="K22" s="23"/>
    </row>
    <row r="23" spans="1:12">
      <c r="A23" s="30">
        <v>44235</v>
      </c>
      <c r="B23" s="27"/>
      <c r="C23" s="322" t="s">
        <v>29</v>
      </c>
      <c r="D23" s="28" t="s">
        <v>218</v>
      </c>
      <c r="E23" s="250" t="s">
        <v>28</v>
      </c>
      <c r="F23" s="205" t="s">
        <v>18</v>
      </c>
      <c r="G23" s="250"/>
      <c r="H23" s="306"/>
      <c r="I23" s="133">
        <v>8644</v>
      </c>
      <c r="J23" s="134">
        <f t="shared" si="0"/>
        <v>12379263</v>
      </c>
      <c r="K23" s="23"/>
    </row>
    <row r="24" spans="1:12">
      <c r="A24" s="30">
        <v>44242</v>
      </c>
      <c r="B24" s="27"/>
      <c r="C24" s="31">
        <v>3654429</v>
      </c>
      <c r="D24" s="28" t="s">
        <v>219</v>
      </c>
      <c r="E24" s="27" t="s">
        <v>26</v>
      </c>
      <c r="F24" s="27" t="s">
        <v>163</v>
      </c>
      <c r="G24" s="27"/>
      <c r="H24" s="214"/>
      <c r="I24" s="133">
        <v>128000</v>
      </c>
      <c r="J24" s="134">
        <f t="shared" si="0"/>
        <v>12251263</v>
      </c>
      <c r="K24" s="23"/>
    </row>
    <row r="25" spans="1:12">
      <c r="A25" s="30">
        <v>44243</v>
      </c>
      <c r="B25" s="27"/>
      <c r="C25" s="31">
        <v>3654430</v>
      </c>
      <c r="D25" s="28" t="s">
        <v>220</v>
      </c>
      <c r="E25" s="27" t="s">
        <v>131</v>
      </c>
      <c r="F25" s="27"/>
      <c r="G25" s="27"/>
      <c r="H25" s="214"/>
      <c r="I25" s="133">
        <v>1000000</v>
      </c>
      <c r="J25" s="134">
        <f t="shared" si="0"/>
        <v>11251263</v>
      </c>
      <c r="K25" s="23"/>
    </row>
    <row r="26" spans="1:12">
      <c r="A26" s="30">
        <v>44245</v>
      </c>
      <c r="B26" s="27"/>
      <c r="C26" s="31">
        <v>3654431</v>
      </c>
      <c r="D26" s="28" t="s">
        <v>221</v>
      </c>
      <c r="E26" s="27" t="s">
        <v>26</v>
      </c>
      <c r="F26" s="28" t="s">
        <v>163</v>
      </c>
      <c r="G26" s="250"/>
      <c r="H26" s="306"/>
      <c r="I26" s="133">
        <v>138000</v>
      </c>
      <c r="J26" s="134">
        <f t="shared" si="0"/>
        <v>11113263</v>
      </c>
      <c r="K26" s="23"/>
    </row>
    <row r="27" spans="1:12">
      <c r="A27" s="30">
        <v>44252</v>
      </c>
      <c r="B27" s="27"/>
      <c r="C27" s="31">
        <v>3654432</v>
      </c>
      <c r="D27" s="28" t="s">
        <v>222</v>
      </c>
      <c r="E27" s="27" t="s">
        <v>131</v>
      </c>
      <c r="F27" s="27"/>
      <c r="G27" s="250"/>
      <c r="H27" s="306"/>
      <c r="I27" s="133">
        <v>1000000</v>
      </c>
      <c r="J27" s="134">
        <f t="shared" si="0"/>
        <v>10113263</v>
      </c>
      <c r="K27" s="23"/>
    </row>
    <row r="28" spans="1:12">
      <c r="A28" s="28"/>
      <c r="B28" s="28"/>
      <c r="C28" s="361" t="s">
        <v>27</v>
      </c>
      <c r="D28" s="361"/>
      <c r="E28" s="361"/>
      <c r="F28" s="361"/>
      <c r="G28" s="361"/>
      <c r="H28" s="32">
        <f>SUM(H16:H27)</f>
        <v>15890718</v>
      </c>
      <c r="I28" s="362"/>
      <c r="J28" s="363"/>
      <c r="K28" s="28"/>
    </row>
    <row r="29" spans="1:12">
      <c r="A29" s="3"/>
      <c r="B29" s="3"/>
      <c r="C29" s="27" t="s">
        <v>22</v>
      </c>
      <c r="D29" s="27"/>
      <c r="E29" s="27"/>
      <c r="F29" s="27"/>
      <c r="G29" s="27"/>
      <c r="H29" s="364"/>
      <c r="I29" s="32">
        <f>SUM(I17:I28)</f>
        <v>5777455</v>
      </c>
      <c r="J29" s="3"/>
      <c r="K29" s="3"/>
    </row>
    <row r="30" spans="1:12" ht="23.25" customHeight="1">
      <c r="A30" s="3"/>
      <c r="B30" s="3"/>
      <c r="C30" s="365" t="s">
        <v>23</v>
      </c>
      <c r="D30" s="365"/>
      <c r="E30" s="365"/>
      <c r="F30" s="365"/>
      <c r="G30" s="365"/>
      <c r="H30" s="366">
        <f>+H28-I29</f>
        <v>10113263</v>
      </c>
      <c r="I30" s="4"/>
      <c r="J30" s="3"/>
      <c r="K30" s="3"/>
      <c r="L30" s="29"/>
    </row>
    <row r="31" spans="1:12">
      <c r="K31" s="24"/>
      <c r="L31" s="29"/>
    </row>
    <row r="32" spans="1:12">
      <c r="H32" s="45"/>
      <c r="K32" s="24"/>
    </row>
    <row r="33" spans="11:11">
      <c r="K33" s="24"/>
    </row>
    <row r="34" spans="11:11">
      <c r="K34" s="24"/>
    </row>
    <row r="35" spans="11:11">
      <c r="K35" s="24"/>
    </row>
    <row r="36" spans="11:11">
      <c r="K36" s="24"/>
    </row>
    <row r="37" spans="11:11">
      <c r="K37" s="24"/>
    </row>
    <row r="38" spans="11:11">
      <c r="K38" s="24"/>
    </row>
    <row r="39" spans="11:11">
      <c r="K39" s="24"/>
    </row>
    <row r="40" spans="11:11">
      <c r="K40" s="24"/>
    </row>
    <row r="41" spans="11:11">
      <c r="K41" s="24"/>
    </row>
    <row r="42" spans="11:11">
      <c r="K42" s="24"/>
    </row>
    <row r="43" spans="11:11">
      <c r="K43" s="24"/>
    </row>
    <row r="44" spans="11:11">
      <c r="K44" s="24"/>
    </row>
    <row r="45" spans="11:11">
      <c r="K45" s="2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46"/>
  <sheetViews>
    <sheetView topLeftCell="C6" workbookViewId="0">
      <selection activeCell="G35" sqref="G35"/>
    </sheetView>
  </sheetViews>
  <sheetFormatPr baseColWidth="10" defaultColWidth="11.42578125" defaultRowHeight="12.75"/>
  <cols>
    <col min="1" max="1" width="3" style="368" customWidth="1"/>
    <col min="2" max="2" width="11.42578125" style="368"/>
    <col min="3" max="3" width="22.7109375" style="368" customWidth="1"/>
    <col min="4" max="7" width="11.42578125" style="368"/>
    <col min="8" max="8" width="1.5703125" style="368" customWidth="1"/>
    <col min="9" max="9" width="9" style="368" customWidth="1"/>
    <col min="10" max="10" width="40.42578125" style="368" customWidth="1"/>
    <col min="11" max="11" width="11.85546875" style="368" customWidth="1"/>
    <col min="12" max="12" width="12.140625" style="368" customWidth="1"/>
    <col min="13" max="16384" width="11.42578125" style="368"/>
  </cols>
  <sheetData>
    <row r="1" spans="1:14" ht="15">
      <c r="A1" s="367"/>
      <c r="B1" s="33"/>
      <c r="C1" s="33"/>
      <c r="D1" s="33"/>
      <c r="E1" s="33"/>
      <c r="F1" s="33"/>
      <c r="G1" s="33"/>
      <c r="H1" s="33"/>
      <c r="I1" s="33"/>
      <c r="J1" s="1"/>
      <c r="K1"/>
    </row>
    <row r="2" spans="1:14" ht="15">
      <c r="A2" s="367"/>
      <c r="B2" s="33"/>
      <c r="C2" s="33"/>
      <c r="D2" s="33"/>
      <c r="E2" s="33"/>
      <c r="F2" s="33"/>
      <c r="G2" s="33"/>
      <c r="H2" s="33"/>
      <c r="I2" s="33"/>
      <c r="J2" s="1"/>
      <c r="K2"/>
    </row>
    <row r="3" spans="1:14" ht="15">
      <c r="A3" s="367"/>
      <c r="B3" s="33"/>
      <c r="C3" s="33"/>
      <c r="D3" s="33"/>
      <c r="E3" s="33"/>
      <c r="F3" s="33"/>
      <c r="G3" s="33"/>
      <c r="H3" s="33"/>
      <c r="I3" s="33"/>
      <c r="J3" s="1"/>
      <c r="K3"/>
    </row>
    <row r="4" spans="1:14" ht="15">
      <c r="A4" s="367"/>
      <c r="B4" s="34"/>
      <c r="C4" s="35"/>
      <c r="D4" s="35"/>
      <c r="E4" s="35"/>
      <c r="F4" s="35"/>
      <c r="G4" s="35"/>
      <c r="H4" s="35"/>
      <c r="I4" s="35"/>
      <c r="J4" s="1"/>
      <c r="K4"/>
    </row>
    <row r="5" spans="1:14" ht="15">
      <c r="A5" s="367"/>
      <c r="B5" s="36" t="s">
        <v>32</v>
      </c>
      <c r="C5" s="35"/>
      <c r="D5" s="35"/>
      <c r="E5" s="35"/>
      <c r="F5" s="35"/>
      <c r="G5" s="35"/>
      <c r="H5" s="35"/>
      <c r="I5" s="35"/>
      <c r="J5" s="1"/>
      <c r="K5"/>
    </row>
    <row r="6" spans="1:14" ht="15">
      <c r="A6" s="367"/>
      <c r="B6" s="37" t="s">
        <v>33</v>
      </c>
      <c r="C6" s="38" t="s">
        <v>34</v>
      </c>
      <c r="D6" s="38"/>
      <c r="E6" s="39"/>
      <c r="F6" s="38"/>
      <c r="G6" s="38"/>
      <c r="H6" s="38"/>
      <c r="I6" s="35"/>
      <c r="J6" s="1"/>
      <c r="K6"/>
    </row>
    <row r="7" spans="1:14" ht="15">
      <c r="A7" s="367"/>
      <c r="B7" s="38"/>
      <c r="C7" s="38"/>
      <c r="D7" s="38"/>
      <c r="E7" s="38"/>
      <c r="F7" s="38"/>
      <c r="G7" s="38"/>
      <c r="H7" s="38"/>
      <c r="I7" s="35"/>
      <c r="J7" s="1"/>
      <c r="K7"/>
    </row>
    <row r="8" spans="1:14">
      <c r="A8" s="367"/>
      <c r="B8" s="369"/>
      <c r="C8" s="370"/>
      <c r="D8" s="371"/>
      <c r="E8" s="372"/>
      <c r="F8" s="372"/>
      <c r="G8" s="367"/>
      <c r="H8" s="373"/>
      <c r="I8" s="374"/>
      <c r="J8" s="369"/>
    </row>
    <row r="9" spans="1:14" ht="23.25" thickBot="1">
      <c r="A9" s="367"/>
      <c r="B9" s="530" t="s">
        <v>411</v>
      </c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</row>
    <row r="10" spans="1:14" ht="13.5" thickTop="1">
      <c r="H10" s="375"/>
    </row>
    <row r="11" spans="1:14">
      <c r="B11" s="369" t="s">
        <v>412</v>
      </c>
      <c r="C11" s="376" t="s">
        <v>413</v>
      </c>
      <c r="D11" s="377"/>
      <c r="E11" s="378"/>
      <c r="F11" s="378"/>
      <c r="H11" s="375"/>
      <c r="I11" s="369" t="s">
        <v>412</v>
      </c>
      <c r="J11" s="376" t="str">
        <f>C11</f>
        <v>DU 01 AU 28 Février  2021</v>
      </c>
      <c r="K11" s="378"/>
      <c r="L11" s="378"/>
      <c r="M11" s="378"/>
    </row>
    <row r="12" spans="1:14">
      <c r="B12" s="369" t="s">
        <v>414</v>
      </c>
      <c r="C12" s="378" t="s">
        <v>415</v>
      </c>
      <c r="D12" s="378"/>
      <c r="E12" s="379"/>
      <c r="F12" s="379"/>
      <c r="G12" s="367"/>
      <c r="H12" s="375"/>
      <c r="I12" s="369" t="s">
        <v>414</v>
      </c>
      <c r="J12" s="378" t="s">
        <v>416</v>
      </c>
      <c r="K12" s="378"/>
      <c r="L12" s="378"/>
      <c r="M12" s="378"/>
    </row>
    <row r="13" spans="1:14" ht="15.75">
      <c r="B13" s="369" t="s">
        <v>417</v>
      </c>
      <c r="C13" s="380" t="s">
        <v>418</v>
      </c>
      <c r="D13" s="381"/>
      <c r="E13" s="379"/>
      <c r="F13" s="379"/>
      <c r="G13" s="367"/>
      <c r="H13" s="375"/>
      <c r="I13" s="369" t="s">
        <v>417</v>
      </c>
      <c r="J13" s="380" t="str">
        <f>+C13</f>
        <v>01100-37107202652 - 34</v>
      </c>
      <c r="K13" s="380"/>
      <c r="L13" s="378"/>
      <c r="M13" s="378"/>
    </row>
    <row r="14" spans="1:14">
      <c r="H14" s="375"/>
    </row>
    <row r="15" spans="1:14">
      <c r="B15" s="531" t="s">
        <v>4</v>
      </c>
      <c r="C15" s="531" t="s">
        <v>419</v>
      </c>
      <c r="D15" s="531" t="s">
        <v>420</v>
      </c>
      <c r="E15" s="531" t="s">
        <v>421</v>
      </c>
      <c r="F15" s="532" t="s">
        <v>422</v>
      </c>
      <c r="G15" s="532"/>
      <c r="H15" s="375"/>
      <c r="I15" s="531" t="s">
        <v>4</v>
      </c>
      <c r="J15" s="531" t="s">
        <v>419</v>
      </c>
      <c r="K15" s="531" t="s">
        <v>420</v>
      </c>
      <c r="L15" s="531" t="s">
        <v>421</v>
      </c>
      <c r="M15" s="532" t="s">
        <v>422</v>
      </c>
      <c r="N15" s="532"/>
    </row>
    <row r="16" spans="1:14">
      <c r="B16" s="531"/>
      <c r="C16" s="531"/>
      <c r="D16" s="531"/>
      <c r="E16" s="531"/>
      <c r="F16" s="382" t="s">
        <v>423</v>
      </c>
      <c r="G16" s="382" t="s">
        <v>424</v>
      </c>
      <c r="H16" s="375"/>
      <c r="I16" s="531"/>
      <c r="J16" s="531"/>
      <c r="K16" s="531"/>
      <c r="L16" s="531"/>
      <c r="M16" s="382" t="s">
        <v>423</v>
      </c>
      <c r="N16" s="382" t="s">
        <v>424</v>
      </c>
    </row>
    <row r="17" spans="2:15">
      <c r="B17" s="383" t="s">
        <v>425</v>
      </c>
      <c r="F17" s="384"/>
      <c r="G17" s="384"/>
      <c r="H17" s="375"/>
      <c r="I17" s="383" t="s">
        <v>426</v>
      </c>
      <c r="N17" s="384"/>
    </row>
    <row r="18" spans="2:15" ht="13.5" thickBot="1">
      <c r="B18" s="385">
        <v>44255</v>
      </c>
      <c r="C18" s="386" t="s">
        <v>427</v>
      </c>
      <c r="D18" s="386"/>
      <c r="E18" s="386"/>
      <c r="F18" s="387">
        <f>+'[27]Compte principal journal banque'!H30</f>
        <v>10113263</v>
      </c>
      <c r="G18" s="386"/>
      <c r="H18" s="375"/>
      <c r="I18" s="385">
        <f>+B18</f>
        <v>44255</v>
      </c>
      <c r="J18" s="386" t="s">
        <v>428</v>
      </c>
      <c r="K18" s="386"/>
      <c r="L18" s="386"/>
      <c r="M18" s="388"/>
      <c r="N18" s="387">
        <v>10113263</v>
      </c>
      <c r="O18" s="384"/>
    </row>
    <row r="19" spans="2:15" ht="13.5" thickTop="1">
      <c r="F19" s="384"/>
      <c r="H19" s="375"/>
    </row>
    <row r="20" spans="2:15">
      <c r="B20" s="383" t="s">
        <v>429</v>
      </c>
      <c r="F20" s="384"/>
      <c r="H20" s="375"/>
      <c r="I20" s="389" t="s">
        <v>430</v>
      </c>
      <c r="J20" s="390"/>
      <c r="K20" s="390"/>
      <c r="L20" s="390"/>
      <c r="M20" s="390"/>
      <c r="N20" s="390"/>
    </row>
    <row r="21" spans="2:15">
      <c r="F21" s="384"/>
      <c r="H21" s="375"/>
    </row>
    <row r="22" spans="2:15">
      <c r="B22" s="391"/>
      <c r="C22" s="392"/>
      <c r="D22" s="392"/>
      <c r="E22" s="392"/>
      <c r="F22" s="393"/>
      <c r="G22" s="393"/>
      <c r="H22" s="375"/>
      <c r="I22" s="394"/>
      <c r="J22" s="395"/>
      <c r="K22" s="396"/>
      <c r="L22" s="396"/>
      <c r="M22" s="397"/>
      <c r="N22" s="393"/>
    </row>
    <row r="23" spans="2:15">
      <c r="B23" s="391"/>
      <c r="C23" s="392"/>
      <c r="D23" s="392"/>
      <c r="E23" s="392"/>
      <c r="F23" s="393"/>
      <c r="G23" s="393"/>
      <c r="H23" s="375"/>
      <c r="I23" s="394"/>
      <c r="J23" s="395"/>
      <c r="K23" s="396"/>
      <c r="L23" s="396"/>
      <c r="M23" s="397"/>
      <c r="N23" s="393"/>
    </row>
    <row r="24" spans="2:15">
      <c r="B24" s="391"/>
      <c r="C24" s="392"/>
      <c r="D24" s="392"/>
      <c r="E24" s="392"/>
      <c r="F24" s="393"/>
      <c r="G24" s="393"/>
      <c r="H24" s="375"/>
      <c r="I24" s="394"/>
      <c r="J24" s="396"/>
      <c r="K24" s="396"/>
      <c r="L24" s="396"/>
      <c r="M24" s="397"/>
      <c r="N24" s="393"/>
    </row>
    <row r="25" spans="2:15">
      <c r="B25" s="391"/>
      <c r="C25" s="392"/>
      <c r="D25" s="392"/>
      <c r="E25" s="392"/>
      <c r="F25" s="393"/>
      <c r="G25" s="393"/>
      <c r="H25" s="375"/>
      <c r="I25" s="394"/>
      <c r="J25" s="396"/>
      <c r="K25" s="394"/>
      <c r="L25" s="396"/>
      <c r="M25" s="397"/>
      <c r="N25" s="393"/>
    </row>
    <row r="26" spans="2:15">
      <c r="B26" s="391"/>
      <c r="C26" s="392"/>
      <c r="D26" s="392"/>
      <c r="E26" s="392"/>
      <c r="F26" s="393"/>
      <c r="G26" s="393"/>
      <c r="H26" s="375"/>
      <c r="I26" s="394"/>
      <c r="J26" s="396"/>
      <c r="K26" s="396"/>
      <c r="L26" s="396"/>
      <c r="M26" s="397"/>
      <c r="N26" s="393"/>
    </row>
    <row r="27" spans="2:15">
      <c r="B27" s="391"/>
      <c r="C27" s="392"/>
      <c r="D27" s="392"/>
      <c r="E27" s="392"/>
      <c r="F27" s="393"/>
      <c r="G27" s="393"/>
      <c r="H27" s="375"/>
      <c r="I27" s="394"/>
      <c r="J27" s="396"/>
      <c r="K27" s="396"/>
      <c r="L27" s="396"/>
      <c r="M27" s="397"/>
      <c r="N27" s="393"/>
    </row>
    <row r="28" spans="2:15">
      <c r="B28" s="391"/>
      <c r="C28" s="392"/>
      <c r="D28" s="392"/>
      <c r="E28" s="392"/>
      <c r="F28" s="393"/>
      <c r="G28" s="393"/>
      <c r="H28" s="375"/>
      <c r="I28" s="391"/>
      <c r="J28" s="392"/>
      <c r="K28" s="392"/>
      <c r="L28" s="392"/>
      <c r="M28" s="393"/>
      <c r="N28" s="393"/>
    </row>
    <row r="29" spans="2:15">
      <c r="B29" s="391"/>
      <c r="C29" s="392"/>
      <c r="D29" s="392"/>
      <c r="E29" s="392"/>
      <c r="F29" s="393"/>
      <c r="G29" s="393"/>
      <c r="H29" s="375"/>
      <c r="I29" s="392"/>
      <c r="J29" s="392"/>
      <c r="K29" s="392"/>
      <c r="L29" s="392"/>
      <c r="M29" s="393"/>
      <c r="N29" s="393"/>
    </row>
    <row r="30" spans="2:15">
      <c r="B30" s="391"/>
      <c r="C30" s="392"/>
      <c r="D30" s="392"/>
      <c r="E30" s="392"/>
      <c r="F30" s="393"/>
      <c r="G30" s="393"/>
      <c r="H30" s="375"/>
      <c r="I30" s="392"/>
      <c r="J30" s="392"/>
      <c r="K30" s="392"/>
      <c r="L30" s="392"/>
      <c r="M30" s="393"/>
      <c r="N30" s="393"/>
    </row>
    <row r="31" spans="2:15" ht="13.5" thickBot="1">
      <c r="B31" s="398"/>
      <c r="C31" s="392"/>
      <c r="D31" s="392"/>
      <c r="E31" s="392"/>
      <c r="F31" s="399"/>
      <c r="G31" s="400"/>
      <c r="H31" s="375"/>
      <c r="I31" s="400"/>
      <c r="J31" s="400"/>
      <c r="K31" s="400"/>
      <c r="L31" s="400"/>
      <c r="M31" s="400"/>
      <c r="N31" s="400"/>
    </row>
    <row r="32" spans="2:15" ht="14.25" thickTop="1" thickBot="1">
      <c r="B32" s="525" t="s">
        <v>431</v>
      </c>
      <c r="C32" s="526"/>
      <c r="D32" s="526"/>
      <c r="E32" s="527"/>
      <c r="F32" s="401">
        <f>SUM(F22:F31,F17:F18)</f>
        <v>10113263</v>
      </c>
      <c r="G32" s="401">
        <f>SUM(G22:G31,G17)</f>
        <v>0</v>
      </c>
      <c r="H32" s="375"/>
      <c r="I32" s="525" t="s">
        <v>432</v>
      </c>
      <c r="J32" s="526"/>
      <c r="K32" s="526"/>
      <c r="L32" s="527"/>
      <c r="M32" s="401">
        <f>SUM(M22:M31,M17:M18)</f>
        <v>0</v>
      </c>
      <c r="N32" s="401">
        <f>SUM(N22:N31,N17:N18)</f>
        <v>10113263</v>
      </c>
    </row>
    <row r="33" spans="2:14" ht="13.5" thickTop="1">
      <c r="H33" s="375"/>
      <c r="M33" s="384"/>
      <c r="N33" s="384"/>
    </row>
    <row r="34" spans="2:14" ht="13.5" thickBot="1">
      <c r="B34" s="402" t="s">
        <v>433</v>
      </c>
      <c r="C34" s="402"/>
      <c r="D34" s="528" t="str">
        <f>IF(F32&gt;G32,"Solde Débiteur","Solde Nul")</f>
        <v>Solde Débiteur</v>
      </c>
      <c r="E34" s="528"/>
      <c r="F34" s="403"/>
      <c r="G34" s="388">
        <f>F32-G32</f>
        <v>10113263</v>
      </c>
      <c r="H34" s="375"/>
      <c r="I34" s="402" t="str">
        <f>+B34</f>
        <v xml:space="preserve"> Solde rapporché au 28/02/2021∑(1)-(2)</v>
      </c>
      <c r="J34" s="402"/>
      <c r="K34" s="528" t="str">
        <f>IF(N32&gt;M32,"Solde Créditeur","Solde Nul")</f>
        <v>Solde Créditeur</v>
      </c>
      <c r="L34" s="528"/>
      <c r="M34" s="404">
        <f>N32-M32</f>
        <v>10113263</v>
      </c>
      <c r="N34" s="403"/>
    </row>
    <row r="35" spans="2:14" ht="13.5" thickTop="1">
      <c r="F35" s="384"/>
      <c r="G35" s="384"/>
      <c r="H35" s="375"/>
      <c r="M35" s="384"/>
      <c r="N35" s="384"/>
    </row>
    <row r="36" spans="2:14" ht="15" thickBot="1">
      <c r="B36" s="405" t="s">
        <v>434</v>
      </c>
      <c r="C36" s="405"/>
      <c r="D36" s="405"/>
      <c r="E36" s="405"/>
      <c r="F36" s="406">
        <f>SUM(F32)</f>
        <v>10113263</v>
      </c>
      <c r="G36" s="406">
        <f>G34+G32</f>
        <v>10113263</v>
      </c>
      <c r="H36" s="407"/>
      <c r="I36" s="405" t="s">
        <v>434</v>
      </c>
      <c r="J36" s="405"/>
      <c r="K36" s="405"/>
      <c r="L36" s="405"/>
      <c r="M36" s="406">
        <f>+M32+M34</f>
        <v>10113263</v>
      </c>
      <c r="N36" s="406">
        <f>N34+N32</f>
        <v>10113263</v>
      </c>
    </row>
    <row r="37" spans="2:14" ht="13.5" thickTop="1"/>
    <row r="38" spans="2:14" ht="15" thickBot="1">
      <c r="B38" s="405" t="s">
        <v>435</v>
      </c>
      <c r="C38" s="405"/>
      <c r="D38" s="405"/>
      <c r="E38" s="405"/>
      <c r="F38" s="405"/>
      <c r="G38" s="408">
        <f>G34-M34</f>
        <v>0</v>
      </c>
      <c r="I38" s="409"/>
      <c r="J38" s="409"/>
    </row>
    <row r="39" spans="2:14" ht="13.5" thickTop="1">
      <c r="G39" s="529"/>
      <c r="H39" s="529"/>
      <c r="I39" s="529"/>
      <c r="J39" s="410"/>
      <c r="K39" s="410" t="s">
        <v>436</v>
      </c>
      <c r="L39" s="410"/>
    </row>
    <row r="40" spans="2:14">
      <c r="G40" s="411"/>
      <c r="H40" s="411"/>
      <c r="I40" s="411"/>
      <c r="J40" s="410"/>
      <c r="K40" s="410"/>
      <c r="L40" s="410"/>
    </row>
    <row r="41" spans="2:14" ht="15">
      <c r="B41" s="38" t="s">
        <v>36</v>
      </c>
      <c r="C41" s="40"/>
      <c r="J41" s="38" t="s">
        <v>40</v>
      </c>
      <c r="K41" s="410"/>
    </row>
    <row r="42" spans="2:14" ht="14.25">
      <c r="B42" s="35"/>
      <c r="C42" s="35"/>
      <c r="F42" s="378"/>
      <c r="G42" s="378"/>
      <c r="H42" s="378"/>
      <c r="I42" s="412"/>
      <c r="L42" s="412"/>
      <c r="M42" s="412"/>
      <c r="N42" s="412"/>
    </row>
    <row r="43" spans="2:14" ht="14.25">
      <c r="B43" s="43" t="s">
        <v>437</v>
      </c>
      <c r="C43" s="42"/>
      <c r="D43" s="378"/>
      <c r="E43" s="378"/>
      <c r="F43" s="378"/>
      <c r="G43" s="378"/>
      <c r="H43" s="378"/>
      <c r="I43" s="378"/>
      <c r="J43" s="43" t="s">
        <v>41</v>
      </c>
      <c r="K43" s="412"/>
      <c r="L43" s="378"/>
      <c r="M43" s="378"/>
      <c r="N43" s="378"/>
    </row>
    <row r="44" spans="2:14" ht="15">
      <c r="B44" s="44" t="s">
        <v>38</v>
      </c>
      <c r="C44" s="44"/>
      <c r="D44" s="378"/>
      <c r="E44" s="378"/>
      <c r="F44" s="378"/>
      <c r="G44" s="378"/>
      <c r="H44" s="378"/>
      <c r="I44" s="378"/>
      <c r="J44" s="44" t="s">
        <v>38</v>
      </c>
      <c r="K44" s="378"/>
      <c r="L44" s="378"/>
      <c r="M44" s="378"/>
      <c r="N44" s="378"/>
    </row>
    <row r="45" spans="2:14"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</row>
    <row r="46" spans="2:14">
      <c r="B46" s="524"/>
      <c r="C46" s="524"/>
      <c r="D46" s="378"/>
      <c r="E46" s="378"/>
      <c r="F46" s="378"/>
      <c r="G46" s="378"/>
      <c r="H46" s="378"/>
      <c r="I46" s="524"/>
      <c r="J46" s="524"/>
      <c r="K46" s="524"/>
      <c r="L46" s="524"/>
      <c r="M46" s="524"/>
      <c r="N46" s="524"/>
    </row>
  </sheetData>
  <mergeCells count="18">
    <mergeCell ref="B9:N9"/>
    <mergeCell ref="B15:B16"/>
    <mergeCell ref="C15:C16"/>
    <mergeCell ref="D15:D16"/>
    <mergeCell ref="E15:E16"/>
    <mergeCell ref="F15:G15"/>
    <mergeCell ref="I15:I16"/>
    <mergeCell ref="J15:J16"/>
    <mergeCell ref="K15:K16"/>
    <mergeCell ref="L15:L16"/>
    <mergeCell ref="M15:N15"/>
    <mergeCell ref="B46:C46"/>
    <mergeCell ref="I46:N46"/>
    <mergeCell ref="B32:E32"/>
    <mergeCell ref="I32:L32"/>
    <mergeCell ref="D34:E34"/>
    <mergeCell ref="K34:L34"/>
    <mergeCell ref="G39:I3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7"/>
  <sheetViews>
    <sheetView topLeftCell="E19" workbookViewId="0">
      <selection activeCell="K15" sqref="K15"/>
    </sheetView>
  </sheetViews>
  <sheetFormatPr baseColWidth="10" defaultColWidth="11.42578125" defaultRowHeight="15"/>
  <cols>
    <col min="2" max="2" width="0.5703125" customWidth="1"/>
    <col min="3" max="3" width="14.140625" customWidth="1"/>
    <col min="4" max="4" width="50.85546875" customWidth="1"/>
    <col min="5" max="5" width="9.140625" customWidth="1"/>
    <col min="6" max="6" width="11.28515625" customWidth="1"/>
    <col min="7" max="7" width="1.28515625" customWidth="1"/>
    <col min="8" max="8" width="12.5703125" customWidth="1"/>
    <col min="9" max="9" width="11" style="1" customWidth="1"/>
    <col min="10" max="10" width="11.28515625" customWidth="1"/>
    <col min="12" max="12" width="13.85546875" style="413" bestFit="1" customWidth="1"/>
    <col min="13" max="13" width="12.7109375" style="413" bestFit="1" customWidth="1"/>
    <col min="14" max="37" width="11.42578125" style="413"/>
  </cols>
  <sheetData>
    <row r="1" spans="1:13">
      <c r="A1" s="33"/>
      <c r="B1" s="33"/>
      <c r="C1" s="33"/>
      <c r="D1" s="33"/>
      <c r="E1" s="33"/>
      <c r="F1" s="33"/>
      <c r="G1" s="33"/>
      <c r="H1" s="33"/>
    </row>
    <row r="2" spans="1:13">
      <c r="A2" s="33"/>
      <c r="B2" s="33"/>
      <c r="C2" s="33"/>
      <c r="D2" s="33"/>
      <c r="E2" s="33"/>
      <c r="F2" s="33"/>
      <c r="G2" s="33"/>
      <c r="H2" s="33"/>
    </row>
    <row r="3" spans="1:13">
      <c r="A3" s="33"/>
      <c r="B3" s="33"/>
      <c r="C3" s="33"/>
      <c r="D3" s="33"/>
      <c r="E3" s="33"/>
      <c r="F3" s="33"/>
      <c r="G3" s="33"/>
      <c r="H3" s="33"/>
    </row>
    <row r="4" spans="1:13">
      <c r="A4" s="34"/>
      <c r="B4" s="35"/>
      <c r="C4" s="35"/>
      <c r="D4" s="35"/>
      <c r="E4" s="35"/>
      <c r="F4" s="35"/>
      <c r="G4" s="35"/>
      <c r="H4" s="35"/>
    </row>
    <row r="5" spans="1:13">
      <c r="A5" s="36" t="s">
        <v>32</v>
      </c>
      <c r="B5" s="35"/>
      <c r="C5" s="35"/>
      <c r="D5" s="35"/>
      <c r="E5" s="35"/>
      <c r="F5" s="35"/>
      <c r="G5" s="35"/>
      <c r="H5" s="35"/>
    </row>
    <row r="6" spans="1:13">
      <c r="A6" s="37" t="s">
        <v>33</v>
      </c>
      <c r="B6" s="38" t="s">
        <v>34</v>
      </c>
      <c r="C6" s="38"/>
      <c r="D6" s="39"/>
      <c r="E6" s="38"/>
      <c r="F6" s="38"/>
      <c r="G6" s="38"/>
      <c r="H6" s="35"/>
    </row>
    <row r="7" spans="1:13">
      <c r="A7" s="38"/>
      <c r="B7" s="38"/>
      <c r="C7" s="38"/>
      <c r="D7" s="38"/>
      <c r="E7" s="38"/>
      <c r="F7" s="38"/>
      <c r="G7" s="38"/>
      <c r="H7" s="35"/>
    </row>
    <row r="8" spans="1:13">
      <c r="A8" s="2" t="s">
        <v>0</v>
      </c>
      <c r="B8" s="3"/>
      <c r="C8" s="3"/>
      <c r="D8" s="3"/>
      <c r="E8" s="3"/>
      <c r="F8" s="3"/>
      <c r="G8" s="3"/>
      <c r="H8" s="3"/>
      <c r="I8" s="4"/>
      <c r="J8" s="3"/>
      <c r="K8" s="3"/>
    </row>
    <row r="9" spans="1:13">
      <c r="A9" s="5"/>
      <c r="B9" s="6" t="s">
        <v>1</v>
      </c>
      <c r="C9" s="6"/>
      <c r="D9" s="7"/>
      <c r="E9" s="7"/>
      <c r="F9" s="7"/>
      <c r="G9" s="7"/>
      <c r="H9" s="8"/>
      <c r="I9" s="9"/>
      <c r="J9" s="7"/>
      <c r="K9" s="7"/>
    </row>
    <row r="10" spans="1:13" ht="15.75">
      <c r="A10" s="5"/>
      <c r="B10" s="360" t="s">
        <v>2</v>
      </c>
      <c r="C10" s="360"/>
      <c r="D10" s="414"/>
      <c r="E10" s="7"/>
      <c r="F10" s="7"/>
      <c r="G10" s="7"/>
      <c r="H10" s="8"/>
      <c r="I10" s="9"/>
      <c r="J10" s="7"/>
      <c r="K10" s="7"/>
    </row>
    <row r="11" spans="1:13">
      <c r="A11" s="5"/>
      <c r="B11" s="6" t="s">
        <v>3</v>
      </c>
      <c r="C11" s="6"/>
      <c r="D11" s="7"/>
      <c r="E11" s="7"/>
      <c r="F11" s="7"/>
      <c r="G11" s="7"/>
      <c r="H11" s="8"/>
      <c r="I11" s="9"/>
      <c r="J11" s="7"/>
      <c r="K11" s="7"/>
    </row>
    <row r="12" spans="1:13">
      <c r="A12" s="5"/>
      <c r="B12" s="7"/>
      <c r="C12" s="10"/>
      <c r="D12" s="13" t="s">
        <v>409</v>
      </c>
      <c r="E12" s="13"/>
      <c r="F12" s="13"/>
      <c r="G12" s="13"/>
      <c r="H12" s="7"/>
      <c r="I12" s="14"/>
      <c r="J12" s="12"/>
      <c r="K12" s="7"/>
    </row>
    <row r="13" spans="1:13">
      <c r="A13" s="3"/>
      <c r="B13" s="3"/>
      <c r="C13" s="3"/>
      <c r="D13" s="3"/>
      <c r="E13" s="3"/>
      <c r="F13" s="3"/>
      <c r="G13" s="3"/>
      <c r="H13" s="3"/>
      <c r="I13" s="4"/>
      <c r="J13" s="3"/>
      <c r="K13" s="3"/>
    </row>
    <row r="14" spans="1:13" ht="29.25" customHeight="1">
      <c r="A14" s="15" t="s">
        <v>4</v>
      </c>
      <c r="B14" s="16" t="s">
        <v>5</v>
      </c>
      <c r="C14" s="17" t="s">
        <v>6</v>
      </c>
      <c r="D14" s="18" t="s">
        <v>7</v>
      </c>
      <c r="E14" s="18" t="s">
        <v>8</v>
      </c>
      <c r="F14" s="18" t="s">
        <v>9</v>
      </c>
      <c r="G14" s="19" t="s">
        <v>10</v>
      </c>
      <c r="H14" s="18" t="s">
        <v>11</v>
      </c>
      <c r="I14" s="20" t="s">
        <v>12</v>
      </c>
      <c r="J14" s="21" t="s">
        <v>13</v>
      </c>
      <c r="K14" s="22" t="s">
        <v>14</v>
      </c>
    </row>
    <row r="15" spans="1:13" ht="17.25" customHeight="1">
      <c r="A15" s="251">
        <v>44228</v>
      </c>
      <c r="B15" s="252"/>
      <c r="C15" s="253"/>
      <c r="D15" s="252" t="s">
        <v>438</v>
      </c>
      <c r="E15" s="252"/>
      <c r="F15" s="252"/>
      <c r="G15" s="252"/>
      <c r="H15" s="246">
        <v>11193664</v>
      </c>
      <c r="I15" s="249"/>
      <c r="J15" s="415">
        <f>+H15</f>
        <v>11193664</v>
      </c>
      <c r="L15" s="24"/>
      <c r="M15" s="416"/>
    </row>
    <row r="16" spans="1:13" ht="17.25" customHeight="1">
      <c r="A16" s="251">
        <v>44228</v>
      </c>
      <c r="B16" s="254"/>
      <c r="C16" s="307" t="s">
        <v>29</v>
      </c>
      <c r="D16" s="255" t="s">
        <v>212</v>
      </c>
      <c r="E16" s="323" t="s">
        <v>28</v>
      </c>
      <c r="F16" s="323" t="s">
        <v>21</v>
      </c>
      <c r="G16" s="252"/>
      <c r="H16" s="249"/>
      <c r="I16" s="246">
        <v>2811</v>
      </c>
      <c r="J16" s="415">
        <f>+J15+H16-I16</f>
        <v>11190853</v>
      </c>
      <c r="K16" s="23"/>
      <c r="L16" s="24"/>
      <c r="M16" s="24"/>
    </row>
    <row r="17" spans="1:13" ht="17.25" customHeight="1">
      <c r="A17" s="251">
        <v>44229</v>
      </c>
      <c r="B17" s="254"/>
      <c r="C17" s="307">
        <v>3643411</v>
      </c>
      <c r="D17" s="255" t="s">
        <v>225</v>
      </c>
      <c r="E17" s="323" t="s">
        <v>226</v>
      </c>
      <c r="F17" s="321" t="s">
        <v>161</v>
      </c>
      <c r="G17" s="252"/>
      <c r="H17" s="246"/>
      <c r="I17" s="249">
        <v>400000</v>
      </c>
      <c r="J17" s="415">
        <f>+J16+H17-I17</f>
        <v>10790853</v>
      </c>
      <c r="K17" s="23"/>
      <c r="L17" s="24"/>
      <c r="M17" s="24"/>
    </row>
    <row r="18" spans="1:13" ht="17.25" customHeight="1">
      <c r="A18" s="251">
        <v>44236</v>
      </c>
      <c r="B18" s="254"/>
      <c r="C18" s="307" t="s">
        <v>145</v>
      </c>
      <c r="D18" s="255" t="s">
        <v>227</v>
      </c>
      <c r="E18" s="323" t="s">
        <v>17</v>
      </c>
      <c r="F18" s="205" t="s">
        <v>18</v>
      </c>
      <c r="G18" s="252"/>
      <c r="H18" s="249"/>
      <c r="I18" s="246">
        <v>500000</v>
      </c>
      <c r="J18" s="415">
        <f t="shared" ref="J18:J33" si="0">+J17+H18-I18</f>
        <v>10290853</v>
      </c>
      <c r="K18" s="23"/>
      <c r="L18" s="24"/>
      <c r="M18" s="24"/>
    </row>
    <row r="19" spans="1:13" ht="17.25" customHeight="1">
      <c r="A19" s="251">
        <v>44236</v>
      </c>
      <c r="B19" s="254"/>
      <c r="C19" s="307" t="s">
        <v>29</v>
      </c>
      <c r="D19" s="255" t="s">
        <v>228</v>
      </c>
      <c r="E19" s="323" t="s">
        <v>28</v>
      </c>
      <c r="F19" s="206" t="s">
        <v>18</v>
      </c>
      <c r="G19" s="254"/>
      <c r="H19" s="256"/>
      <c r="I19" s="246">
        <v>5000</v>
      </c>
      <c r="J19" s="415">
        <f t="shared" si="0"/>
        <v>10285853</v>
      </c>
      <c r="K19" s="23"/>
      <c r="L19" s="24"/>
      <c r="M19" s="24"/>
    </row>
    <row r="20" spans="1:13" ht="17.25" customHeight="1">
      <c r="A20" s="251">
        <v>44250</v>
      </c>
      <c r="B20" s="254"/>
      <c r="C20" s="307">
        <v>3643412</v>
      </c>
      <c r="D20" s="255" t="s">
        <v>229</v>
      </c>
      <c r="E20" s="323" t="s">
        <v>226</v>
      </c>
      <c r="F20" s="250" t="s">
        <v>161</v>
      </c>
      <c r="G20" s="254"/>
      <c r="H20" s="256"/>
      <c r="I20" s="246">
        <v>400000</v>
      </c>
      <c r="J20" s="415">
        <f t="shared" si="0"/>
        <v>9885853</v>
      </c>
      <c r="K20" s="23"/>
      <c r="L20" s="24"/>
      <c r="M20" s="24"/>
    </row>
    <row r="21" spans="1:13" ht="17.25" customHeight="1">
      <c r="A21" s="251">
        <v>44250</v>
      </c>
      <c r="B21" s="254"/>
      <c r="C21" s="307">
        <v>3643413</v>
      </c>
      <c r="D21" s="255" t="s">
        <v>230</v>
      </c>
      <c r="E21" s="323" t="s">
        <v>15</v>
      </c>
      <c r="F21" s="205" t="s">
        <v>19</v>
      </c>
      <c r="G21" s="254"/>
      <c r="H21" s="256"/>
      <c r="I21" s="246">
        <v>275000</v>
      </c>
      <c r="J21" s="415">
        <f t="shared" si="0"/>
        <v>9610853</v>
      </c>
      <c r="K21" s="23"/>
      <c r="L21" s="24"/>
      <c r="M21" s="24"/>
    </row>
    <row r="22" spans="1:13" ht="17.25" customHeight="1">
      <c r="A22" s="251">
        <v>44250</v>
      </c>
      <c r="B22" s="254"/>
      <c r="C22" s="307">
        <v>3643414</v>
      </c>
      <c r="D22" s="255" t="s">
        <v>231</v>
      </c>
      <c r="E22" s="323" t="s">
        <v>15</v>
      </c>
      <c r="F22" s="206" t="s">
        <v>19</v>
      </c>
      <c r="G22" s="254"/>
      <c r="H22" s="256"/>
      <c r="I22" s="246">
        <v>400000</v>
      </c>
      <c r="J22" s="415">
        <f t="shared" si="0"/>
        <v>9210853</v>
      </c>
      <c r="K22" s="23"/>
      <c r="L22" s="24"/>
      <c r="M22" s="24"/>
    </row>
    <row r="23" spans="1:13" ht="17.25" customHeight="1">
      <c r="A23" s="251">
        <v>44250</v>
      </c>
      <c r="B23" s="254"/>
      <c r="C23" s="307">
        <v>3643415</v>
      </c>
      <c r="D23" s="255" t="s">
        <v>232</v>
      </c>
      <c r="E23" s="323" t="s">
        <v>15</v>
      </c>
      <c r="F23" s="257" t="s">
        <v>16</v>
      </c>
      <c r="G23" s="254"/>
      <c r="H23" s="256"/>
      <c r="I23" s="246">
        <v>356500</v>
      </c>
      <c r="J23" s="415">
        <f t="shared" si="0"/>
        <v>8854353</v>
      </c>
      <c r="K23" s="23"/>
      <c r="L23" s="24"/>
      <c r="M23" s="24"/>
    </row>
    <row r="24" spans="1:13" ht="17.25" customHeight="1">
      <c r="A24" s="251">
        <v>44250</v>
      </c>
      <c r="B24" s="254"/>
      <c r="C24" s="307">
        <v>3643416</v>
      </c>
      <c r="D24" s="255" t="s">
        <v>233</v>
      </c>
      <c r="E24" s="323" t="s">
        <v>15</v>
      </c>
      <c r="F24" s="206" t="s">
        <v>16</v>
      </c>
      <c r="G24" s="254"/>
      <c r="H24" s="256"/>
      <c r="I24" s="258">
        <v>308000</v>
      </c>
      <c r="J24" s="415">
        <f t="shared" si="0"/>
        <v>8546353</v>
      </c>
      <c r="K24" s="23"/>
      <c r="L24" s="24"/>
      <c r="M24" s="24"/>
    </row>
    <row r="25" spans="1:13" ht="17.25" customHeight="1">
      <c r="A25" s="251">
        <v>44250</v>
      </c>
      <c r="B25" s="254"/>
      <c r="C25" s="307">
        <v>3643417</v>
      </c>
      <c r="D25" s="255" t="s">
        <v>234</v>
      </c>
      <c r="E25" s="323" t="s">
        <v>15</v>
      </c>
      <c r="F25" s="205" t="s">
        <v>161</v>
      </c>
      <c r="G25" s="254"/>
      <c r="H25" s="256"/>
      <c r="I25" s="246">
        <v>191000</v>
      </c>
      <c r="J25" s="415">
        <f t="shared" si="0"/>
        <v>8355353</v>
      </c>
      <c r="K25" s="23"/>
      <c r="L25" s="24"/>
      <c r="M25" s="24"/>
    </row>
    <row r="26" spans="1:13" ht="17.25" customHeight="1">
      <c r="A26" s="251">
        <v>44250</v>
      </c>
      <c r="B26" s="254"/>
      <c r="C26" s="307">
        <v>3643419</v>
      </c>
      <c r="D26" s="291" t="s">
        <v>235</v>
      </c>
      <c r="E26" s="323" t="s">
        <v>15</v>
      </c>
      <c r="F26" s="206" t="s">
        <v>16</v>
      </c>
      <c r="G26" s="254"/>
      <c r="H26" s="256"/>
      <c r="I26" s="246">
        <v>193600</v>
      </c>
      <c r="J26" s="415">
        <f t="shared" si="0"/>
        <v>8161753</v>
      </c>
      <c r="K26" s="23"/>
      <c r="L26" s="24"/>
      <c r="M26" s="24"/>
    </row>
    <row r="27" spans="1:13" ht="17.25" customHeight="1">
      <c r="A27" s="251">
        <v>44250</v>
      </c>
      <c r="B27" s="254"/>
      <c r="C27" s="307">
        <v>3643420</v>
      </c>
      <c r="D27" s="291" t="s">
        <v>236</v>
      </c>
      <c r="E27" s="323" t="s">
        <v>15</v>
      </c>
      <c r="F27" s="206" t="s">
        <v>16</v>
      </c>
      <c r="G27" s="254"/>
      <c r="H27" s="256"/>
      <c r="I27" s="246">
        <v>193600</v>
      </c>
      <c r="J27" s="415">
        <f t="shared" si="0"/>
        <v>7968153</v>
      </c>
      <c r="K27" s="23"/>
      <c r="L27" s="24"/>
      <c r="M27" s="24"/>
    </row>
    <row r="28" spans="1:13" ht="17.25" customHeight="1">
      <c r="A28" s="251">
        <v>44250</v>
      </c>
      <c r="B28" s="254"/>
      <c r="C28" s="307">
        <v>3643421</v>
      </c>
      <c r="D28" s="255" t="s">
        <v>237</v>
      </c>
      <c r="E28" s="323" t="s">
        <v>20</v>
      </c>
      <c r="F28" s="205" t="s">
        <v>21</v>
      </c>
      <c r="G28" s="254"/>
      <c r="H28" s="256"/>
      <c r="I28" s="246">
        <v>189000</v>
      </c>
      <c r="J28" s="415">
        <f t="shared" si="0"/>
        <v>7779153</v>
      </c>
      <c r="K28" s="23"/>
      <c r="L28" s="24"/>
      <c r="M28" s="24"/>
    </row>
    <row r="29" spans="1:13" ht="17.25" customHeight="1">
      <c r="A29" s="251">
        <v>44250</v>
      </c>
      <c r="B29" s="254"/>
      <c r="C29" s="307">
        <v>3643422</v>
      </c>
      <c r="D29" s="255" t="s">
        <v>238</v>
      </c>
      <c r="E29" s="323" t="s">
        <v>20</v>
      </c>
      <c r="F29" s="205" t="s">
        <v>21</v>
      </c>
      <c r="G29" s="254"/>
      <c r="H29" s="256"/>
      <c r="I29" s="246">
        <v>183000</v>
      </c>
      <c r="J29" s="415">
        <f t="shared" si="0"/>
        <v>7596153</v>
      </c>
      <c r="K29" s="23"/>
      <c r="L29" s="24"/>
      <c r="M29" s="24"/>
    </row>
    <row r="30" spans="1:13" ht="17.25" customHeight="1">
      <c r="A30" s="251">
        <v>44250</v>
      </c>
      <c r="B30" s="254"/>
      <c r="C30" s="307">
        <v>3643423</v>
      </c>
      <c r="D30" s="255" t="s">
        <v>239</v>
      </c>
      <c r="E30" s="323" t="s">
        <v>15</v>
      </c>
      <c r="F30" s="205" t="s">
        <v>19</v>
      </c>
      <c r="G30" s="254"/>
      <c r="H30" s="256"/>
      <c r="I30" s="246">
        <v>809584</v>
      </c>
      <c r="J30" s="415">
        <f t="shared" si="0"/>
        <v>6786569</v>
      </c>
      <c r="K30" s="23"/>
      <c r="L30" s="24"/>
      <c r="M30" s="24"/>
    </row>
    <row r="31" spans="1:13" ht="17.25" customHeight="1">
      <c r="A31" s="251">
        <v>44250</v>
      </c>
      <c r="B31" s="254"/>
      <c r="C31" s="324" t="s">
        <v>145</v>
      </c>
      <c r="D31" s="255" t="s">
        <v>240</v>
      </c>
      <c r="E31" s="323" t="s">
        <v>15</v>
      </c>
      <c r="F31" s="321" t="s">
        <v>16</v>
      </c>
      <c r="G31" s="254"/>
      <c r="H31" s="256"/>
      <c r="I31" s="246">
        <v>326000</v>
      </c>
      <c r="J31" s="415">
        <f t="shared" si="0"/>
        <v>6460569</v>
      </c>
      <c r="K31" s="23"/>
      <c r="L31" s="24"/>
      <c r="M31" s="24"/>
    </row>
    <row r="32" spans="1:13" ht="17.25" customHeight="1">
      <c r="A32" s="251">
        <v>44250</v>
      </c>
      <c r="B32" s="254"/>
      <c r="C32" s="324" t="s">
        <v>145</v>
      </c>
      <c r="D32" s="255" t="s">
        <v>241</v>
      </c>
      <c r="E32" s="323" t="s">
        <v>15</v>
      </c>
      <c r="F32" s="325" t="s">
        <v>192</v>
      </c>
      <c r="G32" s="254"/>
      <c r="H32" s="256"/>
      <c r="I32" s="246">
        <v>230000</v>
      </c>
      <c r="J32" s="415">
        <f t="shared" si="0"/>
        <v>6230569</v>
      </c>
      <c r="K32" s="23"/>
      <c r="L32" s="24"/>
      <c r="M32" s="24"/>
    </row>
    <row r="33" spans="1:13" ht="17.25" customHeight="1">
      <c r="A33" s="251">
        <v>44253</v>
      </c>
      <c r="B33" s="254"/>
      <c r="C33" s="307" t="s">
        <v>29</v>
      </c>
      <c r="D33" s="255" t="s">
        <v>228</v>
      </c>
      <c r="E33" s="323" t="s">
        <v>28</v>
      </c>
      <c r="F33" s="250" t="s">
        <v>18</v>
      </c>
      <c r="G33" s="254"/>
      <c r="H33" s="256"/>
      <c r="I33" s="246">
        <v>10665</v>
      </c>
      <c r="J33" s="415">
        <f t="shared" si="0"/>
        <v>6219904</v>
      </c>
      <c r="K33" s="23"/>
      <c r="L33" s="24"/>
      <c r="M33" s="24"/>
    </row>
    <row r="34" spans="1:13">
      <c r="A34" s="27"/>
      <c r="B34" s="27"/>
      <c r="C34" s="417" t="s">
        <v>205</v>
      </c>
      <c r="D34" s="418"/>
      <c r="E34" s="417"/>
      <c r="F34" s="417"/>
      <c r="G34" s="417"/>
      <c r="H34" s="419">
        <f>SUM(H15:H33)</f>
        <v>11193664</v>
      </c>
      <c r="I34" s="420"/>
      <c r="J34" s="421"/>
      <c r="K34" s="28"/>
    </row>
    <row r="35" spans="1:13">
      <c r="A35" s="3"/>
      <c r="B35" s="3"/>
      <c r="C35" s="417" t="s">
        <v>22</v>
      </c>
      <c r="D35" s="422"/>
      <c r="E35" s="423"/>
      <c r="F35" s="423"/>
      <c r="G35" s="423"/>
      <c r="H35" s="423"/>
      <c r="I35" s="32">
        <f>SUM(I16:I33)</f>
        <v>4973760</v>
      </c>
      <c r="J35" s="3"/>
      <c r="K35" s="3"/>
    </row>
    <row r="36" spans="1:13" ht="23.25" customHeight="1">
      <c r="A36" s="3"/>
      <c r="B36" s="3"/>
      <c r="C36" s="424" t="s">
        <v>23</v>
      </c>
      <c r="D36" s="425"/>
      <c r="E36" s="424"/>
      <c r="F36" s="424"/>
      <c r="G36" s="424"/>
      <c r="H36" s="426">
        <f>+H34-I35</f>
        <v>6219904</v>
      </c>
      <c r="I36" s="4"/>
      <c r="J36" s="3"/>
      <c r="K36" s="3"/>
      <c r="L36" s="24"/>
    </row>
    <row r="37" spans="1:13" ht="16.5">
      <c r="D37" s="427"/>
      <c r="E37" s="427"/>
      <c r="F37" s="427"/>
      <c r="J37" s="24"/>
    </row>
    <row r="38" spans="1:13" ht="16.5">
      <c r="D38" s="427"/>
      <c r="E38" s="427"/>
      <c r="F38" s="427"/>
      <c r="J38" s="24"/>
    </row>
    <row r="39" spans="1:13">
      <c r="J39" s="24"/>
    </row>
    <row r="40" spans="1:13">
      <c r="J40" s="24"/>
    </row>
    <row r="41" spans="1:13">
      <c r="J41" s="24"/>
    </row>
    <row r="42" spans="1:13">
      <c r="J42" s="24"/>
    </row>
    <row r="43" spans="1:13">
      <c r="J43" s="24"/>
    </row>
    <row r="44" spans="1:13">
      <c r="J44" s="24"/>
    </row>
    <row r="45" spans="1:13">
      <c r="J45" s="24"/>
    </row>
    <row r="46" spans="1:13">
      <c r="J46" s="24"/>
    </row>
    <row r="47" spans="1:13">
      <c r="J47" s="29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46"/>
  <sheetViews>
    <sheetView topLeftCell="A14" workbookViewId="0">
      <selection activeCell="O41" sqref="O41"/>
    </sheetView>
  </sheetViews>
  <sheetFormatPr baseColWidth="10" defaultColWidth="11.42578125" defaultRowHeight="12.75"/>
  <cols>
    <col min="1" max="1" width="3" style="368" customWidth="1"/>
    <col min="2" max="2" width="11.42578125" style="368"/>
    <col min="3" max="3" width="22.7109375" style="368" customWidth="1"/>
    <col min="4" max="7" width="11.42578125" style="368"/>
    <col min="8" max="8" width="1.5703125" style="368" customWidth="1"/>
    <col min="9" max="9" width="9" style="368" customWidth="1"/>
    <col min="10" max="10" width="43.5703125" style="368" customWidth="1"/>
    <col min="11" max="11" width="11.85546875" style="368" customWidth="1"/>
    <col min="12" max="12" width="12.140625" style="368" customWidth="1"/>
    <col min="13" max="16384" width="11.42578125" style="368"/>
  </cols>
  <sheetData>
    <row r="1" spans="1:14" ht="15">
      <c r="A1" s="367"/>
      <c r="B1" s="33"/>
      <c r="C1" s="33"/>
      <c r="D1" s="33"/>
      <c r="E1" s="33"/>
      <c r="F1" s="33"/>
      <c r="G1" s="33"/>
      <c r="H1" s="33"/>
      <c r="I1" s="33"/>
      <c r="J1" s="1"/>
      <c r="K1"/>
    </row>
    <row r="2" spans="1:14" ht="15">
      <c r="A2" s="367"/>
      <c r="B2" s="33"/>
      <c r="C2" s="33"/>
      <c r="D2" s="33"/>
      <c r="E2" s="33"/>
      <c r="F2" s="33"/>
      <c r="G2" s="33"/>
      <c r="H2" s="33"/>
      <c r="I2" s="33"/>
      <c r="J2" s="1"/>
      <c r="K2"/>
    </row>
    <row r="3" spans="1:14" ht="15">
      <c r="A3" s="367"/>
      <c r="B3" s="33"/>
      <c r="C3" s="33"/>
      <c r="D3" s="33"/>
      <c r="E3" s="33"/>
      <c r="F3" s="33"/>
      <c r="G3" s="33"/>
      <c r="H3" s="33"/>
      <c r="I3" s="33"/>
      <c r="J3" s="1"/>
      <c r="K3"/>
    </row>
    <row r="4" spans="1:14" ht="15">
      <c r="A4" s="367"/>
      <c r="B4" s="34"/>
      <c r="C4" s="35"/>
      <c r="D4" s="35"/>
      <c r="E4" s="35"/>
      <c r="F4" s="35"/>
      <c r="G4" s="35"/>
      <c r="H4" s="35"/>
      <c r="I4" s="35"/>
      <c r="J4" s="1"/>
      <c r="K4"/>
    </row>
    <row r="5" spans="1:14" ht="15">
      <c r="A5" s="367"/>
      <c r="B5" s="36" t="s">
        <v>32</v>
      </c>
      <c r="C5" s="35"/>
      <c r="D5" s="35"/>
      <c r="E5" s="35"/>
      <c r="F5" s="35"/>
      <c r="G5" s="35"/>
      <c r="H5" s="35"/>
      <c r="I5" s="35"/>
      <c r="J5" s="1"/>
      <c r="K5"/>
    </row>
    <row r="6" spans="1:14" ht="15">
      <c r="A6" s="367"/>
      <c r="B6" s="37" t="s">
        <v>33</v>
      </c>
      <c r="C6" s="38" t="s">
        <v>34</v>
      </c>
      <c r="D6" s="38"/>
      <c r="E6" s="39"/>
      <c r="F6" s="38"/>
      <c r="G6" s="38"/>
      <c r="H6" s="38"/>
      <c r="I6" s="35"/>
      <c r="J6" s="1"/>
      <c r="K6"/>
    </row>
    <row r="7" spans="1:14" ht="15">
      <c r="A7" s="367"/>
      <c r="B7" s="38"/>
      <c r="C7" s="38"/>
      <c r="D7" s="38"/>
      <c r="E7" s="38"/>
      <c r="F7" s="38"/>
      <c r="G7" s="38"/>
      <c r="H7" s="38"/>
      <c r="I7" s="35"/>
      <c r="J7" s="1"/>
      <c r="K7"/>
    </row>
    <row r="8" spans="1:14">
      <c r="A8" s="367"/>
      <c r="B8" s="369"/>
      <c r="C8" s="370"/>
      <c r="D8" s="371"/>
      <c r="E8" s="372"/>
      <c r="F8" s="372"/>
      <c r="G8" s="367"/>
      <c r="H8" s="373"/>
      <c r="I8" s="374"/>
      <c r="J8" s="369"/>
    </row>
    <row r="9" spans="1:14" ht="23.25" thickBot="1">
      <c r="A9" s="367"/>
      <c r="B9" s="530" t="s">
        <v>411</v>
      </c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</row>
    <row r="10" spans="1:14" ht="13.5" thickTop="1">
      <c r="H10" s="375"/>
    </row>
    <row r="11" spans="1:14">
      <c r="B11" s="369" t="s">
        <v>412</v>
      </c>
      <c r="C11" s="376" t="s">
        <v>439</v>
      </c>
      <c r="D11" s="377"/>
      <c r="E11" s="378"/>
      <c r="F11" s="378"/>
      <c r="H11" s="375"/>
      <c r="I11" s="369" t="s">
        <v>412</v>
      </c>
      <c r="J11" s="376" t="str">
        <f>C11</f>
        <v>DU 01 AU 28 Février 2021</v>
      </c>
      <c r="K11" s="378"/>
      <c r="L11" s="378"/>
      <c r="M11" s="378"/>
    </row>
    <row r="12" spans="1:14">
      <c r="B12" s="369" t="s">
        <v>414</v>
      </c>
      <c r="C12" s="378" t="s">
        <v>415</v>
      </c>
      <c r="D12" s="378"/>
      <c r="E12" s="379"/>
      <c r="F12" s="379"/>
      <c r="G12" s="367"/>
      <c r="H12" s="375"/>
      <c r="I12" s="369" t="s">
        <v>414</v>
      </c>
      <c r="J12" s="378" t="s">
        <v>416</v>
      </c>
      <c r="K12" s="378"/>
      <c r="L12" s="378"/>
      <c r="M12" s="378"/>
    </row>
    <row r="13" spans="1:14" ht="15.75">
      <c r="B13" s="369" t="s">
        <v>417</v>
      </c>
      <c r="C13" s="380" t="s">
        <v>440</v>
      </c>
      <c r="D13" s="381"/>
      <c r="E13" s="379"/>
      <c r="F13" s="379"/>
      <c r="G13" s="367"/>
      <c r="H13" s="375"/>
      <c r="I13" s="369" t="s">
        <v>417</v>
      </c>
      <c r="J13" s="380" t="str">
        <f>+C13</f>
        <v>01100-37107255251-56</v>
      </c>
      <c r="K13" s="380"/>
      <c r="L13" s="378"/>
      <c r="M13" s="378"/>
    </row>
    <row r="14" spans="1:14">
      <c r="H14" s="375"/>
    </row>
    <row r="15" spans="1:14">
      <c r="B15" s="531" t="s">
        <v>4</v>
      </c>
      <c r="C15" s="531" t="s">
        <v>419</v>
      </c>
      <c r="D15" s="531" t="s">
        <v>420</v>
      </c>
      <c r="E15" s="531" t="s">
        <v>421</v>
      </c>
      <c r="F15" s="532" t="s">
        <v>422</v>
      </c>
      <c r="G15" s="532"/>
      <c r="H15" s="375"/>
      <c r="I15" s="531" t="s">
        <v>4</v>
      </c>
      <c r="J15" s="531" t="s">
        <v>419</v>
      </c>
      <c r="K15" s="531" t="s">
        <v>420</v>
      </c>
      <c r="L15" s="531" t="s">
        <v>421</v>
      </c>
      <c r="M15" s="532" t="s">
        <v>422</v>
      </c>
      <c r="N15" s="532"/>
    </row>
    <row r="16" spans="1:14">
      <c r="B16" s="531"/>
      <c r="C16" s="531"/>
      <c r="D16" s="531"/>
      <c r="E16" s="531"/>
      <c r="F16" s="382" t="s">
        <v>423</v>
      </c>
      <c r="G16" s="382" t="s">
        <v>424</v>
      </c>
      <c r="H16" s="375"/>
      <c r="I16" s="531"/>
      <c r="J16" s="531"/>
      <c r="K16" s="531"/>
      <c r="L16" s="531"/>
      <c r="M16" s="382" t="s">
        <v>423</v>
      </c>
      <c r="N16" s="382" t="s">
        <v>424</v>
      </c>
    </row>
    <row r="17" spans="2:15">
      <c r="B17" s="383" t="s">
        <v>425</v>
      </c>
      <c r="F17" s="384"/>
      <c r="G17" s="384"/>
      <c r="H17" s="375"/>
      <c r="I17" s="383" t="s">
        <v>426</v>
      </c>
      <c r="N17" s="384"/>
    </row>
    <row r="18" spans="2:15" ht="13.5" thickBot="1">
      <c r="B18" s="385">
        <v>44255</v>
      </c>
      <c r="C18" s="386" t="s">
        <v>427</v>
      </c>
      <c r="D18" s="386"/>
      <c r="E18" s="386"/>
      <c r="F18" s="387">
        <f>+'[27] compte bancaire compte 56'!H36</f>
        <v>6219904</v>
      </c>
      <c r="G18" s="386"/>
      <c r="H18" s="375"/>
      <c r="I18" s="385">
        <f>+B18</f>
        <v>44255</v>
      </c>
      <c r="J18" s="386" t="s">
        <v>428</v>
      </c>
      <c r="K18" s="386"/>
      <c r="L18" s="386"/>
      <c r="M18" s="388"/>
      <c r="N18" s="387">
        <v>6770004</v>
      </c>
      <c r="O18" s="384"/>
    </row>
    <row r="19" spans="2:15" ht="13.5" thickTop="1">
      <c r="F19" s="384"/>
      <c r="H19" s="375"/>
    </row>
    <row r="20" spans="2:15">
      <c r="B20" s="383" t="s">
        <v>429</v>
      </c>
      <c r="F20" s="384"/>
      <c r="H20" s="375"/>
      <c r="I20" s="389" t="s">
        <v>430</v>
      </c>
      <c r="J20" s="390"/>
      <c r="K20" s="390"/>
      <c r="L20" s="390"/>
      <c r="M20" s="390"/>
      <c r="N20" s="390"/>
    </row>
    <row r="21" spans="2:15">
      <c r="F21" s="384"/>
      <c r="H21" s="375"/>
    </row>
    <row r="22" spans="2:15">
      <c r="B22" s="391"/>
      <c r="C22" s="392"/>
      <c r="D22" s="392"/>
      <c r="E22" s="392"/>
      <c r="F22" s="393"/>
      <c r="G22" s="393"/>
      <c r="H22" s="375"/>
      <c r="I22" s="394" t="s">
        <v>441</v>
      </c>
      <c r="J22" s="255" t="s">
        <v>442</v>
      </c>
      <c r="K22" s="255" t="s">
        <v>520</v>
      </c>
      <c r="L22" s="396" t="s">
        <v>443</v>
      </c>
      <c r="M22" s="397">
        <v>193600</v>
      </c>
      <c r="N22" s="393"/>
    </row>
    <row r="23" spans="2:15">
      <c r="B23" s="391"/>
      <c r="C23" s="392"/>
      <c r="D23" s="392"/>
      <c r="E23" s="392"/>
      <c r="F23" s="393"/>
      <c r="G23" s="393"/>
      <c r="H23" s="375"/>
      <c r="I23" s="394">
        <v>44250</v>
      </c>
      <c r="J23" s="255" t="s">
        <v>444</v>
      </c>
      <c r="K23" s="255" t="s">
        <v>517</v>
      </c>
      <c r="L23" s="396" t="s">
        <v>445</v>
      </c>
      <c r="M23" s="397">
        <v>356500</v>
      </c>
      <c r="N23" s="393"/>
    </row>
    <row r="24" spans="2:15">
      <c r="B24" s="391"/>
      <c r="C24" s="392"/>
      <c r="D24" s="392"/>
      <c r="E24" s="392"/>
      <c r="F24" s="393"/>
      <c r="G24" s="393"/>
      <c r="H24" s="375"/>
      <c r="I24" s="394"/>
      <c r="J24" s="396"/>
      <c r="K24" s="396"/>
      <c r="L24" s="396"/>
      <c r="M24" s="397"/>
      <c r="N24" s="393"/>
    </row>
    <row r="25" spans="2:15">
      <c r="B25" s="391"/>
      <c r="C25" s="392"/>
      <c r="D25" s="392"/>
      <c r="E25" s="392"/>
      <c r="F25" s="393"/>
      <c r="G25" s="393"/>
      <c r="H25" s="375"/>
      <c r="I25" s="394"/>
      <c r="J25" s="396"/>
      <c r="K25" s="394"/>
      <c r="L25" s="396"/>
      <c r="M25" s="397"/>
      <c r="N25" s="393"/>
    </row>
    <row r="26" spans="2:15">
      <c r="B26" s="391"/>
      <c r="C26" s="392"/>
      <c r="D26" s="392"/>
      <c r="E26" s="392"/>
      <c r="F26" s="393"/>
      <c r="G26" s="393"/>
      <c r="H26" s="375"/>
      <c r="I26" s="394"/>
      <c r="J26" s="396"/>
      <c r="K26" s="396"/>
      <c r="L26" s="396"/>
      <c r="M26" s="397"/>
      <c r="N26" s="393"/>
    </row>
    <row r="27" spans="2:15">
      <c r="B27" s="391"/>
      <c r="C27" s="392"/>
      <c r="D27" s="392"/>
      <c r="E27" s="392"/>
      <c r="F27" s="393"/>
      <c r="G27" s="393"/>
      <c r="H27" s="375"/>
      <c r="I27" s="394"/>
      <c r="J27" s="396"/>
      <c r="K27" s="396"/>
      <c r="L27" s="396"/>
      <c r="M27" s="397"/>
      <c r="N27" s="393"/>
    </row>
    <row r="28" spans="2:15">
      <c r="B28" s="391"/>
      <c r="C28" s="392"/>
      <c r="D28" s="392"/>
      <c r="E28" s="392"/>
      <c r="F28" s="393"/>
      <c r="G28" s="393"/>
      <c r="H28" s="375"/>
      <c r="I28" s="391"/>
      <c r="J28" s="392"/>
      <c r="K28" s="392"/>
      <c r="L28" s="392"/>
      <c r="M28" s="393"/>
      <c r="N28" s="393"/>
    </row>
    <row r="29" spans="2:15">
      <c r="B29" s="391"/>
      <c r="C29" s="392"/>
      <c r="D29" s="392"/>
      <c r="E29" s="392"/>
      <c r="F29" s="393"/>
      <c r="G29" s="393"/>
      <c r="H29" s="375"/>
      <c r="I29" s="392"/>
      <c r="J29" s="392"/>
      <c r="K29" s="392"/>
      <c r="L29" s="392"/>
      <c r="M29" s="393"/>
      <c r="N29" s="393"/>
    </row>
    <row r="30" spans="2:15">
      <c r="B30" s="391"/>
      <c r="C30" s="392"/>
      <c r="D30" s="392"/>
      <c r="E30" s="392"/>
      <c r="F30" s="393"/>
      <c r="G30" s="393"/>
      <c r="H30" s="375"/>
      <c r="I30" s="392"/>
      <c r="J30" s="392"/>
      <c r="K30" s="392"/>
      <c r="L30" s="392"/>
      <c r="M30" s="393"/>
      <c r="N30" s="393"/>
    </row>
    <row r="31" spans="2:15" ht="13.5" thickBot="1">
      <c r="B31" s="398"/>
      <c r="C31" s="392"/>
      <c r="D31" s="392"/>
      <c r="E31" s="392"/>
      <c r="F31" s="399"/>
      <c r="G31" s="400"/>
      <c r="H31" s="375"/>
      <c r="I31" s="400"/>
      <c r="J31" s="400"/>
      <c r="K31" s="400"/>
      <c r="L31" s="400"/>
      <c r="M31" s="400"/>
      <c r="N31" s="400"/>
    </row>
    <row r="32" spans="2:15" ht="14.25" thickTop="1" thickBot="1">
      <c r="B32" s="525" t="s">
        <v>431</v>
      </c>
      <c r="C32" s="526"/>
      <c r="D32" s="526"/>
      <c r="E32" s="527"/>
      <c r="F32" s="401">
        <f>SUM(F22:F31,F17:F18)</f>
        <v>6219904</v>
      </c>
      <c r="G32" s="401">
        <f>SUM(G22:G31,G17)</f>
        <v>0</v>
      </c>
      <c r="H32" s="375"/>
      <c r="I32" s="525" t="s">
        <v>432</v>
      </c>
      <c r="J32" s="526"/>
      <c r="K32" s="526"/>
      <c r="L32" s="527"/>
      <c r="M32" s="401">
        <f>SUM(M22:M31,M17:M18)</f>
        <v>550100</v>
      </c>
      <c r="N32" s="401">
        <f>SUM(N22:N31,N17:N18)</f>
        <v>6770004</v>
      </c>
    </row>
    <row r="33" spans="2:14" ht="13.5" thickTop="1">
      <c r="H33" s="375"/>
      <c r="M33" s="384"/>
      <c r="N33" s="384"/>
    </row>
    <row r="34" spans="2:14" ht="13.5" thickBot="1">
      <c r="B34" s="402" t="s">
        <v>446</v>
      </c>
      <c r="C34" s="402"/>
      <c r="D34" s="528" t="str">
        <f>IF(F32&gt;G32,"Solde Débiteur","Solde Nul")</f>
        <v>Solde Débiteur</v>
      </c>
      <c r="E34" s="528"/>
      <c r="F34" s="403"/>
      <c r="G34" s="388">
        <f>F32-G32</f>
        <v>6219904</v>
      </c>
      <c r="H34" s="375"/>
      <c r="I34" s="402" t="str">
        <f>+B34</f>
        <v xml:space="preserve"> Solde rapporché au 28/08/2021∑(1)-(2)</v>
      </c>
      <c r="J34" s="402"/>
      <c r="K34" s="528" t="str">
        <f>IF(N32&gt;M32,"Solde Créditeur","Solde Nul")</f>
        <v>Solde Créditeur</v>
      </c>
      <c r="L34" s="528"/>
      <c r="M34" s="404">
        <f>N32-M32</f>
        <v>6219904</v>
      </c>
      <c r="N34" s="403"/>
    </row>
    <row r="35" spans="2:14" ht="13.5" thickTop="1">
      <c r="F35" s="384"/>
      <c r="G35" s="384"/>
      <c r="H35" s="375"/>
      <c r="M35" s="384"/>
      <c r="N35" s="384"/>
    </row>
    <row r="36" spans="2:14" ht="15" thickBot="1">
      <c r="B36" s="405" t="s">
        <v>434</v>
      </c>
      <c r="C36" s="405"/>
      <c r="D36" s="405"/>
      <c r="E36" s="405"/>
      <c r="F36" s="406">
        <f>SUM(F32)</f>
        <v>6219904</v>
      </c>
      <c r="G36" s="406">
        <f>G34+G32</f>
        <v>6219904</v>
      </c>
      <c r="H36" s="407"/>
      <c r="I36" s="405" t="s">
        <v>434</v>
      </c>
      <c r="J36" s="405"/>
      <c r="K36" s="405"/>
      <c r="L36" s="405"/>
      <c r="M36" s="406">
        <f>+M32+M34</f>
        <v>6770004</v>
      </c>
      <c r="N36" s="406">
        <f>N34+N32</f>
        <v>6770004</v>
      </c>
    </row>
    <row r="37" spans="2:14" ht="13.5" thickTop="1"/>
    <row r="38" spans="2:14" ht="15" thickBot="1">
      <c r="B38" s="405" t="s">
        <v>435</v>
      </c>
      <c r="C38" s="405"/>
      <c r="D38" s="405"/>
      <c r="E38" s="405"/>
      <c r="F38" s="405"/>
      <c r="G38" s="408">
        <f>G34-M34</f>
        <v>0</v>
      </c>
      <c r="I38" s="409"/>
      <c r="J38" s="409"/>
    </row>
    <row r="39" spans="2:14" ht="13.5" thickTop="1">
      <c r="G39" s="529"/>
      <c r="H39" s="529"/>
      <c r="I39" s="529"/>
      <c r="J39" s="410"/>
      <c r="K39" s="410" t="s">
        <v>436</v>
      </c>
      <c r="L39" s="410"/>
    </row>
    <row r="41" spans="2:14" ht="15">
      <c r="B41" s="38" t="s">
        <v>36</v>
      </c>
      <c r="C41" s="40"/>
      <c r="G41" s="411"/>
      <c r="H41" s="411"/>
      <c r="I41" s="411"/>
      <c r="J41" s="38" t="s">
        <v>40</v>
      </c>
      <c r="K41" s="410"/>
      <c r="L41" s="410"/>
    </row>
    <row r="42" spans="2:14" ht="14.25">
      <c r="B42" s="35"/>
      <c r="C42" s="35"/>
      <c r="M42" s="412"/>
      <c r="N42" s="412"/>
    </row>
    <row r="43" spans="2:14" ht="14.25">
      <c r="B43" s="43" t="s">
        <v>437</v>
      </c>
      <c r="C43" s="42"/>
      <c r="D43" s="378"/>
      <c r="E43" s="378"/>
      <c r="F43" s="378"/>
      <c r="G43" s="378"/>
      <c r="H43" s="378"/>
      <c r="I43" s="412"/>
      <c r="J43" s="43" t="s">
        <v>447</v>
      </c>
      <c r="K43" s="412"/>
      <c r="L43" s="412"/>
      <c r="M43" s="378"/>
      <c r="N43" s="378"/>
    </row>
    <row r="44" spans="2:14" ht="15">
      <c r="B44" s="44" t="s">
        <v>38</v>
      </c>
      <c r="C44" s="44"/>
      <c r="D44" s="378"/>
      <c r="E44" s="378"/>
      <c r="F44" s="378"/>
      <c r="G44" s="378"/>
      <c r="H44" s="378"/>
      <c r="I44" s="378"/>
      <c r="J44" s="44" t="s">
        <v>38</v>
      </c>
      <c r="K44" s="378"/>
      <c r="L44" s="378"/>
      <c r="M44" s="378"/>
      <c r="N44" s="378"/>
    </row>
    <row r="45" spans="2:14"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</row>
    <row r="46" spans="2:14">
      <c r="B46" s="524"/>
      <c r="C46" s="524"/>
      <c r="D46" s="378"/>
      <c r="E46" s="378"/>
      <c r="F46" s="378"/>
      <c r="G46" s="378"/>
      <c r="H46" s="378"/>
      <c r="I46" s="524"/>
      <c r="J46" s="524"/>
      <c r="K46" s="524"/>
      <c r="L46" s="524"/>
      <c r="M46" s="524"/>
      <c r="N46" s="524"/>
    </row>
  </sheetData>
  <mergeCells count="18">
    <mergeCell ref="B9:N9"/>
    <mergeCell ref="B15:B16"/>
    <mergeCell ref="C15:C16"/>
    <mergeCell ref="D15:D16"/>
    <mergeCell ref="E15:E16"/>
    <mergeCell ref="F15:G15"/>
    <mergeCell ref="I15:I16"/>
    <mergeCell ref="J15:J16"/>
    <mergeCell ref="K15:K16"/>
    <mergeCell ref="L15:L16"/>
    <mergeCell ref="M15:N15"/>
    <mergeCell ref="B46:C46"/>
    <mergeCell ref="I46:N46"/>
    <mergeCell ref="B32:E32"/>
    <mergeCell ref="I32:L32"/>
    <mergeCell ref="D34:E34"/>
    <mergeCell ref="K34:L34"/>
    <mergeCell ref="G39:I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E153"/>
  <sheetViews>
    <sheetView tabSelected="1" topLeftCell="A78" workbookViewId="0">
      <selection activeCell="P87" sqref="P87"/>
    </sheetView>
  </sheetViews>
  <sheetFormatPr baseColWidth="10" defaultColWidth="11.42578125" defaultRowHeight="15"/>
  <cols>
    <col min="1" max="1" width="11.7109375" customWidth="1"/>
    <col min="2" max="2" width="46.85546875" customWidth="1"/>
    <col min="3" max="3" width="15" customWidth="1"/>
    <col min="4" max="4" width="12.7109375" customWidth="1"/>
    <col min="5" max="5" width="12.28515625" style="41" customWidth="1"/>
    <col min="6" max="6" width="12.85546875" style="41" customWidth="1"/>
    <col min="7" max="7" width="12.5703125" style="41" customWidth="1"/>
    <col min="8" max="8" width="11" customWidth="1"/>
    <col min="9" max="9" width="15.7109375" hidden="1" customWidth="1"/>
    <col min="10" max="10" width="2" hidden="1" customWidth="1"/>
    <col min="11" max="11" width="11.42578125" hidden="1" customWidth="1"/>
    <col min="12" max="12" width="12.85546875" hidden="1" customWidth="1"/>
    <col min="15" max="15" width="11.42578125" style="1"/>
    <col min="16" max="16" width="24.42578125" style="1" customWidth="1"/>
    <col min="17" max="18" width="11.42578125" style="207"/>
    <col min="19" max="19" width="13" style="207" bestFit="1" customWidth="1"/>
    <col min="20" max="20" width="16.28515625" style="1" customWidth="1"/>
    <col min="21" max="27" width="11.42578125" style="1"/>
  </cols>
  <sheetData>
    <row r="1" spans="1:27" ht="18.75">
      <c r="A1" s="533" t="s">
        <v>120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3" spans="1:27">
      <c r="B3" s="25" t="s">
        <v>42</v>
      </c>
      <c r="C3" s="25" t="s">
        <v>191</v>
      </c>
    </row>
    <row r="4" spans="1:27" ht="18.75">
      <c r="A4" s="533" t="s">
        <v>120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</row>
    <row r="5" spans="1:27">
      <c r="B5" s="25" t="s">
        <v>44</v>
      </c>
      <c r="C5" s="106">
        <f>+E136</f>
        <v>6188716</v>
      </c>
      <c r="M5" s="1"/>
      <c r="N5" s="1"/>
    </row>
    <row r="6" spans="1:27">
      <c r="B6" s="25" t="s">
        <v>45</v>
      </c>
      <c r="C6" s="106">
        <f>+F136</f>
        <v>5040379</v>
      </c>
      <c r="M6" s="1"/>
      <c r="N6" s="1"/>
    </row>
    <row r="7" spans="1:27">
      <c r="B7" s="25" t="s">
        <v>46</v>
      </c>
      <c r="C7" s="106">
        <f>C5-C6</f>
        <v>1148337</v>
      </c>
      <c r="M7" s="1"/>
      <c r="N7" s="1"/>
    </row>
    <row r="11" spans="1:27" s="136" customFormat="1" ht="14.25" customHeight="1">
      <c r="A11" s="98" t="s">
        <v>4</v>
      </c>
      <c r="B11" s="98" t="s">
        <v>47</v>
      </c>
      <c r="C11" s="98" t="s">
        <v>48</v>
      </c>
      <c r="D11" s="98" t="s">
        <v>49</v>
      </c>
      <c r="E11" s="99" t="s">
        <v>50</v>
      </c>
      <c r="F11" s="99" t="s">
        <v>51</v>
      </c>
      <c r="G11" s="99" t="s">
        <v>52</v>
      </c>
      <c r="H11" s="98" t="s">
        <v>53</v>
      </c>
      <c r="I11" s="98" t="s">
        <v>54</v>
      </c>
      <c r="J11" s="98" t="s">
        <v>55</v>
      </c>
      <c r="K11" s="98" t="s">
        <v>57</v>
      </c>
      <c r="L11" s="98" t="s">
        <v>58</v>
      </c>
      <c r="M11" s="98"/>
      <c r="N11" s="98"/>
      <c r="O11" s="135"/>
      <c r="P11" s="135"/>
      <c r="Q11" s="208"/>
      <c r="R11" s="208"/>
      <c r="S11" s="208"/>
      <c r="T11" s="135"/>
      <c r="U11" s="135"/>
      <c r="V11" s="135"/>
      <c r="W11" s="135"/>
      <c r="X11" s="135"/>
      <c r="Y11" s="135"/>
      <c r="Z11" s="135"/>
      <c r="AA11" s="135"/>
    </row>
    <row r="12" spans="1:27" s="1" customFormat="1">
      <c r="A12" s="326">
        <v>44228</v>
      </c>
      <c r="B12" s="138" t="s">
        <v>448</v>
      </c>
      <c r="C12" s="102"/>
      <c r="D12" s="102"/>
      <c r="E12" s="139">
        <f>+'[28]caisse Janvier 2021'!C7</f>
        <v>316716</v>
      </c>
      <c r="F12" s="140"/>
      <c r="G12" s="139">
        <f>+E12</f>
        <v>316716</v>
      </c>
      <c r="H12" s="141" t="s">
        <v>66</v>
      </c>
      <c r="I12" s="141"/>
      <c r="J12" s="141"/>
      <c r="K12" s="141"/>
      <c r="L12" s="141"/>
      <c r="M12" s="141"/>
      <c r="N12" s="141"/>
      <c r="Q12" s="207"/>
      <c r="R12" s="207"/>
      <c r="S12" s="207"/>
    </row>
    <row r="13" spans="1:27" s="1" customFormat="1">
      <c r="A13" s="326">
        <v>44229</v>
      </c>
      <c r="B13" s="146" t="s">
        <v>60</v>
      </c>
      <c r="C13" s="146" t="s">
        <v>131</v>
      </c>
      <c r="D13" s="146"/>
      <c r="E13" s="144">
        <v>1500000</v>
      </c>
      <c r="F13" s="144"/>
      <c r="G13" s="144">
        <f>+G12+E13-F13</f>
        <v>1816716</v>
      </c>
      <c r="H13" s="146" t="s">
        <v>66</v>
      </c>
      <c r="I13" s="146"/>
      <c r="J13" s="146"/>
      <c r="K13" s="146"/>
      <c r="L13" s="146"/>
      <c r="M13" s="146"/>
      <c r="N13" s="146"/>
      <c r="Q13" s="207"/>
      <c r="R13" s="207"/>
      <c r="S13" s="207"/>
    </row>
    <row r="14" spans="1:27" s="209" customFormat="1">
      <c r="A14" s="326">
        <v>44229</v>
      </c>
      <c r="B14" s="146" t="s">
        <v>242</v>
      </c>
      <c r="C14" s="146" t="s">
        <v>177</v>
      </c>
      <c r="D14" s="146" t="s">
        <v>18</v>
      </c>
      <c r="E14" s="144"/>
      <c r="F14" s="100">
        <v>89175</v>
      </c>
      <c r="G14" s="144">
        <f>+G13+E14-F14</f>
        <v>1727541</v>
      </c>
      <c r="H14" s="146" t="s">
        <v>66</v>
      </c>
      <c r="I14" s="146"/>
      <c r="J14" s="146"/>
      <c r="K14" s="146"/>
      <c r="L14" s="146"/>
      <c r="M14" s="146"/>
      <c r="N14" s="146"/>
      <c r="Q14" s="210"/>
      <c r="R14" s="210"/>
      <c r="S14" s="210"/>
    </row>
    <row r="15" spans="1:27" s="101" customFormat="1">
      <c r="A15" s="327">
        <v>44229</v>
      </c>
      <c r="B15" s="146" t="s">
        <v>243</v>
      </c>
      <c r="C15" s="146" t="s">
        <v>17</v>
      </c>
      <c r="D15" s="146" t="s">
        <v>18</v>
      </c>
      <c r="E15" s="100"/>
      <c r="F15" s="100">
        <v>24000</v>
      </c>
      <c r="G15" s="144">
        <f t="shared" ref="G15:G78" si="0">+G14+E15-F15</f>
        <v>1703541</v>
      </c>
      <c r="H15" s="149" t="s">
        <v>66</v>
      </c>
      <c r="I15" s="149"/>
      <c r="J15" s="149"/>
      <c r="K15" s="149"/>
      <c r="L15" s="149"/>
      <c r="M15" s="149"/>
      <c r="N15" s="149"/>
      <c r="Q15" s="212"/>
      <c r="R15" s="212"/>
      <c r="S15" s="212"/>
    </row>
    <row r="16" spans="1:27" s="1" customFormat="1">
      <c r="A16" s="326">
        <v>44229</v>
      </c>
      <c r="B16" s="331" t="s">
        <v>83</v>
      </c>
      <c r="C16" s="146" t="s">
        <v>131</v>
      </c>
      <c r="D16" s="146"/>
      <c r="E16" s="323"/>
      <c r="F16" s="100">
        <v>135000</v>
      </c>
      <c r="G16" s="144">
        <f t="shared" si="0"/>
        <v>1568541</v>
      </c>
      <c r="H16" s="146" t="s">
        <v>66</v>
      </c>
      <c r="I16" s="146"/>
      <c r="J16" s="146"/>
      <c r="K16" s="146"/>
      <c r="L16" s="146"/>
      <c r="M16" s="146"/>
      <c r="N16" s="146"/>
      <c r="Q16" s="207"/>
      <c r="R16" s="207"/>
      <c r="S16" s="207"/>
    </row>
    <row r="17" spans="1:19" s="428" customFormat="1">
      <c r="A17" s="327">
        <v>44229</v>
      </c>
      <c r="B17" s="146" t="s">
        <v>244</v>
      </c>
      <c r="C17" s="146" t="s">
        <v>68</v>
      </c>
      <c r="D17" s="146" t="s">
        <v>18</v>
      </c>
      <c r="E17" s="144"/>
      <c r="F17" s="100">
        <v>4050</v>
      </c>
      <c r="G17" s="144">
        <f t="shared" si="0"/>
        <v>1564491</v>
      </c>
      <c r="H17" s="146" t="s">
        <v>66</v>
      </c>
      <c r="I17" s="146"/>
      <c r="J17" s="146"/>
      <c r="K17" s="146"/>
      <c r="L17" s="146"/>
      <c r="M17" s="146"/>
      <c r="N17" s="146"/>
      <c r="Q17" s="429"/>
      <c r="R17" s="429"/>
      <c r="S17" s="429"/>
    </row>
    <row r="18" spans="1:19" s="1" customFormat="1" ht="15.75">
      <c r="A18" s="326">
        <v>44229</v>
      </c>
      <c r="B18" s="146" t="s">
        <v>245</v>
      </c>
      <c r="C18" s="328" t="s">
        <v>15</v>
      </c>
      <c r="D18" s="329" t="s">
        <v>246</v>
      </c>
      <c r="E18" s="144"/>
      <c r="F18" s="100">
        <v>13500</v>
      </c>
      <c r="G18" s="144">
        <f t="shared" si="0"/>
        <v>1550991</v>
      </c>
      <c r="H18" s="146" t="s">
        <v>66</v>
      </c>
      <c r="I18" s="146"/>
      <c r="J18" s="146"/>
      <c r="K18" s="146"/>
      <c r="L18" s="146"/>
      <c r="M18" s="146"/>
      <c r="N18" s="146"/>
      <c r="Q18" s="207"/>
      <c r="R18" s="207"/>
      <c r="S18" s="207"/>
    </row>
    <row r="19" spans="1:19" s="1" customFormat="1">
      <c r="A19" s="327">
        <v>44230</v>
      </c>
      <c r="B19" s="146" t="s">
        <v>75</v>
      </c>
      <c r="C19" s="146" t="s">
        <v>131</v>
      </c>
      <c r="D19" s="146"/>
      <c r="E19" s="144"/>
      <c r="F19" s="100">
        <v>10000</v>
      </c>
      <c r="G19" s="144">
        <f t="shared" si="0"/>
        <v>1540991</v>
      </c>
      <c r="H19" s="146" t="s">
        <v>66</v>
      </c>
      <c r="I19" s="146"/>
      <c r="J19" s="146"/>
      <c r="K19" s="146"/>
      <c r="L19" s="146"/>
      <c r="M19" s="146"/>
      <c r="N19" s="146"/>
      <c r="Q19" s="207"/>
      <c r="R19" s="207"/>
      <c r="S19" s="207"/>
    </row>
    <row r="20" spans="1:19" s="1" customFormat="1">
      <c r="A20" s="326">
        <v>44230</v>
      </c>
      <c r="B20" s="146" t="s">
        <v>158</v>
      </c>
      <c r="C20" s="146" t="s">
        <v>131</v>
      </c>
      <c r="D20" s="146"/>
      <c r="E20" s="144"/>
      <c r="F20" s="100">
        <v>10000</v>
      </c>
      <c r="G20" s="144">
        <f t="shared" si="0"/>
        <v>1530991</v>
      </c>
      <c r="H20" s="146" t="s">
        <v>66</v>
      </c>
      <c r="I20" s="146"/>
      <c r="J20" s="146"/>
      <c r="K20" s="146"/>
      <c r="L20" s="146"/>
      <c r="M20" s="146"/>
      <c r="N20" s="146"/>
      <c r="Q20" s="207"/>
      <c r="R20" s="207"/>
      <c r="S20" s="207"/>
    </row>
    <row r="21" spans="1:19" s="1" customFormat="1">
      <c r="A21" s="327">
        <v>44230</v>
      </c>
      <c r="B21" s="146" t="s">
        <v>83</v>
      </c>
      <c r="C21" s="146" t="s">
        <v>131</v>
      </c>
      <c r="D21" s="146"/>
      <c r="E21" s="144"/>
      <c r="F21" s="100">
        <v>155000</v>
      </c>
      <c r="G21" s="144">
        <f t="shared" si="0"/>
        <v>1375991</v>
      </c>
      <c r="H21" s="146" t="s">
        <v>66</v>
      </c>
      <c r="I21" s="146"/>
      <c r="J21" s="146"/>
      <c r="K21" s="146"/>
      <c r="L21" s="146"/>
      <c r="M21" s="146"/>
      <c r="N21" s="146"/>
      <c r="Q21" s="207"/>
      <c r="R21" s="207"/>
      <c r="S21" s="207"/>
    </row>
    <row r="22" spans="1:19" s="1" customFormat="1">
      <c r="A22" s="326">
        <v>44230</v>
      </c>
      <c r="B22" s="146" t="s">
        <v>244</v>
      </c>
      <c r="C22" s="146" t="s">
        <v>68</v>
      </c>
      <c r="D22" s="146" t="s">
        <v>21</v>
      </c>
      <c r="E22" s="144"/>
      <c r="F22" s="100">
        <v>4650</v>
      </c>
      <c r="G22" s="144">
        <f t="shared" si="0"/>
        <v>1371341</v>
      </c>
      <c r="H22" s="146" t="s">
        <v>66</v>
      </c>
      <c r="I22" s="146"/>
      <c r="J22" s="146"/>
      <c r="K22" s="146"/>
      <c r="L22" s="146"/>
      <c r="M22" s="146"/>
      <c r="N22" s="146"/>
      <c r="Q22" s="207"/>
      <c r="R22" s="207"/>
      <c r="S22" s="207"/>
    </row>
    <row r="23" spans="1:19" s="1" customFormat="1">
      <c r="A23" s="327">
        <v>44230</v>
      </c>
      <c r="B23" s="146" t="s">
        <v>247</v>
      </c>
      <c r="C23" s="146" t="s">
        <v>131</v>
      </c>
      <c r="D23" s="146"/>
      <c r="E23" s="144"/>
      <c r="F23" s="100">
        <v>14000</v>
      </c>
      <c r="G23" s="144">
        <f t="shared" si="0"/>
        <v>1357341</v>
      </c>
      <c r="H23" s="146" t="s">
        <v>66</v>
      </c>
      <c r="I23" s="146"/>
      <c r="J23" s="146"/>
      <c r="K23" s="146"/>
      <c r="L23" s="146"/>
      <c r="M23" s="146"/>
      <c r="N23" s="146"/>
      <c r="Q23" s="207"/>
      <c r="R23" s="207"/>
      <c r="S23" s="207"/>
    </row>
    <row r="24" spans="1:19" s="1" customFormat="1">
      <c r="A24" s="326">
        <v>44230</v>
      </c>
      <c r="B24" s="146" t="s">
        <v>102</v>
      </c>
      <c r="C24" s="146" t="s">
        <v>131</v>
      </c>
      <c r="D24" s="146"/>
      <c r="E24" s="144"/>
      <c r="F24" s="100">
        <v>5000</v>
      </c>
      <c r="G24" s="144">
        <f t="shared" si="0"/>
        <v>1352341</v>
      </c>
      <c r="H24" s="146" t="s">
        <v>66</v>
      </c>
      <c r="I24" s="146"/>
      <c r="J24" s="146"/>
      <c r="K24" s="146"/>
      <c r="L24" s="146"/>
      <c r="M24" s="146"/>
      <c r="N24" s="146"/>
      <c r="Q24" s="207"/>
      <c r="R24" s="207"/>
      <c r="S24" s="207"/>
    </row>
    <row r="25" spans="1:19" s="1" customFormat="1">
      <c r="A25" s="326">
        <v>44230</v>
      </c>
      <c r="B25" s="146" t="s">
        <v>37</v>
      </c>
      <c r="C25" s="146" t="s">
        <v>131</v>
      </c>
      <c r="D25" s="146"/>
      <c r="E25" s="144"/>
      <c r="F25" s="100">
        <f>32081+643428+174200+2000</f>
        <v>851709</v>
      </c>
      <c r="G25" s="144">
        <f t="shared" si="0"/>
        <v>500632</v>
      </c>
      <c r="H25" s="146" t="s">
        <v>66</v>
      </c>
      <c r="I25" s="146"/>
      <c r="J25" s="146"/>
      <c r="K25" s="146"/>
      <c r="L25" s="146"/>
      <c r="M25" s="146"/>
      <c r="N25" s="146"/>
      <c r="Q25" s="207"/>
      <c r="R25" s="207"/>
      <c r="S25" s="207"/>
    </row>
    <row r="26" spans="1:19" s="1" customFormat="1">
      <c r="A26" s="326">
        <v>44231</v>
      </c>
      <c r="B26" s="146" t="s">
        <v>83</v>
      </c>
      <c r="C26" s="146" t="s">
        <v>131</v>
      </c>
      <c r="D26" s="146"/>
      <c r="E26" s="144"/>
      <c r="F26" s="100">
        <v>61600</v>
      </c>
      <c r="G26" s="144">
        <f t="shared" si="0"/>
        <v>439032</v>
      </c>
      <c r="H26" s="146" t="s">
        <v>66</v>
      </c>
      <c r="I26" s="146"/>
      <c r="J26" s="146"/>
      <c r="K26" s="146"/>
      <c r="L26" s="146"/>
      <c r="M26" s="146"/>
      <c r="N26" s="146"/>
      <c r="Q26" s="207"/>
      <c r="R26" s="207"/>
      <c r="S26" s="207"/>
    </row>
    <row r="27" spans="1:19" s="1" customFormat="1">
      <c r="A27" s="326">
        <v>44231</v>
      </c>
      <c r="B27" s="146" t="s">
        <v>134</v>
      </c>
      <c r="C27" s="146" t="s">
        <v>131</v>
      </c>
      <c r="D27" s="146"/>
      <c r="E27" s="144"/>
      <c r="F27" s="100">
        <v>199100</v>
      </c>
      <c r="G27" s="144">
        <f t="shared" si="0"/>
        <v>239932</v>
      </c>
      <c r="H27" s="146" t="s">
        <v>66</v>
      </c>
      <c r="I27" s="146"/>
      <c r="J27" s="146"/>
      <c r="K27" s="146"/>
      <c r="L27" s="146"/>
      <c r="M27" s="146"/>
      <c r="N27" s="146"/>
      <c r="Q27" s="207"/>
      <c r="R27" s="207"/>
      <c r="S27" s="207"/>
    </row>
    <row r="28" spans="1:19" s="1" customFormat="1">
      <c r="A28" s="326">
        <v>44231</v>
      </c>
      <c r="B28" s="146" t="s">
        <v>244</v>
      </c>
      <c r="C28" s="146" t="s">
        <v>68</v>
      </c>
      <c r="D28" s="146" t="s">
        <v>18</v>
      </c>
      <c r="E28" s="144"/>
      <c r="F28" s="100">
        <f>1850+5975</f>
        <v>7825</v>
      </c>
      <c r="G28" s="144">
        <f t="shared" si="0"/>
        <v>232107</v>
      </c>
      <c r="H28" s="146" t="s">
        <v>66</v>
      </c>
      <c r="I28" s="146"/>
      <c r="J28" s="146"/>
      <c r="K28" s="146"/>
      <c r="L28" s="146"/>
      <c r="M28" s="146"/>
      <c r="N28" s="146"/>
      <c r="Q28" s="207"/>
      <c r="R28" s="207"/>
      <c r="S28" s="207"/>
    </row>
    <row r="29" spans="1:19" s="1" customFormat="1">
      <c r="A29" s="326">
        <v>44231</v>
      </c>
      <c r="B29" s="146" t="s">
        <v>248</v>
      </c>
      <c r="C29" s="146" t="s">
        <v>249</v>
      </c>
      <c r="D29" s="149" t="s">
        <v>18</v>
      </c>
      <c r="E29" s="100"/>
      <c r="F29" s="100">
        <v>6800</v>
      </c>
      <c r="G29" s="144">
        <f t="shared" si="0"/>
        <v>225307</v>
      </c>
      <c r="H29" s="146" t="s">
        <v>66</v>
      </c>
      <c r="I29" s="146"/>
      <c r="J29" s="146"/>
      <c r="K29" s="146"/>
      <c r="L29" s="146"/>
      <c r="M29" s="146"/>
      <c r="N29" s="146"/>
      <c r="Q29" s="207"/>
      <c r="R29" s="207"/>
      <c r="S29" s="207"/>
    </row>
    <row r="30" spans="1:19" s="1" customFormat="1">
      <c r="A30" s="326">
        <v>44231</v>
      </c>
      <c r="B30" s="146" t="s">
        <v>250</v>
      </c>
      <c r="C30" s="146" t="s">
        <v>17</v>
      </c>
      <c r="D30" s="146" t="s">
        <v>18</v>
      </c>
      <c r="E30" s="144"/>
      <c r="F30" s="100">
        <v>22000</v>
      </c>
      <c r="G30" s="144">
        <f t="shared" si="0"/>
        <v>203307</v>
      </c>
      <c r="H30" s="146" t="s">
        <v>66</v>
      </c>
      <c r="I30" s="146"/>
      <c r="J30" s="146"/>
      <c r="K30" s="146"/>
      <c r="L30" s="146"/>
      <c r="M30" s="146"/>
      <c r="N30" s="146"/>
      <c r="Q30" s="207"/>
      <c r="R30" s="207"/>
      <c r="S30" s="207"/>
    </row>
    <row r="31" spans="1:19" s="1" customFormat="1">
      <c r="A31" s="326">
        <v>44232</v>
      </c>
      <c r="B31" s="146" t="s">
        <v>251</v>
      </c>
      <c r="C31" s="146" t="s">
        <v>17</v>
      </c>
      <c r="D31" s="146" t="s">
        <v>18</v>
      </c>
      <c r="E31" s="144"/>
      <c r="F31" s="100">
        <v>22400</v>
      </c>
      <c r="G31" s="144">
        <f t="shared" si="0"/>
        <v>180907</v>
      </c>
      <c r="H31" s="146" t="s">
        <v>66</v>
      </c>
      <c r="I31" s="146"/>
      <c r="J31" s="146"/>
      <c r="K31" s="146"/>
      <c r="L31" s="146"/>
      <c r="M31" s="146"/>
      <c r="N31" s="146"/>
      <c r="Q31" s="207"/>
      <c r="R31" s="207"/>
      <c r="S31" s="207"/>
    </row>
    <row r="32" spans="1:19" s="1" customFormat="1">
      <c r="A32" s="326">
        <v>44232</v>
      </c>
      <c r="B32" s="146" t="s">
        <v>76</v>
      </c>
      <c r="C32" s="146" t="s">
        <v>131</v>
      </c>
      <c r="D32" s="146"/>
      <c r="E32" s="144"/>
      <c r="F32" s="100">
        <v>10000</v>
      </c>
      <c r="G32" s="144">
        <f t="shared" si="0"/>
        <v>170907</v>
      </c>
      <c r="H32" s="146" t="s">
        <v>66</v>
      </c>
      <c r="I32" s="146"/>
      <c r="J32" s="146"/>
      <c r="K32" s="146"/>
      <c r="L32" s="146"/>
      <c r="M32" s="146"/>
      <c r="N32" s="146"/>
      <c r="Q32" s="207"/>
      <c r="R32" s="207"/>
      <c r="S32" s="207"/>
    </row>
    <row r="33" spans="1:19" s="1" customFormat="1">
      <c r="A33" s="326">
        <v>44232</v>
      </c>
      <c r="B33" s="146" t="s">
        <v>102</v>
      </c>
      <c r="C33" s="146" t="s">
        <v>131</v>
      </c>
      <c r="D33" s="146"/>
      <c r="E33" s="144"/>
      <c r="F33" s="100">
        <v>70000</v>
      </c>
      <c r="G33" s="144">
        <f t="shared" si="0"/>
        <v>100907</v>
      </c>
      <c r="H33" s="146" t="s">
        <v>66</v>
      </c>
      <c r="I33" s="146"/>
      <c r="J33" s="146"/>
      <c r="K33" s="146"/>
      <c r="L33" s="146"/>
      <c r="M33" s="146"/>
      <c r="N33" s="146"/>
      <c r="O33" s="145"/>
      <c r="Q33" s="207"/>
      <c r="R33" s="207"/>
      <c r="S33" s="207"/>
    </row>
    <row r="34" spans="1:19" s="1" customFormat="1">
      <c r="A34" s="326">
        <v>44232</v>
      </c>
      <c r="B34" s="146" t="s">
        <v>179</v>
      </c>
      <c r="C34" s="146" t="s">
        <v>131</v>
      </c>
      <c r="D34" s="146"/>
      <c r="E34" s="144"/>
      <c r="F34" s="100">
        <v>60000</v>
      </c>
      <c r="G34" s="144">
        <f t="shared" si="0"/>
        <v>40907</v>
      </c>
      <c r="H34" s="146" t="s">
        <v>66</v>
      </c>
      <c r="I34" s="146"/>
      <c r="J34" s="146"/>
      <c r="K34" s="146"/>
      <c r="L34" s="146"/>
      <c r="M34" s="146"/>
      <c r="N34" s="146"/>
      <c r="O34" s="145"/>
      <c r="Q34" s="207"/>
      <c r="R34" s="207"/>
      <c r="S34" s="207"/>
    </row>
    <row r="35" spans="1:19" s="1" customFormat="1">
      <c r="A35" s="326">
        <v>44232</v>
      </c>
      <c r="B35" s="146" t="s">
        <v>252</v>
      </c>
      <c r="C35" s="146" t="s">
        <v>68</v>
      </c>
      <c r="D35" s="146" t="s">
        <v>18</v>
      </c>
      <c r="E35" s="144"/>
      <c r="F35" s="100">
        <f>60000*0.03</f>
        <v>1800</v>
      </c>
      <c r="G35" s="144">
        <f t="shared" si="0"/>
        <v>39107</v>
      </c>
      <c r="H35" s="146" t="s">
        <v>66</v>
      </c>
      <c r="I35" s="146"/>
      <c r="J35" s="146"/>
      <c r="K35" s="146"/>
      <c r="L35" s="146"/>
      <c r="M35" s="146"/>
      <c r="N35" s="146"/>
      <c r="O35" s="145"/>
      <c r="Q35" s="207"/>
      <c r="R35" s="207"/>
      <c r="S35" s="207"/>
    </row>
    <row r="36" spans="1:19" s="1" customFormat="1">
      <c r="A36" s="326">
        <v>44232</v>
      </c>
      <c r="B36" s="146" t="s">
        <v>75</v>
      </c>
      <c r="C36" s="146" t="s">
        <v>131</v>
      </c>
      <c r="D36" s="146"/>
      <c r="E36" s="144"/>
      <c r="F36" s="100">
        <v>10000</v>
      </c>
      <c r="G36" s="144">
        <f t="shared" si="0"/>
        <v>29107</v>
      </c>
      <c r="H36" s="146" t="s">
        <v>66</v>
      </c>
      <c r="I36" s="146"/>
      <c r="J36" s="146"/>
      <c r="K36" s="146"/>
      <c r="L36" s="146"/>
      <c r="M36" s="146"/>
      <c r="N36" s="146"/>
      <c r="Q36" s="207"/>
      <c r="R36" s="207"/>
      <c r="S36" s="207"/>
    </row>
    <row r="37" spans="1:19" s="209" customFormat="1">
      <c r="A37" s="326">
        <v>44235</v>
      </c>
      <c r="B37" s="146" t="s">
        <v>60</v>
      </c>
      <c r="C37" s="146" t="s">
        <v>131</v>
      </c>
      <c r="D37" s="146"/>
      <c r="E37" s="144">
        <v>1000000</v>
      </c>
      <c r="F37" s="100"/>
      <c r="G37" s="144">
        <f t="shared" si="0"/>
        <v>1029107</v>
      </c>
      <c r="H37" s="146" t="s">
        <v>66</v>
      </c>
      <c r="I37" s="146"/>
      <c r="J37" s="146"/>
      <c r="K37" s="146"/>
      <c r="L37" s="146"/>
      <c r="M37" s="146"/>
      <c r="N37" s="146"/>
      <c r="Q37" s="210"/>
      <c r="R37" s="210"/>
      <c r="S37" s="210"/>
    </row>
    <row r="38" spans="1:19" s="1" customFormat="1" ht="15.75">
      <c r="A38" s="326">
        <v>44235</v>
      </c>
      <c r="B38" s="146" t="s">
        <v>253</v>
      </c>
      <c r="C38" s="332" t="s">
        <v>147</v>
      </c>
      <c r="D38" s="146" t="s">
        <v>208</v>
      </c>
      <c r="E38" s="144"/>
      <c r="F38" s="100">
        <v>60000</v>
      </c>
      <c r="G38" s="144">
        <f t="shared" si="0"/>
        <v>969107</v>
      </c>
      <c r="H38" s="146" t="s">
        <v>66</v>
      </c>
      <c r="I38" s="146"/>
      <c r="J38" s="146"/>
      <c r="K38" s="146"/>
      <c r="L38" s="146"/>
      <c r="M38" s="146"/>
      <c r="N38" s="146"/>
      <c r="Q38" s="207"/>
      <c r="R38" s="207"/>
      <c r="S38" s="207"/>
    </row>
    <row r="39" spans="1:19" s="1" customFormat="1">
      <c r="A39" s="326">
        <v>44239</v>
      </c>
      <c r="B39" s="146" t="s">
        <v>254</v>
      </c>
      <c r="C39" s="146" t="s">
        <v>78</v>
      </c>
      <c r="D39" s="146" t="s">
        <v>208</v>
      </c>
      <c r="E39" s="144"/>
      <c r="F39" s="100">
        <v>3000</v>
      </c>
      <c r="G39" s="144">
        <f t="shared" si="0"/>
        <v>966107</v>
      </c>
      <c r="H39" s="146" t="s">
        <v>66</v>
      </c>
      <c r="I39" s="146"/>
      <c r="J39" s="146"/>
      <c r="K39" s="146"/>
      <c r="L39" s="146"/>
      <c r="M39" s="146"/>
      <c r="N39" s="146"/>
      <c r="Q39" s="207"/>
      <c r="R39" s="207"/>
      <c r="S39" s="207"/>
    </row>
    <row r="40" spans="1:19" s="1" customFormat="1">
      <c r="A40" s="326">
        <v>44239</v>
      </c>
      <c r="B40" s="146" t="s">
        <v>255</v>
      </c>
      <c r="C40" s="146" t="s">
        <v>17</v>
      </c>
      <c r="D40" s="146" t="s">
        <v>208</v>
      </c>
      <c r="E40" s="144"/>
      <c r="F40" s="100">
        <v>20000</v>
      </c>
      <c r="G40" s="144">
        <f t="shared" si="0"/>
        <v>946107</v>
      </c>
      <c r="H40" s="146" t="s">
        <v>66</v>
      </c>
      <c r="I40" s="146"/>
      <c r="J40" s="146"/>
      <c r="K40" s="146"/>
      <c r="L40" s="146"/>
      <c r="M40" s="146"/>
      <c r="N40" s="146"/>
      <c r="Q40" s="207"/>
      <c r="R40" s="207"/>
      <c r="S40" s="207"/>
    </row>
    <row r="41" spans="1:19" s="1" customFormat="1">
      <c r="A41" s="326">
        <v>44235</v>
      </c>
      <c r="B41" s="146" t="s">
        <v>256</v>
      </c>
      <c r="C41" s="146" t="s">
        <v>68</v>
      </c>
      <c r="D41" s="146" t="s">
        <v>18</v>
      </c>
      <c r="E41" s="144"/>
      <c r="F41" s="100">
        <v>4560</v>
      </c>
      <c r="G41" s="144">
        <f t="shared" si="0"/>
        <v>941547</v>
      </c>
      <c r="H41" s="146" t="s">
        <v>66</v>
      </c>
      <c r="I41" s="146"/>
      <c r="J41" s="146"/>
      <c r="K41" s="146"/>
      <c r="L41" s="146"/>
      <c r="M41" s="146"/>
      <c r="N41" s="146"/>
      <c r="Q41" s="207"/>
      <c r="R41" s="207"/>
      <c r="S41" s="207"/>
    </row>
    <row r="42" spans="1:19" s="1" customFormat="1">
      <c r="A42" s="326">
        <v>44235</v>
      </c>
      <c r="B42" s="146" t="s">
        <v>134</v>
      </c>
      <c r="C42" s="146" t="s">
        <v>131</v>
      </c>
      <c r="D42" s="149"/>
      <c r="E42" s="144"/>
      <c r="F42" s="100">
        <v>90200</v>
      </c>
      <c r="G42" s="144">
        <f t="shared" si="0"/>
        <v>851347</v>
      </c>
      <c r="H42" s="146" t="s">
        <v>66</v>
      </c>
      <c r="I42" s="146"/>
      <c r="J42" s="146"/>
      <c r="K42" s="146"/>
      <c r="L42" s="146"/>
      <c r="M42" s="146"/>
      <c r="N42" s="146"/>
      <c r="Q42" s="207"/>
      <c r="R42" s="207"/>
      <c r="S42" s="207"/>
    </row>
    <row r="43" spans="1:19" s="1" customFormat="1">
      <c r="A43" s="326">
        <v>44235</v>
      </c>
      <c r="B43" s="146" t="s">
        <v>83</v>
      </c>
      <c r="C43" s="146" t="s">
        <v>131</v>
      </c>
      <c r="D43" s="146"/>
      <c r="E43" s="144"/>
      <c r="F43" s="100">
        <v>61600</v>
      </c>
      <c r="G43" s="144">
        <f t="shared" si="0"/>
        <v>789747</v>
      </c>
      <c r="H43" s="146" t="s">
        <v>66</v>
      </c>
      <c r="I43" s="146"/>
      <c r="J43" s="146"/>
      <c r="K43" s="146"/>
      <c r="L43" s="146"/>
      <c r="M43" s="146"/>
      <c r="N43" s="146"/>
      <c r="Q43" s="207"/>
      <c r="R43" s="207"/>
      <c r="S43" s="207"/>
    </row>
    <row r="44" spans="1:19" s="135" customFormat="1">
      <c r="A44" s="327">
        <v>44235</v>
      </c>
      <c r="B44" s="149" t="s">
        <v>257</v>
      </c>
      <c r="C44" s="149" t="s">
        <v>82</v>
      </c>
      <c r="D44" s="149" t="s">
        <v>258</v>
      </c>
      <c r="E44" s="100"/>
      <c r="F44" s="100">
        <v>10500</v>
      </c>
      <c r="G44" s="144">
        <f t="shared" si="0"/>
        <v>779247</v>
      </c>
      <c r="H44" s="146" t="s">
        <v>66</v>
      </c>
      <c r="I44" s="146"/>
      <c r="J44" s="146"/>
      <c r="K44" s="146"/>
      <c r="L44" s="146"/>
      <c r="M44" s="146"/>
      <c r="N44" s="146"/>
      <c r="Q44" s="208"/>
      <c r="R44" s="208"/>
      <c r="S44" s="207"/>
    </row>
    <row r="45" spans="1:19" s="135" customFormat="1">
      <c r="A45" s="326">
        <v>44236</v>
      </c>
      <c r="B45" s="146" t="s">
        <v>75</v>
      </c>
      <c r="C45" s="146" t="s">
        <v>131</v>
      </c>
      <c r="D45" s="146"/>
      <c r="E45" s="144"/>
      <c r="F45" s="100">
        <v>40000</v>
      </c>
      <c r="G45" s="144">
        <f t="shared" si="0"/>
        <v>739247</v>
      </c>
      <c r="H45" s="146" t="s">
        <v>66</v>
      </c>
      <c r="I45" s="146"/>
      <c r="J45" s="146"/>
      <c r="K45" s="146"/>
      <c r="L45" s="146"/>
      <c r="M45" s="146"/>
      <c r="N45" s="146"/>
      <c r="Q45" s="208"/>
      <c r="R45" s="208"/>
      <c r="S45" s="207"/>
    </row>
    <row r="46" spans="1:19" s="135" customFormat="1">
      <c r="A46" s="326">
        <v>44236</v>
      </c>
      <c r="B46" s="146" t="s">
        <v>102</v>
      </c>
      <c r="C46" s="146" t="s">
        <v>131</v>
      </c>
      <c r="D46" s="146"/>
      <c r="E46" s="144"/>
      <c r="F46" s="100">
        <v>64750</v>
      </c>
      <c r="G46" s="144">
        <f t="shared" si="0"/>
        <v>674497</v>
      </c>
      <c r="H46" s="146" t="s">
        <v>66</v>
      </c>
      <c r="I46" s="146"/>
      <c r="J46" s="146"/>
      <c r="K46" s="146"/>
      <c r="L46" s="146"/>
      <c r="M46" s="146"/>
      <c r="N46" s="146"/>
      <c r="Q46" s="208"/>
      <c r="R46" s="208"/>
      <c r="S46" s="207"/>
    </row>
    <row r="47" spans="1:19" s="135" customFormat="1">
      <c r="A47" s="326">
        <v>44236</v>
      </c>
      <c r="B47" s="146" t="s">
        <v>259</v>
      </c>
      <c r="C47" s="146" t="s">
        <v>68</v>
      </c>
      <c r="D47" s="146" t="s">
        <v>18</v>
      </c>
      <c r="E47" s="144"/>
      <c r="F47" s="100">
        <v>1945</v>
      </c>
      <c r="G47" s="144">
        <f t="shared" si="0"/>
        <v>672552</v>
      </c>
      <c r="H47" s="146" t="s">
        <v>66</v>
      </c>
      <c r="I47" s="146"/>
      <c r="J47" s="146"/>
      <c r="K47" s="146"/>
      <c r="L47" s="146"/>
      <c r="M47" s="146"/>
      <c r="N47" s="146"/>
      <c r="O47" s="147"/>
      <c r="P47" s="534"/>
      <c r="Q47" s="534"/>
      <c r="R47" s="534"/>
      <c r="S47" s="208"/>
    </row>
    <row r="48" spans="1:19" s="135" customFormat="1">
      <c r="A48" s="326">
        <v>44236</v>
      </c>
      <c r="B48" s="146" t="s">
        <v>158</v>
      </c>
      <c r="C48" s="146" t="s">
        <v>131</v>
      </c>
      <c r="D48" s="146"/>
      <c r="E48" s="144"/>
      <c r="F48" s="100">
        <v>10000</v>
      </c>
      <c r="G48" s="144">
        <f t="shared" si="0"/>
        <v>662552</v>
      </c>
      <c r="H48" s="146" t="s">
        <v>66</v>
      </c>
      <c r="I48" s="146"/>
      <c r="J48" s="146"/>
      <c r="K48" s="146"/>
      <c r="L48" s="146"/>
      <c r="M48" s="146"/>
      <c r="N48" s="146"/>
      <c r="Q48" s="208"/>
      <c r="R48" s="208"/>
      <c r="S48" s="208"/>
    </row>
    <row r="49" spans="1:31" s="135" customFormat="1">
      <c r="A49" s="326">
        <v>44236</v>
      </c>
      <c r="B49" s="146" t="s">
        <v>260</v>
      </c>
      <c r="C49" s="146" t="s">
        <v>17</v>
      </c>
      <c r="D49" s="146" t="s">
        <v>18</v>
      </c>
      <c r="E49" s="144"/>
      <c r="F49" s="100">
        <v>2000</v>
      </c>
      <c r="G49" s="144">
        <f t="shared" si="0"/>
        <v>660552</v>
      </c>
      <c r="H49" s="146" t="s">
        <v>66</v>
      </c>
      <c r="I49" s="146"/>
      <c r="J49" s="146"/>
      <c r="K49" s="146"/>
      <c r="L49" s="146"/>
      <c r="M49" s="146"/>
      <c r="N49" s="146"/>
      <c r="Q49" s="208"/>
      <c r="R49" s="208"/>
      <c r="S49" s="208"/>
    </row>
    <row r="50" spans="1:31" s="135" customFormat="1">
      <c r="A50" s="326">
        <v>44236</v>
      </c>
      <c r="B50" s="146" t="s">
        <v>261</v>
      </c>
      <c r="C50" s="146" t="s">
        <v>262</v>
      </c>
      <c r="D50" s="146" t="s">
        <v>18</v>
      </c>
      <c r="E50" s="144"/>
      <c r="F50" s="100">
        <v>10000</v>
      </c>
      <c r="G50" s="144">
        <f t="shared" si="0"/>
        <v>650552</v>
      </c>
      <c r="H50" s="146" t="s">
        <v>66</v>
      </c>
      <c r="I50" s="146"/>
      <c r="J50" s="146"/>
      <c r="K50" s="146"/>
      <c r="L50" s="146"/>
      <c r="M50" s="146"/>
      <c r="N50" s="146"/>
      <c r="Q50" s="208"/>
      <c r="R50" s="208"/>
      <c r="S50" s="208"/>
    </row>
    <row r="51" spans="1:31" s="135" customFormat="1">
      <c r="A51" s="326">
        <v>44236</v>
      </c>
      <c r="B51" s="146" t="s">
        <v>134</v>
      </c>
      <c r="C51" s="146" t="s">
        <v>131</v>
      </c>
      <c r="D51" s="146"/>
      <c r="E51" s="144"/>
      <c r="F51" s="100">
        <v>153800</v>
      </c>
      <c r="G51" s="144">
        <f t="shared" si="0"/>
        <v>496752</v>
      </c>
      <c r="H51" s="146" t="s">
        <v>66</v>
      </c>
      <c r="I51" s="146"/>
      <c r="J51" s="146"/>
      <c r="K51" s="146"/>
      <c r="L51" s="146"/>
      <c r="M51" s="146"/>
      <c r="N51" s="146"/>
      <c r="Q51" s="208"/>
      <c r="R51" s="208"/>
      <c r="S51" s="208"/>
    </row>
    <row r="52" spans="1:31" s="135" customFormat="1">
      <c r="A52" s="326" t="s">
        <v>263</v>
      </c>
      <c r="B52" s="146" t="s">
        <v>264</v>
      </c>
      <c r="C52" s="146" t="s">
        <v>68</v>
      </c>
      <c r="D52" s="146" t="s">
        <v>18</v>
      </c>
      <c r="E52" s="144"/>
      <c r="F52" s="100">
        <v>4615</v>
      </c>
      <c r="G52" s="144">
        <f t="shared" si="0"/>
        <v>492137</v>
      </c>
      <c r="H52" s="146" t="s">
        <v>66</v>
      </c>
      <c r="I52" s="146"/>
      <c r="J52" s="146"/>
      <c r="K52" s="146"/>
      <c r="L52" s="146"/>
      <c r="M52" s="146"/>
      <c r="N52" s="146"/>
      <c r="Q52" s="208"/>
      <c r="R52" s="208"/>
      <c r="S52" s="208"/>
    </row>
    <row r="53" spans="1:31" s="135" customFormat="1">
      <c r="A53" s="326">
        <v>44238</v>
      </c>
      <c r="B53" s="146" t="s">
        <v>178</v>
      </c>
      <c r="C53" s="146" t="s">
        <v>131</v>
      </c>
      <c r="D53" s="146"/>
      <c r="E53" s="144"/>
      <c r="F53" s="100">
        <v>174900</v>
      </c>
      <c r="G53" s="144">
        <f t="shared" si="0"/>
        <v>317237</v>
      </c>
      <c r="H53" s="146" t="s">
        <v>66</v>
      </c>
      <c r="I53" s="430"/>
      <c r="J53" s="146"/>
      <c r="K53" s="146"/>
      <c r="L53" s="146"/>
      <c r="M53" s="146"/>
      <c r="N53" s="146"/>
      <c r="Q53" s="208"/>
      <c r="R53" s="208"/>
      <c r="S53" s="208"/>
      <c r="Z53" s="137">
        <v>44188</v>
      </c>
      <c r="AA53" s="142" t="s">
        <v>193</v>
      </c>
      <c r="AB53" s="143" t="s">
        <v>15</v>
      </c>
      <c r="AC53" s="143" t="s">
        <v>16</v>
      </c>
      <c r="AD53" s="148"/>
      <c r="AE53" s="211">
        <v>882</v>
      </c>
    </row>
    <row r="54" spans="1:31" s="135" customFormat="1">
      <c r="A54" s="326">
        <v>44238</v>
      </c>
      <c r="B54" s="146" t="s">
        <v>265</v>
      </c>
      <c r="C54" s="146" t="s">
        <v>68</v>
      </c>
      <c r="D54" s="146" t="s">
        <v>18</v>
      </c>
      <c r="E54" s="144"/>
      <c r="F54" s="100">
        <v>5250</v>
      </c>
      <c r="G54" s="144">
        <f t="shared" si="0"/>
        <v>311987</v>
      </c>
      <c r="H54" s="146" t="s">
        <v>66</v>
      </c>
      <c r="I54" s="430"/>
      <c r="J54" s="146"/>
      <c r="K54" s="146"/>
      <c r="L54" s="146"/>
      <c r="M54" s="146"/>
      <c r="N54" s="146"/>
      <c r="Q54" s="208"/>
      <c r="R54" s="208"/>
      <c r="S54" s="208"/>
    </row>
    <row r="55" spans="1:31" s="135" customFormat="1">
      <c r="A55" s="326">
        <v>44238</v>
      </c>
      <c r="B55" s="146" t="s">
        <v>266</v>
      </c>
      <c r="C55" s="288" t="s">
        <v>82</v>
      </c>
      <c r="D55" s="146" t="s">
        <v>258</v>
      </c>
      <c r="E55" s="144"/>
      <c r="F55" s="100">
        <v>19000</v>
      </c>
      <c r="G55" s="144">
        <f t="shared" si="0"/>
        <v>292987</v>
      </c>
      <c r="H55" s="146" t="s">
        <v>66</v>
      </c>
      <c r="I55" s="316"/>
      <c r="J55" s="146"/>
      <c r="K55" s="146"/>
      <c r="L55" s="146"/>
      <c r="M55" s="146"/>
      <c r="N55" s="146"/>
      <c r="Q55" s="208"/>
      <c r="R55" s="208"/>
      <c r="S55" s="208"/>
    </row>
    <row r="56" spans="1:31" s="135" customFormat="1">
      <c r="A56" s="326">
        <v>44238</v>
      </c>
      <c r="B56" s="146" t="s">
        <v>60</v>
      </c>
      <c r="C56" s="146" t="s">
        <v>131</v>
      </c>
      <c r="D56" s="146"/>
      <c r="E56" s="144">
        <v>1000000</v>
      </c>
      <c r="F56" s="100"/>
      <c r="G56" s="144">
        <f t="shared" si="0"/>
        <v>1292987</v>
      </c>
      <c r="H56" s="146" t="s">
        <v>66</v>
      </c>
      <c r="I56" s="316"/>
      <c r="J56" s="146"/>
      <c r="K56" s="146"/>
      <c r="L56" s="146"/>
      <c r="M56" s="146"/>
      <c r="N56" s="146"/>
      <c r="Q56" s="208"/>
      <c r="R56" s="208"/>
      <c r="S56" s="208"/>
    </row>
    <row r="57" spans="1:31" s="135" customFormat="1">
      <c r="A57" s="326">
        <v>44239</v>
      </c>
      <c r="B57" s="146" t="s">
        <v>267</v>
      </c>
      <c r="C57" s="146" t="s">
        <v>15</v>
      </c>
      <c r="D57" s="146" t="s">
        <v>65</v>
      </c>
      <c r="E57" s="431"/>
      <c r="F57" s="100">
        <v>10500</v>
      </c>
      <c r="G57" s="144">
        <f t="shared" si="0"/>
        <v>1282487</v>
      </c>
      <c r="H57" s="146" t="s">
        <v>66</v>
      </c>
      <c r="I57" s="316"/>
      <c r="J57" s="146"/>
      <c r="K57" s="146"/>
      <c r="L57" s="146"/>
      <c r="M57" s="146"/>
      <c r="N57" s="146"/>
      <c r="O57" s="147"/>
      <c r="Q57" s="208"/>
      <c r="R57" s="208"/>
      <c r="S57" s="208"/>
    </row>
    <row r="58" spans="1:31" s="135" customFormat="1">
      <c r="A58" s="326">
        <v>44239</v>
      </c>
      <c r="B58" s="146" t="s">
        <v>268</v>
      </c>
      <c r="C58" s="146" t="s">
        <v>15</v>
      </c>
      <c r="D58" s="146" t="s">
        <v>31</v>
      </c>
      <c r="E58" s="431"/>
      <c r="F58" s="100">
        <v>10500</v>
      </c>
      <c r="G58" s="144">
        <f t="shared" si="0"/>
        <v>1271987</v>
      </c>
      <c r="H58" s="146" t="s">
        <v>66</v>
      </c>
      <c r="I58" s="316"/>
      <c r="J58" s="146"/>
      <c r="K58" s="146"/>
      <c r="L58" s="146"/>
      <c r="M58" s="146"/>
      <c r="N58" s="146"/>
      <c r="O58" s="147"/>
      <c r="Q58" s="208"/>
      <c r="R58" s="208"/>
      <c r="S58" s="208"/>
    </row>
    <row r="59" spans="1:31" s="135" customFormat="1">
      <c r="A59" s="326">
        <v>44239</v>
      </c>
      <c r="B59" s="146" t="s">
        <v>269</v>
      </c>
      <c r="C59" s="146" t="s">
        <v>15</v>
      </c>
      <c r="D59" s="146" t="s">
        <v>16</v>
      </c>
      <c r="E59" s="431"/>
      <c r="F59" s="100">
        <v>31500</v>
      </c>
      <c r="G59" s="144">
        <f t="shared" si="0"/>
        <v>1240487</v>
      </c>
      <c r="H59" s="146" t="s">
        <v>66</v>
      </c>
      <c r="I59" s="316"/>
      <c r="J59" s="146"/>
      <c r="K59" s="146"/>
      <c r="L59" s="146"/>
      <c r="M59" s="146"/>
      <c r="N59" s="146"/>
      <c r="O59" s="147"/>
      <c r="Q59" s="208"/>
      <c r="R59" s="208"/>
      <c r="S59" s="208"/>
    </row>
    <row r="60" spans="1:31" s="135" customFormat="1">
      <c r="A60" s="326">
        <v>44239</v>
      </c>
      <c r="B60" s="146" t="s">
        <v>270</v>
      </c>
      <c r="C60" s="146" t="s">
        <v>15</v>
      </c>
      <c r="D60" s="146" t="s">
        <v>19</v>
      </c>
      <c r="E60" s="431"/>
      <c r="F60" s="100">
        <v>31500</v>
      </c>
      <c r="G60" s="144">
        <f t="shared" si="0"/>
        <v>1208987</v>
      </c>
      <c r="H60" s="146" t="s">
        <v>66</v>
      </c>
      <c r="I60" s="316"/>
      <c r="J60" s="146"/>
      <c r="K60" s="146"/>
      <c r="L60" s="146"/>
      <c r="M60" s="146"/>
      <c r="N60" s="146"/>
      <c r="O60" s="147"/>
      <c r="Q60" s="208"/>
      <c r="R60" s="208"/>
      <c r="S60" s="208"/>
    </row>
    <row r="61" spans="1:31" s="135" customFormat="1">
      <c r="A61" s="326">
        <v>44239</v>
      </c>
      <c r="B61" s="146" t="s">
        <v>158</v>
      </c>
      <c r="C61" s="146" t="s">
        <v>131</v>
      </c>
      <c r="D61" s="146"/>
      <c r="E61" s="431"/>
      <c r="F61" s="100">
        <v>10000</v>
      </c>
      <c r="G61" s="144">
        <f t="shared" si="0"/>
        <v>1198987</v>
      </c>
      <c r="H61" s="146" t="s">
        <v>66</v>
      </c>
      <c r="I61" s="316"/>
      <c r="J61" s="146"/>
      <c r="K61" s="146"/>
      <c r="L61" s="146"/>
      <c r="M61" s="146"/>
      <c r="N61" s="146"/>
      <c r="O61" s="147"/>
      <c r="Q61" s="208"/>
      <c r="R61" s="208"/>
      <c r="S61" s="208"/>
    </row>
    <row r="62" spans="1:31" s="135" customFormat="1">
      <c r="A62" s="326">
        <v>44239</v>
      </c>
      <c r="B62" s="146" t="s">
        <v>133</v>
      </c>
      <c r="C62" s="146" t="s">
        <v>131</v>
      </c>
      <c r="D62" s="146"/>
      <c r="E62" s="431"/>
      <c r="F62" s="100">
        <v>10000</v>
      </c>
      <c r="G62" s="144">
        <f t="shared" si="0"/>
        <v>1188987</v>
      </c>
      <c r="H62" s="146" t="s">
        <v>66</v>
      </c>
      <c r="I62" s="316"/>
      <c r="J62" s="146"/>
      <c r="K62" s="146"/>
      <c r="L62" s="146"/>
      <c r="M62" s="146"/>
      <c r="N62" s="146"/>
      <c r="Q62" s="208"/>
      <c r="R62" s="208"/>
      <c r="S62" s="208"/>
    </row>
    <row r="63" spans="1:31" s="135" customFormat="1">
      <c r="A63" s="326">
        <v>44239</v>
      </c>
      <c r="B63" s="146" t="s">
        <v>271</v>
      </c>
      <c r="C63" s="146" t="s">
        <v>64</v>
      </c>
      <c r="D63" s="149" t="s">
        <v>16</v>
      </c>
      <c r="E63" s="431"/>
      <c r="F63" s="100">
        <v>89000</v>
      </c>
      <c r="G63" s="144">
        <f t="shared" si="0"/>
        <v>1099987</v>
      </c>
      <c r="H63" s="146" t="s">
        <v>66</v>
      </c>
      <c r="I63" s="316"/>
      <c r="J63" s="146"/>
      <c r="K63" s="146"/>
      <c r="L63" s="146"/>
      <c r="M63" s="146"/>
      <c r="N63" s="146"/>
      <c r="Q63" s="208"/>
      <c r="R63" s="208"/>
      <c r="S63" s="208"/>
    </row>
    <row r="64" spans="1:31" s="135" customFormat="1">
      <c r="A64" s="326">
        <v>44239</v>
      </c>
      <c r="B64" s="146" t="s">
        <v>83</v>
      </c>
      <c r="C64" s="146" t="s">
        <v>131</v>
      </c>
      <c r="D64" s="146"/>
      <c r="E64" s="431"/>
      <c r="F64" s="100">
        <v>183000</v>
      </c>
      <c r="G64" s="144">
        <f t="shared" si="0"/>
        <v>916987</v>
      </c>
      <c r="H64" s="146" t="s">
        <v>66</v>
      </c>
      <c r="I64" s="316"/>
      <c r="J64" s="146"/>
      <c r="K64" s="146"/>
      <c r="L64" s="146"/>
      <c r="M64" s="146"/>
      <c r="N64" s="146"/>
      <c r="Q64" s="208"/>
      <c r="R64" s="208"/>
      <c r="S64" s="208"/>
    </row>
    <row r="65" spans="1:27" s="135" customFormat="1">
      <c r="A65" s="330">
        <v>44239</v>
      </c>
      <c r="B65" s="146" t="s">
        <v>134</v>
      </c>
      <c r="C65" s="146" t="s">
        <v>131</v>
      </c>
      <c r="D65" s="289"/>
      <c r="E65" s="290"/>
      <c r="F65" s="432">
        <v>45000</v>
      </c>
      <c r="G65" s="144">
        <f t="shared" si="0"/>
        <v>871987</v>
      </c>
      <c r="H65" s="146" t="s">
        <v>66</v>
      </c>
      <c r="I65" s="316"/>
      <c r="J65" s="146"/>
      <c r="K65" s="146"/>
      <c r="L65" s="146"/>
      <c r="M65" s="146"/>
      <c r="N65" s="146"/>
      <c r="O65" s="147"/>
      <c r="Q65" s="208"/>
      <c r="R65" s="208"/>
      <c r="S65" s="208"/>
    </row>
    <row r="66" spans="1:27" s="135" customFormat="1">
      <c r="A66" s="326">
        <v>44239</v>
      </c>
      <c r="B66" s="146" t="s">
        <v>256</v>
      </c>
      <c r="C66" s="146" t="s">
        <v>68</v>
      </c>
      <c r="D66" s="146" t="s">
        <v>18</v>
      </c>
      <c r="E66" s="431"/>
      <c r="F66" s="100">
        <f>5490+1350</f>
        <v>6840</v>
      </c>
      <c r="G66" s="144">
        <f t="shared" si="0"/>
        <v>865147</v>
      </c>
      <c r="H66" s="146" t="s">
        <v>66</v>
      </c>
      <c r="I66" s="316"/>
      <c r="J66" s="146"/>
      <c r="K66" s="146"/>
      <c r="L66" s="146"/>
      <c r="M66" s="146"/>
      <c r="N66" s="146"/>
      <c r="O66" s="147"/>
      <c r="Q66" s="208"/>
      <c r="R66" s="208"/>
      <c r="S66" s="208"/>
    </row>
    <row r="67" spans="1:27" s="150" customFormat="1">
      <c r="A67" s="326">
        <v>44239</v>
      </c>
      <c r="B67" s="146" t="s">
        <v>102</v>
      </c>
      <c r="C67" s="146" t="s">
        <v>131</v>
      </c>
      <c r="D67" s="146"/>
      <c r="E67" s="144"/>
      <c r="F67" s="100">
        <v>20000</v>
      </c>
      <c r="G67" s="144">
        <f t="shared" si="0"/>
        <v>845147</v>
      </c>
      <c r="H67" s="146" t="s">
        <v>66</v>
      </c>
      <c r="I67" s="316"/>
      <c r="J67" s="146"/>
      <c r="K67" s="146"/>
      <c r="L67" s="146"/>
      <c r="M67" s="146"/>
      <c r="N67" s="146"/>
      <c r="O67" s="135"/>
      <c r="P67" s="135"/>
      <c r="Q67" s="208"/>
      <c r="R67" s="208"/>
      <c r="S67" s="208"/>
      <c r="T67" s="135"/>
      <c r="U67" s="135"/>
      <c r="V67" s="135"/>
      <c r="W67" s="135"/>
      <c r="X67" s="135"/>
      <c r="Y67" s="135"/>
      <c r="Z67" s="135"/>
      <c r="AA67" s="135"/>
    </row>
    <row r="68" spans="1:27" s="150" customFormat="1" ht="15.75">
      <c r="A68" s="326">
        <v>44242</v>
      </c>
      <c r="B68" s="146" t="s">
        <v>272</v>
      </c>
      <c r="C68" s="332" t="s">
        <v>147</v>
      </c>
      <c r="D68" s="146" t="s">
        <v>208</v>
      </c>
      <c r="E68" s="431"/>
      <c r="F68" s="431">
        <v>50000</v>
      </c>
      <c r="G68" s="144">
        <f t="shared" si="0"/>
        <v>795147</v>
      </c>
      <c r="H68" s="146" t="s">
        <v>66</v>
      </c>
      <c r="I68" s="316"/>
      <c r="J68" s="146"/>
      <c r="K68" s="146"/>
      <c r="L68" s="146"/>
      <c r="M68" s="146"/>
      <c r="N68" s="146"/>
      <c r="O68" s="135"/>
      <c r="P68" s="135"/>
      <c r="Q68" s="208"/>
      <c r="R68" s="208"/>
      <c r="S68" s="208"/>
      <c r="T68" s="135"/>
      <c r="U68" s="135"/>
      <c r="V68" s="135"/>
      <c r="W68" s="135"/>
      <c r="X68" s="135"/>
      <c r="Y68" s="135"/>
      <c r="Z68" s="135"/>
      <c r="AA68" s="135"/>
    </row>
    <row r="69" spans="1:27" s="150" customFormat="1">
      <c r="A69" s="326">
        <v>44242</v>
      </c>
      <c r="B69" s="146" t="s">
        <v>273</v>
      </c>
      <c r="C69" s="146" t="s">
        <v>78</v>
      </c>
      <c r="D69" s="146" t="s">
        <v>208</v>
      </c>
      <c r="E69" s="431"/>
      <c r="F69" s="431">
        <v>15000</v>
      </c>
      <c r="G69" s="144">
        <f t="shared" si="0"/>
        <v>780147</v>
      </c>
      <c r="H69" s="146" t="s">
        <v>66</v>
      </c>
      <c r="I69" s="316"/>
      <c r="J69" s="146"/>
      <c r="K69" s="146"/>
      <c r="L69" s="146"/>
      <c r="M69" s="146"/>
      <c r="N69" s="146"/>
      <c r="O69" s="135"/>
      <c r="P69" s="135"/>
      <c r="Q69" s="208"/>
      <c r="R69" s="208"/>
      <c r="S69" s="208"/>
      <c r="T69" s="135"/>
      <c r="U69" s="135"/>
      <c r="V69" s="135"/>
      <c r="W69" s="135"/>
      <c r="X69" s="135"/>
      <c r="Y69" s="135"/>
      <c r="Z69" s="135"/>
      <c r="AA69" s="135"/>
    </row>
    <row r="70" spans="1:27" s="150" customFormat="1">
      <c r="A70" s="326">
        <v>44242</v>
      </c>
      <c r="B70" s="146" t="s">
        <v>274</v>
      </c>
      <c r="C70" s="146" t="s">
        <v>68</v>
      </c>
      <c r="D70" s="146" t="s">
        <v>18</v>
      </c>
      <c r="E70" s="431"/>
      <c r="F70" s="100">
        <v>4950</v>
      </c>
      <c r="G70" s="144">
        <f t="shared" si="0"/>
        <v>775197</v>
      </c>
      <c r="H70" s="146" t="s">
        <v>66</v>
      </c>
      <c r="I70" s="316"/>
      <c r="J70" s="146"/>
      <c r="K70" s="146"/>
      <c r="L70" s="146"/>
      <c r="M70" s="146"/>
      <c r="N70" s="146"/>
      <c r="O70" s="135"/>
      <c r="P70" s="135"/>
      <c r="Q70" s="208"/>
      <c r="R70" s="208"/>
      <c r="S70" s="208"/>
      <c r="T70" s="135"/>
      <c r="U70" s="135"/>
      <c r="V70" s="135"/>
      <c r="W70" s="135"/>
      <c r="X70" s="135"/>
      <c r="Y70" s="135"/>
      <c r="Z70" s="135"/>
      <c r="AA70" s="135"/>
    </row>
    <row r="71" spans="1:27" s="150" customFormat="1">
      <c r="A71" s="326">
        <v>44242</v>
      </c>
      <c r="B71" s="146" t="s">
        <v>178</v>
      </c>
      <c r="C71" s="146" t="s">
        <v>131</v>
      </c>
      <c r="D71" s="146"/>
      <c r="E71" s="431"/>
      <c r="F71" s="100">
        <v>165000</v>
      </c>
      <c r="G71" s="144">
        <f t="shared" si="0"/>
        <v>610197</v>
      </c>
      <c r="H71" s="146" t="s">
        <v>66</v>
      </c>
      <c r="I71" s="316"/>
      <c r="J71" s="146"/>
      <c r="K71" s="146"/>
      <c r="L71" s="146"/>
      <c r="M71" s="146"/>
      <c r="N71" s="146"/>
      <c r="O71" s="135"/>
      <c r="P71" s="135"/>
      <c r="Q71" s="208"/>
      <c r="R71" s="208"/>
      <c r="S71" s="208"/>
      <c r="T71" s="135"/>
      <c r="U71" s="135"/>
      <c r="V71" s="135"/>
      <c r="W71" s="135"/>
      <c r="X71" s="135"/>
      <c r="Y71" s="135"/>
      <c r="Z71" s="135"/>
      <c r="AA71" s="135"/>
    </row>
    <row r="72" spans="1:27" s="150" customFormat="1">
      <c r="A72" s="326">
        <v>44242</v>
      </c>
      <c r="B72" s="146" t="s">
        <v>275</v>
      </c>
      <c r="C72" s="146" t="s">
        <v>17</v>
      </c>
      <c r="D72" s="146" t="s">
        <v>18</v>
      </c>
      <c r="E72" s="431"/>
      <c r="F72" s="100">
        <v>34500</v>
      </c>
      <c r="G72" s="144">
        <f t="shared" si="0"/>
        <v>575697</v>
      </c>
      <c r="H72" s="146" t="s">
        <v>66</v>
      </c>
      <c r="I72" s="316"/>
      <c r="J72" s="146"/>
      <c r="K72" s="146"/>
      <c r="L72" s="146"/>
      <c r="M72" s="146"/>
      <c r="N72" s="146"/>
      <c r="O72" s="135"/>
      <c r="P72" s="135"/>
      <c r="Q72" s="208"/>
      <c r="R72" s="208"/>
      <c r="S72" s="208"/>
      <c r="T72" s="135"/>
      <c r="U72" s="135"/>
      <c r="V72" s="135"/>
      <c r="W72" s="135"/>
      <c r="X72" s="135"/>
      <c r="Y72" s="135"/>
      <c r="Z72" s="135"/>
      <c r="AA72" s="135"/>
    </row>
    <row r="73" spans="1:27" s="150" customFormat="1">
      <c r="A73" s="326">
        <v>44242</v>
      </c>
      <c r="B73" s="146" t="s">
        <v>76</v>
      </c>
      <c r="C73" s="146" t="s">
        <v>131</v>
      </c>
      <c r="D73" s="146"/>
      <c r="E73" s="144"/>
      <c r="F73" s="100">
        <v>10000</v>
      </c>
      <c r="G73" s="144">
        <f t="shared" si="0"/>
        <v>565697</v>
      </c>
      <c r="H73" s="146" t="s">
        <v>66</v>
      </c>
      <c r="I73" s="316"/>
      <c r="J73" s="146"/>
      <c r="K73" s="146"/>
      <c r="L73" s="146"/>
      <c r="M73" s="146"/>
      <c r="N73" s="146"/>
      <c r="O73" s="135"/>
      <c r="P73" s="135"/>
      <c r="Q73" s="208"/>
      <c r="R73" s="208"/>
      <c r="S73" s="208"/>
      <c r="T73" s="135"/>
      <c r="U73" s="135"/>
      <c r="V73" s="135"/>
      <c r="W73" s="135"/>
      <c r="X73" s="135"/>
      <c r="Y73" s="135"/>
      <c r="Z73" s="135"/>
      <c r="AA73" s="135"/>
    </row>
    <row r="74" spans="1:27" s="150" customFormat="1">
      <c r="A74" s="326">
        <v>44242</v>
      </c>
      <c r="B74" s="146" t="s">
        <v>276</v>
      </c>
      <c r="C74" s="146" t="s">
        <v>249</v>
      </c>
      <c r="D74" s="146" t="s">
        <v>18</v>
      </c>
      <c r="E74" s="144"/>
      <c r="F74" s="100">
        <v>2000</v>
      </c>
      <c r="G74" s="144">
        <f t="shared" si="0"/>
        <v>563697</v>
      </c>
      <c r="H74" s="146" t="s">
        <v>66</v>
      </c>
      <c r="I74" s="316"/>
      <c r="J74" s="146"/>
      <c r="K74" s="146"/>
      <c r="L74" s="146"/>
      <c r="M74" s="146"/>
      <c r="N74" s="146"/>
      <c r="O74" s="135"/>
      <c r="P74" s="135"/>
      <c r="Q74" s="208">
        <f>4500*5</f>
        <v>22500</v>
      </c>
      <c r="R74" s="208"/>
      <c r="S74" s="208"/>
      <c r="T74" s="135"/>
      <c r="U74" s="135"/>
      <c r="V74" s="135"/>
      <c r="W74" s="135"/>
      <c r="X74" s="135"/>
      <c r="Y74" s="135"/>
      <c r="Z74" s="135"/>
      <c r="AA74" s="135"/>
    </row>
    <row r="75" spans="1:27" s="150" customFormat="1">
      <c r="A75" s="326">
        <v>44242</v>
      </c>
      <c r="B75" s="146" t="s">
        <v>179</v>
      </c>
      <c r="C75" s="146" t="s">
        <v>131</v>
      </c>
      <c r="D75" s="146"/>
      <c r="E75" s="144"/>
      <c r="F75" s="100">
        <v>9200</v>
      </c>
      <c r="G75" s="144">
        <f t="shared" si="0"/>
        <v>554497</v>
      </c>
      <c r="H75" s="146" t="s">
        <v>66</v>
      </c>
      <c r="I75" s="316"/>
      <c r="J75" s="146"/>
      <c r="K75" s="146"/>
      <c r="L75" s="146"/>
      <c r="M75" s="146"/>
      <c r="N75" s="146"/>
      <c r="O75" s="135"/>
      <c r="P75" s="135"/>
      <c r="Q75" s="208"/>
      <c r="R75" s="208"/>
      <c r="S75" s="208"/>
      <c r="T75" s="135"/>
      <c r="U75" s="135"/>
      <c r="V75" s="135"/>
      <c r="W75" s="135"/>
      <c r="X75" s="135"/>
      <c r="Y75" s="135"/>
      <c r="Z75" s="135"/>
      <c r="AA75" s="135"/>
    </row>
    <row r="76" spans="1:27" s="150" customFormat="1">
      <c r="A76" s="326">
        <v>44243</v>
      </c>
      <c r="B76" s="146" t="s">
        <v>277</v>
      </c>
      <c r="C76" s="146" t="s">
        <v>249</v>
      </c>
      <c r="D76" s="146" t="s">
        <v>18</v>
      </c>
      <c r="E76" s="144"/>
      <c r="F76" s="100">
        <v>3500</v>
      </c>
      <c r="G76" s="144">
        <f t="shared" si="0"/>
        <v>550997</v>
      </c>
      <c r="H76" s="146" t="s">
        <v>66</v>
      </c>
      <c r="I76" s="316"/>
      <c r="J76" s="146"/>
      <c r="K76" s="146"/>
      <c r="L76" s="146"/>
      <c r="M76" s="146"/>
      <c r="N76" s="146"/>
      <c r="O76" s="135"/>
      <c r="P76" s="135"/>
      <c r="Q76" s="208"/>
      <c r="R76" s="208"/>
      <c r="S76" s="208"/>
      <c r="T76" s="135"/>
      <c r="U76" s="135"/>
      <c r="V76" s="135"/>
      <c r="W76" s="135"/>
      <c r="X76" s="135"/>
      <c r="Y76" s="135"/>
      <c r="Z76" s="135"/>
      <c r="AA76" s="135"/>
    </row>
    <row r="77" spans="1:27" s="150" customFormat="1">
      <c r="A77" s="326">
        <v>44243</v>
      </c>
      <c r="B77" s="146" t="s">
        <v>60</v>
      </c>
      <c r="C77" s="146" t="s">
        <v>131</v>
      </c>
      <c r="D77" s="146"/>
      <c r="E77" s="144">
        <v>1000000</v>
      </c>
      <c r="F77" s="100"/>
      <c r="G77" s="144">
        <f t="shared" si="0"/>
        <v>1550997</v>
      </c>
      <c r="H77" s="146" t="s">
        <v>66</v>
      </c>
      <c r="I77" s="316"/>
      <c r="J77" s="146"/>
      <c r="K77" s="146"/>
      <c r="L77" s="146"/>
      <c r="M77" s="146"/>
      <c r="N77" s="146"/>
      <c r="O77" s="135"/>
      <c r="P77" s="135"/>
      <c r="Q77" s="208"/>
      <c r="R77" s="208"/>
      <c r="S77" s="208"/>
      <c r="T77" s="135"/>
      <c r="U77" s="135"/>
      <c r="V77" s="135"/>
      <c r="W77" s="135"/>
      <c r="X77" s="135"/>
      <c r="Y77" s="135"/>
      <c r="Z77" s="135"/>
      <c r="AA77" s="135"/>
    </row>
    <row r="78" spans="1:27" s="150" customFormat="1">
      <c r="A78" s="326">
        <v>44243</v>
      </c>
      <c r="B78" s="146" t="s">
        <v>278</v>
      </c>
      <c r="C78" s="146" t="s">
        <v>249</v>
      </c>
      <c r="D78" s="146" t="s">
        <v>18</v>
      </c>
      <c r="E78" s="144"/>
      <c r="F78" s="100">
        <v>2000</v>
      </c>
      <c r="G78" s="144">
        <f t="shared" si="0"/>
        <v>1548997</v>
      </c>
      <c r="H78" s="146" t="s">
        <v>66</v>
      </c>
      <c r="I78" s="316"/>
      <c r="J78" s="146"/>
      <c r="K78" s="146"/>
      <c r="L78" s="146"/>
      <c r="M78" s="146"/>
      <c r="N78" s="146"/>
      <c r="O78" s="135"/>
      <c r="P78" s="135"/>
      <c r="Q78" s="208"/>
      <c r="R78" s="208"/>
      <c r="S78" s="208"/>
      <c r="T78" s="135"/>
      <c r="U78" s="135"/>
      <c r="V78" s="135"/>
      <c r="W78" s="135"/>
      <c r="X78" s="135"/>
      <c r="Y78" s="135"/>
      <c r="Z78" s="135"/>
      <c r="AA78" s="135"/>
    </row>
    <row r="79" spans="1:27" s="150" customFormat="1">
      <c r="A79" s="326">
        <v>44244</v>
      </c>
      <c r="B79" s="146" t="s">
        <v>279</v>
      </c>
      <c r="C79" s="146" t="s">
        <v>64</v>
      </c>
      <c r="D79" s="146" t="s">
        <v>16</v>
      </c>
      <c r="E79" s="144"/>
      <c r="F79" s="100">
        <v>84000</v>
      </c>
      <c r="G79" s="144">
        <f t="shared" ref="G79:G135" si="1">+G78+E79-F79</f>
        <v>1464997</v>
      </c>
      <c r="H79" s="146" t="s">
        <v>66</v>
      </c>
      <c r="I79" s="316"/>
      <c r="J79" s="146"/>
      <c r="K79" s="146"/>
      <c r="L79" s="146"/>
      <c r="M79" s="146"/>
      <c r="N79" s="146"/>
      <c r="O79" s="135"/>
      <c r="P79" s="135"/>
      <c r="Q79" s="208"/>
      <c r="R79" s="208"/>
      <c r="S79" s="208"/>
      <c r="T79" s="135"/>
      <c r="U79" s="135"/>
      <c r="V79" s="135"/>
      <c r="W79" s="135"/>
      <c r="X79" s="135"/>
      <c r="Y79" s="135"/>
      <c r="Z79" s="135"/>
      <c r="AA79" s="135"/>
    </row>
    <row r="80" spans="1:27" s="150" customFormat="1">
      <c r="A80" s="326">
        <v>44244</v>
      </c>
      <c r="B80" s="146" t="s">
        <v>133</v>
      </c>
      <c r="C80" s="146" t="s">
        <v>131</v>
      </c>
      <c r="D80" s="146"/>
      <c r="E80" s="144"/>
      <c r="F80" s="100">
        <v>84000</v>
      </c>
      <c r="G80" s="144">
        <f t="shared" si="1"/>
        <v>1380997</v>
      </c>
      <c r="H80" s="146" t="s">
        <v>66</v>
      </c>
      <c r="I80" s="316"/>
      <c r="J80" s="146"/>
      <c r="K80" s="146"/>
      <c r="L80" s="146"/>
      <c r="M80" s="146"/>
      <c r="N80" s="146"/>
      <c r="O80" s="135"/>
      <c r="P80" s="135"/>
      <c r="Q80" s="208"/>
      <c r="R80" s="208"/>
      <c r="S80" s="208"/>
      <c r="T80" s="135"/>
      <c r="U80" s="135"/>
      <c r="V80" s="135"/>
      <c r="W80" s="135"/>
      <c r="X80" s="135"/>
      <c r="Y80" s="135"/>
      <c r="Z80" s="135"/>
      <c r="AA80" s="135"/>
    </row>
    <row r="81" spans="1:27" s="150" customFormat="1">
      <c r="A81" s="326">
        <v>44244</v>
      </c>
      <c r="B81" s="146" t="s">
        <v>178</v>
      </c>
      <c r="C81" s="146" t="s">
        <v>131</v>
      </c>
      <c r="D81" s="146"/>
      <c r="E81" s="144"/>
      <c r="F81" s="144">
        <v>100000</v>
      </c>
      <c r="G81" s="144">
        <f t="shared" si="1"/>
        <v>1280997</v>
      </c>
      <c r="H81" s="146" t="s">
        <v>66</v>
      </c>
      <c r="I81" s="316"/>
      <c r="J81" s="146"/>
      <c r="K81" s="146"/>
      <c r="L81" s="146"/>
      <c r="M81" s="146"/>
      <c r="N81" s="146"/>
      <c r="O81" s="135"/>
      <c r="P81" s="135"/>
      <c r="Q81" s="208"/>
      <c r="R81" s="208"/>
      <c r="S81" s="208"/>
      <c r="T81" s="135"/>
      <c r="U81" s="135"/>
      <c r="V81" s="135"/>
      <c r="W81" s="135"/>
      <c r="X81" s="135"/>
      <c r="Y81" s="135"/>
      <c r="Z81" s="135"/>
      <c r="AA81" s="135"/>
    </row>
    <row r="82" spans="1:27" s="150" customFormat="1">
      <c r="A82" s="326">
        <v>44244</v>
      </c>
      <c r="B82" s="146" t="s">
        <v>265</v>
      </c>
      <c r="C82" s="146" t="s">
        <v>68</v>
      </c>
      <c r="D82" s="149" t="s">
        <v>18</v>
      </c>
      <c r="E82" s="144"/>
      <c r="F82" s="100">
        <v>3000</v>
      </c>
      <c r="G82" s="144">
        <f t="shared" si="1"/>
        <v>1277997</v>
      </c>
      <c r="H82" s="146" t="s">
        <v>66</v>
      </c>
      <c r="I82" s="316"/>
      <c r="J82" s="146"/>
      <c r="K82" s="146"/>
      <c r="L82" s="146"/>
      <c r="M82" s="146"/>
      <c r="N82" s="146"/>
      <c r="O82" s="135"/>
      <c r="P82" s="135"/>
      <c r="Q82" s="208"/>
      <c r="R82" s="208"/>
      <c r="S82" s="208"/>
      <c r="T82" s="135"/>
      <c r="U82" s="135"/>
      <c r="V82" s="135"/>
      <c r="W82" s="135"/>
      <c r="X82" s="135"/>
      <c r="Y82" s="135"/>
      <c r="Z82" s="135"/>
      <c r="AA82" s="135"/>
    </row>
    <row r="83" spans="1:27" s="150" customFormat="1">
      <c r="A83" s="326">
        <v>44244</v>
      </c>
      <c r="B83" s="146" t="s">
        <v>261</v>
      </c>
      <c r="C83" s="146" t="s">
        <v>262</v>
      </c>
      <c r="D83" s="146" t="s">
        <v>208</v>
      </c>
      <c r="E83" s="144"/>
      <c r="F83" s="100">
        <v>5000</v>
      </c>
      <c r="G83" s="144">
        <f t="shared" si="1"/>
        <v>1272997</v>
      </c>
      <c r="H83" s="146" t="s">
        <v>66</v>
      </c>
      <c r="I83" s="316"/>
      <c r="J83" s="146"/>
      <c r="K83" s="146"/>
      <c r="L83" s="146"/>
      <c r="M83" s="146"/>
      <c r="N83" s="146"/>
      <c r="O83" s="135"/>
      <c r="P83" s="135"/>
      <c r="Q83" s="208"/>
      <c r="R83" s="208"/>
      <c r="S83" s="208"/>
      <c r="T83" s="135"/>
      <c r="U83" s="135"/>
      <c r="V83" s="135"/>
      <c r="W83" s="135"/>
      <c r="X83" s="135"/>
      <c r="Y83" s="135"/>
      <c r="Z83" s="135"/>
      <c r="AA83" s="135"/>
    </row>
    <row r="84" spans="1:27" s="150" customFormat="1">
      <c r="A84" s="326">
        <v>44244</v>
      </c>
      <c r="B84" s="146" t="s">
        <v>280</v>
      </c>
      <c r="C84" s="146" t="s">
        <v>17</v>
      </c>
      <c r="D84" s="149" t="s">
        <v>18</v>
      </c>
      <c r="E84" s="144"/>
      <c r="F84" s="100">
        <v>20000</v>
      </c>
      <c r="G84" s="144">
        <f t="shared" si="1"/>
        <v>1252997</v>
      </c>
      <c r="H84" s="146" t="s">
        <v>66</v>
      </c>
      <c r="I84" s="316"/>
      <c r="J84" s="146"/>
      <c r="K84" s="146"/>
      <c r="L84" s="146"/>
      <c r="M84" s="146"/>
      <c r="N84" s="146"/>
      <c r="O84" s="135"/>
      <c r="P84" s="135"/>
      <c r="Q84" s="208"/>
      <c r="R84" s="208"/>
      <c r="S84" s="208"/>
      <c r="T84" s="135"/>
      <c r="U84" s="135"/>
      <c r="V84" s="135"/>
      <c r="W84" s="135"/>
      <c r="X84" s="135"/>
      <c r="Y84" s="135"/>
      <c r="Z84" s="135"/>
      <c r="AA84" s="135"/>
    </row>
    <row r="85" spans="1:27" s="150" customFormat="1">
      <c r="A85" s="326">
        <v>44245</v>
      </c>
      <c r="B85" s="146" t="s">
        <v>281</v>
      </c>
      <c r="C85" s="146" t="s">
        <v>17</v>
      </c>
      <c r="D85" s="146" t="s">
        <v>18</v>
      </c>
      <c r="E85" s="144"/>
      <c r="F85" s="100">
        <v>13500</v>
      </c>
      <c r="G85" s="144">
        <f t="shared" si="1"/>
        <v>1239497</v>
      </c>
      <c r="H85" s="146" t="s">
        <v>66</v>
      </c>
      <c r="I85" s="316"/>
      <c r="J85" s="146"/>
      <c r="K85" s="146"/>
      <c r="L85" s="146"/>
      <c r="M85" s="146"/>
      <c r="N85" s="146"/>
      <c r="O85" s="135"/>
      <c r="P85" s="135"/>
      <c r="Q85" s="208"/>
      <c r="R85" s="208"/>
      <c r="S85" s="208"/>
      <c r="T85" s="135"/>
      <c r="U85" s="135"/>
      <c r="V85" s="135"/>
      <c r="W85" s="135"/>
      <c r="X85" s="135"/>
      <c r="Y85" s="135"/>
      <c r="Z85" s="135"/>
      <c r="AA85" s="135"/>
    </row>
    <row r="86" spans="1:27" s="150" customFormat="1">
      <c r="A86" s="326">
        <v>44245</v>
      </c>
      <c r="B86" s="146" t="s">
        <v>178</v>
      </c>
      <c r="C86" s="146" t="s">
        <v>131</v>
      </c>
      <c r="D86" s="146"/>
      <c r="E86" s="144"/>
      <c r="F86" s="100">
        <v>100000</v>
      </c>
      <c r="G86" s="144">
        <f t="shared" si="1"/>
        <v>1139497</v>
      </c>
      <c r="H86" s="146" t="s">
        <v>66</v>
      </c>
      <c r="I86" s="316"/>
      <c r="J86" s="146"/>
      <c r="K86" s="146"/>
      <c r="L86" s="146"/>
      <c r="M86" s="146"/>
      <c r="N86" s="146"/>
      <c r="O86" s="135"/>
      <c r="P86" s="135"/>
      <c r="Q86" s="208"/>
      <c r="R86" s="208"/>
      <c r="S86" s="208"/>
      <c r="T86" s="135"/>
      <c r="U86" s="135"/>
      <c r="V86" s="135"/>
      <c r="W86" s="135"/>
      <c r="X86" s="135"/>
      <c r="Y86" s="135"/>
      <c r="Z86" s="135"/>
      <c r="AA86" s="135"/>
    </row>
    <row r="87" spans="1:27" s="150" customFormat="1">
      <c r="A87" s="326">
        <v>44245</v>
      </c>
      <c r="B87" s="146" t="s">
        <v>265</v>
      </c>
      <c r="C87" s="146" t="s">
        <v>68</v>
      </c>
      <c r="D87" s="146" t="s">
        <v>18</v>
      </c>
      <c r="E87" s="144"/>
      <c r="F87" s="100">
        <v>3000</v>
      </c>
      <c r="G87" s="144">
        <f t="shared" si="1"/>
        <v>1136497</v>
      </c>
      <c r="H87" s="146" t="s">
        <v>66</v>
      </c>
      <c r="I87" s="316"/>
      <c r="J87" s="146"/>
      <c r="K87" s="146"/>
      <c r="L87" s="146"/>
      <c r="M87" s="146"/>
      <c r="N87" s="146"/>
      <c r="O87" s="135"/>
      <c r="P87" s="135"/>
      <c r="Q87" s="208"/>
      <c r="R87" s="208"/>
      <c r="S87" s="208"/>
      <c r="T87" s="135"/>
      <c r="U87" s="135"/>
      <c r="V87" s="135"/>
      <c r="W87" s="135"/>
      <c r="X87" s="135"/>
      <c r="Y87" s="135"/>
      <c r="Z87" s="135"/>
      <c r="AA87" s="135"/>
    </row>
    <row r="88" spans="1:27" s="150" customFormat="1">
      <c r="A88" s="326">
        <v>44246</v>
      </c>
      <c r="B88" s="146" t="s">
        <v>282</v>
      </c>
      <c r="C88" s="146" t="s">
        <v>26</v>
      </c>
      <c r="D88" s="146" t="s">
        <v>16</v>
      </c>
      <c r="E88" s="144"/>
      <c r="F88" s="100">
        <v>35000</v>
      </c>
      <c r="G88" s="144">
        <f t="shared" si="1"/>
        <v>1101497</v>
      </c>
      <c r="H88" s="146" t="s">
        <v>66</v>
      </c>
      <c r="I88" s="316"/>
      <c r="J88" s="146"/>
      <c r="K88" s="146"/>
      <c r="L88" s="146"/>
      <c r="M88" s="146"/>
      <c r="N88" s="146"/>
      <c r="O88" s="135"/>
      <c r="P88" s="135"/>
      <c r="Q88" s="208"/>
      <c r="R88" s="208"/>
      <c r="S88" s="208"/>
      <c r="T88" s="135"/>
      <c r="U88" s="135"/>
      <c r="V88" s="135"/>
      <c r="W88" s="135"/>
      <c r="X88" s="135"/>
      <c r="Y88" s="135"/>
      <c r="Z88" s="135"/>
      <c r="AA88" s="135"/>
    </row>
    <row r="89" spans="1:27" s="150" customFormat="1">
      <c r="A89" s="326">
        <v>44246</v>
      </c>
      <c r="B89" s="146" t="s">
        <v>283</v>
      </c>
      <c r="C89" s="146" t="s">
        <v>26</v>
      </c>
      <c r="D89" s="146" t="s">
        <v>19</v>
      </c>
      <c r="E89" s="431"/>
      <c r="F89" s="431">
        <v>35000</v>
      </c>
      <c r="G89" s="144">
        <f t="shared" si="1"/>
        <v>1066497</v>
      </c>
      <c r="H89" s="146" t="s">
        <v>66</v>
      </c>
      <c r="I89" s="316"/>
      <c r="J89" s="146"/>
      <c r="K89" s="146"/>
      <c r="L89" s="146"/>
      <c r="M89" s="146"/>
      <c r="N89" s="146"/>
      <c r="O89" s="135"/>
      <c r="P89" s="135"/>
      <c r="Q89" s="208"/>
      <c r="R89" s="208"/>
      <c r="S89" s="208"/>
      <c r="T89" s="135"/>
      <c r="U89" s="135"/>
      <c r="V89" s="135"/>
      <c r="W89" s="135"/>
      <c r="X89" s="135"/>
      <c r="Y89" s="135"/>
      <c r="Z89" s="135"/>
      <c r="AA89" s="135"/>
    </row>
    <row r="90" spans="1:27" s="150" customFormat="1">
      <c r="A90" s="326">
        <v>44246</v>
      </c>
      <c r="B90" s="146" t="s">
        <v>284</v>
      </c>
      <c r="C90" s="146" t="s">
        <v>26</v>
      </c>
      <c r="D90" s="146" t="s">
        <v>16</v>
      </c>
      <c r="E90" s="144"/>
      <c r="F90" s="100">
        <v>20000</v>
      </c>
      <c r="G90" s="144">
        <f t="shared" si="1"/>
        <v>1046497</v>
      </c>
      <c r="H90" s="146" t="s">
        <v>66</v>
      </c>
      <c r="I90" s="316"/>
      <c r="J90" s="146"/>
      <c r="K90" s="146"/>
      <c r="L90" s="146"/>
      <c r="M90" s="146"/>
      <c r="N90" s="146"/>
      <c r="O90" s="135"/>
      <c r="P90" s="135"/>
      <c r="Q90" s="208"/>
      <c r="R90" s="208"/>
      <c r="S90" s="208"/>
      <c r="T90" s="135"/>
      <c r="U90" s="135"/>
      <c r="V90" s="135"/>
      <c r="W90" s="135"/>
      <c r="X90" s="135"/>
      <c r="Y90" s="135"/>
      <c r="Z90" s="135"/>
      <c r="AA90" s="135"/>
    </row>
    <row r="91" spans="1:27" s="150" customFormat="1">
      <c r="A91" s="326">
        <v>44246</v>
      </c>
      <c r="B91" s="146" t="s">
        <v>285</v>
      </c>
      <c r="C91" s="146" t="s">
        <v>26</v>
      </c>
      <c r="D91" s="146" t="s">
        <v>16</v>
      </c>
      <c r="E91" s="144"/>
      <c r="F91" s="100">
        <v>20000</v>
      </c>
      <c r="G91" s="144">
        <f t="shared" si="1"/>
        <v>1026497</v>
      </c>
      <c r="H91" s="146" t="s">
        <v>66</v>
      </c>
      <c r="I91" s="316"/>
      <c r="J91" s="146"/>
      <c r="K91" s="146"/>
      <c r="L91" s="146"/>
      <c r="M91" s="146"/>
      <c r="N91" s="146"/>
      <c r="O91" s="135"/>
      <c r="P91" s="135"/>
      <c r="Q91" s="208"/>
      <c r="R91" s="208"/>
      <c r="S91" s="208"/>
      <c r="T91" s="135"/>
      <c r="U91" s="135"/>
      <c r="V91" s="135"/>
      <c r="W91" s="135"/>
      <c r="X91" s="135"/>
      <c r="Y91" s="135"/>
      <c r="Z91" s="135"/>
      <c r="AA91" s="135"/>
    </row>
    <row r="92" spans="1:27" s="150" customFormat="1" ht="15" customHeight="1">
      <c r="A92" s="326">
        <v>44246</v>
      </c>
      <c r="B92" s="146" t="s">
        <v>286</v>
      </c>
      <c r="C92" s="146" t="s">
        <v>26</v>
      </c>
      <c r="D92" s="146" t="s">
        <v>192</v>
      </c>
      <c r="E92" s="144"/>
      <c r="F92" s="100">
        <v>20000</v>
      </c>
      <c r="G92" s="144">
        <f t="shared" si="1"/>
        <v>1006497</v>
      </c>
      <c r="H92" s="146" t="s">
        <v>66</v>
      </c>
      <c r="I92" s="316"/>
      <c r="J92" s="146"/>
      <c r="K92" s="146"/>
      <c r="L92" s="146"/>
      <c r="M92" s="146"/>
      <c r="N92" s="146"/>
      <c r="O92" s="135"/>
      <c r="P92" s="135"/>
      <c r="Q92" s="208"/>
      <c r="R92" s="208"/>
      <c r="S92" s="208"/>
      <c r="T92" s="135"/>
      <c r="U92" s="135"/>
      <c r="V92" s="135"/>
      <c r="W92" s="135"/>
      <c r="X92" s="135"/>
      <c r="Y92" s="135"/>
      <c r="Z92" s="135"/>
      <c r="AA92" s="135"/>
    </row>
    <row r="93" spans="1:27" s="150" customFormat="1" ht="15" customHeight="1">
      <c r="A93" s="326">
        <v>44246</v>
      </c>
      <c r="B93" s="146" t="s">
        <v>287</v>
      </c>
      <c r="C93" s="146" t="s">
        <v>26</v>
      </c>
      <c r="D93" s="146" t="s">
        <v>258</v>
      </c>
      <c r="E93" s="144"/>
      <c r="F93" s="100">
        <v>50000</v>
      </c>
      <c r="G93" s="144">
        <f t="shared" si="1"/>
        <v>956497</v>
      </c>
      <c r="H93" s="146" t="s">
        <v>66</v>
      </c>
      <c r="I93" s="316"/>
      <c r="J93" s="146"/>
      <c r="K93" s="146"/>
      <c r="L93" s="146"/>
      <c r="M93" s="146"/>
      <c r="N93" s="146"/>
      <c r="O93" s="135"/>
      <c r="P93" s="135" t="s">
        <v>449</v>
      </c>
      <c r="Q93" s="208"/>
      <c r="R93" s="208"/>
      <c r="S93" s="208"/>
      <c r="T93" s="135"/>
      <c r="U93" s="135"/>
      <c r="V93" s="135"/>
      <c r="W93" s="135"/>
      <c r="X93" s="135"/>
      <c r="Y93" s="135"/>
      <c r="Z93" s="135"/>
      <c r="AA93" s="135"/>
    </row>
    <row r="94" spans="1:27" s="150" customFormat="1" ht="15" customHeight="1">
      <c r="A94" s="326">
        <v>44246</v>
      </c>
      <c r="B94" s="146" t="s">
        <v>288</v>
      </c>
      <c r="C94" s="146" t="s">
        <v>26</v>
      </c>
      <c r="D94" s="146" t="s">
        <v>31</v>
      </c>
      <c r="E94" s="144"/>
      <c r="F94" s="100">
        <v>10000</v>
      </c>
      <c r="G94" s="144">
        <f t="shared" si="1"/>
        <v>946497</v>
      </c>
      <c r="H94" s="146" t="s">
        <v>66</v>
      </c>
      <c r="I94" s="316"/>
      <c r="J94" s="146"/>
      <c r="K94" s="146"/>
      <c r="L94" s="146"/>
      <c r="M94" s="146"/>
      <c r="N94" s="146"/>
      <c r="O94" s="135"/>
      <c r="P94" s="135"/>
      <c r="Q94" s="208"/>
      <c r="R94" s="208"/>
      <c r="S94" s="208"/>
      <c r="T94" s="135"/>
      <c r="U94" s="135"/>
      <c r="V94" s="135"/>
      <c r="W94" s="135"/>
      <c r="X94" s="135"/>
      <c r="Y94" s="135"/>
      <c r="Z94" s="135"/>
      <c r="AA94" s="135"/>
    </row>
    <row r="95" spans="1:27" s="150" customFormat="1" ht="15" customHeight="1">
      <c r="A95" s="326">
        <v>44246</v>
      </c>
      <c r="B95" s="146" t="s">
        <v>83</v>
      </c>
      <c r="C95" s="146" t="s">
        <v>131</v>
      </c>
      <c r="D95" s="146"/>
      <c r="E95" s="144"/>
      <c r="F95" s="100">
        <v>47760</v>
      </c>
      <c r="G95" s="144">
        <f t="shared" si="1"/>
        <v>898737</v>
      </c>
      <c r="H95" s="146" t="s">
        <v>66</v>
      </c>
      <c r="I95" s="316"/>
      <c r="J95" s="146"/>
      <c r="K95" s="146"/>
      <c r="L95" s="146"/>
      <c r="M95" s="146"/>
      <c r="N95" s="146"/>
      <c r="O95" s="135"/>
      <c r="P95" s="135"/>
      <c r="Q95" s="208"/>
      <c r="R95" s="208"/>
      <c r="S95" s="208"/>
      <c r="T95" s="135"/>
      <c r="U95" s="135"/>
      <c r="V95" s="135"/>
      <c r="W95" s="135"/>
      <c r="X95" s="135"/>
      <c r="Y95" s="135"/>
      <c r="Z95" s="135"/>
      <c r="AA95" s="135"/>
    </row>
    <row r="96" spans="1:27" s="150" customFormat="1" ht="15" customHeight="1">
      <c r="A96" s="326">
        <v>44246</v>
      </c>
      <c r="B96" s="146" t="s">
        <v>289</v>
      </c>
      <c r="C96" s="146" t="s">
        <v>17</v>
      </c>
      <c r="D96" s="146" t="s">
        <v>18</v>
      </c>
      <c r="E96" s="144"/>
      <c r="F96" s="100">
        <v>15000</v>
      </c>
      <c r="G96" s="144">
        <f t="shared" si="1"/>
        <v>883737</v>
      </c>
      <c r="H96" s="146" t="s">
        <v>66</v>
      </c>
      <c r="I96" s="316"/>
      <c r="J96" s="146"/>
      <c r="K96" s="146"/>
      <c r="L96" s="146"/>
      <c r="M96" s="146"/>
      <c r="N96" s="146"/>
      <c r="O96" s="135"/>
      <c r="P96" s="135">
        <f>90000-35000</f>
        <v>55000</v>
      </c>
      <c r="Q96" s="208"/>
      <c r="R96" s="208"/>
      <c r="S96" s="208"/>
      <c r="T96" s="135"/>
      <c r="U96" s="135"/>
      <c r="V96" s="135"/>
      <c r="W96" s="135"/>
      <c r="X96" s="135"/>
      <c r="Y96" s="135"/>
      <c r="Z96" s="135"/>
      <c r="AA96" s="135"/>
    </row>
    <row r="97" spans="1:27" s="150" customFormat="1" ht="15" customHeight="1">
      <c r="A97" s="326">
        <v>44246</v>
      </c>
      <c r="B97" s="146" t="s">
        <v>158</v>
      </c>
      <c r="C97" s="146" t="s">
        <v>131</v>
      </c>
      <c r="D97" s="146"/>
      <c r="E97" s="144"/>
      <c r="F97" s="100">
        <v>10000</v>
      </c>
      <c r="G97" s="144">
        <f t="shared" si="1"/>
        <v>873737</v>
      </c>
      <c r="H97" s="146" t="s">
        <v>66</v>
      </c>
      <c r="I97" s="316"/>
      <c r="J97" s="146"/>
      <c r="K97" s="146"/>
      <c r="L97" s="146"/>
      <c r="M97" s="146"/>
      <c r="N97" s="146"/>
      <c r="O97" s="135"/>
      <c r="P97" s="135"/>
      <c r="Q97" s="208"/>
      <c r="R97" s="208"/>
      <c r="S97" s="208"/>
      <c r="T97" s="135"/>
      <c r="U97" s="135"/>
      <c r="V97" s="135"/>
      <c r="W97" s="135"/>
      <c r="X97" s="135"/>
      <c r="Y97" s="135"/>
      <c r="Z97" s="135"/>
      <c r="AA97" s="135"/>
    </row>
    <row r="98" spans="1:27" s="150" customFormat="1" ht="15" customHeight="1">
      <c r="A98" s="326">
        <v>44246</v>
      </c>
      <c r="B98" s="146" t="s">
        <v>290</v>
      </c>
      <c r="C98" s="146" t="s">
        <v>17</v>
      </c>
      <c r="D98" s="146" t="s">
        <v>18</v>
      </c>
      <c r="E98" s="144"/>
      <c r="F98" s="100">
        <v>5000</v>
      </c>
      <c r="G98" s="144">
        <f t="shared" si="1"/>
        <v>868737</v>
      </c>
      <c r="H98" s="146" t="s">
        <v>66</v>
      </c>
      <c r="I98" s="316"/>
      <c r="J98" s="146"/>
      <c r="K98" s="146"/>
      <c r="L98" s="146"/>
      <c r="M98" s="146"/>
      <c r="N98" s="146"/>
      <c r="O98" s="135"/>
      <c r="P98" s="135"/>
      <c r="Q98" s="208"/>
      <c r="R98" s="208"/>
      <c r="S98" s="208"/>
      <c r="T98" s="135"/>
      <c r="U98" s="135"/>
      <c r="V98" s="135"/>
      <c r="W98" s="135"/>
      <c r="X98" s="135"/>
      <c r="Y98" s="135"/>
      <c r="Z98" s="135"/>
      <c r="AA98" s="135"/>
    </row>
    <row r="99" spans="1:27" s="150" customFormat="1" ht="15" customHeight="1">
      <c r="A99" s="326">
        <v>44246</v>
      </c>
      <c r="B99" s="146" t="s">
        <v>83</v>
      </c>
      <c r="C99" s="146" t="s">
        <v>131</v>
      </c>
      <c r="D99" s="146"/>
      <c r="E99" s="144"/>
      <c r="F99" s="100">
        <v>10000</v>
      </c>
      <c r="G99" s="144">
        <f t="shared" si="1"/>
        <v>858737</v>
      </c>
      <c r="H99" s="146" t="s">
        <v>66</v>
      </c>
      <c r="I99" s="316"/>
      <c r="J99" s="146"/>
      <c r="K99" s="146"/>
      <c r="L99" s="146"/>
      <c r="M99" s="146"/>
      <c r="N99" s="146"/>
      <c r="O99" s="135"/>
      <c r="P99" s="135"/>
      <c r="Q99" s="208"/>
      <c r="R99" s="208"/>
      <c r="S99" s="208"/>
      <c r="T99" s="135"/>
      <c r="U99" s="135"/>
      <c r="V99" s="135"/>
      <c r="W99" s="135"/>
      <c r="X99" s="135"/>
      <c r="Y99" s="135"/>
      <c r="Z99" s="135"/>
      <c r="AA99" s="135"/>
    </row>
    <row r="100" spans="1:27" s="150" customFormat="1" ht="15" customHeight="1">
      <c r="A100" s="326">
        <v>44246</v>
      </c>
      <c r="B100" s="146" t="s">
        <v>291</v>
      </c>
      <c r="C100" s="332" t="s">
        <v>147</v>
      </c>
      <c r="D100" s="146" t="s">
        <v>208</v>
      </c>
      <c r="E100" s="144"/>
      <c r="F100" s="100">
        <v>40000</v>
      </c>
      <c r="G100" s="144">
        <f t="shared" si="1"/>
        <v>818737</v>
      </c>
      <c r="H100" s="146" t="s">
        <v>66</v>
      </c>
      <c r="I100" s="316"/>
      <c r="J100" s="146"/>
      <c r="K100" s="146"/>
      <c r="L100" s="146"/>
      <c r="M100" s="146"/>
      <c r="N100" s="146"/>
      <c r="O100" s="135"/>
      <c r="P100" s="135"/>
      <c r="Q100" s="208"/>
      <c r="R100" s="208"/>
      <c r="S100" s="208"/>
      <c r="T100" s="135"/>
      <c r="U100" s="135"/>
      <c r="V100" s="135"/>
      <c r="W100" s="135"/>
      <c r="X100" s="135"/>
      <c r="Y100" s="135"/>
      <c r="Z100" s="135"/>
      <c r="AA100" s="135"/>
    </row>
    <row r="101" spans="1:27" s="150" customFormat="1" ht="15" customHeight="1">
      <c r="A101" s="326">
        <v>44247</v>
      </c>
      <c r="B101" s="146" t="s">
        <v>292</v>
      </c>
      <c r="C101" s="146" t="s">
        <v>78</v>
      </c>
      <c r="D101" s="146" t="s">
        <v>208</v>
      </c>
      <c r="E101" s="144"/>
      <c r="F101" s="100">
        <v>40000</v>
      </c>
      <c r="G101" s="144">
        <f t="shared" si="1"/>
        <v>778737</v>
      </c>
      <c r="H101" s="146" t="s">
        <v>66</v>
      </c>
      <c r="I101" s="316"/>
      <c r="J101" s="146"/>
      <c r="K101" s="146"/>
      <c r="L101" s="146"/>
      <c r="M101" s="146"/>
      <c r="N101" s="146"/>
      <c r="O101" s="135"/>
      <c r="P101" s="135"/>
      <c r="Q101" s="208"/>
      <c r="R101" s="208"/>
      <c r="S101" s="208"/>
      <c r="T101" s="135"/>
      <c r="U101" s="135"/>
      <c r="V101" s="135"/>
      <c r="W101" s="135"/>
      <c r="X101" s="135"/>
      <c r="Y101" s="135"/>
      <c r="Z101" s="135"/>
      <c r="AA101" s="135"/>
    </row>
    <row r="102" spans="1:27" s="150" customFormat="1" ht="15" customHeight="1">
      <c r="A102" s="326">
        <v>44246</v>
      </c>
      <c r="B102" s="146" t="s">
        <v>293</v>
      </c>
      <c r="C102" s="146" t="s">
        <v>78</v>
      </c>
      <c r="D102" s="146" t="s">
        <v>208</v>
      </c>
      <c r="E102" s="144"/>
      <c r="F102" s="100">
        <v>7000</v>
      </c>
      <c r="G102" s="144">
        <f t="shared" si="1"/>
        <v>771737</v>
      </c>
      <c r="H102" s="146"/>
      <c r="I102" s="316"/>
      <c r="J102" s="146"/>
      <c r="K102" s="146"/>
      <c r="L102" s="146"/>
      <c r="M102" s="146"/>
      <c r="N102" s="146"/>
      <c r="O102" s="135"/>
      <c r="P102" s="135"/>
      <c r="Q102" s="208"/>
      <c r="R102" s="208"/>
      <c r="S102" s="208"/>
      <c r="T102" s="135"/>
      <c r="U102" s="135"/>
      <c r="V102" s="135"/>
      <c r="W102" s="135"/>
      <c r="X102" s="135"/>
      <c r="Y102" s="135"/>
      <c r="Z102" s="135"/>
      <c r="AA102" s="135"/>
    </row>
    <row r="103" spans="1:27" s="150" customFormat="1" ht="15" customHeight="1">
      <c r="A103" s="326">
        <v>44249</v>
      </c>
      <c r="B103" s="146" t="s">
        <v>294</v>
      </c>
      <c r="C103" s="146" t="s">
        <v>262</v>
      </c>
      <c r="D103" s="146" t="s">
        <v>258</v>
      </c>
      <c r="E103" s="144"/>
      <c r="F103" s="100">
        <v>5000</v>
      </c>
      <c r="G103" s="144">
        <f t="shared" si="1"/>
        <v>766737</v>
      </c>
      <c r="H103" s="146" t="s">
        <v>66</v>
      </c>
      <c r="I103" s="316"/>
      <c r="J103" s="146"/>
      <c r="K103" s="146"/>
      <c r="L103" s="146"/>
      <c r="M103" s="146"/>
      <c r="N103" s="146"/>
      <c r="O103" s="135"/>
      <c r="P103" s="135"/>
      <c r="Q103" s="208"/>
      <c r="R103" s="208"/>
      <c r="S103" s="208"/>
      <c r="T103" s="135"/>
      <c r="U103" s="135"/>
      <c r="V103" s="135"/>
      <c r="W103" s="135"/>
      <c r="X103" s="135"/>
      <c r="Y103" s="135"/>
      <c r="Z103" s="135"/>
      <c r="AA103" s="135"/>
    </row>
    <row r="104" spans="1:27" s="150" customFormat="1" ht="15" customHeight="1">
      <c r="A104" s="326">
        <v>44249</v>
      </c>
      <c r="B104" s="146" t="s">
        <v>295</v>
      </c>
      <c r="C104" s="146" t="s">
        <v>262</v>
      </c>
      <c r="D104" s="146" t="s">
        <v>258</v>
      </c>
      <c r="E104" s="144"/>
      <c r="F104" s="100">
        <v>5000</v>
      </c>
      <c r="G104" s="144">
        <f t="shared" si="1"/>
        <v>761737</v>
      </c>
      <c r="H104" s="146" t="s">
        <v>66</v>
      </c>
      <c r="I104" s="316"/>
      <c r="J104" s="146"/>
      <c r="K104" s="146"/>
      <c r="L104" s="146"/>
      <c r="M104" s="146"/>
      <c r="N104" s="146"/>
      <c r="O104" s="135"/>
      <c r="P104" s="135"/>
      <c r="Q104" s="208"/>
      <c r="R104" s="208"/>
      <c r="S104" s="208"/>
      <c r="T104" s="135"/>
      <c r="U104" s="135"/>
      <c r="V104" s="135"/>
      <c r="W104" s="135"/>
      <c r="X104" s="135"/>
      <c r="Y104" s="135"/>
      <c r="Z104" s="135"/>
      <c r="AA104" s="135"/>
    </row>
    <row r="105" spans="1:27" s="434" customFormat="1" ht="15" customHeight="1">
      <c r="A105" s="327">
        <v>44249</v>
      </c>
      <c r="B105" s="149" t="s">
        <v>125</v>
      </c>
      <c r="C105" s="149" t="s">
        <v>131</v>
      </c>
      <c r="D105" s="149"/>
      <c r="E105" s="100"/>
      <c r="F105" s="100">
        <v>194000</v>
      </c>
      <c r="G105" s="100">
        <f t="shared" si="1"/>
        <v>567737</v>
      </c>
      <c r="H105" s="149" t="s">
        <v>66</v>
      </c>
      <c r="I105" s="433"/>
      <c r="J105" s="149"/>
      <c r="K105" s="149"/>
      <c r="L105" s="149"/>
      <c r="M105" s="149"/>
      <c r="N105" s="149"/>
      <c r="Q105" s="435"/>
      <c r="R105" s="435"/>
      <c r="S105" s="435"/>
    </row>
    <row r="106" spans="1:27" s="150" customFormat="1" ht="15" customHeight="1">
      <c r="A106" s="326">
        <v>44249</v>
      </c>
      <c r="B106" s="146" t="s">
        <v>102</v>
      </c>
      <c r="C106" s="146" t="s">
        <v>131</v>
      </c>
      <c r="D106" s="146"/>
      <c r="E106" s="144"/>
      <c r="F106" s="100">
        <v>20000</v>
      </c>
      <c r="G106" s="144">
        <f t="shared" si="1"/>
        <v>547737</v>
      </c>
      <c r="H106" s="146" t="s">
        <v>66</v>
      </c>
      <c r="I106" s="316"/>
      <c r="J106" s="146"/>
      <c r="K106" s="146"/>
      <c r="L106" s="146"/>
      <c r="M106" s="146"/>
      <c r="N106" s="146"/>
      <c r="O106" s="135"/>
      <c r="P106" s="135"/>
      <c r="Q106" s="208"/>
      <c r="R106" s="208"/>
      <c r="S106" s="208"/>
      <c r="T106" s="135"/>
      <c r="U106" s="135"/>
      <c r="V106" s="135"/>
      <c r="W106" s="135"/>
      <c r="X106" s="135"/>
      <c r="Y106" s="135"/>
      <c r="Z106" s="135"/>
      <c r="AA106" s="135"/>
    </row>
    <row r="107" spans="1:27" s="150" customFormat="1" ht="15" customHeight="1">
      <c r="A107" s="326">
        <v>44250</v>
      </c>
      <c r="B107" s="146" t="s">
        <v>102</v>
      </c>
      <c r="C107" s="146" t="s">
        <v>131</v>
      </c>
      <c r="D107" s="146"/>
      <c r="E107" s="144"/>
      <c r="F107" s="100">
        <v>5000</v>
      </c>
      <c r="G107" s="144">
        <f t="shared" si="1"/>
        <v>542737</v>
      </c>
      <c r="H107" s="146" t="s">
        <v>66</v>
      </c>
      <c r="I107" s="316"/>
      <c r="J107" s="146"/>
      <c r="K107" s="146"/>
      <c r="L107" s="146"/>
      <c r="M107" s="146"/>
      <c r="N107" s="146"/>
      <c r="O107" s="135"/>
      <c r="P107" s="135"/>
      <c r="Q107" s="208"/>
      <c r="R107" s="208"/>
      <c r="S107" s="208"/>
      <c r="T107" s="135"/>
      <c r="U107" s="135"/>
      <c r="V107" s="135"/>
      <c r="W107" s="135"/>
      <c r="X107" s="135"/>
      <c r="Y107" s="135"/>
      <c r="Z107" s="135"/>
      <c r="AA107" s="135"/>
    </row>
    <row r="108" spans="1:27" s="150" customFormat="1" ht="15" customHeight="1">
      <c r="A108" s="326">
        <v>44249</v>
      </c>
      <c r="B108" s="146" t="s">
        <v>83</v>
      </c>
      <c r="C108" s="146" t="s">
        <v>131</v>
      </c>
      <c r="D108" s="146"/>
      <c r="E108" s="144"/>
      <c r="F108" s="100">
        <v>90000</v>
      </c>
      <c r="G108" s="144">
        <f t="shared" si="1"/>
        <v>452737</v>
      </c>
      <c r="H108" s="146" t="s">
        <v>66</v>
      </c>
      <c r="I108" s="316"/>
      <c r="J108" s="146"/>
      <c r="K108" s="146"/>
      <c r="L108" s="146"/>
      <c r="M108" s="146"/>
      <c r="N108" s="146"/>
      <c r="O108" s="135"/>
      <c r="P108" s="135"/>
      <c r="Q108" s="208"/>
      <c r="R108" s="208"/>
      <c r="S108" s="208"/>
      <c r="T108" s="135"/>
      <c r="U108" s="135"/>
      <c r="V108" s="135"/>
      <c r="W108" s="135"/>
      <c r="X108" s="135"/>
      <c r="Y108" s="135"/>
      <c r="Z108" s="135"/>
      <c r="AA108" s="135"/>
    </row>
    <row r="109" spans="1:27" s="150" customFormat="1" ht="15" customHeight="1">
      <c r="A109" s="326">
        <v>44249</v>
      </c>
      <c r="B109" s="146" t="s">
        <v>83</v>
      </c>
      <c r="C109" s="146" t="s">
        <v>131</v>
      </c>
      <c r="D109" s="146"/>
      <c r="E109" s="144"/>
      <c r="F109" s="100">
        <v>15000</v>
      </c>
      <c r="G109" s="144">
        <f t="shared" si="1"/>
        <v>437737</v>
      </c>
      <c r="H109" s="146" t="s">
        <v>66</v>
      </c>
      <c r="I109" s="316"/>
      <c r="J109" s="146"/>
      <c r="K109" s="146"/>
      <c r="L109" s="146"/>
      <c r="M109" s="146"/>
      <c r="N109" s="146"/>
      <c r="O109" s="135"/>
      <c r="P109" s="135"/>
      <c r="Q109" s="208"/>
      <c r="R109" s="208"/>
      <c r="S109" s="208"/>
      <c r="T109" s="135"/>
      <c r="U109" s="135"/>
      <c r="V109" s="135"/>
      <c r="W109" s="135"/>
      <c r="X109" s="135"/>
      <c r="Y109" s="135"/>
      <c r="Z109" s="135"/>
      <c r="AA109" s="135"/>
    </row>
    <row r="110" spans="1:27" s="150" customFormat="1" ht="15" customHeight="1">
      <c r="A110" s="326">
        <v>44249</v>
      </c>
      <c r="B110" s="146" t="s">
        <v>296</v>
      </c>
      <c r="C110" s="146" t="s">
        <v>17</v>
      </c>
      <c r="D110" s="146" t="s">
        <v>18</v>
      </c>
      <c r="E110" s="144"/>
      <c r="F110" s="100">
        <v>4700</v>
      </c>
      <c r="G110" s="144">
        <f t="shared" si="1"/>
        <v>433037</v>
      </c>
      <c r="H110" s="146" t="s">
        <v>66</v>
      </c>
      <c r="I110" s="316"/>
      <c r="J110" s="146"/>
      <c r="K110" s="146"/>
      <c r="L110" s="146"/>
      <c r="M110" s="146"/>
      <c r="N110" s="146"/>
      <c r="O110" s="135"/>
      <c r="P110" s="135"/>
      <c r="Q110" s="208"/>
      <c r="R110" s="208"/>
      <c r="S110" s="208"/>
      <c r="T110" s="135"/>
      <c r="U110" s="135"/>
      <c r="V110" s="135"/>
      <c r="W110" s="135"/>
      <c r="X110" s="135"/>
      <c r="Y110" s="135"/>
      <c r="Z110" s="135"/>
      <c r="AA110" s="135"/>
    </row>
    <row r="111" spans="1:27" s="150" customFormat="1" ht="15" customHeight="1">
      <c r="A111" s="326">
        <v>44249</v>
      </c>
      <c r="B111" s="146" t="s">
        <v>297</v>
      </c>
      <c r="C111" s="146" t="s">
        <v>26</v>
      </c>
      <c r="D111" s="146" t="s">
        <v>31</v>
      </c>
      <c r="E111" s="144"/>
      <c r="F111" s="100">
        <v>35000</v>
      </c>
      <c r="G111" s="144">
        <f t="shared" si="1"/>
        <v>398037</v>
      </c>
      <c r="H111" s="146" t="s">
        <v>66</v>
      </c>
      <c r="I111" s="316"/>
      <c r="J111" s="146"/>
      <c r="K111" s="146"/>
      <c r="L111" s="146"/>
      <c r="M111" s="146"/>
      <c r="N111" s="146"/>
      <c r="O111" s="135"/>
      <c r="P111" s="135"/>
      <c r="Q111" s="208"/>
      <c r="R111" s="208"/>
      <c r="S111" s="208"/>
      <c r="T111" s="135"/>
      <c r="U111" s="135"/>
      <c r="V111" s="135"/>
      <c r="W111" s="135"/>
      <c r="X111" s="135"/>
      <c r="Y111" s="135"/>
      <c r="Z111" s="135"/>
      <c r="AA111" s="135"/>
    </row>
    <row r="112" spans="1:27" s="150" customFormat="1" ht="15" customHeight="1">
      <c r="A112" s="326">
        <v>44249</v>
      </c>
      <c r="B112" s="146" t="s">
        <v>298</v>
      </c>
      <c r="C112" s="146" t="s">
        <v>26</v>
      </c>
      <c r="D112" s="146" t="s">
        <v>16</v>
      </c>
      <c r="E112" s="144"/>
      <c r="F112" s="100">
        <v>20000</v>
      </c>
      <c r="G112" s="144">
        <f t="shared" si="1"/>
        <v>378037</v>
      </c>
      <c r="H112" s="146" t="s">
        <v>66</v>
      </c>
      <c r="I112" s="316"/>
      <c r="J112" s="146"/>
      <c r="K112" s="146"/>
      <c r="L112" s="146"/>
      <c r="M112" s="146"/>
      <c r="N112" s="146"/>
      <c r="O112" s="135"/>
      <c r="P112" s="135"/>
      <c r="Q112" s="208"/>
      <c r="R112" s="208"/>
      <c r="S112" s="208"/>
      <c r="T112" s="135"/>
      <c r="U112" s="135"/>
      <c r="V112" s="135"/>
      <c r="W112" s="135"/>
      <c r="X112" s="135"/>
      <c r="Y112" s="135"/>
      <c r="Z112" s="135"/>
      <c r="AA112" s="135"/>
    </row>
    <row r="113" spans="1:27" s="150" customFormat="1">
      <c r="A113" s="326">
        <v>44250</v>
      </c>
      <c r="B113" s="146" t="s">
        <v>102</v>
      </c>
      <c r="C113" s="146" t="s">
        <v>131</v>
      </c>
      <c r="D113" s="146"/>
      <c r="E113" s="144"/>
      <c r="F113" s="100">
        <v>15000</v>
      </c>
      <c r="G113" s="144">
        <f t="shared" si="1"/>
        <v>363037</v>
      </c>
      <c r="H113" s="146" t="s">
        <v>66</v>
      </c>
      <c r="I113" s="316"/>
      <c r="J113" s="146"/>
      <c r="K113" s="146"/>
      <c r="L113" s="146"/>
      <c r="M113" s="146"/>
      <c r="N113" s="146"/>
      <c r="O113" s="135"/>
      <c r="P113" s="135"/>
      <c r="Q113" s="208"/>
      <c r="R113" s="208"/>
      <c r="S113" s="208"/>
      <c r="T113" s="135"/>
      <c r="U113" s="135"/>
      <c r="V113" s="135"/>
      <c r="W113" s="135"/>
      <c r="X113" s="135"/>
      <c r="Y113" s="135"/>
      <c r="Z113" s="135"/>
      <c r="AA113" s="135"/>
    </row>
    <row r="114" spans="1:27" s="150" customFormat="1">
      <c r="A114" s="326">
        <v>44250</v>
      </c>
      <c r="B114" s="146" t="s">
        <v>133</v>
      </c>
      <c r="C114" s="146" t="s">
        <v>131</v>
      </c>
      <c r="D114" s="146"/>
      <c r="E114" s="144"/>
      <c r="F114" s="100">
        <v>10000</v>
      </c>
      <c r="G114" s="144">
        <f t="shared" si="1"/>
        <v>353037</v>
      </c>
      <c r="H114" s="146" t="s">
        <v>66</v>
      </c>
      <c r="I114" s="316"/>
      <c r="J114" s="146"/>
      <c r="K114" s="146"/>
      <c r="L114" s="146"/>
      <c r="M114" s="146"/>
      <c r="N114" s="146"/>
      <c r="O114" s="135"/>
      <c r="P114" s="135"/>
      <c r="Q114" s="208"/>
      <c r="R114" s="208"/>
      <c r="S114" s="208"/>
      <c r="T114" s="135"/>
      <c r="U114" s="135"/>
      <c r="V114" s="135"/>
      <c r="W114" s="135"/>
      <c r="X114" s="135"/>
      <c r="Y114" s="135"/>
      <c r="Z114" s="135"/>
      <c r="AA114" s="135"/>
    </row>
    <row r="115" spans="1:27" s="150" customFormat="1">
      <c r="A115" s="326">
        <v>44251</v>
      </c>
      <c r="B115" s="146" t="s">
        <v>299</v>
      </c>
      <c r="C115" s="146" t="s">
        <v>17</v>
      </c>
      <c r="D115" s="146" t="s">
        <v>18</v>
      </c>
      <c r="E115" s="144"/>
      <c r="F115" s="100">
        <v>24000</v>
      </c>
      <c r="G115" s="144">
        <f t="shared" si="1"/>
        <v>329037</v>
      </c>
      <c r="H115" s="146" t="s">
        <v>66</v>
      </c>
      <c r="I115" s="316"/>
      <c r="J115" s="146"/>
      <c r="K115" s="146"/>
      <c r="L115" s="146"/>
      <c r="M115" s="146"/>
      <c r="N115" s="146"/>
      <c r="O115" s="135"/>
      <c r="P115" s="135"/>
      <c r="Q115" s="208"/>
      <c r="R115" s="208"/>
      <c r="S115" s="208"/>
      <c r="T115" s="135"/>
      <c r="U115" s="135"/>
      <c r="V115" s="135"/>
      <c r="W115" s="135"/>
      <c r="X115" s="135"/>
      <c r="Y115" s="135"/>
      <c r="Z115" s="135"/>
      <c r="AA115" s="135"/>
    </row>
    <row r="116" spans="1:27" s="150" customFormat="1">
      <c r="A116" s="326">
        <v>44251</v>
      </c>
      <c r="B116" s="146" t="s">
        <v>300</v>
      </c>
      <c r="C116" s="146" t="s">
        <v>82</v>
      </c>
      <c r="D116" s="146" t="s">
        <v>258</v>
      </c>
      <c r="E116" s="144"/>
      <c r="F116" s="100">
        <v>10500</v>
      </c>
      <c r="G116" s="144">
        <f t="shared" si="1"/>
        <v>318537</v>
      </c>
      <c r="H116" s="146" t="s">
        <v>66</v>
      </c>
      <c r="I116" s="316"/>
      <c r="J116" s="146"/>
      <c r="K116" s="146"/>
      <c r="L116" s="146"/>
      <c r="M116" s="146"/>
      <c r="N116" s="146"/>
      <c r="O116" s="135"/>
      <c r="P116" s="135"/>
      <c r="Q116" s="208"/>
      <c r="R116" s="208"/>
      <c r="S116" s="208"/>
      <c r="T116" s="135"/>
      <c r="U116" s="135"/>
      <c r="V116" s="135"/>
      <c r="W116" s="135"/>
      <c r="X116" s="135"/>
      <c r="Y116" s="135"/>
      <c r="Z116" s="135"/>
      <c r="AA116" s="135"/>
    </row>
    <row r="117" spans="1:27" s="150" customFormat="1" ht="15.75">
      <c r="A117" s="326">
        <v>44251</v>
      </c>
      <c r="B117" s="146" t="s">
        <v>301</v>
      </c>
      <c r="C117" s="332" t="s">
        <v>147</v>
      </c>
      <c r="D117" s="146" t="s">
        <v>208</v>
      </c>
      <c r="E117" s="144"/>
      <c r="F117" s="100">
        <v>50000</v>
      </c>
      <c r="G117" s="144">
        <f t="shared" si="1"/>
        <v>268537</v>
      </c>
      <c r="H117" s="146" t="s">
        <v>66</v>
      </c>
      <c r="I117" s="316"/>
      <c r="J117" s="146"/>
      <c r="K117" s="146"/>
      <c r="L117" s="146"/>
      <c r="M117" s="146"/>
      <c r="N117" s="146"/>
      <c r="O117" s="135"/>
      <c r="P117" s="135"/>
      <c r="Q117" s="208"/>
      <c r="R117" s="208"/>
      <c r="S117" s="208"/>
      <c r="T117" s="135"/>
      <c r="U117" s="135"/>
      <c r="V117" s="135"/>
      <c r="W117" s="135"/>
      <c r="X117" s="135"/>
      <c r="Y117" s="135"/>
      <c r="Z117" s="135"/>
      <c r="AA117" s="135"/>
    </row>
    <row r="118" spans="1:27" s="150" customFormat="1">
      <c r="A118" s="326">
        <v>44251</v>
      </c>
      <c r="B118" s="146" t="s">
        <v>302</v>
      </c>
      <c r="C118" s="146" t="s">
        <v>262</v>
      </c>
      <c r="D118" s="146" t="s">
        <v>19</v>
      </c>
      <c r="E118" s="144"/>
      <c r="F118" s="100">
        <v>5000</v>
      </c>
      <c r="G118" s="144">
        <f t="shared" si="1"/>
        <v>263537</v>
      </c>
      <c r="H118" s="146" t="s">
        <v>66</v>
      </c>
      <c r="I118" s="316"/>
      <c r="J118" s="146"/>
      <c r="K118" s="146"/>
      <c r="L118" s="146"/>
      <c r="M118" s="146"/>
      <c r="N118" s="146"/>
      <c r="O118" s="135"/>
      <c r="P118" s="135"/>
      <c r="Q118" s="208"/>
      <c r="R118" s="208"/>
      <c r="S118" s="208"/>
      <c r="T118" s="135"/>
      <c r="U118" s="135"/>
      <c r="V118" s="135"/>
      <c r="W118" s="135"/>
      <c r="X118" s="135"/>
      <c r="Y118" s="135"/>
      <c r="Z118" s="135"/>
      <c r="AA118" s="135"/>
    </row>
    <row r="119" spans="1:27" s="150" customFormat="1">
      <c r="A119" s="326">
        <v>44252</v>
      </c>
      <c r="B119" s="146" t="s">
        <v>60</v>
      </c>
      <c r="C119" s="146" t="s">
        <v>131</v>
      </c>
      <c r="D119" s="146"/>
      <c r="E119" s="144">
        <v>1000000</v>
      </c>
      <c r="F119" s="100"/>
      <c r="G119" s="144">
        <f t="shared" si="1"/>
        <v>1263537</v>
      </c>
      <c r="H119" s="146" t="s">
        <v>66</v>
      </c>
      <c r="I119" s="316"/>
      <c r="J119" s="146"/>
      <c r="K119" s="146"/>
      <c r="L119" s="146"/>
      <c r="M119" s="146"/>
      <c r="N119" s="146"/>
      <c r="O119" s="135"/>
      <c r="P119" s="135"/>
      <c r="Q119" s="208"/>
      <c r="R119" s="208"/>
      <c r="S119" s="208"/>
      <c r="T119" s="135"/>
      <c r="U119" s="135"/>
      <c r="V119" s="135"/>
      <c r="W119" s="135"/>
      <c r="X119" s="135"/>
      <c r="Y119" s="135"/>
      <c r="Z119" s="135"/>
      <c r="AA119" s="135"/>
    </row>
    <row r="120" spans="1:27" s="150" customFormat="1">
      <c r="A120" s="326">
        <v>44252</v>
      </c>
      <c r="B120" s="146" t="s">
        <v>303</v>
      </c>
      <c r="C120" s="146" t="s">
        <v>249</v>
      </c>
      <c r="D120" s="146" t="s">
        <v>18</v>
      </c>
      <c r="E120" s="144"/>
      <c r="F120" s="100">
        <v>26000</v>
      </c>
      <c r="G120" s="144">
        <f t="shared" si="1"/>
        <v>1237537</v>
      </c>
      <c r="H120" s="146" t="s">
        <v>66</v>
      </c>
      <c r="I120" s="316"/>
      <c r="J120" s="146"/>
      <c r="K120" s="146"/>
      <c r="L120" s="146"/>
      <c r="M120" s="146"/>
      <c r="N120" s="146"/>
      <c r="O120" s="135"/>
      <c r="P120" s="135"/>
      <c r="Q120" s="208"/>
      <c r="R120" s="208"/>
      <c r="S120" s="208"/>
      <c r="T120" s="135"/>
      <c r="U120" s="135"/>
      <c r="V120" s="135"/>
      <c r="W120" s="135"/>
      <c r="X120" s="135"/>
      <c r="Y120" s="135"/>
      <c r="Z120" s="135"/>
      <c r="AA120" s="135"/>
    </row>
    <row r="121" spans="1:27" s="150" customFormat="1">
      <c r="A121" s="326">
        <v>44249</v>
      </c>
      <c r="B121" s="146" t="s">
        <v>304</v>
      </c>
      <c r="C121" s="146" t="s">
        <v>305</v>
      </c>
      <c r="D121" s="146" t="s">
        <v>258</v>
      </c>
      <c r="E121" s="144"/>
      <c r="F121" s="100">
        <v>30000</v>
      </c>
      <c r="G121" s="144">
        <f t="shared" si="1"/>
        <v>1207537</v>
      </c>
      <c r="H121" s="146" t="s">
        <v>66</v>
      </c>
      <c r="I121" s="316"/>
      <c r="J121" s="146"/>
      <c r="K121" s="146"/>
      <c r="L121" s="146"/>
      <c r="M121" s="146"/>
      <c r="N121" s="146"/>
      <c r="O121" s="135"/>
      <c r="P121" s="135"/>
      <c r="Q121" s="208"/>
      <c r="R121" s="208"/>
      <c r="S121" s="208"/>
      <c r="T121" s="135"/>
      <c r="U121" s="135"/>
      <c r="V121" s="135"/>
      <c r="W121" s="135"/>
      <c r="X121" s="135"/>
      <c r="Y121" s="135"/>
      <c r="Z121" s="135"/>
      <c r="AA121" s="135"/>
    </row>
    <row r="122" spans="1:27" s="150" customFormat="1">
      <c r="A122" s="326">
        <v>44252</v>
      </c>
      <c r="B122" s="146" t="s">
        <v>306</v>
      </c>
      <c r="C122" s="146" t="s">
        <v>305</v>
      </c>
      <c r="D122" s="146" t="s">
        <v>258</v>
      </c>
      <c r="E122" s="144"/>
      <c r="F122" s="100">
        <v>5700</v>
      </c>
      <c r="G122" s="144">
        <f t="shared" si="1"/>
        <v>1201837</v>
      </c>
      <c r="H122" s="146" t="s">
        <v>66</v>
      </c>
      <c r="I122" s="316"/>
      <c r="J122" s="146"/>
      <c r="K122" s="146"/>
      <c r="L122" s="146"/>
      <c r="M122" s="146"/>
      <c r="N122" s="146"/>
      <c r="O122" s="135"/>
      <c r="P122" s="135"/>
      <c r="Q122" s="208"/>
      <c r="R122" s="208"/>
      <c r="S122" s="208"/>
      <c r="T122" s="135"/>
      <c r="U122" s="135"/>
      <c r="V122" s="135"/>
      <c r="W122" s="135"/>
      <c r="X122" s="135"/>
      <c r="Y122" s="135"/>
      <c r="Z122" s="135"/>
      <c r="AA122" s="135"/>
    </row>
    <row r="123" spans="1:27" s="438" customFormat="1">
      <c r="A123" s="326">
        <v>44252</v>
      </c>
      <c r="B123" s="146" t="s">
        <v>307</v>
      </c>
      <c r="C123" s="146" t="s">
        <v>262</v>
      </c>
      <c r="D123" s="146" t="s">
        <v>258</v>
      </c>
      <c r="E123" s="144"/>
      <c r="F123" s="100">
        <v>5000</v>
      </c>
      <c r="G123" s="144">
        <f t="shared" si="1"/>
        <v>1196837</v>
      </c>
      <c r="H123" s="146" t="s">
        <v>66</v>
      </c>
      <c r="I123" s="316"/>
      <c r="J123" s="146"/>
      <c r="K123" s="146"/>
      <c r="L123" s="146"/>
      <c r="M123" s="146"/>
      <c r="N123" s="146"/>
      <c r="O123" s="436"/>
      <c r="P123" s="436"/>
      <c r="Q123" s="437"/>
      <c r="R123" s="437"/>
      <c r="S123" s="437"/>
      <c r="T123" s="436"/>
      <c r="U123" s="436"/>
      <c r="V123" s="436"/>
      <c r="W123" s="436"/>
      <c r="X123" s="436"/>
      <c r="Y123" s="436"/>
      <c r="Z123" s="436"/>
      <c r="AA123" s="436"/>
    </row>
    <row r="124" spans="1:27" s="150" customFormat="1">
      <c r="A124" s="326">
        <v>44252</v>
      </c>
      <c r="B124" s="146" t="s">
        <v>308</v>
      </c>
      <c r="C124" s="146" t="s">
        <v>26</v>
      </c>
      <c r="D124" s="146" t="s">
        <v>258</v>
      </c>
      <c r="E124" s="144"/>
      <c r="F124" s="100">
        <v>100000</v>
      </c>
      <c r="G124" s="144">
        <f t="shared" si="1"/>
        <v>1096837</v>
      </c>
      <c r="H124" s="146" t="s">
        <v>66</v>
      </c>
      <c r="I124" s="316"/>
      <c r="J124" s="146"/>
      <c r="K124" s="146"/>
      <c r="L124" s="146"/>
      <c r="M124" s="146"/>
      <c r="N124" s="146"/>
      <c r="O124" s="135"/>
      <c r="P124" s="135"/>
      <c r="Q124" s="208"/>
      <c r="R124" s="208"/>
      <c r="S124" s="208"/>
      <c r="T124" s="135"/>
      <c r="U124" s="135"/>
      <c r="V124" s="135"/>
      <c r="W124" s="135"/>
      <c r="X124" s="135"/>
      <c r="Y124" s="135"/>
      <c r="Z124" s="135"/>
      <c r="AA124" s="135"/>
    </row>
    <row r="125" spans="1:27" s="150" customFormat="1">
      <c r="A125" s="326">
        <v>44252</v>
      </c>
      <c r="B125" s="146" t="s">
        <v>102</v>
      </c>
      <c r="C125" s="146" t="s">
        <v>131</v>
      </c>
      <c r="D125" s="146"/>
      <c r="E125" s="144"/>
      <c r="F125" s="100">
        <v>10000</v>
      </c>
      <c r="G125" s="144">
        <f t="shared" si="1"/>
        <v>1086837</v>
      </c>
      <c r="H125" s="146" t="s">
        <v>66</v>
      </c>
      <c r="I125" s="316"/>
      <c r="J125" s="146"/>
      <c r="K125" s="146"/>
      <c r="L125" s="146"/>
      <c r="M125" s="146"/>
      <c r="N125" s="146"/>
      <c r="O125" s="135"/>
      <c r="P125" s="135"/>
      <c r="Q125" s="208"/>
      <c r="R125" s="208"/>
      <c r="S125" s="208"/>
      <c r="T125" s="135"/>
      <c r="U125" s="135"/>
      <c r="V125" s="135"/>
      <c r="W125" s="135"/>
      <c r="X125" s="135"/>
      <c r="Y125" s="135"/>
      <c r="Z125" s="135"/>
      <c r="AA125" s="135"/>
    </row>
    <row r="126" spans="1:27" s="150" customFormat="1">
      <c r="A126" s="326">
        <v>44252</v>
      </c>
      <c r="B126" s="146" t="s">
        <v>60</v>
      </c>
      <c r="C126" s="146" t="s">
        <v>131</v>
      </c>
      <c r="D126" s="146"/>
      <c r="E126" s="100">
        <v>189000</v>
      </c>
      <c r="F126" s="100"/>
      <c r="G126" s="144">
        <f t="shared" si="1"/>
        <v>1275837</v>
      </c>
      <c r="H126" s="146" t="s">
        <v>66</v>
      </c>
      <c r="I126" s="316"/>
      <c r="J126" s="146"/>
      <c r="K126" s="146"/>
      <c r="L126" s="146"/>
      <c r="M126" s="146"/>
      <c r="N126" s="146"/>
      <c r="O126" s="135"/>
      <c r="P126" s="135"/>
      <c r="Q126" s="208"/>
      <c r="R126" s="208"/>
      <c r="S126" s="208"/>
      <c r="T126" s="135"/>
      <c r="U126" s="135"/>
      <c r="V126" s="135"/>
      <c r="W126" s="135"/>
      <c r="X126" s="135"/>
      <c r="Y126" s="135"/>
      <c r="Z126" s="135"/>
      <c r="AA126" s="135"/>
    </row>
    <row r="127" spans="1:27" s="150" customFormat="1">
      <c r="A127" s="326">
        <v>44252</v>
      </c>
      <c r="B127" s="146" t="s">
        <v>60</v>
      </c>
      <c r="C127" s="146" t="s">
        <v>131</v>
      </c>
      <c r="D127" s="146"/>
      <c r="E127" s="100">
        <v>183000</v>
      </c>
      <c r="F127" s="100"/>
      <c r="G127" s="144">
        <f t="shared" si="1"/>
        <v>1458837</v>
      </c>
      <c r="H127" s="146" t="s">
        <v>66</v>
      </c>
      <c r="I127" s="316"/>
      <c r="J127" s="146"/>
      <c r="K127" s="146"/>
      <c r="L127" s="146"/>
      <c r="M127" s="146"/>
      <c r="N127" s="146"/>
      <c r="O127" s="135"/>
      <c r="P127" s="135"/>
      <c r="Q127" s="208"/>
      <c r="R127" s="208"/>
      <c r="S127" s="208"/>
      <c r="T127" s="135"/>
      <c r="U127" s="135"/>
      <c r="V127" s="135"/>
      <c r="W127" s="135"/>
      <c r="X127" s="135"/>
      <c r="Y127" s="135"/>
      <c r="Z127" s="135"/>
      <c r="AA127" s="135"/>
    </row>
    <row r="128" spans="1:27" s="150" customFormat="1">
      <c r="A128" s="326">
        <v>44253</v>
      </c>
      <c r="B128" s="146" t="s">
        <v>309</v>
      </c>
      <c r="C128" s="146" t="s">
        <v>262</v>
      </c>
      <c r="D128" s="146" t="s">
        <v>258</v>
      </c>
      <c r="E128" s="144"/>
      <c r="F128" s="100">
        <v>10000</v>
      </c>
      <c r="G128" s="144">
        <f t="shared" si="1"/>
        <v>1448837</v>
      </c>
      <c r="H128" s="146" t="s">
        <v>66</v>
      </c>
      <c r="I128" s="316"/>
      <c r="J128" s="146"/>
      <c r="K128" s="146"/>
      <c r="L128" s="146"/>
      <c r="M128" s="146"/>
      <c r="N128" s="146"/>
      <c r="O128" s="135"/>
      <c r="P128" s="135"/>
      <c r="Q128" s="208"/>
      <c r="R128" s="208"/>
      <c r="S128" s="208"/>
      <c r="T128" s="135"/>
      <c r="U128" s="135"/>
      <c r="V128" s="135"/>
      <c r="W128" s="135"/>
      <c r="X128" s="135"/>
      <c r="Y128" s="135"/>
      <c r="Z128" s="135"/>
      <c r="AA128" s="135"/>
    </row>
    <row r="129" spans="1:27" s="150" customFormat="1">
      <c r="A129" s="326">
        <v>44253</v>
      </c>
      <c r="B129" s="146" t="s">
        <v>310</v>
      </c>
      <c r="C129" s="146" t="s">
        <v>249</v>
      </c>
      <c r="D129" s="146" t="s">
        <v>18</v>
      </c>
      <c r="E129" s="144"/>
      <c r="F129" s="100">
        <v>3000</v>
      </c>
      <c r="G129" s="144">
        <f t="shared" si="1"/>
        <v>1445837</v>
      </c>
      <c r="H129" s="146" t="s">
        <v>66</v>
      </c>
      <c r="I129" s="316"/>
      <c r="J129" s="146"/>
      <c r="K129" s="146"/>
      <c r="L129" s="146"/>
      <c r="M129" s="146"/>
      <c r="N129" s="146"/>
      <c r="O129" s="135"/>
      <c r="P129" s="135"/>
      <c r="Q129" s="208"/>
      <c r="R129" s="208"/>
      <c r="S129" s="208"/>
      <c r="T129" s="135"/>
      <c r="U129" s="135"/>
      <c r="V129" s="135"/>
      <c r="W129" s="135"/>
      <c r="X129" s="135"/>
      <c r="Y129" s="135"/>
      <c r="Z129" s="135"/>
      <c r="AA129" s="135"/>
    </row>
    <row r="130" spans="1:27" s="150" customFormat="1">
      <c r="A130" s="326">
        <v>44253</v>
      </c>
      <c r="B130" s="146" t="s">
        <v>83</v>
      </c>
      <c r="C130" s="146" t="s">
        <v>131</v>
      </c>
      <c r="D130" s="146"/>
      <c r="E130" s="144"/>
      <c r="F130" s="100">
        <v>37500</v>
      </c>
      <c r="G130" s="144">
        <f t="shared" si="1"/>
        <v>1408337</v>
      </c>
      <c r="H130" s="146" t="s">
        <v>66</v>
      </c>
      <c r="I130" s="316"/>
      <c r="J130" s="146"/>
      <c r="K130" s="146"/>
      <c r="L130" s="146"/>
      <c r="M130" s="146"/>
      <c r="N130" s="146"/>
      <c r="O130" s="135"/>
      <c r="P130" s="135"/>
      <c r="Q130" s="208"/>
      <c r="R130" s="208"/>
      <c r="S130" s="208"/>
      <c r="T130" s="135"/>
      <c r="U130" s="135"/>
      <c r="V130" s="135"/>
      <c r="W130" s="135"/>
      <c r="X130" s="135"/>
      <c r="Y130" s="135"/>
      <c r="Z130" s="135"/>
      <c r="AA130" s="135"/>
    </row>
    <row r="131" spans="1:27" s="150" customFormat="1">
      <c r="A131" s="326">
        <v>44253</v>
      </c>
      <c r="B131" s="146" t="s">
        <v>311</v>
      </c>
      <c r="C131" s="146" t="s">
        <v>30</v>
      </c>
      <c r="D131" s="146" t="s">
        <v>21</v>
      </c>
      <c r="E131" s="431"/>
      <c r="F131" s="431">
        <v>110000</v>
      </c>
      <c r="G131" s="144">
        <f t="shared" si="1"/>
        <v>1298337</v>
      </c>
      <c r="H131" s="146" t="s">
        <v>66</v>
      </c>
      <c r="I131" s="316"/>
      <c r="J131" s="146"/>
      <c r="K131" s="146"/>
      <c r="L131" s="146"/>
      <c r="M131" s="146"/>
      <c r="N131" s="146"/>
      <c r="O131" s="135"/>
      <c r="P131" s="135"/>
      <c r="Q131" s="208"/>
      <c r="R131" s="208"/>
      <c r="S131" s="208"/>
      <c r="T131" s="135"/>
      <c r="U131" s="135"/>
      <c r="V131" s="135"/>
      <c r="W131" s="135"/>
      <c r="X131" s="135"/>
      <c r="Y131" s="135"/>
      <c r="Z131" s="135"/>
      <c r="AA131" s="135"/>
    </row>
    <row r="132" spans="1:27" s="150" customFormat="1">
      <c r="A132" s="326">
        <v>44253</v>
      </c>
      <c r="B132" s="146" t="s">
        <v>75</v>
      </c>
      <c r="C132" s="146" t="s">
        <v>131</v>
      </c>
      <c r="D132" s="146"/>
      <c r="E132" s="144"/>
      <c r="F132" s="100">
        <v>10000</v>
      </c>
      <c r="G132" s="144">
        <f t="shared" si="1"/>
        <v>1288337</v>
      </c>
      <c r="H132" s="146" t="s">
        <v>66</v>
      </c>
      <c r="I132" s="316"/>
      <c r="J132" s="146"/>
      <c r="K132" s="146"/>
      <c r="L132" s="146"/>
      <c r="M132" s="146"/>
      <c r="N132" s="146"/>
      <c r="O132" s="135"/>
      <c r="P132" s="135"/>
      <c r="Q132" s="208"/>
      <c r="R132" s="208"/>
      <c r="S132" s="208"/>
      <c r="T132" s="135"/>
      <c r="U132" s="135"/>
      <c r="V132" s="135"/>
      <c r="W132" s="135"/>
      <c r="X132" s="135"/>
      <c r="Y132" s="135"/>
      <c r="Z132" s="135"/>
      <c r="AA132" s="135"/>
    </row>
    <row r="133" spans="1:27" s="150" customFormat="1">
      <c r="A133" s="326">
        <v>44253</v>
      </c>
      <c r="B133" s="146" t="s">
        <v>255</v>
      </c>
      <c r="C133" s="146" t="s">
        <v>17</v>
      </c>
      <c r="D133" s="146" t="s">
        <v>208</v>
      </c>
      <c r="E133" s="144"/>
      <c r="F133" s="100">
        <v>20000</v>
      </c>
      <c r="G133" s="144">
        <f t="shared" si="1"/>
        <v>1268337</v>
      </c>
      <c r="H133" s="146" t="s">
        <v>66</v>
      </c>
      <c r="I133" s="316"/>
      <c r="J133" s="146"/>
      <c r="K133" s="146"/>
      <c r="L133" s="146"/>
      <c r="M133" s="146"/>
      <c r="N133" s="146"/>
      <c r="O133" s="135"/>
      <c r="P133" s="135"/>
      <c r="Q133" s="208"/>
      <c r="R133" s="208"/>
      <c r="S133" s="208"/>
      <c r="T133" s="135"/>
      <c r="U133" s="135"/>
      <c r="V133" s="135"/>
      <c r="W133" s="135"/>
      <c r="X133" s="135"/>
      <c r="Y133" s="135"/>
      <c r="Z133" s="135"/>
      <c r="AA133" s="135"/>
    </row>
    <row r="134" spans="1:27" s="150" customFormat="1">
      <c r="A134" s="326">
        <v>44253</v>
      </c>
      <c r="B134" s="146" t="s">
        <v>72</v>
      </c>
      <c r="C134" s="146" t="s">
        <v>131</v>
      </c>
      <c r="D134" s="146"/>
      <c r="E134" s="144"/>
      <c r="F134" s="100">
        <v>60000</v>
      </c>
      <c r="G134" s="144">
        <f t="shared" si="1"/>
        <v>1208337</v>
      </c>
      <c r="H134" s="146" t="s">
        <v>66</v>
      </c>
      <c r="I134" s="316"/>
      <c r="J134" s="146"/>
      <c r="K134" s="146"/>
      <c r="L134" s="146"/>
      <c r="M134" s="146"/>
      <c r="N134" s="146"/>
      <c r="O134" s="135"/>
      <c r="P134" s="135"/>
      <c r="Q134" s="208"/>
      <c r="R134" s="208"/>
      <c r="S134" s="208"/>
      <c r="T134" s="135"/>
      <c r="U134" s="135"/>
      <c r="V134" s="135"/>
      <c r="W134" s="135"/>
      <c r="X134" s="135"/>
      <c r="Y134" s="135"/>
      <c r="Z134" s="135"/>
      <c r="AA134" s="135"/>
    </row>
    <row r="135" spans="1:27" s="150" customFormat="1">
      <c r="A135" s="326">
        <v>44253</v>
      </c>
      <c r="B135" s="146" t="s">
        <v>178</v>
      </c>
      <c r="C135" s="146" t="s">
        <v>131</v>
      </c>
      <c r="D135" s="146"/>
      <c r="E135" s="144"/>
      <c r="F135" s="100">
        <v>60000</v>
      </c>
      <c r="G135" s="144">
        <f t="shared" si="1"/>
        <v>1148337</v>
      </c>
      <c r="H135" s="146" t="s">
        <v>66</v>
      </c>
      <c r="I135" s="316"/>
      <c r="J135" s="146"/>
      <c r="K135" s="146"/>
      <c r="L135" s="146"/>
      <c r="M135" s="146"/>
      <c r="N135" s="146"/>
      <c r="O135" s="135"/>
      <c r="P135" s="135"/>
      <c r="Q135" s="208"/>
      <c r="R135" s="208"/>
      <c r="S135" s="208"/>
      <c r="T135" s="135"/>
      <c r="U135" s="135"/>
      <c r="V135" s="135"/>
      <c r="W135" s="135"/>
      <c r="X135" s="135"/>
      <c r="Y135" s="135"/>
      <c r="Z135" s="135"/>
      <c r="AA135" s="135"/>
    </row>
    <row r="136" spans="1:27">
      <c r="A136" s="151"/>
      <c r="B136" s="98"/>
      <c r="C136" s="98"/>
      <c r="D136" s="152"/>
      <c r="E136" s="99">
        <f>SUM(E12:E135)</f>
        <v>6188716</v>
      </c>
      <c r="F136" s="99">
        <f>SUM(F12:F135)</f>
        <v>5040379</v>
      </c>
      <c r="G136" s="213">
        <f>E136-F136</f>
        <v>1148337</v>
      </c>
      <c r="H136" s="152" t="s">
        <v>66</v>
      </c>
      <c r="I136" s="98"/>
      <c r="J136" s="98"/>
      <c r="K136" s="98"/>
      <c r="L136" s="98"/>
      <c r="M136" s="98"/>
      <c r="N136" s="98"/>
    </row>
    <row r="137" spans="1:27">
      <c r="B137" s="102"/>
      <c r="C137" t="s">
        <v>162</v>
      </c>
      <c r="D137" s="26"/>
      <c r="J137" s="103"/>
    </row>
    <row r="138" spans="1:27">
      <c r="D138" s="26"/>
      <c r="J138" s="104"/>
    </row>
    <row r="139" spans="1:27">
      <c r="E139" s="26"/>
      <c r="J139" s="104"/>
    </row>
    <row r="140" spans="1:27">
      <c r="D140" s="26"/>
      <c r="I140" s="29"/>
      <c r="J140" s="104"/>
      <c r="P140" s="145"/>
    </row>
    <row r="141" spans="1:27">
      <c r="D141" s="26"/>
      <c r="J141" s="104"/>
    </row>
    <row r="142" spans="1:27">
      <c r="D142" s="26"/>
      <c r="J142" s="103"/>
    </row>
    <row r="143" spans="1:27">
      <c r="E143"/>
      <c r="H143" s="45"/>
    </row>
    <row r="145" spans="8:15">
      <c r="H145" s="105"/>
    </row>
    <row r="153" spans="8:15">
      <c r="O153" s="1">
        <f>73000-15000</f>
        <v>58000</v>
      </c>
    </row>
  </sheetData>
  <mergeCells count="3">
    <mergeCell ref="A1:N1"/>
    <mergeCell ref="A4:N4"/>
    <mergeCell ref="P47:R47"/>
  </mergeCells>
  <dataValidations count="1">
    <dataValidation type="list" allowBlank="1" showInputMessage="1" showErrorMessage="1" sqref="C38 C100 C68 C117">
      <formula1>$N$3908:$N$3928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Récapitulatif</vt:lpstr>
      <vt:lpstr>Feuil5</vt:lpstr>
      <vt:lpstr>Donateurs</vt:lpstr>
      <vt:lpstr>DATA  FEVR</vt:lpstr>
      <vt:lpstr>Compte Principal 34 BCI</vt:lpstr>
      <vt:lpstr>Rapprochement Bancaire Cpte 34</vt:lpstr>
      <vt:lpstr>Sous-Compte 56 BCI</vt:lpstr>
      <vt:lpstr>Rapprochement Bancaire Cpte 56</vt:lpstr>
      <vt:lpstr>CAISSE Fev 21</vt:lpstr>
      <vt:lpstr>'Sous-Compte 56 BCI'!_GoBack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2021-03-06T00:57:57Z</cp:lastPrinted>
  <dcterms:created xsi:type="dcterms:W3CDTF">2020-09-02T13:35:58Z</dcterms:created>
  <dcterms:modified xsi:type="dcterms:W3CDTF">2021-04-08T15:22:58Z</dcterms:modified>
</cp:coreProperties>
</file>