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tiffa\Downloads\"/>
    </mc:Choice>
  </mc:AlternateContent>
  <xr:revisionPtr revIDLastSave="0" documentId="8_{E72433BD-F830-4322-B4BC-840639C0CDDA}" xr6:coauthVersionLast="47" xr6:coauthVersionMax="47" xr10:uidLastSave="{00000000-0000-0000-0000-000000000000}"/>
  <bookViews>
    <workbookView xWindow="-120" yWindow="-120" windowWidth="20730" windowHeight="11160" firstSheet="5" activeTab="7" xr2:uid="{00000000-000D-0000-FFFF-FFFF00000000}"/>
  </bookViews>
  <sheets>
    <sheet name="Récapitulatif" sheetId="16" r:id="rId1"/>
    <sheet name="Donateurs" sheetId="92" r:id="rId2"/>
    <sheet name="Sheet4" sheetId="94" r:id="rId3"/>
    <sheet name="DATA  AVRIL " sheetId="77" r:id="rId4"/>
    <sheet name="Compte Principal 34 BCI" sheetId="79" r:id="rId5"/>
    <sheet name="Rapprochement Bancaire Cpte 34" sheetId="80" r:id="rId6"/>
    <sheet name="Sous-Compte 56 BCI" sheetId="81" r:id="rId7"/>
    <sheet name="Rapprochement Bancaire Cpte 56" sheetId="82" r:id="rId8"/>
    <sheet name="CAISSE Avril  21" sheetId="8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8" hidden="1">'CAISSE Avril  21'!$A$11:$M$105</definedName>
    <definedName name="_xlnm._FilterDatabase" localSheetId="3" hidden="1">'DATA  AVRIL '!$A$11:$GT$279</definedName>
    <definedName name="_GoBack" localSheetId="6">'Sous-Compte 56 BCI'!#REF!</definedName>
    <definedName name="Départements">[1]Feuil6!$G$6:$G$14</definedName>
    <definedName name="Dépenses">[1]Feuil6!$A$6:$A$25</definedName>
  </definedNames>
  <calcPr calcId="191029"/>
  <pivotCaches>
    <pivotCache cacheId="1" r:id="rId37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94" l="1"/>
  <c r="AW8" i="94"/>
  <c r="AW9" i="94"/>
  <c r="AW10" i="94"/>
  <c r="AW11" i="94"/>
  <c r="AW12" i="94"/>
  <c r="AW13" i="94"/>
  <c r="AW14" i="94"/>
  <c r="AW15" i="94"/>
  <c r="AW16" i="94"/>
  <c r="AW17" i="94"/>
  <c r="AW18" i="94"/>
  <c r="AW19" i="94"/>
  <c r="AW20" i="94"/>
  <c r="AW21" i="94"/>
  <c r="AW22" i="94"/>
  <c r="AW6" i="94"/>
  <c r="AU7" i="94"/>
  <c r="AV7" i="94" s="1"/>
  <c r="AU8" i="94"/>
  <c r="AV8" i="94" s="1"/>
  <c r="AU9" i="94"/>
  <c r="AV9" i="94" s="1"/>
  <c r="AU10" i="94"/>
  <c r="AV10" i="94" s="1"/>
  <c r="AU11" i="94"/>
  <c r="AV11" i="94" s="1"/>
  <c r="AU12" i="94"/>
  <c r="AV12" i="94" s="1"/>
  <c r="AU13" i="94"/>
  <c r="AV13" i="94" s="1"/>
  <c r="AU14" i="94"/>
  <c r="AV14" i="94" s="1"/>
  <c r="AU15" i="94"/>
  <c r="AV15" i="94" s="1"/>
  <c r="AU16" i="94"/>
  <c r="AV16" i="94" s="1"/>
  <c r="AU17" i="94"/>
  <c r="AV17" i="94" s="1"/>
  <c r="AU18" i="94"/>
  <c r="AV18" i="94" s="1"/>
  <c r="AU19" i="94"/>
  <c r="AV19" i="94" s="1"/>
  <c r="AU20" i="94"/>
  <c r="AV20" i="94" s="1"/>
  <c r="AU21" i="94"/>
  <c r="AV21" i="94" s="1"/>
  <c r="AU22" i="94"/>
  <c r="AV22" i="94" s="1"/>
  <c r="AU6" i="94"/>
  <c r="AV6" i="94" s="1"/>
  <c r="AT7" i="94"/>
  <c r="AT8" i="94"/>
  <c r="AT9" i="94"/>
  <c r="AT10" i="94"/>
  <c r="AT11" i="94"/>
  <c r="AT12" i="94"/>
  <c r="AT13" i="94"/>
  <c r="AT14" i="94"/>
  <c r="AT15" i="94"/>
  <c r="AT16" i="94"/>
  <c r="AT17" i="94"/>
  <c r="AT18" i="94"/>
  <c r="AT19" i="94"/>
  <c r="AT20" i="94"/>
  <c r="AT21" i="94"/>
  <c r="AT22" i="94"/>
  <c r="AT6" i="94"/>
  <c r="F100" i="83" l="1"/>
  <c r="F99" i="83"/>
  <c r="F98" i="83"/>
  <c r="F96" i="83"/>
  <c r="F95" i="83"/>
  <c r="F93" i="83"/>
  <c r="E12" i="83"/>
  <c r="G12" i="83" s="1"/>
  <c r="G13" i="83" s="1"/>
  <c r="G14" i="83" s="1"/>
  <c r="G15" i="83" s="1"/>
  <c r="G16" i="83" s="1"/>
  <c r="G17" i="83" s="1"/>
  <c r="G18" i="83" s="1"/>
  <c r="G19" i="83" s="1"/>
  <c r="G20" i="83" s="1"/>
  <c r="G21" i="83" s="1"/>
  <c r="G22" i="83" s="1"/>
  <c r="G23" i="83" s="1"/>
  <c r="G24" i="83" s="1"/>
  <c r="G25" i="83" s="1"/>
  <c r="G26" i="83" s="1"/>
  <c r="G27" i="83" s="1"/>
  <c r="G28" i="83" s="1"/>
  <c r="G29" i="83" s="1"/>
  <c r="G30" i="83" s="1"/>
  <c r="G31" i="83" s="1"/>
  <c r="G32" i="83" s="1"/>
  <c r="G33" i="83" s="1"/>
  <c r="G34" i="83" s="1"/>
  <c r="G35" i="83" s="1"/>
  <c r="G36" i="83" s="1"/>
  <c r="G37" i="83" s="1"/>
  <c r="G38" i="83" s="1"/>
  <c r="G39" i="83" s="1"/>
  <c r="G40" i="83" s="1"/>
  <c r="G41" i="83" s="1"/>
  <c r="G42" i="83" s="1"/>
  <c r="G43" i="83" s="1"/>
  <c r="G44" i="83" s="1"/>
  <c r="G45" i="83" s="1"/>
  <c r="G46" i="83" s="1"/>
  <c r="G47" i="83" s="1"/>
  <c r="G48" i="83" s="1"/>
  <c r="G49" i="83" s="1"/>
  <c r="G50" i="83" s="1"/>
  <c r="G51" i="83" s="1"/>
  <c r="G52" i="83" s="1"/>
  <c r="G53" i="83" s="1"/>
  <c r="G54" i="83" s="1"/>
  <c r="G55" i="83" s="1"/>
  <c r="G56" i="83" s="1"/>
  <c r="G57" i="83" s="1"/>
  <c r="G58" i="83" s="1"/>
  <c r="G59" i="83" s="1"/>
  <c r="G60" i="83" s="1"/>
  <c r="G61" i="83" s="1"/>
  <c r="G62" i="83" s="1"/>
  <c r="G63" i="83" s="1"/>
  <c r="G64" i="83" s="1"/>
  <c r="G65" i="83" s="1"/>
  <c r="G66" i="83" s="1"/>
  <c r="G67" i="83" s="1"/>
  <c r="G68" i="83" s="1"/>
  <c r="G69" i="83" s="1"/>
  <c r="G70" i="83" s="1"/>
  <c r="G71" i="83" s="1"/>
  <c r="G72" i="83" s="1"/>
  <c r="G73" i="83" s="1"/>
  <c r="G74" i="83" s="1"/>
  <c r="G75" i="83" s="1"/>
  <c r="G76" i="83" s="1"/>
  <c r="G77" i="83" s="1"/>
  <c r="G78" i="83" s="1"/>
  <c r="G79" i="83" s="1"/>
  <c r="G80" i="83" s="1"/>
  <c r="G81" i="83" s="1"/>
  <c r="G82" i="83" s="1"/>
  <c r="G83" i="83" s="1"/>
  <c r="G84" i="83" s="1"/>
  <c r="G85" i="83" s="1"/>
  <c r="G86" i="83" s="1"/>
  <c r="G87" i="83" s="1"/>
  <c r="G88" i="83" s="1"/>
  <c r="G89" i="83" s="1"/>
  <c r="G90" i="83" s="1"/>
  <c r="G91" i="83" s="1"/>
  <c r="G92" i="83" s="1"/>
  <c r="G93" i="83" l="1"/>
  <c r="G94" i="83" s="1"/>
  <c r="G95" i="83" s="1"/>
  <c r="G96" i="83" s="1"/>
  <c r="G97" i="83" s="1"/>
  <c r="G98" i="83" s="1"/>
  <c r="G99" i="83" s="1"/>
  <c r="G100" i="83" s="1"/>
  <c r="G101" i="83" s="1"/>
  <c r="G102" i="83" s="1"/>
  <c r="G103" i="83" s="1"/>
  <c r="H15" i="81"/>
  <c r="H16" i="79" l="1"/>
  <c r="J16" i="79" s="1"/>
  <c r="J17" i="79" s="1"/>
  <c r="J18" i="79" s="1"/>
  <c r="J19" i="79" s="1"/>
  <c r="J20" i="79" s="1"/>
  <c r="J21" i="79" s="1"/>
  <c r="J22" i="79" s="1"/>
  <c r="J23" i="79" s="1"/>
  <c r="J24" i="79" s="1"/>
  <c r="J25" i="79" s="1"/>
  <c r="J26" i="79" s="1"/>
  <c r="H18" i="16" l="1"/>
  <c r="H17" i="16" l="1"/>
  <c r="H16" i="16" l="1"/>
  <c r="H15" i="16" l="1"/>
  <c r="H14" i="16" l="1"/>
  <c r="H11" i="16" l="1"/>
  <c r="H9" i="16" l="1"/>
  <c r="H8" i="16" l="1"/>
  <c r="H7" i="16" l="1"/>
  <c r="H6" i="16" l="1"/>
  <c r="H5" i="16" l="1"/>
  <c r="C18" i="16" l="1"/>
  <c r="C17" i="16"/>
  <c r="C41" i="16" s="1"/>
  <c r="J41" i="16" s="1"/>
  <c r="C16" i="16"/>
  <c r="C40" i="16" s="1"/>
  <c r="J40" i="16" s="1"/>
  <c r="C15" i="16"/>
  <c r="C39" i="16" s="1"/>
  <c r="J39" i="16" s="1"/>
  <c r="C14" i="16"/>
  <c r="C13" i="16"/>
  <c r="C37" i="16" s="1"/>
  <c r="J37" i="16" s="1"/>
  <c r="C12" i="16"/>
  <c r="C36" i="16" s="1"/>
  <c r="J36" i="16" s="1"/>
  <c r="C11" i="16"/>
  <c r="C35" i="16" s="1"/>
  <c r="J35" i="16" s="1"/>
  <c r="C10" i="16"/>
  <c r="C9" i="16"/>
  <c r="C8" i="16"/>
  <c r="C32" i="16" s="1"/>
  <c r="C7" i="16"/>
  <c r="C31" i="16" s="1"/>
  <c r="C6" i="16"/>
  <c r="C5" i="16"/>
  <c r="C44" i="16" s="1"/>
  <c r="J44" i="16" s="1"/>
  <c r="C4" i="16"/>
  <c r="C47" i="16" s="1"/>
  <c r="J47" i="16" s="1"/>
  <c r="C3" i="16"/>
  <c r="C46" i="16" s="1"/>
  <c r="J46" i="16" s="1"/>
  <c r="C42" i="16"/>
  <c r="C38" i="16"/>
  <c r="J38" i="16" s="1"/>
  <c r="C34" i="16"/>
  <c r="C33" i="16"/>
  <c r="J33" i="16" s="1"/>
  <c r="C30" i="16"/>
  <c r="J30" i="16" s="1"/>
  <c r="I48" i="16"/>
  <c r="J34" i="16"/>
  <c r="C48" i="16" l="1"/>
  <c r="J32" i="16"/>
  <c r="J31" i="16"/>
  <c r="J42" i="16"/>
  <c r="F222" i="77"/>
  <c r="F219" i="77"/>
  <c r="F218" i="77"/>
  <c r="F183" i="77"/>
  <c r="F178" i="77"/>
  <c r="F170" i="77"/>
  <c r="F157" i="77"/>
  <c r="F131" i="77"/>
  <c r="F78" i="77"/>
  <c r="J48" i="16" l="1"/>
  <c r="F251" i="77" l="1"/>
  <c r="F250" i="77"/>
  <c r="F249" i="77"/>
  <c r="F239" i="77"/>
  <c r="F238" i="77"/>
  <c r="F237" i="77"/>
  <c r="C2" i="77" l="1"/>
  <c r="G12" i="77" s="1"/>
  <c r="G13" i="77" s="1"/>
  <c r="G14" i="77" s="1"/>
  <c r="G15" i="77" s="1"/>
  <c r="G16" i="77" s="1"/>
  <c r="G17" i="77" s="1"/>
  <c r="G18" i="77" s="1"/>
  <c r="G19" i="77" s="1"/>
  <c r="G20" i="77" s="1"/>
  <c r="G21" i="77" s="1"/>
  <c r="G22" i="77" s="1"/>
  <c r="G23" i="77" s="1"/>
  <c r="G24" i="77" s="1"/>
  <c r="G25" i="77" s="1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G41" i="77" s="1"/>
  <c r="G42" i="77" s="1"/>
  <c r="G43" i="77" s="1"/>
  <c r="G44" i="77" s="1"/>
  <c r="G45" i="77" s="1"/>
  <c r="G46" i="77" s="1"/>
  <c r="G47" i="77" s="1"/>
  <c r="G48" i="77" s="1"/>
  <c r="G49" i="77" s="1"/>
  <c r="G50" i="77" s="1"/>
  <c r="G51" i="77" s="1"/>
  <c r="G52" i="77" s="1"/>
  <c r="G53" i="77" s="1"/>
  <c r="G54" i="77" s="1"/>
  <c r="G55" i="77" s="1"/>
  <c r="G56" i="77" s="1"/>
  <c r="G57" i="77" s="1"/>
  <c r="G58" i="77" s="1"/>
  <c r="G59" i="77" s="1"/>
  <c r="G60" i="77" s="1"/>
  <c r="G61" i="77" s="1"/>
  <c r="G62" i="77" s="1"/>
  <c r="G63" i="77" s="1"/>
  <c r="G64" i="77" s="1"/>
  <c r="G65" i="77" s="1"/>
  <c r="G66" i="77" s="1"/>
  <c r="G67" i="77" s="1"/>
  <c r="G68" i="77" s="1"/>
  <c r="G69" i="77" s="1"/>
  <c r="G70" i="77" s="1"/>
  <c r="G71" i="77" s="1"/>
  <c r="G72" i="77" s="1"/>
  <c r="G73" i="77" s="1"/>
  <c r="G74" i="77" s="1"/>
  <c r="G75" i="77" s="1"/>
  <c r="G76" i="77" s="1"/>
  <c r="G77" i="77" s="1"/>
  <c r="G78" i="77" s="1"/>
  <c r="G79" i="77" s="1"/>
  <c r="G80" i="77" s="1"/>
  <c r="G81" i="77" s="1"/>
  <c r="G82" i="77" s="1"/>
  <c r="G83" i="77" s="1"/>
  <c r="G84" i="77" s="1"/>
  <c r="G85" i="77" s="1"/>
  <c r="G86" i="77" s="1"/>
  <c r="G87" i="77" s="1"/>
  <c r="G88" i="77" s="1"/>
  <c r="G89" i="77" s="1"/>
  <c r="G90" i="77" s="1"/>
  <c r="G91" i="77" s="1"/>
  <c r="G92" i="77" s="1"/>
  <c r="G93" i="77" s="1"/>
  <c r="G94" i="77" s="1"/>
  <c r="G95" i="77" s="1"/>
  <c r="G96" i="77" s="1"/>
  <c r="G97" i="77" s="1"/>
  <c r="G98" i="77" s="1"/>
  <c r="G99" i="77" s="1"/>
  <c r="G100" i="77" s="1"/>
  <c r="G101" i="77" s="1"/>
  <c r="G102" i="77" s="1"/>
  <c r="G103" i="77" s="1"/>
  <c r="G104" i="77" s="1"/>
  <c r="G105" i="77" s="1"/>
  <c r="G106" i="77" s="1"/>
  <c r="G107" i="77" s="1"/>
  <c r="G108" i="77" s="1"/>
  <c r="G109" i="77" s="1"/>
  <c r="G110" i="77" s="1"/>
  <c r="G111" i="77" s="1"/>
  <c r="G112" i="77" s="1"/>
  <c r="G113" i="77" s="1"/>
  <c r="G114" i="77" s="1"/>
  <c r="G115" i="77" s="1"/>
  <c r="G116" i="77" s="1"/>
  <c r="G117" i="77" s="1"/>
  <c r="G118" i="77" s="1"/>
  <c r="G119" i="77" s="1"/>
  <c r="G120" i="77" s="1"/>
  <c r="G121" i="77" s="1"/>
  <c r="G122" i="77" s="1"/>
  <c r="G123" i="77" s="1"/>
  <c r="G124" i="77" s="1"/>
  <c r="G125" i="77" s="1"/>
  <c r="G126" i="77" s="1"/>
  <c r="G127" i="77" s="1"/>
  <c r="G128" i="77" s="1"/>
  <c r="G129" i="77" s="1"/>
  <c r="G130" i="77" s="1"/>
  <c r="G131" i="77" s="1"/>
  <c r="G132" i="77" s="1"/>
  <c r="G133" i="77" s="1"/>
  <c r="G134" i="77" s="1"/>
  <c r="G135" i="77" s="1"/>
  <c r="G136" i="77" s="1"/>
  <c r="G137" i="77" s="1"/>
  <c r="G138" i="77" s="1"/>
  <c r="G139" i="77" s="1"/>
  <c r="G140" i="77" s="1"/>
  <c r="G141" i="77" s="1"/>
  <c r="G142" i="77" s="1"/>
  <c r="G143" i="77" s="1"/>
  <c r="G144" i="77" s="1"/>
  <c r="G145" i="77" s="1"/>
  <c r="G146" i="77" s="1"/>
  <c r="G147" i="77" s="1"/>
  <c r="G148" i="77" s="1"/>
  <c r="G149" i="77" s="1"/>
  <c r="G150" i="77" s="1"/>
  <c r="G151" i="77" s="1"/>
  <c r="G152" i="77" s="1"/>
  <c r="G153" i="77" s="1"/>
  <c r="G154" i="77" s="1"/>
  <c r="G155" i="77" s="1"/>
  <c r="G156" i="77" s="1"/>
  <c r="G157" i="77" s="1"/>
  <c r="G158" i="77" s="1"/>
  <c r="G159" i="77" s="1"/>
  <c r="G160" i="77" s="1"/>
  <c r="G161" i="77" s="1"/>
  <c r="G162" i="77" s="1"/>
  <c r="G163" i="77" s="1"/>
  <c r="G164" i="77" s="1"/>
  <c r="G165" i="77" s="1"/>
  <c r="G166" i="77" s="1"/>
  <c r="G167" i="77" s="1"/>
  <c r="G168" i="77" s="1"/>
  <c r="G169" i="77" s="1"/>
  <c r="G170" i="77" s="1"/>
  <c r="G171" i="77" s="1"/>
  <c r="G172" i="77" s="1"/>
  <c r="G173" i="77" s="1"/>
  <c r="G174" i="77" s="1"/>
  <c r="G175" i="77" s="1"/>
  <c r="G176" i="77" s="1"/>
  <c r="G177" i="77" s="1"/>
  <c r="G178" i="77" s="1"/>
  <c r="G179" i="77" s="1"/>
  <c r="G180" i="77" s="1"/>
  <c r="G181" i="77" s="1"/>
  <c r="G182" i="77" s="1"/>
  <c r="G183" i="77" s="1"/>
  <c r="G184" i="77" s="1"/>
  <c r="G185" i="77" s="1"/>
  <c r="G186" i="77" s="1"/>
  <c r="G187" i="77" s="1"/>
  <c r="G188" i="77" s="1"/>
  <c r="G189" i="77" s="1"/>
  <c r="G190" i="77" s="1"/>
  <c r="G191" i="77" s="1"/>
  <c r="G192" i="77" s="1"/>
  <c r="G193" i="77" s="1"/>
  <c r="G194" i="77" s="1"/>
  <c r="G195" i="77" s="1"/>
  <c r="G196" i="77" s="1"/>
  <c r="G197" i="77" s="1"/>
  <c r="G198" i="77" s="1"/>
  <c r="G199" i="77" s="1"/>
  <c r="G200" i="77" s="1"/>
  <c r="G201" i="77" s="1"/>
  <c r="G202" i="77" s="1"/>
  <c r="G203" i="77" s="1"/>
  <c r="G204" i="77" s="1"/>
  <c r="G205" i="77" s="1"/>
  <c r="G206" i="77" s="1"/>
  <c r="G207" i="77" s="1"/>
  <c r="G208" i="77" s="1"/>
  <c r="G209" i="77" s="1"/>
  <c r="G210" i="77" s="1"/>
  <c r="G211" i="77" s="1"/>
  <c r="G212" i="77" s="1"/>
  <c r="G213" i="77" s="1"/>
  <c r="G214" i="77" s="1"/>
  <c r="G215" i="77" s="1"/>
  <c r="G216" i="77" s="1"/>
  <c r="G217" i="77" s="1"/>
  <c r="G218" i="77" s="1"/>
  <c r="G219" i="77" s="1"/>
  <c r="G220" i="77" s="1"/>
  <c r="G221" i="77" s="1"/>
  <c r="G222" i="77" s="1"/>
  <c r="G223" i="77" s="1"/>
  <c r="G224" i="77" s="1"/>
  <c r="G225" i="77" s="1"/>
  <c r="G226" i="77" s="1"/>
  <c r="G227" i="77" s="1"/>
  <c r="G228" i="77" s="1"/>
  <c r="G229" i="77" s="1"/>
  <c r="G230" i="77" s="1"/>
  <c r="G231" i="77" s="1"/>
  <c r="G232" i="77" s="1"/>
  <c r="G233" i="77" s="1"/>
  <c r="G234" i="77" s="1"/>
  <c r="G235" i="77" s="1"/>
  <c r="G236" i="77" s="1"/>
  <c r="G237" i="77" s="1"/>
  <c r="G238" i="77" s="1"/>
  <c r="G239" i="77" s="1"/>
  <c r="G240" i="77" s="1"/>
  <c r="G241" i="77" s="1"/>
  <c r="G242" i="77" s="1"/>
  <c r="G243" i="77" s="1"/>
  <c r="G244" i="77" s="1"/>
  <c r="G245" i="77" s="1"/>
  <c r="G246" i="77" s="1"/>
  <c r="G247" i="77" s="1"/>
  <c r="G248" i="77" s="1"/>
  <c r="G249" i="77" s="1"/>
  <c r="G250" i="77" s="1"/>
  <c r="G251" i="77" s="1"/>
  <c r="G252" i="77" s="1"/>
  <c r="G253" i="77" s="1"/>
  <c r="G254" i="77" s="1"/>
  <c r="G255" i="77" s="1"/>
  <c r="G256" i="77" s="1"/>
  <c r="G257" i="77" s="1"/>
  <c r="G258" i="77" s="1"/>
  <c r="G259" i="77" s="1"/>
  <c r="G260" i="77" s="1"/>
  <c r="G261" i="77" s="1"/>
  <c r="G262" i="77" s="1"/>
  <c r="G263" i="77" s="1"/>
  <c r="G264" i="77" s="1"/>
  <c r="G265" i="77" s="1"/>
  <c r="G266" i="77" s="1"/>
  <c r="G267" i="77" s="1"/>
  <c r="G268" i="77" s="1"/>
  <c r="G269" i="77" s="1"/>
  <c r="G270" i="77" s="1"/>
  <c r="G271" i="77" s="1"/>
  <c r="G272" i="77" s="1"/>
  <c r="G273" i="77" s="1"/>
  <c r="G274" i="77" s="1"/>
  <c r="G275" i="77" s="1"/>
  <c r="G276" i="77" s="1"/>
  <c r="G277" i="77" s="1"/>
  <c r="G278" i="77" s="1"/>
  <c r="F104" i="83" l="1"/>
  <c r="F70" i="16"/>
  <c r="H70" i="16"/>
  <c r="F61" i="16"/>
  <c r="H60" i="16"/>
  <c r="F59" i="16"/>
  <c r="I76" i="16"/>
  <c r="H10" i="16" l="1"/>
  <c r="C6" i="83" l="1"/>
  <c r="E104" i="83"/>
  <c r="G104" i="83" s="1"/>
  <c r="C5" i="83" l="1"/>
  <c r="C7" i="83" s="1"/>
  <c r="I34" i="82" l="1"/>
  <c r="N32" i="82"/>
  <c r="M32" i="82"/>
  <c r="G32" i="82"/>
  <c r="I18" i="82"/>
  <c r="J13" i="82"/>
  <c r="J11" i="82"/>
  <c r="I36" i="81"/>
  <c r="J15" i="81"/>
  <c r="J16" i="81" s="1"/>
  <c r="J17" i="81" s="1"/>
  <c r="J18" i="81" s="1"/>
  <c r="J19" i="81" s="1"/>
  <c r="J20" i="81" s="1"/>
  <c r="J21" i="81" s="1"/>
  <c r="J22" i="81" s="1"/>
  <c r="J23" i="81" s="1"/>
  <c r="J24" i="81" s="1"/>
  <c r="J25" i="81" s="1"/>
  <c r="J26" i="81" s="1"/>
  <c r="J27" i="81" s="1"/>
  <c r="J28" i="81" s="1"/>
  <c r="J29" i="81" s="1"/>
  <c r="J30" i="81" s="1"/>
  <c r="J31" i="81" s="1"/>
  <c r="J32" i="81" s="1"/>
  <c r="J33" i="81" s="1"/>
  <c r="J34" i="81" s="1"/>
  <c r="I34" i="80"/>
  <c r="N32" i="80"/>
  <c r="N36" i="80" s="1"/>
  <c r="M32" i="80"/>
  <c r="G32" i="80"/>
  <c r="I18" i="80"/>
  <c r="J13" i="80"/>
  <c r="J11" i="80"/>
  <c r="I27" i="79"/>
  <c r="K34" i="82" l="1"/>
  <c r="M34" i="82"/>
  <c r="M36" i="82" s="1"/>
  <c r="N36" i="82"/>
  <c r="H35" i="81"/>
  <c r="H37" i="81" s="1"/>
  <c r="K34" i="80"/>
  <c r="M34" i="80"/>
  <c r="M36" i="80" s="1"/>
  <c r="H27" i="79"/>
  <c r="H29" i="79" s="1"/>
  <c r="H4" i="16" l="1"/>
  <c r="F18" i="82"/>
  <c r="F32" i="82" s="1"/>
  <c r="F18" i="80"/>
  <c r="F32" i="80" s="1"/>
  <c r="F36" i="80" s="1"/>
  <c r="H3" i="16"/>
  <c r="F36" i="82" l="1"/>
  <c r="G34" i="82"/>
  <c r="D34" i="82"/>
  <c r="G34" i="80"/>
  <c r="D34" i="80"/>
  <c r="J70" i="16"/>
  <c r="J69" i="16"/>
  <c r="J68" i="16"/>
  <c r="J67" i="16"/>
  <c r="J66" i="16"/>
  <c r="J65" i="16"/>
  <c r="J64" i="16"/>
  <c r="J63" i="16"/>
  <c r="J62" i="16"/>
  <c r="J61" i="16"/>
  <c r="J60" i="16"/>
  <c r="J59" i="16"/>
  <c r="J72" i="16"/>
  <c r="J75" i="16"/>
  <c r="J74" i="16"/>
  <c r="G36" i="80" l="1"/>
  <c r="G38" i="80"/>
  <c r="G38" i="82"/>
  <c r="G36" i="82"/>
  <c r="J58" i="16"/>
  <c r="J76" i="16" s="1"/>
  <c r="C76" i="16"/>
  <c r="I105" i="16" l="1"/>
  <c r="J99" i="16"/>
  <c r="J85" i="16" l="1"/>
  <c r="J98" i="16" l="1"/>
  <c r="J97" i="16"/>
  <c r="J96" i="16"/>
  <c r="J95" i="16"/>
  <c r="J94" i="16"/>
  <c r="J93" i="16"/>
  <c r="J92" i="16"/>
  <c r="J91" i="16"/>
  <c r="J90" i="16"/>
  <c r="J89" i="16"/>
  <c r="J88" i="16"/>
  <c r="J87" i="16"/>
  <c r="C101" i="16"/>
  <c r="J101" i="16" s="1"/>
  <c r="C104" i="16"/>
  <c r="J104" i="16" s="1"/>
  <c r="C103" i="16"/>
  <c r="J103" i="16" s="1"/>
  <c r="C132" i="16"/>
  <c r="J86" i="16" l="1"/>
  <c r="J105" i="16" s="1"/>
  <c r="C105" i="16"/>
  <c r="J145" i="16" l="1"/>
  <c r="J126" i="16" l="1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28" i="16"/>
  <c r="J131" i="16"/>
  <c r="J130" i="16"/>
  <c r="I132" i="16"/>
  <c r="J113" i="16" l="1"/>
  <c r="J132" i="16" s="1"/>
  <c r="C6" i="77" l="1"/>
  <c r="C5" i="77"/>
  <c r="I160" i="16"/>
  <c r="J153" i="16" l="1"/>
  <c r="J150" i="16" l="1"/>
  <c r="J146" i="16"/>
  <c r="J142" i="16"/>
  <c r="J156" i="16"/>
  <c r="J158" i="16"/>
  <c r="J159" i="16"/>
  <c r="J152" i="16"/>
  <c r="J151" i="16"/>
  <c r="J149" i="16"/>
  <c r="J148" i="16"/>
  <c r="J147" i="16"/>
  <c r="J144" i="16"/>
  <c r="J143" i="16"/>
  <c r="J141" i="16"/>
  <c r="G16" i="16"/>
  <c r="G17" i="16"/>
  <c r="G18" i="16"/>
  <c r="A18" i="16"/>
  <c r="A11" i="16"/>
  <c r="F17" i="16" l="1"/>
  <c r="F18" i="16"/>
  <c r="J154" i="16"/>
  <c r="J160" i="16" s="1"/>
  <c r="K160" i="16" s="1"/>
  <c r="C19" i="16"/>
  <c r="C77" i="16" l="1"/>
  <c r="C49" i="16"/>
  <c r="D18" i="16"/>
  <c r="J177" i="16"/>
  <c r="F16" i="16" l="1"/>
  <c r="D17" i="16"/>
  <c r="J178" i="16"/>
  <c r="A17" i="16"/>
  <c r="J176" i="16"/>
  <c r="J175" i="16"/>
  <c r="J174" i="16"/>
  <c r="J173" i="16"/>
  <c r="J172" i="16"/>
  <c r="J171" i="16"/>
  <c r="J170" i="16"/>
  <c r="J169" i="16"/>
  <c r="J168" i="16"/>
  <c r="J182" i="16"/>
  <c r="J185" i="16"/>
  <c r="J184" i="16"/>
  <c r="D16" i="16" l="1"/>
  <c r="J180" i="16"/>
  <c r="J179" i="16"/>
  <c r="A16" i="16"/>
  <c r="J186" i="16" l="1"/>
  <c r="J204" i="16" l="1"/>
  <c r="F194" i="16" l="1"/>
  <c r="J228" i="16"/>
  <c r="J231" i="16"/>
  <c r="J212" i="16"/>
  <c r="J211" i="16"/>
  <c r="J210" i="16"/>
  <c r="C203" i="16" l="1"/>
  <c r="J203" i="16" s="1"/>
  <c r="C202" i="16"/>
  <c r="J202" i="16" s="1"/>
  <c r="C201" i="16"/>
  <c r="J201" i="16" s="1"/>
  <c r="C200" i="16"/>
  <c r="J200" i="16" s="1"/>
  <c r="C199" i="16"/>
  <c r="J199" i="16" s="1"/>
  <c r="C198" i="16"/>
  <c r="J198" i="16" s="1"/>
  <c r="C197" i="16"/>
  <c r="J197" i="16" s="1"/>
  <c r="C196" i="16"/>
  <c r="J196" i="16" s="1"/>
  <c r="C195" i="16"/>
  <c r="J195" i="16" s="1"/>
  <c r="C194" i="16"/>
  <c r="J194" i="16" s="1"/>
  <c r="C206" i="16"/>
  <c r="J206" i="16" s="1"/>
  <c r="C209" i="16"/>
  <c r="J209" i="16" s="1"/>
  <c r="C208" i="16" l="1"/>
  <c r="J208" i="16" s="1"/>
  <c r="J213" i="16" s="1"/>
  <c r="A22" i="16" l="1"/>
  <c r="H19" i="16" l="1"/>
  <c r="J239" i="16" l="1"/>
  <c r="J238" i="16"/>
  <c r="J237" i="16"/>
  <c r="J290" i="16"/>
  <c r="J263" i="16"/>
  <c r="J262" i="16"/>
  <c r="J260" i="16"/>
  <c r="E258" i="16"/>
  <c r="J258" i="16" s="1"/>
  <c r="E257" i="16"/>
  <c r="J257" i="16" s="1"/>
  <c r="E255" i="16"/>
  <c r="J255" i="16" s="1"/>
  <c r="H254" i="16"/>
  <c r="E254" i="16"/>
  <c r="F253" i="16"/>
  <c r="E253" i="16"/>
  <c r="E252" i="16"/>
  <c r="J252" i="16" s="1"/>
  <c r="I251" i="16"/>
  <c r="H251" i="16"/>
  <c r="E251" i="16"/>
  <c r="I250" i="16"/>
  <c r="E250" i="16"/>
  <c r="H249" i="16"/>
  <c r="E249" i="16"/>
  <c r="I248" i="16"/>
  <c r="J240" i="16"/>
  <c r="J224" i="16"/>
  <c r="G15" i="16"/>
  <c r="A15" i="16"/>
  <c r="G14" i="16"/>
  <c r="A14" i="16"/>
  <c r="G13" i="16"/>
  <c r="A13" i="16"/>
  <c r="G12" i="16"/>
  <c r="A12" i="16"/>
  <c r="G11" i="16"/>
  <c r="G10" i="16"/>
  <c r="A10" i="16"/>
  <c r="G9" i="16"/>
  <c r="A9" i="16"/>
  <c r="G8" i="16"/>
  <c r="A8" i="16"/>
  <c r="G7" i="16"/>
  <c r="A7" i="16"/>
  <c r="G6" i="16"/>
  <c r="A6" i="16"/>
  <c r="G5" i="16"/>
  <c r="A5" i="16"/>
  <c r="G4" i="16"/>
  <c r="J236" i="16"/>
  <c r="A4" i="16"/>
  <c r="G3" i="16"/>
  <c r="F3" i="16" s="1"/>
  <c r="A3" i="16"/>
  <c r="F5" i="16" l="1"/>
  <c r="F4" i="16"/>
  <c r="F7" i="16"/>
  <c r="F13" i="16"/>
  <c r="F15" i="16"/>
  <c r="F6" i="16"/>
  <c r="F8" i="16"/>
  <c r="F10" i="16"/>
  <c r="F9" i="16"/>
  <c r="F11" i="16"/>
  <c r="F12" i="16"/>
  <c r="F14" i="16"/>
  <c r="G19" i="16"/>
  <c r="B224" i="16"/>
  <c r="B228" i="16"/>
  <c r="B229" i="16"/>
  <c r="B222" i="16"/>
  <c r="B225" i="16"/>
  <c r="B226" i="16"/>
  <c r="B223" i="16"/>
  <c r="B227" i="16"/>
  <c r="J223" i="16"/>
  <c r="I265" i="16"/>
  <c r="J250" i="16"/>
  <c r="J233" i="16"/>
  <c r="J249" i="16"/>
  <c r="J221" i="16"/>
  <c r="J227" i="16"/>
  <c r="J222" i="16"/>
  <c r="J235" i="16"/>
  <c r="J230" i="16"/>
  <c r="J253" i="16"/>
  <c r="J251" i="16"/>
  <c r="J254" i="16"/>
  <c r="J248" i="16"/>
  <c r="D3" i="16" l="1"/>
  <c r="D12" i="16"/>
  <c r="B22" i="16"/>
  <c r="D9" i="16"/>
  <c r="D15" i="16"/>
  <c r="D4" i="16"/>
  <c r="D5" i="16"/>
  <c r="D11" i="16"/>
  <c r="D6" i="16"/>
  <c r="D8" i="16"/>
  <c r="D7" i="16"/>
  <c r="D14" i="16"/>
  <c r="D10" i="16"/>
  <c r="D13" i="16"/>
  <c r="F19" i="16"/>
  <c r="J226" i="16"/>
  <c r="J225" i="16"/>
  <c r="J229" i="16"/>
  <c r="C256" i="16"/>
  <c r="D19" i="16" l="1"/>
  <c r="G21" i="16" s="1"/>
  <c r="J241" i="16"/>
  <c r="C265" i="16"/>
  <c r="J256" i="16"/>
  <c r="J265" i="16" s="1"/>
  <c r="C7" i="77" l="1"/>
  <c r="E5" i="16" l="1"/>
  <c r="I5" i="16" s="1"/>
  <c r="K44" i="16" s="1"/>
  <c r="E4" i="16"/>
  <c r="I4" i="16" s="1"/>
  <c r="E10" i="16"/>
  <c r="I10" i="16" s="1"/>
  <c r="E15" i="16"/>
  <c r="I15" i="16" s="1"/>
  <c r="E16" i="16"/>
  <c r="I16" i="16" s="1"/>
  <c r="E13" i="16"/>
  <c r="I13" i="16" s="1"/>
  <c r="E11" i="16"/>
  <c r="I11" i="16" s="1"/>
  <c r="E12" i="16"/>
  <c r="I12" i="16" s="1"/>
  <c r="E7" i="16"/>
  <c r="I7" i="16" s="1"/>
  <c r="E9" i="16"/>
  <c r="I9" i="16" s="1"/>
  <c r="E8" i="16"/>
  <c r="I8" i="16" s="1"/>
  <c r="E18" i="16"/>
  <c r="I18" i="16" s="1"/>
  <c r="E6" i="16"/>
  <c r="I6" i="16" s="1"/>
  <c r="E14" i="16"/>
  <c r="I14" i="16" s="1"/>
  <c r="K38" i="16" s="1"/>
  <c r="E17" i="16"/>
  <c r="I17" i="16" s="1"/>
  <c r="E3" i="16"/>
  <c r="K67" i="16" l="1"/>
  <c r="K39" i="16"/>
  <c r="K70" i="16"/>
  <c r="K42" i="16"/>
  <c r="K69" i="16"/>
  <c r="K41" i="16"/>
  <c r="K63" i="16"/>
  <c r="K35" i="16"/>
  <c r="K62" i="16"/>
  <c r="K34" i="16"/>
  <c r="K61" i="16"/>
  <c r="K33" i="16"/>
  <c r="K65" i="16"/>
  <c r="K37" i="16"/>
  <c r="K75" i="16"/>
  <c r="K47" i="16"/>
  <c r="K64" i="16"/>
  <c r="K36" i="16"/>
  <c r="K60" i="16"/>
  <c r="K32" i="16"/>
  <c r="K58" i="16"/>
  <c r="K30" i="16"/>
  <c r="K59" i="16"/>
  <c r="K31" i="16"/>
  <c r="K68" i="16"/>
  <c r="K40" i="16"/>
  <c r="J5" i="16"/>
  <c r="K72" i="16"/>
  <c r="J14" i="16"/>
  <c r="K66" i="16"/>
  <c r="E19" i="16"/>
  <c r="C22" i="16" s="1"/>
  <c r="D22" i="16" s="1"/>
  <c r="J8" i="16"/>
  <c r="J11" i="16"/>
  <c r="J4" i="16"/>
  <c r="J9" i="16"/>
  <c r="J13" i="16"/>
  <c r="J15" i="16"/>
  <c r="J6" i="16"/>
  <c r="J7" i="16"/>
  <c r="J16" i="16"/>
  <c r="J17" i="16"/>
  <c r="J18" i="16"/>
  <c r="J12" i="16"/>
  <c r="J10" i="16"/>
  <c r="I3" i="16"/>
  <c r="K74" i="16" l="1"/>
  <c r="K46" i="16"/>
  <c r="J3" i="16"/>
  <c r="I19" i="16"/>
  <c r="D7" i="77" l="1"/>
  <c r="K48" i="16"/>
  <c r="K76" i="16"/>
  <c r="I20" i="16"/>
  <c r="J19" i="16"/>
  <c r="E22" i="16"/>
  <c r="K213" i="16"/>
  <c r="E6" i="77"/>
</calcChain>
</file>

<file path=xl/sharedStrings.xml><?xml version="1.0" encoding="utf-8"?>
<sst xmlns="http://schemas.openxmlformats.org/spreadsheetml/2006/main" count="3130" uniqueCount="580">
  <si>
    <t>Visa Compta</t>
  </si>
  <si>
    <t>Banque: BANQUE COMMERCIALE INTERNATIONALE</t>
  </si>
  <si>
    <t>Compte: 01100-37107255251-56</t>
  </si>
  <si>
    <t>Intitulé du compte: Projet PALF</t>
  </si>
  <si>
    <t>Date</t>
  </si>
  <si>
    <t>N°     pièce</t>
  </si>
  <si>
    <t>References</t>
  </si>
  <si>
    <t>Libellé</t>
  </si>
  <si>
    <t>Type depenses</t>
  </si>
  <si>
    <t>Département</t>
  </si>
  <si>
    <t>Code  budgétaire</t>
  </si>
  <si>
    <t>Débit</t>
  </si>
  <si>
    <t>Crédit</t>
  </si>
  <si>
    <t>Solde progressif</t>
  </si>
  <si>
    <t>Donateur</t>
  </si>
  <si>
    <t>Personnel</t>
  </si>
  <si>
    <t>Légal</t>
  </si>
  <si>
    <t>Rent &amp; Utilities</t>
  </si>
  <si>
    <t>office</t>
  </si>
  <si>
    <t>Management</t>
  </si>
  <si>
    <t>Telephone</t>
  </si>
  <si>
    <t>Office</t>
  </si>
  <si>
    <t>Total sorties</t>
  </si>
  <si>
    <t xml:space="preserve">Solde </t>
  </si>
  <si>
    <t>Compte: 01100-37107202652-34</t>
  </si>
  <si>
    <t xml:space="preserve"> Crédit </t>
  </si>
  <si>
    <t>Bonus</t>
  </si>
  <si>
    <t>Total Entrées</t>
  </si>
  <si>
    <t>Bank fees</t>
  </si>
  <si>
    <t>Relevé</t>
  </si>
  <si>
    <t>Services</t>
  </si>
  <si>
    <t>Investigation</t>
  </si>
  <si>
    <t>EAGLE NETWORK</t>
  </si>
  <si>
    <t xml:space="preserve">PROJET: </t>
  </si>
  <si>
    <t>Projet d'Appui à l'Application de la Loi sur la Faune sauvage-PALF</t>
  </si>
  <si>
    <t xml:space="preserve">La Coordinatrice </t>
  </si>
  <si>
    <t>Perrine ODIER</t>
  </si>
  <si>
    <t>Date__________  Signature _____________________</t>
  </si>
  <si>
    <t>Chef Comptable</t>
  </si>
  <si>
    <t>Ted Gessay KOUEMITOUKA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</si>
  <si>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</si>
  <si>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</si>
  <si>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</si>
  <si>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</si>
  <si>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</si>
  <si>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</si>
  <si>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</si>
  <si>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</si>
  <si>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</si>
  <si>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</si>
  <si>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</si>
  <si>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</si>
  <si>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</si>
  <si>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</si>
  <si>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</si>
  <si>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</si>
  <si>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</si>
  <si>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</si>
  <si>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</si>
  <si>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BCI Sous-Compte</t>
  </si>
  <si>
    <t>Lawyer fees</t>
  </si>
  <si>
    <t>Media</t>
  </si>
  <si>
    <t>Caisse</t>
  </si>
  <si>
    <t>Transfer fees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</si>
  <si>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</si>
  <si>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</si>
  <si>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</si>
  <si>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</si>
  <si>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</si>
  <si>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</si>
  <si>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</si>
  <si>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</si>
  <si>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</si>
  <si>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Jail visits</t>
  </si>
  <si>
    <t>Office Materials</t>
  </si>
  <si>
    <t>Oui</t>
  </si>
  <si>
    <t>Trust building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</si>
  <si>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</si>
  <si>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</si>
  <si>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</si>
  <si>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</si>
  <si>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</si>
  <si>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</si>
  <si>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</si>
  <si>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</si>
  <si>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</si>
  <si>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</si>
  <si>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</si>
  <si>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</si>
  <si>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 xml:space="preserve">BCI </t>
  </si>
  <si>
    <t>BCI  sous-compte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</si>
  <si>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</si>
  <si>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</si>
  <si>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</si>
  <si>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</si>
  <si>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</si>
  <si>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</si>
  <si>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</si>
  <si>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</si>
  <si>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</si>
  <si>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</si>
  <si>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</si>
  <si>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</si>
  <si>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</si>
  <si>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</si>
  <si>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</si>
  <si>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</si>
  <si>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</si>
  <si>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</si>
  <si>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Fichier comptable-Caisse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</si>
  <si>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</si>
  <si>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</si>
  <si>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</si>
  <si>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</si>
  <si>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</si>
  <si>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</si>
  <si>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</si>
  <si>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</si>
  <si>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</si>
  <si>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</si>
  <si>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</si>
  <si>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Legal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</si>
  <si>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</si>
  <si>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</si>
  <si>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</si>
  <si>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</si>
  <si>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</si>
  <si>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</si>
  <si>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</si>
  <si>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</si>
  <si>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</si>
  <si>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</si>
  <si>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</si>
  <si>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Virement</t>
  </si>
  <si>
    <t>Décharge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</si>
  <si>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</si>
  <si>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</si>
  <si>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</si>
  <si>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</si>
  <si>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</si>
  <si>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Remarque</t>
  </si>
  <si>
    <t>Naftali</t>
  </si>
  <si>
    <t>Merveille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</si>
  <si>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</si>
  <si>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Reçu caisse/I73X</t>
  </si>
  <si>
    <t>Reçu caisse/I55S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</si>
  <si>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</si>
  <si>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</si>
  <si>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</si>
  <si>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</si>
  <si>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</si>
  <si>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</si>
  <si>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</si>
  <si>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Internet</t>
  </si>
  <si>
    <t>T44</t>
  </si>
  <si>
    <t>Travel subsistence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</si>
  <si>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</si>
  <si>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</si>
  <si>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</si>
  <si>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</si>
  <si>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</si>
  <si>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Montant en FCFA Centrale</t>
  </si>
  <si>
    <t>Média</t>
  </si>
  <si>
    <t>Supplément paiement Prime de fin d'année</t>
  </si>
  <si>
    <t>Hérick/Geisner</t>
  </si>
  <si>
    <t>Donation</t>
  </si>
  <si>
    <t>Recu caisse/Christian</t>
  </si>
  <si>
    <t>JANVIER</t>
  </si>
  <si>
    <t>BALANCE CAISSES ET BANQUE AU 31 JANVIER 2021</t>
  </si>
  <si>
    <t>Balance au          01 Janvier 2021</t>
  </si>
  <si>
    <t>Balance au 31 Janvier 2021</t>
  </si>
  <si>
    <t>Total entrée</t>
  </si>
  <si>
    <t>Hérick/Crépin</t>
  </si>
  <si>
    <t>Service</t>
  </si>
  <si>
    <t>Reçu caisse/Crépin</t>
  </si>
  <si>
    <t>Tiffany</t>
  </si>
  <si>
    <t>Reçu caisse/Ted</t>
  </si>
  <si>
    <t>ETAT DE RAPPROCHEMENT BANCAIRE</t>
  </si>
  <si>
    <t>Période :</t>
  </si>
  <si>
    <t>Référence :</t>
  </si>
  <si>
    <t>LIVRE DE BANQUE</t>
  </si>
  <si>
    <t>RELEVE DE COMPTE</t>
  </si>
  <si>
    <t>Compte :</t>
  </si>
  <si>
    <t>01100-37107202652 - 34</t>
  </si>
  <si>
    <t>Libelle</t>
  </si>
  <si>
    <t>Ecr N°</t>
  </si>
  <si>
    <t>Réf Titre</t>
  </si>
  <si>
    <t>Mouvement en XAF</t>
  </si>
  <si>
    <t>Débit (1)</t>
  </si>
  <si>
    <t>Crédit (2)</t>
  </si>
  <si>
    <t>a. Solde en fin du mois</t>
  </si>
  <si>
    <t>c. Solde en fin du mois</t>
  </si>
  <si>
    <t>Solde en fin</t>
  </si>
  <si>
    <t>solde en fin</t>
  </si>
  <si>
    <t xml:space="preserve">b. Ecritures non encore passées dans nos livres </t>
  </si>
  <si>
    <t>d.  Ecritures non encore passées à la
 Banque</t>
  </si>
  <si>
    <t>TOTAL A= (a+b)</t>
  </si>
  <si>
    <t>TOTAL B=(c+d)</t>
  </si>
  <si>
    <t>Totaux rapprochés</t>
  </si>
  <si>
    <t>Ecart à rechercher</t>
  </si>
  <si>
    <t>Tiffany GOBERT</t>
  </si>
  <si>
    <t>01100-37107255251-56</t>
  </si>
  <si>
    <t>Ted Gessay Kouemitouka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</si>
  <si>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</si>
  <si>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</si>
  <si>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</si>
  <si>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</si>
  <si>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</si>
  <si>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Achat Billet Brazzaville-Pointe-Noire/Crépin</t>
  </si>
  <si>
    <t>Achat Billet Pointe Noire-Brazzaville/Crépin</t>
  </si>
  <si>
    <t>Court fees</t>
  </si>
  <si>
    <t>Frais de transport LOUDIMA-SIBITI/P29</t>
  </si>
  <si>
    <t>Reçu caisse/Tiffany</t>
  </si>
  <si>
    <t>AVAAZ 2020</t>
  </si>
  <si>
    <t>PALF</t>
  </si>
  <si>
    <t>RALFF</t>
  </si>
  <si>
    <t>5.6</t>
  </si>
  <si>
    <t>1.1.1.1</t>
  </si>
  <si>
    <t>1.1.2.1</t>
  </si>
  <si>
    <t>1.1.1.7</t>
  </si>
  <si>
    <t>1.1.1.4</t>
  </si>
  <si>
    <t>1.1.1.9</t>
  </si>
  <si>
    <t>4.2</t>
  </si>
  <si>
    <t>CONGO</t>
  </si>
  <si>
    <t>5.2.2</t>
  </si>
  <si>
    <t>4.6</t>
  </si>
  <si>
    <t>4.5</t>
  </si>
  <si>
    <t>4.3</t>
  </si>
  <si>
    <t>4.4</t>
  </si>
  <si>
    <t>NO WILDLIFE CRIME</t>
  </si>
  <si>
    <t>2.2</t>
  </si>
  <si>
    <t>1.3.2</t>
  </si>
  <si>
    <t>Reçu caisse/Merveille</t>
  </si>
  <si>
    <t>Recu caisse/P29</t>
  </si>
  <si>
    <t>Sum of Spent</t>
  </si>
  <si>
    <t>Total Sum of Received</t>
  </si>
  <si>
    <t>Sum of Received</t>
  </si>
  <si>
    <t>Total Sum of Spent</t>
  </si>
  <si>
    <t xml:space="preserve">Report de solde du 01/04/2021 </t>
  </si>
  <si>
    <t>Frais S/VIRT EMIS</t>
  </si>
  <si>
    <t>Laywers fees</t>
  </si>
  <si>
    <t>Achat billet BZ-Oyo /I23C</t>
  </si>
  <si>
    <t>BALANCE CAISSES ET BANQUE AU 31 Mars  2021</t>
  </si>
  <si>
    <t>MARS</t>
  </si>
  <si>
    <t>Balance au          01 Mars  2021</t>
  </si>
  <si>
    <t>Balance au 31 Mars 2021</t>
  </si>
  <si>
    <t>Activiste</t>
  </si>
  <si>
    <t>Equipment</t>
  </si>
  <si>
    <t>Solde au 01/04/2021</t>
  </si>
  <si>
    <t>RAPPORT FINANCIER AVRIL 2021</t>
  </si>
  <si>
    <t>Reglement gardiennage mois de Mars 2021</t>
  </si>
  <si>
    <t>Retrait especes/appro caisse/bord n°3654439</t>
  </si>
  <si>
    <t>Retrait especes/appro caisse/bord n°3654440</t>
  </si>
  <si>
    <t>Fond reçu AVAAZ 2020</t>
  </si>
  <si>
    <t>Retrait especes/appro caisse/bord n°3654441</t>
  </si>
  <si>
    <t>Frais de consultation avocat/LOCKO Christian</t>
  </si>
  <si>
    <t xml:space="preserve">Acompte honoraires contrat n°33/Dolisie/maitre Séverin </t>
  </si>
  <si>
    <t xml:space="preserve">Solde  honoraires contrat n°30/Madingou/maitre Séverin </t>
  </si>
  <si>
    <t>Reglement fact Agence pluriel solutions/ loyer PALF AVRIL 2021</t>
  </si>
  <si>
    <t>Appro caisse/Achat carte de recharge AIRTEL mois de MaI 2021/Staff PALF</t>
  </si>
  <si>
    <t>Appro caisse/Achat carte de recharge MTN mois de Mai 2021/Staff PALF</t>
  </si>
  <si>
    <t>Reglement salaire du mois d'AVRIL 2021/ KOUENITOUKA TED/chq n°3643447</t>
  </si>
  <si>
    <t>Reglement facture honoraire du mois d'Avril 2021/I23C/chq n°3643453</t>
  </si>
  <si>
    <t>Paiement salaire du mois de D'Avril 2021/IBOUILI CREPIN/chq n°3643452</t>
  </si>
  <si>
    <t>Paiement salaire du mois d'Avril 2021/Tiffany GOBERT/chq n°3643463</t>
  </si>
  <si>
    <t>Paiement salaire du mois d'Avril 2021/MAHANGA Merveille/chq n°3643452</t>
  </si>
  <si>
    <t>Paiement salaire du mois d'Avril  2021/MININGOU Christian/chq n°3643445</t>
  </si>
  <si>
    <t>Paiement salaire du mois d'Avril 2021/MATOKO Geisner/chq n°3643444</t>
  </si>
  <si>
    <t>Virement salaire mois Avril 2021/ TCHICAYA Hérick</t>
  </si>
  <si>
    <t>Virement salaire mois d'Avril  2021/ LELOUSSI Evariste</t>
  </si>
  <si>
    <t>Paiement salaire du mois de D'Avril 2021/P29/chq n°3643443</t>
  </si>
  <si>
    <t>Bonus Opération à Dolisie/I23C</t>
  </si>
  <si>
    <t>Bonus Opération à Dolisie/crepin</t>
  </si>
  <si>
    <t>Réprographie et reluire docuement PALF</t>
  </si>
  <si>
    <t>Achat papier toilette et brosse toilette/Bureau PALF</t>
  </si>
  <si>
    <t>JB</t>
  </si>
  <si>
    <t>Frais de mission à Dolisie maitre MOUYETI/cas ARLY</t>
  </si>
  <si>
    <t>Entretien général du jardin bureau PALF</t>
  </si>
  <si>
    <t>Frais de transfert charden farell/I23C et P29</t>
  </si>
  <si>
    <t>Achat Divers/lait sucre,serpière,produit de nettoyage bureau</t>
  </si>
  <si>
    <t>Frais de mission à Madingou maitre Séverin/cas MAMPOUYA</t>
  </si>
  <si>
    <t>Frais de transfert charden farell/Crépin</t>
  </si>
  <si>
    <t>Bonus mois de mars 2021/Evariste</t>
  </si>
  <si>
    <t>Bonus mois de mars 2021/Christian</t>
  </si>
  <si>
    <t>Frais de transfert charden farell/JB</t>
  </si>
  <si>
    <t>Achat onduleur</t>
  </si>
  <si>
    <t>Achat d'une broyeuse</t>
  </si>
  <si>
    <t>Bonus mois de mars 2021/Crépin</t>
  </si>
  <si>
    <t>Bonus mois de mars 2021/I23C</t>
  </si>
  <si>
    <t>MO Reinitialisation code SC542 &amp; Ajustement paramettre Imprimante</t>
  </si>
  <si>
    <t>Frais de Mission du 22 au 24/04 à P/N Maitre Anicet</t>
  </si>
  <si>
    <t>Achat 2 cartouches HP 63/Imprimante HP 2130</t>
  </si>
  <si>
    <t>Reglement prestation Technicienne de Surface mois d'Avril 2021/MFIELO</t>
  </si>
  <si>
    <t>Impression et reliure des documents</t>
  </si>
  <si>
    <t>MTN/Achat carte de recharge Mai-Partiel 2021/Staff PALF/Management</t>
  </si>
  <si>
    <t>MTN/Achat carte de recharge Mai- Partiel 2021/Staff PALF/Légal</t>
  </si>
  <si>
    <t>MTN/Achat carte de recharge Mai-Partiel 2021/Staff PALF/Investigation</t>
  </si>
  <si>
    <t>MTN/Achat carte de recharge Mai-Partiel 2021/Staff PALF/Média</t>
  </si>
  <si>
    <t>Airtel/Achat carte de recharge Mai- Partiel 2021/Staff PALF/Management</t>
  </si>
  <si>
    <t>Airtel/Achat carte de recharge Mai- Partiel 2021/Staff PALF/Légal</t>
  </si>
  <si>
    <t>Airtel/Achat carte de recharge Mai- Partiel 2021/Staff PALF/Investigation</t>
  </si>
  <si>
    <t>Airtel/Achat carte de recharge Mai- Partiel 2021/Staff PALF/Média</t>
  </si>
  <si>
    <t>oui</t>
  </si>
  <si>
    <t>OUI</t>
  </si>
  <si>
    <t>Bonus média portant sur l'audience/Evariste</t>
  </si>
  <si>
    <t>Bonus mois de mars/ Geisner</t>
  </si>
  <si>
    <t>Bonus mois de mars/ P29</t>
  </si>
  <si>
    <t>Bonus Média portant sur la condamnation ferme/Evariste</t>
  </si>
  <si>
    <t>Frais consultation et Certificat médical détenu Robert</t>
  </si>
  <si>
    <t>Photocopie et reliure des documents PALF</t>
  </si>
  <si>
    <t>Reglement fact LCDE/Mars-Avril 2021/ bureau PALF</t>
  </si>
  <si>
    <t>Achat 50 litres de Gazoil/groupe electrogène</t>
  </si>
  <si>
    <t>Achat Eau/03Bobone/Bureau PALF</t>
  </si>
  <si>
    <t>Frais de transfert Charden farell/JB</t>
  </si>
  <si>
    <t>Achat Billet Brazzaville-Loudima/Christian</t>
  </si>
  <si>
    <t>Frais de transport  Loudima-Sibiti/Christian</t>
  </si>
  <si>
    <t>Frais de transport Sibiti-Nkayi/Christian</t>
  </si>
  <si>
    <t>Achat billet Nkayi-Brazzaville/Christian</t>
  </si>
  <si>
    <t>Achat Billet Brazaville-Loudima/Christian</t>
  </si>
  <si>
    <t>Cumul frais transport local mois d'avril/Christian</t>
  </si>
  <si>
    <t>Decharge</t>
  </si>
  <si>
    <t>Reçu caisse JB/Christian</t>
  </si>
  <si>
    <t>Frais Consultation médical Robert/Christian</t>
  </si>
  <si>
    <t>Frais Examens médical ECG pour détenu Robert /christian</t>
  </si>
  <si>
    <t xml:space="preserve">Frais Examens médical thorax osseux face pour détenu Robert/Christian </t>
  </si>
  <si>
    <t>Achat Billet Brazzaville-Dolisie/Crépin</t>
  </si>
  <si>
    <t>Frais achat produit contre le palu</t>
  </si>
  <si>
    <t>Travel Subsistence</t>
  </si>
  <si>
    <t>Frais de transport Dolisie-Madingou/Crépin</t>
  </si>
  <si>
    <t>Achat Billet Madingou-Brazzaville</t>
  </si>
  <si>
    <t>Cumul frais transport local mois d'avril/Crépin</t>
  </si>
  <si>
    <t>Cumul frais ration aux détenus à Dolisie  /Crépin</t>
  </si>
  <si>
    <t>Reçu Caise/Evariste</t>
  </si>
  <si>
    <t>Cumul frais transport local mois d'avril/Evariste</t>
  </si>
  <si>
    <t>Versement caisse/Geis</t>
  </si>
  <si>
    <t>Cumul frais transport local mois d'avril/Geisner</t>
  </si>
  <si>
    <t>Frais de transport  Oyo-Ollombo - Oyo  (allez-retour avec un informateur à Ollombo)/I23C</t>
  </si>
  <si>
    <t>Frais de transport  Oyo-Tchikapika-Oyo/I23C</t>
  </si>
  <si>
    <t>Frais de transport Oyo-Ngo/I23C</t>
  </si>
  <si>
    <t>Frais de transport  Ngo-Brazzaville/I23C</t>
  </si>
  <si>
    <t>Achat billet BZ-PN/I23C</t>
  </si>
  <si>
    <t>Frais de transport PN-Nzassi-P/N/I23C</t>
  </si>
  <si>
    <t>Achat Billet PN-Nkayi/I23C</t>
  </si>
  <si>
    <t>Cumul frais transport local mois d'Avril 20/I23C</t>
  </si>
  <si>
    <t>Cumul frais achat boisson pour les informateurs/I23C</t>
  </si>
  <si>
    <t>Reçu caisse/I23C</t>
  </si>
  <si>
    <t>Cumul frais transport local mois d'Avril/Merveille</t>
  </si>
  <si>
    <t>Frais de transport  Boundji-Okoyo/P29</t>
  </si>
  <si>
    <t>Frais de transport Okoyo-Boundji/P29</t>
  </si>
  <si>
    <t>Frais de transport  Boundji-Ngoko/P29</t>
  </si>
  <si>
    <t>Frais de transport Ngoko-Boundji/P29</t>
  </si>
  <si>
    <t>Achat billet Boundji-Brazza/P29</t>
  </si>
  <si>
    <t>Frais de transport  Sibiti-Zanaga/P29</t>
  </si>
  <si>
    <t>Frais de transport Zanaga-Sibiti/P29</t>
  </si>
  <si>
    <t>Frais de transport Loudima-BZ/P29</t>
  </si>
  <si>
    <t>Frais de transport Sibiti-Loudima/P29</t>
  </si>
  <si>
    <t>Frais de transport BZ-Mouyondzi/P29</t>
  </si>
  <si>
    <t>Frais de transport  Mouyondzi-dolisie/P29</t>
  </si>
  <si>
    <t>Cumul frais transport local mois d'Avril/P29</t>
  </si>
  <si>
    <t>Cumul achat boissons pour les informateurs/P29</t>
  </si>
  <si>
    <t>Cumul frais transport local mois d'avril/Ted</t>
  </si>
  <si>
    <t>Versement Caisse /Ted</t>
  </si>
  <si>
    <t>Reçu caisse/Herick</t>
  </si>
  <si>
    <t>Décallage vol Brazzaville- Nairobi/Tiffany</t>
  </si>
  <si>
    <t xml:space="preserve">Travel expenses </t>
  </si>
  <si>
    <t>Achat billet avion Nairobi- Brazzaville/Tiffany</t>
  </si>
  <si>
    <t>Cumul frais transport local mois d'avril/Tiffany</t>
  </si>
  <si>
    <t xml:space="preserve">Transport </t>
  </si>
  <si>
    <t xml:space="preserve">Versement Christian/JB </t>
  </si>
  <si>
    <t>Reçu caisse/JB</t>
  </si>
  <si>
    <t>Achat billet Brazzaville-Pointe-Noire/JB</t>
  </si>
  <si>
    <t>Achat billet Pointe-Noire-Brazzaville/JB</t>
  </si>
  <si>
    <t>Achat billet Brazzaville-Ouesso/JB</t>
  </si>
  <si>
    <t>Achat billet Ouesso-Owando/JB</t>
  </si>
  <si>
    <t>Frais de transport Owando-Oyo/JB</t>
  </si>
  <si>
    <t>Frais de Consultation-Produit Pharmaceutique détenu-Bonheur/JB</t>
  </si>
  <si>
    <t>Frais Achat produits pharmaceutique-détenu Bonheur/JB</t>
  </si>
  <si>
    <t>Achat carton de gants chirurgicaux/JB</t>
  </si>
  <si>
    <t>Achat 3 boites de médicaments-détenu Bonheur/JB</t>
  </si>
  <si>
    <t>Achat 2 boites malavon inj de médicaments-détenu Bonheur/JB</t>
  </si>
  <si>
    <t>Remboursement frais médicaux engagés par la MA d'Oyo/JB</t>
  </si>
  <si>
    <t>Frais surveillance détenu Bonheur hospitalisé par les agents SOMAC du 19 au 22/04/21/JB</t>
  </si>
  <si>
    <t>Achat 1 médicament sous prescription médicale</t>
  </si>
  <si>
    <t>Frais Achat produits pharmaceutique-Examens-détenu Bonheur/JB</t>
  </si>
  <si>
    <t>Frais hospitalisation du 19 au 26 avril 2021 à HGELBO/JB</t>
  </si>
  <si>
    <t>Frais surveillance détenu hospitalisé par les agents SOMAC du 22 au 26/04/21 escorte pour sa reintégration en cellule au CC</t>
  </si>
  <si>
    <t>Achat Billet Oyo-Brazzaville/JB</t>
  </si>
  <si>
    <t>Cumul frais de transport Local mois d'Avril 2021</t>
  </si>
  <si>
    <t>Cumul Frais de Jail visit mois d'Avril 2021</t>
  </si>
  <si>
    <t>Frais de l'Expédition des actes d'appel/Cas Hebert</t>
  </si>
  <si>
    <t xml:space="preserve"> L'Expédition + Le pourvoi  cassation /Cas Hebert</t>
  </si>
  <si>
    <t>Reglement Facture Internet/mois d'Avril 21/Congo telecom</t>
  </si>
  <si>
    <t>Reglement Facture Internet/mois de Mai  21/Congo telecom</t>
  </si>
  <si>
    <t>Paiement salaire du mois d'AVRIL 2021/ MALONGA MERSY/chq n°3643446</t>
  </si>
  <si>
    <t>Achat billet BZV-Loudima/P29</t>
  </si>
  <si>
    <t>BALANCE CAISSES ET BANQUE AU 30 AVRIL  2021</t>
  </si>
  <si>
    <t>Balance au          01 Avril  2021</t>
  </si>
  <si>
    <t>Balance au 30 Avril 2021</t>
  </si>
  <si>
    <t>AVRIL</t>
  </si>
  <si>
    <t>BALANCE 1 Avril 2021</t>
  </si>
  <si>
    <t>TOTAL RECU EN Avril</t>
  </si>
  <si>
    <t>TOTAL DEPENSE EN Avril</t>
  </si>
  <si>
    <t>BALANCE 30 Avril 2021</t>
  </si>
  <si>
    <t>Journal n°4/21</t>
  </si>
  <si>
    <t>virement</t>
  </si>
  <si>
    <t>Agios du 28/02 AU 31/03/21</t>
  </si>
  <si>
    <t>Frais cotisation WEB BANK</t>
  </si>
  <si>
    <t>Frais Instruction Content 101475</t>
  </si>
  <si>
    <t xml:space="preserve"> Solde rapporché au 30/04/2021∑(1)-(2)</t>
  </si>
  <si>
    <t>Fait à Brazzaville, le 10/05/2021</t>
  </si>
  <si>
    <t>DU 01 AU 30 Avril  2021</t>
  </si>
  <si>
    <t>Report de solde du 01/04/2021</t>
  </si>
  <si>
    <t>investigation</t>
  </si>
  <si>
    <t>Frais Agios du 28/02 au 31/03/21</t>
  </si>
  <si>
    <t>Frais S/VIRT EMIS PALF</t>
  </si>
  <si>
    <t>Paiement salaire du mois d'AVRIL 2021/ MALONGA MERSY</t>
  </si>
  <si>
    <t>Reglement facture honoraire du mois d'Avril 2021/I23C</t>
  </si>
  <si>
    <t>Paiement salaire du mois d'Avril  2021/MININGOU Christian</t>
  </si>
  <si>
    <t>Report au 01/04/21</t>
  </si>
  <si>
    <t>Reglement Facture Internet/mois d'Avril 21/congo telecom</t>
  </si>
  <si>
    <t>Office materials</t>
  </si>
  <si>
    <t xml:space="preserve">Bonus Média portant sur la condamnation ferme </t>
  </si>
  <si>
    <t>Frais transfert Charden farell/JB</t>
  </si>
  <si>
    <t>Frais consultation détenu Robert</t>
  </si>
  <si>
    <t xml:space="preserve">Jail </t>
  </si>
  <si>
    <t>Visit</t>
  </si>
  <si>
    <t>Achat 50 litres de Gazoil pour groupe electrogène</t>
  </si>
  <si>
    <t>Potocopie et reliure des documents</t>
  </si>
  <si>
    <t>Achat eau bureau</t>
  </si>
  <si>
    <t>décharge</t>
  </si>
  <si>
    <t>Reglement facture d'eau mois de mars-avril 2021</t>
  </si>
  <si>
    <t>Bonus mois de mars P29</t>
  </si>
  <si>
    <t>Bonus mois de mars Geisner</t>
  </si>
  <si>
    <t>Bonus média portant sur l'audience</t>
  </si>
  <si>
    <t>Frais de transfert charden farell/jb</t>
  </si>
  <si>
    <t xml:space="preserve">Téléphone </t>
  </si>
  <si>
    <t>Cumul frais bancaire mois d'Avril compte 34/BCI</t>
  </si>
  <si>
    <t>Cumul frais bancaire mois d'Avril compte 56/BCI</t>
  </si>
  <si>
    <t>Étiquettes de lignes</t>
  </si>
  <si>
    <t>Total général</t>
  </si>
  <si>
    <t>Étiquettes de colonnes</t>
  </si>
  <si>
    <t>P29 -CONGO- Hôtel Mission à Okoyo du 01 au 03/04/21</t>
  </si>
  <si>
    <t>P29 -CONGO- Hôtel Mission Boundji du 29/03 au 01/04 et 03 au 05/04/21</t>
  </si>
  <si>
    <t>I23C -CONGO- Ration pour mission de 7 nuitées à Oyo-Ngo du 12 au 19/04/21</t>
  </si>
  <si>
    <t>JB MALONGA  -CONGO- Ration pour mission de 3 nuitées à PN du 07 au 10/04/21</t>
  </si>
  <si>
    <t>Réprographie et reliure document PALF</t>
  </si>
  <si>
    <t>MO Reinitialisation code SC542 &amp; Ajustement parametre Imprimante</t>
  </si>
  <si>
    <t>3.2</t>
  </si>
  <si>
    <t>RALFF-CO2149</t>
  </si>
  <si>
    <t>RALFF-CO2151</t>
  </si>
  <si>
    <t>RALFF-CO2156</t>
  </si>
  <si>
    <t>RALFF-CO2093</t>
  </si>
  <si>
    <t>RALFF-CO2094</t>
  </si>
  <si>
    <t>RALFF-CO2095</t>
  </si>
  <si>
    <t>RALFF-CO2096</t>
  </si>
  <si>
    <t>RALFF-CO2097</t>
  </si>
  <si>
    <t>RALFF-CO2098</t>
  </si>
  <si>
    <t>RALFF-CO2099</t>
  </si>
  <si>
    <t>RALFF-CO2100</t>
  </si>
  <si>
    <t>RALFF-CO2101</t>
  </si>
  <si>
    <t>RALFF-CO2102</t>
  </si>
  <si>
    <t>RALFF-CO2103</t>
  </si>
  <si>
    <t>RALFF-CO2104</t>
  </si>
  <si>
    <t>RALFF-CO2105</t>
  </si>
  <si>
    <t>RALFF-CO2106</t>
  </si>
  <si>
    <t>RALFF-CO2107</t>
  </si>
  <si>
    <t>RALFF-CO2108</t>
  </si>
  <si>
    <t>RALFF-CO2109</t>
  </si>
  <si>
    <t>RALFF-CO2110</t>
  </si>
  <si>
    <t>RALFF-CO2111</t>
  </si>
  <si>
    <t>RALFF-CO2112</t>
  </si>
  <si>
    <t>RALFF-CO2113</t>
  </si>
  <si>
    <t>RALFF-CO2114</t>
  </si>
  <si>
    <t>RALFF-CO2115</t>
  </si>
  <si>
    <t>RALFF-CO2116</t>
  </si>
  <si>
    <t>RALFF-CO2117</t>
  </si>
  <si>
    <t>RALFF-CO2118</t>
  </si>
  <si>
    <t>RALFF-CO2119</t>
  </si>
  <si>
    <t>RALFF-CO2120</t>
  </si>
  <si>
    <t>RALFF-CO2121</t>
  </si>
  <si>
    <t>RALFF-CO2122</t>
  </si>
  <si>
    <t>RALFF-CO2123</t>
  </si>
  <si>
    <t>RALFF-CO2124</t>
  </si>
  <si>
    <t>RALFF-CO2125</t>
  </si>
  <si>
    <t>RALFF-CO2126</t>
  </si>
  <si>
    <t>RALFF-CO2127</t>
  </si>
  <si>
    <t>RALFF-CO2128</t>
  </si>
  <si>
    <t>RALFF-CO2129</t>
  </si>
  <si>
    <t>RALFF-CO2130</t>
  </si>
  <si>
    <t>RALFF-CO2131</t>
  </si>
  <si>
    <t>RALFF-CO2132</t>
  </si>
  <si>
    <t>RALFF-CO2133</t>
  </si>
  <si>
    <t>RALFF-CO2134</t>
  </si>
  <si>
    <t>RALFF-CO2135</t>
  </si>
  <si>
    <t>RALFF-CO2136</t>
  </si>
  <si>
    <t>RALFF-CO2137</t>
  </si>
  <si>
    <t>RALFF-CO2138</t>
  </si>
  <si>
    <t>RALFF-CO2139</t>
  </si>
  <si>
    <t>RALFF-CO2140</t>
  </si>
  <si>
    <t>RALFF-CO2141</t>
  </si>
  <si>
    <t>RALFF-CO2142</t>
  </si>
  <si>
    <t>RALFF-CO2143</t>
  </si>
  <si>
    <t>RALFF-CO2144</t>
  </si>
  <si>
    <t>RALFF-CO2145</t>
  </si>
  <si>
    <t>RALFF-CO2146</t>
  </si>
  <si>
    <t>RALFF-CO2147</t>
  </si>
  <si>
    <t>RALFF-CO2148</t>
  </si>
  <si>
    <t>RALFF-CO2150</t>
  </si>
  <si>
    <t>RALFF-CO2152</t>
  </si>
  <si>
    <t>RALFF-CO2153</t>
  </si>
  <si>
    <t>RALFF-CO2154</t>
  </si>
  <si>
    <t>RALFF-CO2155</t>
  </si>
  <si>
    <t>RALFF-CO2157</t>
  </si>
  <si>
    <t>RALFF-CO2158</t>
  </si>
  <si>
    <t>RALFF-CO2159</t>
  </si>
  <si>
    <t>RALFF-CO2160</t>
  </si>
  <si>
    <t>RALFF-CO2161</t>
  </si>
  <si>
    <t>RALFF-CO2162</t>
  </si>
  <si>
    <t>RALFF-CO2163</t>
  </si>
  <si>
    <t>RALFF-CO2164</t>
  </si>
  <si>
    <t>RALFF-CO2165</t>
  </si>
  <si>
    <t>RALFF-CO2166</t>
  </si>
  <si>
    <t>RALFF-CO2167</t>
  </si>
  <si>
    <t>RALFF-CO2168</t>
  </si>
  <si>
    <t>RALFF-CO2169</t>
  </si>
  <si>
    <t>RALFF-CO2170</t>
  </si>
  <si>
    <t>RALFF-CO2171</t>
  </si>
  <si>
    <t>RALFF-CO2172</t>
  </si>
  <si>
    <t>RALFF-CO2173</t>
  </si>
  <si>
    <t>RALFF-CO2174</t>
  </si>
  <si>
    <t>RALFF-CO2175</t>
  </si>
  <si>
    <t>RALFF-CO2176</t>
  </si>
  <si>
    <t>RALFF-CO2177</t>
  </si>
  <si>
    <t>RALFF-CO2178</t>
  </si>
  <si>
    <t>RALFF-CO2179</t>
  </si>
  <si>
    <t>RALFF-CO2180</t>
  </si>
  <si>
    <t>RALFF-CO2181</t>
  </si>
  <si>
    <t>RALFF-CO2182</t>
  </si>
  <si>
    <t>RALFF-CO2183</t>
  </si>
  <si>
    <t>RALFF-CO2184</t>
  </si>
  <si>
    <t>RALFF-CO2185</t>
  </si>
  <si>
    <t>RALFF-CO2186</t>
  </si>
  <si>
    <t>RALFF-CO2187</t>
  </si>
  <si>
    <t>RALFF-CO2188</t>
  </si>
  <si>
    <t>RALFF-CO2189</t>
  </si>
  <si>
    <t>RALFF-CO2190</t>
  </si>
  <si>
    <t>RALFF-CO2191</t>
  </si>
  <si>
    <t>RALFF-CO2192</t>
  </si>
  <si>
    <t>RALFF-CO2193</t>
  </si>
  <si>
    <t>CREPIN IBOUILI - CONGO - Ration pour  Mission de 4 nuitées  à Dolisie et Madingou du 13 au 17/04/21</t>
  </si>
  <si>
    <t>CREPIN IBOUILI - CONGO - Hôtel Mission à  Dolisie du 13 au 16/04/21</t>
  </si>
  <si>
    <t>CREPIN IBOUILI - CONGO - Hôtel Ms à Madingou du 16 au 17/04/21</t>
  </si>
  <si>
    <t>CREPIN IBOUILI - CONGO - Ration pour Mission de 2 nuitées  à P/N du 22 au 24/04/21</t>
  </si>
  <si>
    <t>CREPIN IBOUILI - CONGO - Hôtel Mission  à Pointe-Noire du 22 au 24/04/2021/</t>
  </si>
  <si>
    <t>CHRISTIAN MININGOU - CONGO - Ration pour  Mission de 2 nuitées à Sibiti du 29/04 au 01/05/21</t>
  </si>
  <si>
    <t>P29 - CONGO - Hôtel Mission à Mouyondzi du 27 au 29/04/21</t>
  </si>
  <si>
    <t>CHRISTIAN MININGOU - CONGO- Hôtel Mission à Sibiti du 22 au 24/04/21</t>
  </si>
  <si>
    <t>CHRISTIAN MININGOU - CONGO - Ration pour Mission de 2 nuitées  à sibiti du 22 au 24/04/21</t>
  </si>
  <si>
    <t>JB MALONGA  - CONGO - Ration pour  Mission de 15 nuitées à Ouesso-Owando-Oyo  du 13 au 28/04/21</t>
  </si>
  <si>
    <t>P29 - CONGO - Ration pour Mission de 7 nuitée SIBITI-Zanaga du 12 au 19/04/21</t>
  </si>
  <si>
    <t>JB MALONGA - CONGO -  Hôtel Mission à Ouesso du 13 au 15/04/21</t>
  </si>
  <si>
    <t>JB MALONGA - CONGO -  Hôtel Mission à Owando du 15 au 16/04/21</t>
  </si>
  <si>
    <t>P29 - CONGO - Hôtel Mission à Zanaga du 13 au 17/04/21</t>
  </si>
  <si>
    <t>I23C - CONGO - Hôtel Mission à Oyo  du 12 au 16/04/21</t>
  </si>
  <si>
    <t>JB MALONGA  -CONGO- Hôtel Mission PN du 07 au 10/21</t>
  </si>
  <si>
    <t>I23C - CONGO - Hôtel Mission à NGO  du 16 au 19/04/21</t>
  </si>
  <si>
    <t>P29 - CONGO - Hôtel Mission à Sibiti du 12 au 13/04 et du 17 au 19/04/21</t>
  </si>
  <si>
    <t>JB MALONGA - CONGO -  Hôtel Mission à Oyo du 16 au 27/04/21</t>
  </si>
  <si>
    <t>I23C - CONGO - Ration pour Mission de 6 nuitées à   PN-Nzassi-Nkayi du 27/04 au 03/05/21</t>
  </si>
  <si>
    <t>P29 - CONGO - Ration pour  Mission de 6 nuitées à Mouyondzi-Dolisie-Madingou du 27/04 au 03/05/21</t>
  </si>
  <si>
    <t>JB MALONGA - CONGO -  Hôtel Mission à Oyo du 27 au 28/04/21</t>
  </si>
  <si>
    <t>I23C - CONGO - Hôtel Mission à P/N  du 27 au 30/04/21</t>
  </si>
  <si>
    <t>Solde au 30/04/2021</t>
  </si>
  <si>
    <t>Reglement gardiennage mois de Mars 2021/Première Global</t>
  </si>
  <si>
    <t>Reglement Facture Internet/mois de Mai  21/congo telecom</t>
  </si>
  <si>
    <t>Flight</t>
  </si>
  <si>
    <t>Achat onduleur - Facture N° 360/2021 - Congo Informatique</t>
  </si>
  <si>
    <t>Achat d'une broyeuse - Facture N°361/2021 - Congo Informatique</t>
  </si>
  <si>
    <t>360/2021</t>
  </si>
  <si>
    <t>361/2021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</si>
</sst>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€_-;\-* #,##0.00\ _€_-;_-* &quot;-&quot;??\ _€_-;_-@_-"/>
    <numFmt numFmtId="165" formatCode="_-* #,##0\ _F_C_F_A_-;\-* #,##0\ _F_C_F_A_-;_-* &quot;-&quot;\ _F_C_F_A_-;_-@_-"/>
    <numFmt numFmtId="166" formatCode="d/m/yy;@"/>
    <numFmt numFmtId="167" formatCode="_-* #,##0\ _€_-;\-* #,##0\ _€_-;_-* &quot;-&quot;??\ _€_-;_-@_-"/>
    <numFmt numFmtId="168" formatCode="#,##0\ &quot;F&quot;;[Red]#,##0\ &quot;F&quot;"/>
    <numFmt numFmtId="169" formatCode="[$-40C]d\-mmm;@"/>
    <numFmt numFmtId="170" formatCode="_-* #,##0\ _€_-;\-* #,##0\ _€_-;_-* &quot;-&quot;??\ _€_-;_-@"/>
    <numFmt numFmtId="171" formatCode="[$-409]d\-mmm\-yy;@"/>
    <numFmt numFmtId="172" formatCode="_-* #,##0.0\ _€_-;\-* #,##0.0\ _€_-;_-* &quot;-&quot;??\ _€_-;_-@_-"/>
    <numFmt numFmtId="173" formatCode="dd/mm/yy;@"/>
    <numFmt numFmtId="174" formatCode="_(* #,##0_);_(* \(#,##0\);_(* &quot;-&quot;??_);_(@_)"/>
    <numFmt numFmtId="175" formatCode="[$-40C]General"/>
    <numFmt numFmtId="176" formatCode="[$-40C]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Narrow"/>
      <family val="2"/>
    </font>
    <font>
      <sz val="9"/>
      <color rgb="FF92D050"/>
      <name val="Arial Narrow"/>
      <family val="2"/>
    </font>
    <font>
      <b/>
      <sz val="9"/>
      <name val="Arial Narrow"/>
      <family val="2"/>
    </font>
    <font>
      <b/>
      <sz val="9"/>
      <color rgb="FF92D050"/>
      <name val="Arial Narrow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9"/>
      <color indexed="8"/>
      <name val="Arial Narrow"/>
      <family val="2"/>
    </font>
    <font>
      <sz val="11"/>
      <color rgb="FFFF0000"/>
      <name val="Calibri"/>
      <family val="2"/>
      <scheme val="minor"/>
    </font>
    <font>
      <b/>
      <i/>
      <u/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i/>
      <sz val="11"/>
      <color indexed="10"/>
      <name val="Arial"/>
      <family val="2"/>
    </font>
    <font>
      <sz val="11"/>
      <name val="Times New Roman"/>
      <family val="1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18"/>
      <color theme="0"/>
      <name val="Arial Narrow"/>
      <family val="2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1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1"/>
      <name val="Times New Roman"/>
      <family val="1"/>
    </font>
    <font>
      <sz val="6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Arial Narrow"/>
      <family val="2"/>
    </font>
  </fonts>
  <fills count="3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8" tint="-0.249977111117893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24" fillId="0" borderId="0"/>
    <xf numFmtId="165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0" fillId="0" borderId="0" applyBorder="0" applyProtection="0"/>
  </cellStyleXfs>
  <cellXfs count="553">
    <xf numFmtId="0" fontId="0" fillId="0" borderId="0" xfId="0"/>
    <xf numFmtId="0" fontId="0" fillId="0" borderId="0" xfId="0" applyFill="1"/>
    <xf numFmtId="166" fontId="3" fillId="0" borderId="0" xfId="0" applyNumberFormat="1" applyFont="1" applyFill="1" applyAlignment="1">
      <alignment horizontal="left"/>
    </xf>
    <xf numFmtId="0" fontId="3" fillId="0" borderId="0" xfId="0" applyFont="1"/>
    <xf numFmtId="167" fontId="4" fillId="0" borderId="0" xfId="1" applyNumberFormat="1" applyFont="1" applyFill="1"/>
    <xf numFmtId="166" fontId="3" fillId="0" borderId="0" xfId="0" applyNumberFormat="1" applyFont="1" applyFill="1" applyAlignment="1">
      <alignment horizontal="center"/>
    </xf>
    <xf numFmtId="168" fontId="5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167" fontId="4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3" fontId="3" fillId="0" borderId="0" xfId="0" applyNumberFormat="1" applyFont="1" applyFill="1"/>
    <xf numFmtId="0" fontId="5" fillId="0" borderId="0" xfId="0" applyFont="1" applyFill="1" applyAlignment="1">
      <alignment horizontal="center"/>
    </xf>
    <xf numFmtId="167" fontId="6" fillId="0" borderId="0" xfId="1" applyNumberFormat="1" applyFont="1" applyFill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3" fontId="3" fillId="0" borderId="1" xfId="0" applyNumberFormat="1" applyFont="1" applyFill="1" applyBorder="1"/>
    <xf numFmtId="167" fontId="0" fillId="0" borderId="0" xfId="0" applyNumberFormat="1" applyBorder="1"/>
    <xf numFmtId="0" fontId="0" fillId="0" borderId="1" xfId="0" applyBorder="1"/>
    <xf numFmtId="0" fontId="0" fillId="0" borderId="0" xfId="0" applyFill="1" applyBorder="1"/>
    <xf numFmtId="0" fontId="3" fillId="0" borderId="3" xfId="0" applyFont="1" applyBorder="1"/>
    <xf numFmtId="0" fontId="3" fillId="0" borderId="1" xfId="0" applyFont="1" applyBorder="1"/>
    <xf numFmtId="167" fontId="0" fillId="0" borderId="0" xfId="0" applyNumberFormat="1"/>
    <xf numFmtId="169" fontId="11" fillId="0" borderId="1" xfId="2" applyNumberFormat="1" applyFont="1" applyBorder="1"/>
    <xf numFmtId="0" fontId="3" fillId="0" borderId="1" xfId="0" applyFont="1" applyFill="1" applyBorder="1"/>
    <xf numFmtId="167" fontId="3" fillId="0" borderId="1" xfId="1" applyNumberFormat="1" applyFont="1" applyFill="1" applyBorder="1"/>
    <xf numFmtId="0" fontId="13" fillId="0" borderId="0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167" fontId="0" fillId="0" borderId="0" xfId="1" applyNumberFormat="1" applyFont="1"/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NumberFormat="1" applyFont="1" applyBorder="1"/>
    <xf numFmtId="0" fontId="12" fillId="0" borderId="0" xfId="0" applyFont="1"/>
    <xf numFmtId="167" fontId="22" fillId="0" borderId="1" xfId="1" applyNumberFormat="1" applyFont="1" applyBorder="1"/>
    <xf numFmtId="0" fontId="0" fillId="0" borderId="0" xfId="0" applyFill="1" applyAlignment="1"/>
    <xf numFmtId="167" fontId="0" fillId="0" borderId="0" xfId="1" applyNumberFormat="1" applyFont="1" applyFill="1" applyProtection="1"/>
    <xf numFmtId="0" fontId="0" fillId="0" borderId="1" xfId="0" applyFill="1" applyBorder="1" applyAlignment="1"/>
    <xf numFmtId="167" fontId="0" fillId="0" borderId="1" xfId="0" applyNumberFormat="1" applyFill="1" applyBorder="1" applyAlignment="1"/>
    <xf numFmtId="167" fontId="0" fillId="0" borderId="0" xfId="0" applyNumberFormat="1" applyFill="1" applyAlignme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25" fillId="6" borderId="1" xfId="3" applyNumberFormat="1" applyFont="1" applyFill="1" applyBorder="1"/>
    <xf numFmtId="0" fontId="25" fillId="6" borderId="1" xfId="3" applyFont="1" applyFill="1" applyBorder="1"/>
    <xf numFmtId="0" fontId="26" fillId="0" borderId="1" xfId="0" applyFont="1" applyFill="1" applyBorder="1" applyAlignment="1"/>
    <xf numFmtId="167" fontId="0" fillId="0" borderId="0" xfId="0" applyNumberFormat="1" applyAlignment="1">
      <alignment vertical="center"/>
    </xf>
    <xf numFmtId="0" fontId="26" fillId="0" borderId="0" xfId="0" applyFont="1" applyFill="1" applyBorder="1" applyAlignment="1"/>
    <xf numFmtId="0" fontId="27" fillId="0" borderId="0" xfId="0" applyFont="1" applyBorder="1" applyAlignment="1">
      <alignment vertical="center"/>
    </xf>
    <xf numFmtId="167" fontId="28" fillId="0" borderId="0" xfId="1" applyNumberFormat="1" applyFont="1" applyBorder="1" applyProtection="1">
      <protection locked="0"/>
    </xf>
    <xf numFmtId="167" fontId="29" fillId="0" borderId="0" xfId="1" applyNumberFormat="1" applyFont="1" applyBorder="1" applyProtection="1">
      <protection locked="0"/>
    </xf>
    <xf numFmtId="167" fontId="26" fillId="0" borderId="0" xfId="0" applyNumberFormat="1" applyFont="1" applyFill="1" applyBorder="1" applyAlignment="1"/>
    <xf numFmtId="167" fontId="27" fillId="0" borderId="0" xfId="0" applyNumberFormat="1" applyFont="1" applyBorder="1" applyAlignment="1">
      <alignment vertical="center"/>
    </xf>
    <xf numFmtId="0" fontId="30" fillId="0" borderId="0" xfId="0" applyFont="1" applyAlignment="1"/>
    <xf numFmtId="0" fontId="8" fillId="0" borderId="0" xfId="0" applyFont="1" applyAlignment="1"/>
    <xf numFmtId="0" fontId="9" fillId="7" borderId="0" xfId="0" applyFont="1" applyFill="1" applyAlignment="1">
      <alignment horizontal="center"/>
    </xf>
    <xf numFmtId="0" fontId="9" fillId="0" borderId="0" xfId="0" applyFont="1" applyFill="1" applyAlignment="1"/>
    <xf numFmtId="0" fontId="8" fillId="0" borderId="0" xfId="0" applyFont="1" applyFill="1" applyAlignment="1"/>
    <xf numFmtId="167" fontId="8" fillId="0" borderId="0" xfId="1" applyNumberFormat="1" applyFont="1" applyFill="1" applyProtection="1"/>
    <xf numFmtId="167" fontId="9" fillId="0" borderId="3" xfId="1" applyNumberFormat="1" applyFont="1" applyFill="1" applyBorder="1" applyAlignment="1" applyProtection="1">
      <alignment vertical="center" wrapText="1"/>
    </xf>
    <xf numFmtId="167" fontId="9" fillId="0" borderId="3" xfId="1" applyNumberFormat="1" applyFont="1" applyFill="1" applyBorder="1" applyAlignment="1" applyProtection="1">
      <alignment horizontal="center" vertical="center" wrapText="1"/>
    </xf>
    <xf numFmtId="167" fontId="8" fillId="10" borderId="4" xfId="1" applyNumberFormat="1" applyFont="1" applyFill="1" applyBorder="1" applyAlignment="1" applyProtection="1">
      <alignment horizontal="center" vertical="center"/>
    </xf>
    <xf numFmtId="0" fontId="32" fillId="10" borderId="5" xfId="0" applyFont="1" applyFill="1" applyBorder="1" applyAlignment="1"/>
    <xf numFmtId="167" fontId="8" fillId="10" borderId="5" xfId="1" applyNumberFormat="1" applyFont="1" applyFill="1" applyBorder="1" applyProtection="1"/>
    <xf numFmtId="167" fontId="8" fillId="10" borderId="5" xfId="0" applyNumberFormat="1" applyFont="1" applyFill="1" applyBorder="1" applyAlignment="1"/>
    <xf numFmtId="167" fontId="8" fillId="0" borderId="3" xfId="1" applyNumberFormat="1" applyFont="1" applyBorder="1" applyProtection="1"/>
    <xf numFmtId="167" fontId="0" fillId="0" borderId="1" xfId="1" applyNumberFormat="1" applyFont="1" applyFill="1" applyBorder="1" applyProtection="1"/>
    <xf numFmtId="167" fontId="8" fillId="0" borderId="6" xfId="1" applyNumberFormat="1" applyFont="1" applyFill="1" applyBorder="1" applyProtection="1"/>
    <xf numFmtId="167" fontId="8" fillId="0" borderId="1" xfId="0" applyNumberFormat="1" applyFont="1" applyFill="1" applyBorder="1" applyAlignment="1"/>
    <xf numFmtId="167" fontId="8" fillId="0" borderId="1" xfId="1" applyNumberFormat="1" applyFont="1" applyFill="1" applyBorder="1" applyProtection="1"/>
    <xf numFmtId="167" fontId="33" fillId="0" borderId="1" xfId="1" applyNumberFormat="1" applyFont="1" applyFill="1" applyBorder="1" applyProtection="1"/>
    <xf numFmtId="167" fontId="1" fillId="0" borderId="1" xfId="1" applyNumberFormat="1" applyFont="1" applyFill="1" applyBorder="1" applyProtection="1"/>
    <xf numFmtId="167" fontId="9" fillId="10" borderId="4" xfId="1" applyNumberFormat="1" applyFont="1" applyFill="1" applyBorder="1" applyAlignment="1" applyProtection="1">
      <alignment horizontal="left"/>
    </xf>
    <xf numFmtId="167" fontId="9" fillId="10" borderId="5" xfId="1" applyNumberFormat="1" applyFont="1" applyFill="1" applyBorder="1" applyAlignment="1" applyProtection="1">
      <alignment horizontal="left"/>
    </xf>
    <xf numFmtId="167" fontId="8" fillId="10" borderId="1" xfId="0" applyNumberFormat="1" applyFont="1" applyFill="1" applyBorder="1" applyAlignment="1"/>
    <xf numFmtId="0" fontId="9" fillId="0" borderId="4" xfId="0" applyFont="1" applyFill="1" applyBorder="1" applyAlignment="1"/>
    <xf numFmtId="167" fontId="8" fillId="0" borderId="1" xfId="1" applyNumberFormat="1" applyFont="1" applyFill="1" applyBorder="1" applyAlignment="1" applyProtection="1"/>
    <xf numFmtId="167" fontId="8" fillId="0" borderId="6" xfId="1" applyNumberFormat="1" applyFont="1" applyBorder="1" applyProtection="1"/>
    <xf numFmtId="167" fontId="34" fillId="0" borderId="1" xfId="1" applyNumberFormat="1" applyFont="1" applyBorder="1" applyProtection="1"/>
    <xf numFmtId="167" fontId="34" fillId="0" borderId="0" xfId="1" applyNumberFormat="1" applyFont="1" applyProtection="1"/>
    <xf numFmtId="167" fontId="24" fillId="0" borderId="1" xfId="0" applyNumberFormat="1" applyFont="1" applyBorder="1" applyAlignment="1"/>
    <xf numFmtId="0" fontId="32" fillId="10" borderId="4" xfId="0" applyFont="1" applyFill="1" applyBorder="1" applyAlignment="1"/>
    <xf numFmtId="167" fontId="0" fillId="0" borderId="1" xfId="1" applyNumberFormat="1" applyFont="1" applyBorder="1" applyProtection="1"/>
    <xf numFmtId="167" fontId="8" fillId="0" borderId="1" xfId="0" applyNumberFormat="1" applyFont="1" applyBorder="1" applyAlignment="1"/>
    <xf numFmtId="0" fontId="2" fillId="11" borderId="1" xfId="0" applyFont="1" applyFill="1" applyBorder="1"/>
    <xf numFmtId="167" fontId="2" fillId="11" borderId="1" xfId="1" applyNumberFormat="1" applyFont="1" applyFill="1" applyBorder="1"/>
    <xf numFmtId="0" fontId="0" fillId="5" borderId="0" xfId="0" applyFill="1"/>
    <xf numFmtId="0" fontId="2" fillId="0" borderId="1" xfId="0" applyFont="1" applyFill="1" applyBorder="1"/>
    <xf numFmtId="167" fontId="37" fillId="0" borderId="0" xfId="0" applyNumberFormat="1" applyFont="1"/>
    <xf numFmtId="0" fontId="37" fillId="0" borderId="0" xfId="0" applyFont="1"/>
    <xf numFmtId="167" fontId="12" fillId="0" borderId="0" xfId="0" applyNumberFormat="1" applyFont="1"/>
    <xf numFmtId="3" fontId="0" fillId="0" borderId="1" xfId="0" applyNumberFormat="1" applyBorder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7" fontId="30" fillId="0" borderId="6" xfId="1" applyNumberFormat="1" applyFont="1" applyBorder="1" applyProtection="1"/>
    <xf numFmtId="167" fontId="33" fillId="0" borderId="6" xfId="1" applyNumberFormat="1" applyFont="1" applyBorder="1" applyProtection="1"/>
    <xf numFmtId="167" fontId="33" fillId="0" borderId="1" xfId="1" applyNumberFormat="1" applyFont="1" applyBorder="1" applyAlignment="1" applyProtection="1">
      <alignment vertical="center"/>
    </xf>
    <xf numFmtId="167" fontId="33" fillId="5" borderId="1" xfId="1" applyNumberFormat="1" applyFont="1" applyFill="1" applyBorder="1" applyProtection="1"/>
    <xf numFmtId="167" fontId="22" fillId="0" borderId="3" xfId="1" applyNumberFormat="1" applyFont="1" applyFill="1" applyBorder="1" applyProtection="1"/>
    <xf numFmtId="167" fontId="33" fillId="5" borderId="1" xfId="1" applyNumberFormat="1" applyFont="1" applyFill="1" applyBorder="1" applyAlignment="1" applyProtection="1">
      <alignment vertical="center"/>
    </xf>
    <xf numFmtId="167" fontId="1" fillId="0" borderId="0" xfId="1" applyNumberFormat="1" applyFont="1" applyFill="1" applyProtection="1"/>
    <xf numFmtId="167" fontId="33" fillId="0" borderId="1" xfId="1" applyNumberFormat="1" applyFont="1" applyFill="1" applyBorder="1" applyAlignment="1" applyProtection="1">
      <alignment horizontal="center" vertical="center"/>
    </xf>
    <xf numFmtId="167" fontId="21" fillId="0" borderId="6" xfId="1" applyNumberFormat="1" applyFont="1" applyFill="1" applyBorder="1" applyProtection="1"/>
    <xf numFmtId="167" fontId="38" fillId="0" borderId="0" xfId="1" applyNumberFormat="1" applyFont="1" applyBorder="1" applyProtection="1">
      <protection locked="0"/>
    </xf>
    <xf numFmtId="0" fontId="10" fillId="0" borderId="1" xfId="0" applyFont="1" applyFill="1" applyBorder="1" applyAlignment="1"/>
    <xf numFmtId="0" fontId="39" fillId="0" borderId="1" xfId="0" applyFont="1" applyBorder="1" applyAlignment="1">
      <alignment vertical="center"/>
    </xf>
    <xf numFmtId="167" fontId="40" fillId="0" borderId="1" xfId="1" applyNumberFormat="1" applyFont="1" applyBorder="1" applyProtection="1">
      <protection locked="0"/>
    </xf>
    <xf numFmtId="167" fontId="41" fillId="0" borderId="1" xfId="1" applyNumberFormat="1" applyFont="1" applyBorder="1" applyProtection="1">
      <protection locked="0"/>
    </xf>
    <xf numFmtId="0" fontId="12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2" fillId="0" borderId="0" xfId="0" applyFont="1" applyFill="1" applyBorder="1" applyAlignment="1"/>
    <xf numFmtId="0" fontId="44" fillId="0" borderId="0" xfId="0" applyFont="1" applyAlignment="1">
      <alignment vertical="center"/>
    </xf>
    <xf numFmtId="167" fontId="9" fillId="0" borderId="3" xfId="1" applyNumberFormat="1" applyFont="1" applyFill="1" applyBorder="1" applyAlignment="1" applyProtection="1">
      <alignment horizontal="center" vertical="center" wrapText="1"/>
    </xf>
    <xf numFmtId="167" fontId="3" fillId="0" borderId="3" xfId="1" applyNumberFormat="1" applyFont="1" applyFill="1" applyBorder="1"/>
    <xf numFmtId="167" fontId="3" fillId="0" borderId="2" xfId="1" applyNumberFormat="1" applyFont="1" applyFill="1" applyBorder="1"/>
    <xf numFmtId="0" fontId="2" fillId="0" borderId="0" xfId="0" applyFont="1" applyFill="1"/>
    <xf numFmtId="0" fontId="2" fillId="0" borderId="0" xfId="0" applyFont="1"/>
    <xf numFmtId="14" fontId="35" fillId="0" borderId="0" xfId="0" applyNumberFormat="1" applyFont="1" applyFill="1" applyBorder="1"/>
    <xf numFmtId="0" fontId="16" fillId="0" borderId="1" xfId="0" applyFont="1" applyBorder="1"/>
    <xf numFmtId="167" fontId="2" fillId="0" borderId="1" xfId="1" applyNumberFormat="1" applyFont="1" applyFill="1" applyBorder="1"/>
    <xf numFmtId="167" fontId="16" fillId="0" borderId="1" xfId="1" applyNumberFormat="1" applyFont="1" applyFill="1" applyBorder="1"/>
    <xf numFmtId="0" fontId="2" fillId="0" borderId="1" xfId="0" applyFont="1" applyBorder="1"/>
    <xf numFmtId="0" fontId="36" fillId="0" borderId="1" xfId="0" applyFont="1" applyFill="1" applyBorder="1"/>
    <xf numFmtId="0" fontId="0" fillId="0" borderId="1" xfId="0" applyFill="1" applyBorder="1"/>
    <xf numFmtId="167" fontId="0" fillId="0" borderId="1" xfId="1" applyNumberFormat="1" applyFont="1" applyFill="1" applyBorder="1"/>
    <xf numFmtId="167" fontId="0" fillId="0" borderId="0" xfId="0" applyNumberFormat="1" applyFill="1"/>
    <xf numFmtId="0" fontId="0" fillId="0" borderId="1" xfId="0" applyFont="1" applyFill="1" applyBorder="1"/>
    <xf numFmtId="167" fontId="2" fillId="0" borderId="0" xfId="0" applyNumberFormat="1" applyFont="1" applyFill="1"/>
    <xf numFmtId="167" fontId="36" fillId="0" borderId="3" xfId="1" applyNumberFormat="1" applyFont="1" applyFill="1" applyBorder="1"/>
    <xf numFmtId="0" fontId="2" fillId="11" borderId="0" xfId="0" applyFont="1" applyFill="1"/>
    <xf numFmtId="14" fontId="35" fillId="13" borderId="1" xfId="0" applyNumberFormat="1" applyFont="1" applyFill="1" applyBorder="1"/>
    <xf numFmtId="0" fontId="0" fillId="11" borderId="1" xfId="0" applyFill="1" applyBorder="1"/>
    <xf numFmtId="14" fontId="42" fillId="0" borderId="0" xfId="0" applyNumberFormat="1" applyFont="1" applyFill="1" applyBorder="1"/>
    <xf numFmtId="0" fontId="9" fillId="15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41" fillId="0" borderId="0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167" fontId="8" fillId="0" borderId="0" xfId="1" applyNumberFormat="1" applyFont="1" applyFill="1" applyBorder="1" applyProtection="1"/>
    <xf numFmtId="167" fontId="8" fillId="19" borderId="4" xfId="1" applyNumberFormat="1" applyFont="1" applyFill="1" applyBorder="1" applyAlignment="1" applyProtection="1">
      <alignment horizontal="center" vertical="center"/>
    </xf>
    <xf numFmtId="0" fontId="32" fillId="19" borderId="5" xfId="0" applyFont="1" applyFill="1" applyBorder="1" applyAlignment="1"/>
    <xf numFmtId="167" fontId="8" fillId="19" borderId="5" xfId="1" applyNumberFormat="1" applyFont="1" applyFill="1" applyBorder="1" applyProtection="1"/>
    <xf numFmtId="167" fontId="8" fillId="19" borderId="5" xfId="0" applyNumberFormat="1" applyFont="1" applyFill="1" applyBorder="1" applyAlignment="1"/>
    <xf numFmtId="167" fontId="8" fillId="0" borderId="3" xfId="1" applyNumberFormat="1" applyFont="1" applyFill="1" applyBorder="1" applyProtection="1"/>
    <xf numFmtId="167" fontId="41" fillId="0" borderId="1" xfId="1" applyNumberFormat="1" applyFont="1" applyFill="1" applyBorder="1" applyProtection="1"/>
    <xf numFmtId="167" fontId="45" fillId="0" borderId="1" xfId="1" applyNumberFormat="1" applyFont="1" applyFill="1" applyBorder="1" applyAlignment="1" applyProtection="1">
      <alignment horizontal="center" vertical="center"/>
    </xf>
    <xf numFmtId="167" fontId="40" fillId="0" borderId="1" xfId="1" applyNumberFormat="1" applyFont="1" applyFill="1" applyBorder="1" applyProtection="1"/>
    <xf numFmtId="167" fontId="45" fillId="0" borderId="1" xfId="1" applyNumberFormat="1" applyFont="1" applyFill="1" applyBorder="1" applyProtection="1"/>
    <xf numFmtId="167" fontId="40" fillId="0" borderId="0" xfId="1" applyNumberFormat="1" applyFont="1" applyFill="1" applyBorder="1" applyProtection="1"/>
    <xf numFmtId="167" fontId="9" fillId="19" borderId="4" xfId="1" applyNumberFormat="1" applyFont="1" applyFill="1" applyBorder="1" applyAlignment="1" applyProtection="1">
      <alignment horizontal="left"/>
    </xf>
    <xf numFmtId="167" fontId="9" fillId="19" borderId="5" xfId="1" applyNumberFormat="1" applyFont="1" applyFill="1" applyBorder="1" applyAlignment="1" applyProtection="1">
      <alignment horizontal="left"/>
    </xf>
    <xf numFmtId="167" fontId="8" fillId="19" borderId="1" xfId="0" applyNumberFormat="1" applyFont="1" applyFill="1" applyBorder="1" applyAlignment="1"/>
    <xf numFmtId="167" fontId="46" fillId="0" borderId="1" xfId="1" applyNumberFormat="1" applyFont="1" applyFill="1" applyBorder="1" applyProtection="1"/>
    <xf numFmtId="3" fontId="41" fillId="0" borderId="1" xfId="0" applyNumberFormat="1" applyFont="1" applyFill="1" applyBorder="1" applyAlignment="1">
      <alignment vertical="center"/>
    </xf>
    <xf numFmtId="167" fontId="46" fillId="0" borderId="0" xfId="1" applyNumberFormat="1" applyFont="1" applyFill="1" applyBorder="1" applyProtection="1"/>
    <xf numFmtId="167" fontId="24" fillId="0" borderId="1" xfId="0" applyNumberFormat="1" applyFont="1" applyFill="1" applyBorder="1" applyAlignment="1"/>
    <xf numFmtId="0" fontId="32" fillId="19" borderId="4" xfId="0" applyFont="1" applyFill="1" applyBorder="1" applyAlignment="1"/>
    <xf numFmtId="167" fontId="47" fillId="0" borderId="3" xfId="1" applyNumberFormat="1" applyFont="1" applyFill="1" applyBorder="1" applyProtection="1"/>
    <xf numFmtId="167" fontId="45" fillId="0" borderId="6" xfId="1" applyNumberFormat="1" applyFont="1" applyFill="1" applyBorder="1" applyProtection="1"/>
    <xf numFmtId="167" fontId="45" fillId="20" borderId="1" xfId="1" applyNumberFormat="1" applyFont="1" applyFill="1" applyBorder="1" applyProtection="1"/>
    <xf numFmtId="167" fontId="45" fillId="20" borderId="1" xfId="1" applyNumberFormat="1" applyFont="1" applyFill="1" applyBorder="1" applyAlignment="1" applyProtection="1">
      <alignment vertical="center"/>
    </xf>
    <xf numFmtId="167" fontId="48" fillId="0" borderId="6" xfId="1" applyNumberFormat="1" applyFont="1" applyFill="1" applyBorder="1" applyProtection="1"/>
    <xf numFmtId="167" fontId="48" fillId="0" borderId="1" xfId="1" applyNumberFormat="1" applyFont="1" applyFill="1" applyBorder="1" applyProtection="1"/>
    <xf numFmtId="167" fontId="45" fillId="0" borderId="1" xfId="1" applyNumberFormat="1" applyFont="1" applyFill="1" applyBorder="1" applyAlignment="1" applyProtection="1">
      <alignment vertical="center"/>
    </xf>
    <xf numFmtId="167" fontId="41" fillId="0" borderId="0" xfId="0" applyNumberFormat="1" applyFont="1" applyFill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3" fillId="0" borderId="1" xfId="0" applyFont="1" applyFill="1" applyBorder="1" applyAlignment="1"/>
    <xf numFmtId="167" fontId="33" fillId="0" borderId="6" xfId="1" applyNumberFormat="1" applyFont="1" applyFill="1" applyBorder="1" applyProtection="1"/>
    <xf numFmtId="167" fontId="33" fillId="0" borderId="1" xfId="0" applyNumberFormat="1" applyFont="1" applyFill="1" applyBorder="1" applyAlignment="1"/>
    <xf numFmtId="167" fontId="12" fillId="0" borderId="0" xfId="0" applyNumberFormat="1" applyFont="1" applyAlignment="1">
      <alignment vertical="center"/>
    </xf>
    <xf numFmtId="0" fontId="49" fillId="14" borderId="0" xfId="0" applyFont="1" applyFill="1" applyAlignment="1"/>
    <xf numFmtId="0" fontId="0" fillId="0" borderId="0" xfId="0" applyFont="1" applyFill="1" applyAlignment="1"/>
    <xf numFmtId="167" fontId="21" fillId="0" borderId="6" xfId="1" applyNumberFormat="1" applyFont="1" applyBorder="1" applyProtection="1"/>
    <xf numFmtId="167" fontId="21" fillId="0" borderId="1" xfId="1" applyNumberFormat="1" applyFont="1" applyFill="1" applyBorder="1" applyProtection="1"/>
    <xf numFmtId="167" fontId="49" fillId="0" borderId="0" xfId="0" applyNumberFormat="1" applyFont="1" applyAlignment="1">
      <alignment vertical="center"/>
    </xf>
    <xf numFmtId="167" fontId="3" fillId="0" borderId="3" xfId="0" applyNumberFormat="1" applyFont="1" applyFill="1" applyBorder="1" applyAlignment="1">
      <alignment vertical="center"/>
    </xf>
    <xf numFmtId="167" fontId="3" fillId="0" borderId="1" xfId="0" applyNumberFormat="1" applyFont="1" applyFill="1" applyBorder="1" applyAlignment="1">
      <alignment vertical="center"/>
    </xf>
    <xf numFmtId="3" fontId="0" fillId="0" borderId="0" xfId="0" applyNumberFormat="1" applyFill="1"/>
    <xf numFmtId="3" fontId="2" fillId="0" borderId="0" xfId="0" applyNumberFormat="1" applyFont="1" applyFill="1"/>
    <xf numFmtId="0" fontId="12" fillId="0" borderId="0" xfId="0" applyFont="1" applyFill="1"/>
    <xf numFmtId="3" fontId="12" fillId="0" borderId="0" xfId="0" applyNumberFormat="1" applyFont="1" applyFill="1"/>
    <xf numFmtId="167" fontId="36" fillId="5" borderId="1" xfId="1" applyNumberFormat="1" applyFont="1" applyFill="1" applyBorder="1"/>
    <xf numFmtId="3" fontId="0" fillId="5" borderId="0" xfId="0" applyNumberFormat="1" applyFill="1"/>
    <xf numFmtId="167" fontId="22" fillId="0" borderId="3" xfId="1" applyNumberFormat="1" applyFont="1" applyBorder="1"/>
    <xf numFmtId="14" fontId="49" fillId="14" borderId="1" xfId="0" applyNumberFormat="1" applyFont="1" applyFill="1" applyBorder="1" applyAlignment="1"/>
    <xf numFmtId="0" fontId="49" fillId="14" borderId="1" xfId="0" applyFont="1" applyFill="1" applyBorder="1" applyAlignment="1"/>
    <xf numFmtId="167" fontId="49" fillId="14" borderId="1" xfId="1" applyNumberFormat="1" applyFont="1" applyFill="1" applyBorder="1" applyProtection="1"/>
    <xf numFmtId="0" fontId="0" fillId="21" borderId="0" xfId="0" applyFill="1" applyAlignment="1"/>
    <xf numFmtId="0" fontId="0" fillId="5" borderId="0" xfId="0" applyFill="1" applyAlignment="1"/>
    <xf numFmtId="0" fontId="10" fillId="22" borderId="0" xfId="0" applyFont="1" applyFill="1"/>
    <xf numFmtId="0" fontId="10" fillId="23" borderId="0" xfId="0" applyFont="1" applyFill="1"/>
    <xf numFmtId="167" fontId="10" fillId="23" borderId="0" xfId="1" applyNumberFormat="1" applyFont="1" applyFill="1"/>
    <xf numFmtId="0" fontId="10" fillId="23" borderId="0" xfId="0" applyFont="1" applyFill="1" applyAlignment="1">
      <alignment horizontal="left"/>
    </xf>
    <xf numFmtId="0" fontId="51" fillId="24" borderId="1" xfId="0" applyFont="1" applyFill="1" applyBorder="1" applyAlignment="1"/>
    <xf numFmtId="3" fontId="0" fillId="0" borderId="0" xfId="1" applyNumberFormat="1" applyFont="1" applyFill="1" applyAlignment="1" applyProtection="1">
      <alignment horizontal="right"/>
    </xf>
    <xf numFmtId="3" fontId="10" fillId="23" borderId="0" xfId="1" applyNumberFormat="1" applyFont="1" applyFill="1" applyAlignment="1">
      <alignment horizontal="right"/>
    </xf>
    <xf numFmtId="3" fontId="49" fillId="14" borderId="1" xfId="1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49" fillId="14" borderId="1" xfId="0" applyFont="1" applyFill="1" applyBorder="1" applyAlignment="1">
      <alignment horizontal="center"/>
    </xf>
    <xf numFmtId="0" fontId="10" fillId="23" borderId="0" xfId="0" applyFont="1" applyFill="1" applyAlignment="1">
      <alignment horizontal="center"/>
    </xf>
    <xf numFmtId="167" fontId="9" fillId="0" borderId="3" xfId="1" applyNumberFormat="1" applyFont="1" applyFill="1" applyBorder="1" applyAlignment="1" applyProtection="1">
      <alignment horizontal="center" vertical="center" wrapText="1"/>
    </xf>
    <xf numFmtId="167" fontId="12" fillId="25" borderId="0" xfId="0" applyNumberFormat="1" applyFont="1" applyFill="1" applyAlignment="1">
      <alignment vertical="center"/>
    </xf>
    <xf numFmtId="0" fontId="49" fillId="14" borderId="0" xfId="0" applyFont="1" applyFill="1" applyBorder="1" applyAlignment="1"/>
    <xf numFmtId="167" fontId="29" fillId="0" borderId="1" xfId="1" applyNumberFormat="1" applyFont="1" applyBorder="1" applyProtection="1">
      <protection locked="0"/>
    </xf>
    <xf numFmtId="167" fontId="8" fillId="3" borderId="3" xfId="1" applyNumberFormat="1" applyFont="1" applyFill="1" applyBorder="1" applyProtection="1"/>
    <xf numFmtId="0" fontId="26" fillId="3" borderId="1" xfId="0" applyFont="1" applyFill="1" applyBorder="1" applyAlignment="1"/>
    <xf numFmtId="167" fontId="0" fillId="3" borderId="1" xfId="1" applyNumberFormat="1" applyFont="1" applyFill="1" applyBorder="1" applyProtection="1"/>
    <xf numFmtId="167" fontId="8" fillId="3" borderId="1" xfId="1" applyNumberFormat="1" applyFont="1" applyFill="1" applyBorder="1" applyProtection="1"/>
    <xf numFmtId="167" fontId="8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7" fontId="1" fillId="3" borderId="1" xfId="1" applyNumberFormat="1" applyFont="1" applyFill="1" applyBorder="1" applyProtection="1"/>
    <xf numFmtId="167" fontId="8" fillId="3" borderId="1" xfId="0" applyNumberFormat="1" applyFont="1" applyFill="1" applyBorder="1" applyAlignment="1"/>
    <xf numFmtId="0" fontId="0" fillId="26" borderId="1" xfId="0" applyFill="1" applyBorder="1" applyAlignment="1"/>
    <xf numFmtId="165" fontId="0" fillId="26" borderId="1" xfId="4" applyFont="1" applyFill="1" applyBorder="1" applyAlignment="1"/>
    <xf numFmtId="167" fontId="33" fillId="0" borderId="1" xfId="1" applyNumberFormat="1" applyFont="1" applyBorder="1"/>
    <xf numFmtId="167" fontId="9" fillId="0" borderId="3" xfId="1" applyNumberFormat="1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/>
    <xf numFmtId="170" fontId="8" fillId="0" borderId="3" xfId="0" applyNumberFormat="1" applyFont="1" applyFill="1" applyBorder="1"/>
    <xf numFmtId="0" fontId="9" fillId="0" borderId="3" xfId="0" applyFont="1" applyBorder="1"/>
    <xf numFmtId="0" fontId="8" fillId="0" borderId="1" xfId="0" applyFont="1" applyFill="1" applyBorder="1" applyAlignment="1">
      <alignment horizontal="left"/>
    </xf>
    <xf numFmtId="167" fontId="8" fillId="0" borderId="3" xfId="0" applyNumberFormat="1" applyFont="1" applyFill="1" applyBorder="1" applyAlignment="1">
      <alignment vertical="center"/>
    </xf>
    <xf numFmtId="170" fontId="33" fillId="0" borderId="3" xfId="0" applyNumberFormat="1" applyFont="1" applyFill="1" applyBorder="1"/>
    <xf numFmtId="0" fontId="10" fillId="24" borderId="1" xfId="0" applyFont="1" applyFill="1" applyBorder="1" applyAlignment="1"/>
    <xf numFmtId="0" fontId="39" fillId="24" borderId="1" xfId="0" applyFont="1" applyFill="1" applyBorder="1" applyAlignment="1">
      <alignment vertical="center"/>
    </xf>
    <xf numFmtId="167" fontId="40" fillId="24" borderId="1" xfId="1" applyNumberFormat="1" applyFont="1" applyFill="1" applyBorder="1" applyProtection="1">
      <protection locked="0"/>
    </xf>
    <xf numFmtId="167" fontId="41" fillId="24" borderId="1" xfId="1" applyNumberFormat="1" applyFont="1" applyFill="1" applyBorder="1" applyProtection="1">
      <protection locked="0"/>
    </xf>
    <xf numFmtId="167" fontId="8" fillId="5" borderId="1" xfId="1" applyNumberFormat="1" applyFont="1" applyFill="1" applyBorder="1" applyProtection="1"/>
    <xf numFmtId="167" fontId="33" fillId="24" borderId="1" xfId="1" applyNumberFormat="1" applyFont="1" applyFill="1" applyBorder="1" applyProtection="1"/>
    <xf numFmtId="167" fontId="8" fillId="24" borderId="1" xfId="0" applyNumberFormat="1" applyFont="1" applyFill="1" applyBorder="1" applyAlignment="1"/>
    <xf numFmtId="167" fontId="8" fillId="0" borderId="1" xfId="1" applyNumberFormat="1" applyFont="1" applyBorder="1" applyProtection="1"/>
    <xf numFmtId="167" fontId="8" fillId="24" borderId="1" xfId="1" applyNumberFormat="1" applyFont="1" applyFill="1" applyBorder="1" applyProtection="1"/>
    <xf numFmtId="167" fontId="33" fillId="5" borderId="1" xfId="0" applyNumberFormat="1" applyFont="1" applyFill="1" applyBorder="1" applyAlignment="1"/>
    <xf numFmtId="167" fontId="33" fillId="0" borderId="1" xfId="1" applyNumberFormat="1" applyFont="1" applyBorder="1" applyProtection="1"/>
    <xf numFmtId="167" fontId="33" fillId="0" borderId="0" xfId="1" applyNumberFormat="1" applyFont="1" applyProtection="1"/>
    <xf numFmtId="0" fontId="9" fillId="0" borderId="1" xfId="0" applyFont="1" applyFill="1" applyBorder="1" applyAlignment="1"/>
    <xf numFmtId="0" fontId="9" fillId="5" borderId="1" xfId="0" applyFont="1" applyFill="1" applyBorder="1" applyAlignment="1"/>
    <xf numFmtId="0" fontId="9" fillId="24" borderId="1" xfId="0" applyFont="1" applyFill="1" applyBorder="1" applyAlignment="1"/>
    <xf numFmtId="0" fontId="33" fillId="5" borderId="1" xfId="0" applyFont="1" applyFill="1" applyBorder="1" applyAlignment="1">
      <alignment vertical="center"/>
    </xf>
    <xf numFmtId="3" fontId="33" fillId="0" borderId="1" xfId="0" applyNumberFormat="1" applyFont="1" applyBorder="1" applyAlignment="1">
      <alignment vertical="center"/>
    </xf>
    <xf numFmtId="167" fontId="33" fillId="0" borderId="3" xfId="1" applyNumberFormat="1" applyFont="1" applyFill="1" applyBorder="1" applyProtection="1"/>
    <xf numFmtId="0" fontId="52" fillId="0" borderId="0" xfId="0" applyFont="1" applyAlignment="1">
      <alignment vertical="center"/>
    </xf>
    <xf numFmtId="3" fontId="2" fillId="27" borderId="0" xfId="1" applyNumberFormat="1" applyFont="1" applyFill="1" applyAlignment="1" applyProtection="1">
      <alignment horizontal="right"/>
    </xf>
    <xf numFmtId="172" fontId="41" fillId="0" borderId="1" xfId="1" applyNumberFormat="1" applyFont="1" applyBorder="1" applyProtection="1">
      <protection locked="0"/>
    </xf>
    <xf numFmtId="172" fontId="41" fillId="24" borderId="1" xfId="1" applyNumberFormat="1" applyFont="1" applyFill="1" applyBorder="1" applyProtection="1">
      <protection locked="0"/>
    </xf>
    <xf numFmtId="167" fontId="9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167" fontId="55" fillId="0" borderId="0" xfId="1" applyNumberFormat="1" applyFont="1" applyBorder="1" applyProtection="1">
      <protection locked="0"/>
    </xf>
    <xf numFmtId="167" fontId="21" fillId="0" borderId="1" xfId="1" applyNumberFormat="1" applyFont="1" applyFill="1" applyBorder="1" applyAlignment="1" applyProtection="1">
      <alignment horizontal="center" vertical="center"/>
    </xf>
    <xf numFmtId="167" fontId="21" fillId="5" borderId="1" xfId="1" applyNumberFormat="1" applyFont="1" applyFill="1" applyBorder="1" applyProtection="1"/>
    <xf numFmtId="167" fontId="21" fillId="24" borderId="1" xfId="1" applyNumberFormat="1" applyFont="1" applyFill="1" applyBorder="1" applyProtection="1"/>
    <xf numFmtId="0" fontId="21" fillId="5" borderId="1" xfId="0" applyFont="1" applyFill="1" applyBorder="1" applyAlignment="1">
      <alignment vertical="center"/>
    </xf>
    <xf numFmtId="167" fontId="21" fillId="0" borderId="1" xfId="1" applyNumberFormat="1" applyFont="1" applyBorder="1" applyProtection="1"/>
    <xf numFmtId="0" fontId="22" fillId="5" borderId="0" xfId="0" applyFont="1" applyFill="1" applyBorder="1" applyAlignment="1">
      <alignment vertical="center"/>
    </xf>
    <xf numFmtId="167" fontId="54" fillId="0" borderId="0" xfId="0" applyNumberFormat="1" applyFont="1" applyAlignment="1">
      <alignment vertical="center"/>
    </xf>
    <xf numFmtId="0" fontId="49" fillId="5" borderId="0" xfId="0" applyFont="1" applyFill="1" applyAlignment="1"/>
    <xf numFmtId="0" fontId="49" fillId="5" borderId="0" xfId="0" applyFont="1" applyFill="1" applyBorder="1" applyAlignment="1"/>
    <xf numFmtId="0" fontId="53" fillId="0" borderId="0" xfId="0" applyFont="1" applyFill="1" applyBorder="1" applyAlignment="1"/>
    <xf numFmtId="167" fontId="9" fillId="0" borderId="3" xfId="1" applyNumberFormat="1" applyFont="1" applyFill="1" applyBorder="1" applyAlignment="1" applyProtection="1">
      <alignment horizontal="center" vertical="center" wrapText="1"/>
    </xf>
    <xf numFmtId="167" fontId="8" fillId="0" borderId="3" xfId="1" applyNumberFormat="1" applyFont="1" applyFill="1" applyBorder="1"/>
    <xf numFmtId="167" fontId="2" fillId="0" borderId="0" xfId="0" applyNumberFormat="1" applyFont="1" applyAlignment="1">
      <alignment vertical="center"/>
    </xf>
    <xf numFmtId="167" fontId="9" fillId="0" borderId="3" xfId="1" applyNumberFormat="1" applyFont="1" applyFill="1" applyBorder="1" applyAlignment="1" applyProtection="1">
      <alignment horizontal="center" vertical="center" wrapText="1"/>
    </xf>
    <xf numFmtId="170" fontId="33" fillId="0" borderId="1" xfId="0" applyNumberFormat="1" applyFont="1" applyFill="1" applyBorder="1"/>
    <xf numFmtId="14" fontId="35" fillId="0" borderId="1" xfId="0" applyNumberFormat="1" applyFont="1" applyFill="1" applyBorder="1"/>
    <xf numFmtId="0" fontId="57" fillId="5" borderId="1" xfId="0" applyFont="1" applyFill="1" applyBorder="1" applyAlignment="1">
      <alignment vertical="center"/>
    </xf>
    <xf numFmtId="0" fontId="57" fillId="5" borderId="1" xfId="0" applyFont="1" applyFill="1" applyBorder="1" applyAlignment="1"/>
    <xf numFmtId="0" fontId="57" fillId="5" borderId="1" xfId="0" applyFont="1" applyFill="1" applyBorder="1"/>
    <xf numFmtId="0" fontId="57" fillId="0" borderId="3" xfId="0" applyFont="1" applyFill="1" applyBorder="1" applyAlignment="1">
      <alignment horizontal="center"/>
    </xf>
    <xf numFmtId="0" fontId="57" fillId="5" borderId="1" xfId="0" applyFont="1" applyFill="1" applyBorder="1" applyAlignment="1">
      <alignment horizontal="center"/>
    </xf>
    <xf numFmtId="168" fontId="59" fillId="3" borderId="0" xfId="0" applyNumberFormat="1" applyFont="1" applyFill="1"/>
    <xf numFmtId="0" fontId="60" fillId="0" borderId="0" xfId="0" applyFont="1" applyFill="1"/>
    <xf numFmtId="0" fontId="60" fillId="0" borderId="0" xfId="0" applyFont="1"/>
    <xf numFmtId="0" fontId="61" fillId="0" borderId="0" xfId="0" applyFont="1" applyFill="1"/>
    <xf numFmtId="173" fontId="60" fillId="0" borderId="0" xfId="0" applyNumberFormat="1" applyFont="1" applyFill="1" applyAlignment="1">
      <alignment horizontal="center"/>
    </xf>
    <xf numFmtId="1" fontId="60" fillId="0" borderId="0" xfId="0" applyNumberFormat="1" applyFont="1" applyFill="1" applyAlignment="1">
      <alignment horizontal="left"/>
    </xf>
    <xf numFmtId="0" fontId="60" fillId="0" borderId="0" xfId="0" applyFont="1" applyFill="1" applyAlignment="1">
      <alignment horizontal="center"/>
    </xf>
    <xf numFmtId="3" fontId="60" fillId="0" borderId="0" xfId="5" applyNumberFormat="1" applyFont="1" applyFill="1" applyAlignment="1">
      <alignment horizontal="center"/>
    </xf>
    <xf numFmtId="174" fontId="60" fillId="0" borderId="0" xfId="5" applyNumberFormat="1" applyFont="1" applyFill="1" applyAlignment="1">
      <alignment horizontal="center"/>
    </xf>
    <xf numFmtId="0" fontId="60" fillId="28" borderId="0" xfId="0" applyFont="1" applyFill="1"/>
    <xf numFmtId="173" fontId="63" fillId="5" borderId="0" xfId="0" applyNumberFormat="1" applyFont="1" applyFill="1"/>
    <xf numFmtId="1" fontId="61" fillId="0" borderId="0" xfId="0" applyNumberFormat="1" applyFont="1" applyFill="1" applyAlignment="1">
      <alignment horizontal="left"/>
    </xf>
    <xf numFmtId="0" fontId="61" fillId="0" borderId="0" xfId="0" applyFont="1"/>
    <xf numFmtId="0" fontId="61" fillId="0" borderId="0" xfId="0" applyFont="1" applyFill="1" applyAlignment="1">
      <alignment horizontal="center"/>
    </xf>
    <xf numFmtId="0" fontId="25" fillId="3" borderId="0" xfId="0" applyFont="1" applyFill="1"/>
    <xf numFmtId="0" fontId="64" fillId="0" borderId="0" xfId="0" applyFont="1" applyFill="1" applyAlignment="1">
      <alignment horizontal="left"/>
    </xf>
    <xf numFmtId="0" fontId="61" fillId="0" borderId="0" xfId="0" applyFont="1" applyFill="1" applyBorder="1"/>
    <xf numFmtId="3" fontId="60" fillId="0" borderId="0" xfId="0" applyNumberFormat="1" applyFont="1"/>
    <xf numFmtId="14" fontId="60" fillId="0" borderId="12" xfId="0" applyNumberFormat="1" applyFont="1" applyBorder="1"/>
    <xf numFmtId="0" fontId="60" fillId="0" borderId="12" xfId="0" applyFont="1" applyBorder="1"/>
    <xf numFmtId="3" fontId="61" fillId="0" borderId="12" xfId="0" applyNumberFormat="1" applyFont="1" applyBorder="1"/>
    <xf numFmtId="3" fontId="60" fillId="0" borderId="12" xfId="0" applyNumberFormat="1" applyFont="1" applyBorder="1"/>
    <xf numFmtId="0" fontId="61" fillId="0" borderId="0" xfId="0" applyFont="1" applyFill="1" applyBorder="1" applyAlignment="1"/>
    <xf numFmtId="0" fontId="60" fillId="0" borderId="0" xfId="0" applyFont="1" applyAlignment="1"/>
    <xf numFmtId="14" fontId="60" fillId="0" borderId="1" xfId="0" applyNumberFormat="1" applyFont="1" applyBorder="1"/>
    <xf numFmtId="0" fontId="60" fillId="0" borderId="1" xfId="0" applyFont="1" applyBorder="1"/>
    <xf numFmtId="3" fontId="60" fillId="0" borderId="1" xfId="0" applyNumberFormat="1" applyFont="1" applyBorder="1"/>
    <xf numFmtId="14" fontId="65" fillId="0" borderId="1" xfId="0" applyNumberFormat="1" applyFont="1" applyBorder="1"/>
    <xf numFmtId="0" fontId="66" fillId="0" borderId="1" xfId="0" applyFont="1" applyFill="1" applyBorder="1" applyAlignment="1">
      <alignment horizontal="left" vertical="center"/>
    </xf>
    <xf numFmtId="0" fontId="65" fillId="0" borderId="1" xfId="0" applyFont="1" applyBorder="1"/>
    <xf numFmtId="3" fontId="65" fillId="0" borderId="1" xfId="0" applyNumberFormat="1" applyFont="1" applyBorder="1"/>
    <xf numFmtId="14" fontId="60" fillId="0" borderId="11" xfId="0" applyNumberFormat="1" applyFont="1" applyBorder="1"/>
    <xf numFmtId="3" fontId="60" fillId="0" borderId="11" xfId="0" applyNumberFormat="1" applyFont="1" applyBorder="1"/>
    <xf numFmtId="0" fontId="60" fillId="0" borderId="11" xfId="0" applyFont="1" applyBorder="1"/>
    <xf numFmtId="3" fontId="61" fillId="0" borderId="18" xfId="0" applyNumberFormat="1" applyFont="1" applyBorder="1"/>
    <xf numFmtId="0" fontId="61" fillId="29" borderId="12" xfId="0" applyFont="1" applyFill="1" applyBorder="1"/>
    <xf numFmtId="3" fontId="60" fillId="30" borderId="12" xfId="0" applyNumberFormat="1" applyFont="1" applyFill="1" applyBorder="1"/>
    <xf numFmtId="3" fontId="60" fillId="29" borderId="12" xfId="0" applyNumberFormat="1" applyFont="1" applyFill="1" applyBorder="1"/>
    <xf numFmtId="0" fontId="67" fillId="0" borderId="12" xfId="0" applyFont="1" applyBorder="1"/>
    <xf numFmtId="3" fontId="67" fillId="0" borderId="12" xfId="0" applyNumberFormat="1" applyFont="1" applyBorder="1"/>
    <xf numFmtId="0" fontId="67" fillId="0" borderId="0" xfId="0" applyFont="1"/>
    <xf numFmtId="3" fontId="67" fillId="3" borderId="12" xfId="0" applyNumberFormat="1" applyFont="1" applyFill="1" applyBorder="1"/>
    <xf numFmtId="0" fontId="60" fillId="3" borderId="0" xfId="0" applyFont="1" applyFill="1"/>
    <xf numFmtId="0" fontId="61" fillId="0" borderId="0" xfId="0" applyFont="1" applyBorder="1"/>
    <xf numFmtId="0" fontId="61" fillId="0" borderId="0" xfId="0" applyFont="1" applyAlignment="1"/>
    <xf numFmtId="0" fontId="0" fillId="0" borderId="0" xfId="0" applyBorder="1"/>
    <xf numFmtId="0" fontId="58" fillId="3" borderId="0" xfId="0" applyFont="1" applyFill="1"/>
    <xf numFmtId="167" fontId="0" fillId="3" borderId="0" xfId="0" applyNumberFormat="1" applyFill="1" applyBorder="1"/>
    <xf numFmtId="0" fontId="5" fillId="28" borderId="3" xfId="0" applyFont="1" applyFill="1" applyBorder="1"/>
    <xf numFmtId="0" fontId="9" fillId="28" borderId="1" xfId="0" applyFont="1" applyFill="1" applyBorder="1" applyAlignment="1">
      <alignment horizontal="left"/>
    </xf>
    <xf numFmtId="0" fontId="5" fillId="28" borderId="1" xfId="0" applyFont="1" applyFill="1" applyBorder="1"/>
    <xf numFmtId="0" fontId="5" fillId="28" borderId="1" xfId="0" applyFont="1" applyFill="1" applyBorder="1" applyAlignment="1">
      <alignment vertical="center"/>
    </xf>
    <xf numFmtId="0" fontId="9" fillId="28" borderId="1" xfId="0" applyFont="1" applyFill="1" applyBorder="1"/>
    <xf numFmtId="167" fontId="5" fillId="28" borderId="1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68" fillId="0" borderId="0" xfId="0" applyFont="1" applyAlignment="1">
      <alignment vertical="center"/>
    </xf>
    <xf numFmtId="3" fontId="0" fillId="0" borderId="0" xfId="1" applyNumberFormat="1" applyFont="1" applyFill="1" applyAlignment="1" applyProtection="1"/>
    <xf numFmtId="3" fontId="49" fillId="14" borderId="1" xfId="1" applyNumberFormat="1" applyFont="1" applyFill="1" applyBorder="1" applyAlignment="1" applyProtection="1"/>
    <xf numFmtId="3" fontId="10" fillId="23" borderId="0" xfId="1" applyNumberFormat="1" applyFont="1" applyFill="1" applyAlignment="1"/>
    <xf numFmtId="0" fontId="57" fillId="5" borderId="1" xfId="0" applyFont="1" applyFill="1" applyBorder="1" applyAlignment="1">
      <alignment horizontal="center" vertical="center"/>
    </xf>
    <xf numFmtId="167" fontId="57" fillId="5" borderId="1" xfId="1" applyNumberFormat="1" applyFont="1" applyFill="1" applyBorder="1" applyAlignment="1">
      <alignment horizontal="center" vertical="center" wrapText="1"/>
    </xf>
    <xf numFmtId="0" fontId="57" fillId="5" borderId="0" xfId="0" applyFont="1" applyFill="1" applyBorder="1" applyAlignment="1">
      <alignment horizontal="center" vertical="center"/>
    </xf>
    <xf numFmtId="0" fontId="57" fillId="5" borderId="13" xfId="0" applyFont="1" applyFill="1" applyBorder="1" applyAlignment="1">
      <alignment horizontal="center" vertical="center"/>
    </xf>
    <xf numFmtId="3" fontId="57" fillId="5" borderId="1" xfId="1" applyNumberFormat="1" applyFont="1" applyFill="1" applyBorder="1" applyAlignment="1" applyProtection="1">
      <alignment horizontal="center"/>
    </xf>
    <xf numFmtId="3" fontId="57" fillId="5" borderId="3" xfId="1" applyNumberFormat="1" applyFont="1" applyFill="1" applyBorder="1" applyAlignment="1" applyProtection="1"/>
    <xf numFmtId="167" fontId="57" fillId="5" borderId="1" xfId="1" applyNumberFormat="1" applyFont="1" applyFill="1" applyBorder="1" applyProtection="1"/>
    <xf numFmtId="0" fontId="61" fillId="0" borderId="1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57" fillId="5" borderId="3" xfId="0" applyFont="1" applyFill="1" applyBorder="1" applyAlignment="1">
      <alignment horizontal="center" vertical="center"/>
    </xf>
    <xf numFmtId="0" fontId="57" fillId="5" borderId="6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5" borderId="0" xfId="0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5" fillId="2" borderId="1" xfId="0" applyFont="1" applyFill="1" applyBorder="1"/>
    <xf numFmtId="167" fontId="5" fillId="2" borderId="1" xfId="1" applyNumberFormat="1" applyFont="1" applyFill="1" applyBorder="1"/>
    <xf numFmtId="0" fontId="5" fillId="2" borderId="3" xfId="0" applyFont="1" applyFill="1" applyBorder="1"/>
    <xf numFmtId="0" fontId="5" fillId="2" borderId="1" xfId="0" applyFont="1" applyFill="1" applyBorder="1" applyAlignment="1">
      <alignment vertical="center"/>
    </xf>
    <xf numFmtId="167" fontId="5" fillId="2" borderId="1" xfId="0" applyNumberFormat="1" applyFont="1" applyFill="1" applyBorder="1" applyAlignment="1">
      <alignment vertical="center"/>
    </xf>
    <xf numFmtId="167" fontId="6" fillId="0" borderId="0" xfId="1" applyNumberFormat="1" applyFont="1" applyFill="1"/>
    <xf numFmtId="0" fontId="9" fillId="0" borderId="3" xfId="0" applyFont="1" applyFill="1" applyBorder="1" applyAlignment="1">
      <alignment horizontal="center"/>
    </xf>
    <xf numFmtId="0" fontId="0" fillId="0" borderId="3" xfId="0" applyFill="1" applyBorder="1"/>
    <xf numFmtId="0" fontId="12" fillId="0" borderId="1" xfId="0" applyFont="1" applyFill="1" applyBorder="1"/>
    <xf numFmtId="0" fontId="0" fillId="5" borderId="1" xfId="0" applyFill="1" applyBorder="1"/>
    <xf numFmtId="167" fontId="12" fillId="0" borderId="0" xfId="1" applyNumberFormat="1" applyFont="1"/>
    <xf numFmtId="0" fontId="69" fillId="0" borderId="1" xfId="0" applyFont="1" applyFill="1" applyBorder="1"/>
    <xf numFmtId="0" fontId="70" fillId="0" borderId="0" xfId="0" applyFont="1" applyFill="1"/>
    <xf numFmtId="3" fontId="70" fillId="0" borderId="0" xfId="0" applyNumberFormat="1" applyFont="1" applyFill="1"/>
    <xf numFmtId="0" fontId="70" fillId="11" borderId="0" xfId="0" applyFont="1" applyFill="1"/>
    <xf numFmtId="167" fontId="12" fillId="0" borderId="0" xfId="0" applyNumberFormat="1" applyFont="1" applyFill="1" applyAlignment="1"/>
    <xf numFmtId="167" fontId="9" fillId="0" borderId="3" xfId="1" applyNumberFormat="1" applyFont="1" applyFill="1" applyBorder="1" applyAlignment="1" applyProtection="1">
      <alignment horizontal="center" vertical="center" wrapText="1"/>
    </xf>
    <xf numFmtId="0" fontId="57" fillId="5" borderId="3" xfId="0" applyFont="1" applyFill="1" applyBorder="1"/>
    <xf numFmtId="0" fontId="71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73" fillId="0" borderId="4" xfId="0" applyFont="1" applyFill="1" applyBorder="1" applyAlignment="1"/>
    <xf numFmtId="167" fontId="33" fillId="0" borderId="1" xfId="0" applyNumberFormat="1" applyFont="1" applyBorder="1" applyAlignment="1"/>
    <xf numFmtId="0" fontId="73" fillId="0" borderId="0" xfId="0" applyFont="1" applyFill="1" applyBorder="1" applyAlignment="1"/>
    <xf numFmtId="0" fontId="73" fillId="0" borderId="1" xfId="0" applyFont="1" applyFill="1" applyBorder="1" applyAlignment="1"/>
    <xf numFmtId="167" fontId="33" fillId="0" borderId="3" xfId="1" applyNumberFormat="1" applyFont="1" applyBorder="1" applyProtection="1"/>
    <xf numFmtId="167" fontId="1" fillId="0" borderId="1" xfId="1" applyNumberFormat="1" applyFont="1" applyBorder="1" applyProtection="1"/>
    <xf numFmtId="167" fontId="33" fillId="25" borderId="1" xfId="0" applyNumberFormat="1" applyFont="1" applyFill="1" applyBorder="1" applyAlignment="1"/>
    <xf numFmtId="0" fontId="1" fillId="0" borderId="1" xfId="0" applyFont="1" applyBorder="1" applyAlignment="1">
      <alignment vertical="center"/>
    </xf>
    <xf numFmtId="0" fontId="3" fillId="0" borderId="9" xfId="0" applyFont="1" applyBorder="1"/>
    <xf numFmtId="0" fontId="57" fillId="5" borderId="19" xfId="0" applyFont="1" applyFill="1" applyBorder="1" applyAlignment="1">
      <alignment vertical="center"/>
    </xf>
    <xf numFmtId="167" fontId="2" fillId="28" borderId="1" xfId="1" applyNumberFormat="1" applyFont="1" applyFill="1" applyBorder="1"/>
    <xf numFmtId="167" fontId="9" fillId="0" borderId="3" xfId="1" applyNumberFormat="1" applyFont="1" applyFill="1" applyBorder="1" applyAlignment="1" applyProtection="1">
      <alignment horizontal="center" vertical="center" wrapText="1"/>
    </xf>
    <xf numFmtId="167" fontId="57" fillId="5" borderId="3" xfId="1" applyNumberFormat="1" applyFont="1" applyFill="1" applyBorder="1" applyAlignment="1">
      <alignment horizontal="center" vertical="center" wrapText="1"/>
    </xf>
    <xf numFmtId="0" fontId="57" fillId="5" borderId="8" xfId="0" applyFont="1" applyFill="1" applyBorder="1" applyAlignment="1">
      <alignment horizontal="center" vertical="center"/>
    </xf>
    <xf numFmtId="0" fontId="57" fillId="5" borderId="10" xfId="0" applyFont="1" applyFill="1" applyBorder="1" applyAlignment="1">
      <alignment horizontal="center" vertical="center"/>
    </xf>
    <xf numFmtId="0" fontId="0" fillId="5" borderId="0" xfId="0" applyFont="1" applyFill="1" applyAlignment="1"/>
    <xf numFmtId="3" fontId="57" fillId="5" borderId="1" xfId="1" applyNumberFormat="1" applyFont="1" applyFill="1" applyBorder="1"/>
    <xf numFmtId="0" fontId="74" fillId="0" borderId="0" xfId="0" applyFont="1" applyFill="1" applyAlignment="1"/>
    <xf numFmtId="0" fontId="53" fillId="0" borderId="3" xfId="0" applyFont="1" applyBorder="1"/>
    <xf numFmtId="167" fontId="3" fillId="0" borderId="0" xfId="0" applyNumberFormat="1" applyFont="1"/>
    <xf numFmtId="169" fontId="22" fillId="0" borderId="1" xfId="2" applyNumberFormat="1" applyFont="1" applyBorder="1"/>
    <xf numFmtId="0" fontId="22" fillId="0" borderId="3" xfId="0" applyFont="1" applyBorder="1"/>
    <xf numFmtId="0" fontId="22" fillId="0" borderId="1" xfId="0" applyFont="1" applyFill="1" applyBorder="1" applyAlignment="1">
      <alignment horizontal="center"/>
    </xf>
    <xf numFmtId="0" fontId="22" fillId="0" borderId="1" xfId="0" applyFont="1" applyBorder="1"/>
    <xf numFmtId="167" fontId="33" fillId="0" borderId="3" xfId="1" applyNumberFormat="1" applyFont="1" applyFill="1" applyBorder="1"/>
    <xf numFmtId="167" fontId="22" fillId="0" borderId="3" xfId="1" applyNumberFormat="1" applyFont="1" applyFill="1" applyBorder="1"/>
    <xf numFmtId="167" fontId="33" fillId="0" borderId="1" xfId="1" applyNumberFormat="1" applyFont="1" applyFill="1" applyBorder="1"/>
    <xf numFmtId="14" fontId="35" fillId="5" borderId="1" xfId="0" applyNumberFormat="1" applyFont="1" applyFill="1" applyBorder="1"/>
    <xf numFmtId="0" fontId="0" fillId="5" borderId="1" xfId="0" applyFont="1" applyFill="1" applyBorder="1"/>
    <xf numFmtId="167" fontId="0" fillId="5" borderId="1" xfId="1" applyNumberFormat="1" applyFont="1" applyFill="1" applyBorder="1"/>
    <xf numFmtId="167" fontId="36" fillId="0" borderId="1" xfId="1" applyNumberFormat="1" applyFont="1" applyFill="1" applyBorder="1"/>
    <xf numFmtId="14" fontId="35" fillId="0" borderId="1" xfId="0" applyNumberFormat="1" applyFont="1" applyFill="1" applyBorder="1" applyAlignment="1">
      <alignment vertical="center"/>
    </xf>
    <xf numFmtId="0" fontId="36" fillId="5" borderId="1" xfId="0" applyFont="1" applyFill="1" applyBorder="1"/>
    <xf numFmtId="167" fontId="0" fillId="0" borderId="3" xfId="1" applyNumberFormat="1" applyFont="1" applyFill="1" applyBorder="1"/>
    <xf numFmtId="0" fontId="57" fillId="5" borderId="19" xfId="0" applyFont="1" applyFill="1" applyBorder="1"/>
    <xf numFmtId="0" fontId="57" fillId="5" borderId="6" xfId="0" applyFont="1" applyFill="1" applyBorder="1"/>
    <xf numFmtId="0" fontId="57" fillId="5" borderId="0" xfId="0" applyFont="1" applyFill="1" applyBorder="1"/>
    <xf numFmtId="3" fontId="57" fillId="5" borderId="3" xfId="1" applyNumberFormat="1" applyFont="1" applyFill="1" applyBorder="1"/>
    <xf numFmtId="3" fontId="57" fillId="5" borderId="19" xfId="1" applyNumberFormat="1" applyFont="1" applyFill="1" applyBorder="1"/>
    <xf numFmtId="3" fontId="57" fillId="5" borderId="20" xfId="1" applyNumberFormat="1" applyFont="1" applyFill="1" applyBorder="1"/>
    <xf numFmtId="167" fontId="57" fillId="5" borderId="1" xfId="1" applyNumberFormat="1" applyFont="1" applyFill="1" applyBorder="1"/>
    <xf numFmtId="14" fontId="57" fillId="5" borderId="3" xfId="0" applyNumberFormat="1" applyFont="1" applyFill="1" applyBorder="1" applyAlignment="1"/>
    <xf numFmtId="14" fontId="57" fillId="5" borderId="1" xfId="0" applyNumberFormat="1" applyFont="1" applyFill="1" applyBorder="1" applyAlignment="1"/>
    <xf numFmtId="0" fontId="57" fillId="5" borderId="13" xfId="0" applyFont="1" applyFill="1" applyBorder="1"/>
    <xf numFmtId="14" fontId="57" fillId="5" borderId="13" xfId="0" applyNumberFormat="1" applyFont="1" applyFill="1" applyBorder="1" applyAlignment="1"/>
    <xf numFmtId="0" fontId="57" fillId="5" borderId="3" xfId="2" applyFont="1" applyFill="1" applyBorder="1" applyAlignment="1" applyProtection="1"/>
    <xf numFmtId="3" fontId="57" fillId="5" borderId="3" xfId="0" applyNumberFormat="1" applyFont="1" applyFill="1" applyBorder="1" applyAlignment="1">
      <alignment vertical="center"/>
    </xf>
    <xf numFmtId="3" fontId="57" fillId="5" borderId="1" xfId="0" applyNumberFormat="1" applyFont="1" applyFill="1" applyBorder="1" applyAlignment="1">
      <alignment vertical="center"/>
    </xf>
    <xf numFmtId="0" fontId="57" fillId="5" borderId="3" xfId="0" applyFont="1" applyFill="1" applyBorder="1" applyAlignment="1">
      <alignment vertical="center"/>
    </xf>
    <xf numFmtId="0" fontId="57" fillId="5" borderId="1" xfId="0" applyFont="1" applyFill="1" applyBorder="1" applyAlignment="1">
      <alignment horizontal="left" vertical="center"/>
    </xf>
    <xf numFmtId="176" fontId="57" fillId="5" borderId="1" xfId="2" applyNumberFormat="1" applyFont="1" applyFill="1" applyBorder="1" applyAlignment="1">
      <alignment vertical="top" wrapText="1"/>
    </xf>
    <xf numFmtId="0" fontId="57" fillId="5" borderId="1" xfId="2" applyFont="1" applyFill="1" applyBorder="1" applyAlignment="1" applyProtection="1"/>
    <xf numFmtId="0" fontId="57" fillId="5" borderId="0" xfId="0" applyFont="1" applyFill="1" applyBorder="1" applyAlignment="1">
      <alignment vertical="center"/>
    </xf>
    <xf numFmtId="0" fontId="57" fillId="5" borderId="0" xfId="0" applyFont="1" applyFill="1" applyBorder="1" applyAlignment="1">
      <alignment horizontal="center"/>
    </xf>
    <xf numFmtId="0" fontId="57" fillId="5" borderId="8" xfId="0" applyFont="1" applyFill="1" applyBorder="1" applyAlignment="1">
      <alignment horizontal="center"/>
    </xf>
    <xf numFmtId="3" fontId="57" fillId="5" borderId="3" xfId="0" applyNumberFormat="1" applyFont="1" applyFill="1" applyBorder="1"/>
    <xf numFmtId="0" fontId="57" fillId="5" borderId="6" xfId="0" applyFont="1" applyFill="1" applyBorder="1" applyAlignment="1">
      <alignment horizontal="center" vertical="center"/>
    </xf>
    <xf numFmtId="3" fontId="57" fillId="5" borderId="1" xfId="0" applyNumberFormat="1" applyFont="1" applyFill="1" applyBorder="1"/>
    <xf numFmtId="0" fontId="57" fillId="5" borderId="10" xfId="0" applyFont="1" applyFill="1" applyBorder="1" applyAlignment="1">
      <alignment horizontal="center"/>
    </xf>
    <xf numFmtId="0" fontId="57" fillId="5" borderId="13" xfId="0" applyFont="1" applyFill="1" applyBorder="1" applyAlignment="1">
      <alignment vertical="center"/>
    </xf>
    <xf numFmtId="0" fontId="57" fillId="5" borderId="3" xfId="0" applyFont="1" applyFill="1" applyBorder="1" applyAlignment="1">
      <alignment horizontal="left" vertical="center"/>
    </xf>
    <xf numFmtId="0" fontId="57" fillId="5" borderId="1" xfId="0" applyFont="1" applyFill="1" applyBorder="1" applyAlignment="1">
      <alignment horizontal="left"/>
    </xf>
    <xf numFmtId="167" fontId="57" fillId="5" borderId="1" xfId="0" applyNumberFormat="1" applyFont="1" applyFill="1" applyBorder="1" applyAlignment="1">
      <alignment vertical="center"/>
    </xf>
    <xf numFmtId="170" fontId="57" fillId="5" borderId="1" xfId="0" applyNumberFormat="1" applyFont="1" applyFill="1" applyBorder="1"/>
    <xf numFmtId="167" fontId="57" fillId="5" borderId="1" xfId="0" applyNumberFormat="1" applyFont="1" applyFill="1" applyBorder="1" applyAlignment="1">
      <alignment horizontal="right" vertical="center"/>
    </xf>
    <xf numFmtId="167" fontId="57" fillId="5" borderId="1" xfId="1" applyNumberFormat="1" applyFont="1" applyFill="1" applyBorder="1" applyAlignment="1">
      <alignment horizontal="right"/>
    </xf>
    <xf numFmtId="3" fontId="57" fillId="5" borderId="22" xfId="1" applyNumberFormat="1" applyFont="1" applyFill="1" applyBorder="1"/>
    <xf numFmtId="14" fontId="57" fillId="5" borderId="19" xfId="0" applyNumberFormat="1" applyFont="1" applyFill="1" applyBorder="1" applyAlignment="1"/>
    <xf numFmtId="3" fontId="57" fillId="5" borderId="0" xfId="1" applyNumberFormat="1" applyFont="1" applyFill="1" applyBorder="1"/>
    <xf numFmtId="170" fontId="57" fillId="5" borderId="1" xfId="0" applyNumberFormat="1" applyFont="1" applyFill="1" applyBorder="1" applyAlignment="1"/>
    <xf numFmtId="0" fontId="57" fillId="5" borderId="0" xfId="2" applyFont="1" applyFill="1" applyBorder="1" applyAlignment="1" applyProtection="1"/>
    <xf numFmtId="0" fontId="57" fillId="5" borderId="3" xfId="0" applyFont="1" applyFill="1" applyBorder="1" applyAlignment="1"/>
    <xf numFmtId="170" fontId="57" fillId="5" borderId="0" xfId="0" applyNumberFormat="1" applyFont="1" applyFill="1" applyAlignment="1"/>
    <xf numFmtId="170" fontId="57" fillId="5" borderId="0" xfId="0" applyNumberFormat="1" applyFont="1" applyFill="1" applyBorder="1" applyAlignment="1"/>
    <xf numFmtId="0" fontId="57" fillId="5" borderId="0" xfId="0" applyFont="1" applyFill="1"/>
    <xf numFmtId="170" fontId="57" fillId="5" borderId="1" xfId="0" applyNumberFormat="1" applyFont="1" applyFill="1" applyBorder="1" applyAlignment="1">
      <alignment horizontal="right"/>
    </xf>
    <xf numFmtId="0" fontId="57" fillId="5" borderId="19" xfId="0" applyFont="1" applyFill="1" applyBorder="1" applyAlignment="1"/>
    <xf numFmtId="3" fontId="57" fillId="5" borderId="13" xfId="0" applyNumberFormat="1" applyFont="1" applyFill="1" applyBorder="1" applyAlignment="1">
      <alignment horizontal="right"/>
    </xf>
    <xf numFmtId="3" fontId="57" fillId="5" borderId="1" xfId="0" applyNumberFormat="1" applyFont="1" applyFill="1" applyBorder="1" applyAlignment="1">
      <alignment horizontal="right"/>
    </xf>
    <xf numFmtId="15" fontId="57" fillId="0" borderId="0" xfId="0" applyNumberFormat="1" applyFont="1" applyFill="1" applyBorder="1" applyAlignment="1"/>
    <xf numFmtId="169" fontId="73" fillId="0" borderId="1" xfId="2" applyNumberFormat="1" applyFont="1" applyBorder="1"/>
    <xf numFmtId="0" fontId="73" fillId="0" borderId="1" xfId="0" applyFont="1" applyBorder="1"/>
    <xf numFmtId="0" fontId="73" fillId="0" borderId="1" xfId="0" applyFont="1" applyFill="1" applyBorder="1"/>
    <xf numFmtId="167" fontId="33" fillId="0" borderId="1" xfId="0" applyNumberFormat="1" applyFont="1" applyFill="1" applyBorder="1" applyAlignment="1">
      <alignment vertical="center"/>
    </xf>
    <xf numFmtId="167" fontId="75" fillId="0" borderId="2" xfId="1" applyNumberFormat="1" applyFont="1" applyFill="1" applyBorder="1"/>
    <xf numFmtId="3" fontId="22" fillId="0" borderId="1" xfId="0" applyNumberFormat="1" applyFont="1" applyFill="1" applyBorder="1"/>
    <xf numFmtId="0" fontId="73" fillId="0" borderId="3" xfId="0" applyFont="1" applyBorder="1"/>
    <xf numFmtId="0" fontId="73" fillId="0" borderId="3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left"/>
    </xf>
    <xf numFmtId="0" fontId="1" fillId="0" borderId="0" xfId="0" applyFont="1"/>
    <xf numFmtId="167" fontId="22" fillId="0" borderId="3" xfId="0" applyNumberFormat="1" applyFont="1" applyFill="1" applyBorder="1" applyAlignment="1">
      <alignment vertical="center"/>
    </xf>
    <xf numFmtId="167" fontId="33" fillId="0" borderId="3" xfId="0" applyNumberFormat="1" applyFont="1" applyFill="1" applyBorder="1" applyAlignment="1">
      <alignment vertical="center"/>
    </xf>
    <xf numFmtId="0" fontId="1" fillId="0" borderId="3" xfId="0" applyFont="1" applyFill="1" applyBorder="1"/>
    <xf numFmtId="0" fontId="1" fillId="0" borderId="1" xfId="0" applyFont="1" applyFill="1" applyBorder="1"/>
    <xf numFmtId="167" fontId="22" fillId="0" borderId="1" xfId="0" applyNumberFormat="1" applyFont="1" applyFill="1" applyBorder="1" applyAlignment="1">
      <alignment vertical="center"/>
    </xf>
    <xf numFmtId="0" fontId="33" fillId="0" borderId="3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5" fillId="28" borderId="3" xfId="0" applyFont="1" applyFill="1" applyBorder="1"/>
    <xf numFmtId="0" fontId="73" fillId="28" borderId="3" xfId="0" applyFont="1" applyFill="1" applyBorder="1" applyAlignment="1">
      <alignment horizontal="left"/>
    </xf>
    <xf numFmtId="167" fontId="75" fillId="28" borderId="3" xfId="1" applyNumberFormat="1" applyFont="1" applyFill="1" applyBorder="1"/>
    <xf numFmtId="167" fontId="75" fillId="0" borderId="1" xfId="1" applyNumberFormat="1" applyFont="1" applyFill="1" applyBorder="1"/>
    <xf numFmtId="176" fontId="57" fillId="31" borderId="1" xfId="2" applyNumberFormat="1" applyFont="1" applyFill="1" applyBorder="1" applyAlignment="1">
      <alignment horizontal="left" vertical="top"/>
    </xf>
    <xf numFmtId="176" fontId="57" fillId="31" borderId="1" xfId="2" applyNumberFormat="1" applyFont="1" applyFill="1" applyBorder="1" applyAlignment="1">
      <alignment horizontal="left"/>
    </xf>
    <xf numFmtId="0" fontId="57" fillId="5" borderId="1" xfId="2" applyFont="1" applyFill="1" applyBorder="1" applyAlignment="1">
      <alignment vertical="top"/>
    </xf>
    <xf numFmtId="3" fontId="57" fillId="31" borderId="1" xfId="6" applyNumberFormat="1" applyFont="1" applyFill="1" applyBorder="1" applyAlignment="1">
      <alignment horizontal="right" vertical="top"/>
    </xf>
    <xf numFmtId="3" fontId="57" fillId="5" borderId="1" xfId="6" applyNumberFormat="1" applyFont="1" applyFill="1" applyBorder="1" applyAlignment="1">
      <alignment vertical="top" wrapText="1"/>
    </xf>
    <xf numFmtId="0" fontId="57" fillId="5" borderId="3" xfId="0" applyFont="1" applyFill="1" applyBorder="1" applyAlignment="1">
      <alignment horizontal="center"/>
    </xf>
    <xf numFmtId="176" fontId="57" fillId="5" borderId="1" xfId="2" applyNumberFormat="1" applyFont="1" applyFill="1" applyBorder="1" applyAlignment="1">
      <alignment vertical="top"/>
    </xf>
    <xf numFmtId="3" fontId="57" fillId="5" borderId="1" xfId="6" applyNumberFormat="1" applyFont="1" applyFill="1" applyBorder="1" applyAlignment="1"/>
    <xf numFmtId="3" fontId="57" fillId="5" borderId="19" xfId="6" applyNumberFormat="1" applyFont="1" applyFill="1" applyBorder="1" applyAlignment="1">
      <alignment horizontal="right" vertical="top" wrapText="1"/>
    </xf>
    <xf numFmtId="3" fontId="57" fillId="5" borderId="19" xfId="0" applyNumberFormat="1" applyFont="1" applyFill="1" applyBorder="1" applyAlignment="1">
      <alignment vertical="center"/>
    </xf>
    <xf numFmtId="0" fontId="57" fillId="5" borderId="23" xfId="0" applyFont="1" applyFill="1" applyBorder="1"/>
    <xf numFmtId="176" fontId="57" fillId="5" borderId="1" xfId="2" applyNumberFormat="1" applyFont="1" applyFill="1" applyBorder="1" applyAlignment="1">
      <alignment horizontal="left" vertical="top"/>
    </xf>
    <xf numFmtId="3" fontId="57" fillId="5" borderId="1" xfId="6" applyNumberFormat="1" applyFont="1" applyFill="1" applyBorder="1" applyAlignment="1">
      <alignment horizontal="right" vertical="top"/>
    </xf>
    <xf numFmtId="0" fontId="0" fillId="3" borderId="0" xfId="0" applyFont="1" applyFill="1" applyAlignment="1"/>
    <xf numFmtId="0" fontId="57" fillId="5" borderId="6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22" fillId="0" borderId="0" xfId="0" applyFont="1" applyFill="1" applyBorder="1" applyAlignment="1"/>
    <xf numFmtId="0" fontId="57" fillId="5" borderId="19" xfId="0" applyFont="1" applyFill="1" applyBorder="1" applyAlignment="1">
      <alignment horizontal="left"/>
    </xf>
    <xf numFmtId="167" fontId="57" fillId="5" borderId="21" xfId="0" applyNumberFormat="1" applyFont="1" applyFill="1" applyBorder="1" applyAlignment="1">
      <alignment vertical="center"/>
    </xf>
    <xf numFmtId="0" fontId="0" fillId="0" borderId="13" xfId="0" applyFont="1" applyFill="1" applyBorder="1" applyAlignment="1"/>
    <xf numFmtId="0" fontId="57" fillId="5" borderId="0" xfId="0" applyFont="1" applyFill="1" applyAlignment="1">
      <alignment vertical="center"/>
    </xf>
    <xf numFmtId="175" fontId="57" fillId="5" borderId="19" xfId="2" applyNumberFormat="1" applyFont="1" applyFill="1" applyBorder="1" applyAlignment="1">
      <alignment vertical="top"/>
    </xf>
    <xf numFmtId="0" fontId="9" fillId="9" borderId="1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1" fontId="9" fillId="0" borderId="13" xfId="0" applyNumberFormat="1" applyFont="1" applyFill="1" applyBorder="1" applyAlignment="1">
      <alignment horizontal="center" vertical="center"/>
    </xf>
    <xf numFmtId="171" fontId="9" fillId="0" borderId="3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7" fontId="9" fillId="0" borderId="13" xfId="1" applyNumberFormat="1" applyFont="1" applyFill="1" applyBorder="1" applyAlignment="1" applyProtection="1">
      <alignment horizontal="center" vertical="center" wrapText="1"/>
    </xf>
    <xf numFmtId="167" fontId="9" fillId="0" borderId="3" xfId="1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/>
    </xf>
    <xf numFmtId="0" fontId="9" fillId="16" borderId="7" xfId="0" applyFont="1" applyFill="1" applyBorder="1" applyAlignment="1">
      <alignment horizontal="center" vertical="center"/>
    </xf>
    <xf numFmtId="0" fontId="9" fillId="16" borderId="8" xfId="0" applyFont="1" applyFill="1" applyBorder="1" applyAlignment="1">
      <alignment horizontal="center" vertical="center"/>
    </xf>
    <xf numFmtId="0" fontId="9" fillId="17" borderId="13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center" vertical="center"/>
    </xf>
    <xf numFmtId="0" fontId="9" fillId="18" borderId="13" xfId="0" applyFont="1" applyFill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/>
    </xf>
    <xf numFmtId="0" fontId="50" fillId="23" borderId="0" xfId="0" applyFont="1" applyFill="1" applyAlignment="1">
      <alignment horizontal="center"/>
    </xf>
    <xf numFmtId="0" fontId="56" fillId="23" borderId="0" xfId="0" applyFont="1" applyFill="1" applyAlignment="1">
      <alignment horizontal="center"/>
    </xf>
    <xf numFmtId="0" fontId="62" fillId="0" borderId="14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1" fillId="0" borderId="0" xfId="0" applyFont="1" applyAlignment="1">
      <alignment horizontal="center"/>
    </xf>
    <xf numFmtId="0" fontId="61" fillId="0" borderId="15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17" xfId="0" applyFont="1" applyBorder="1" applyAlignment="1">
      <alignment horizontal="center"/>
    </xf>
    <xf numFmtId="0" fontId="61" fillId="29" borderId="12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7">
    <cellStyle name="Excel Built-in Comma" xfId="6" xr:uid="{00000000-0005-0000-0000-000000000000}"/>
    <cellStyle name="Excel Built-in Normal" xfId="2" xr:uid="{00000000-0005-0000-0000-000001000000}"/>
    <cellStyle name="Milliers" xfId="1" builtinId="3"/>
    <cellStyle name="Milliers [0]" xfId="4" builtinId="6"/>
    <cellStyle name="Milliers 3" xfId="5" xr:uid="{00000000-0005-0000-0000-000004000000}"/>
    <cellStyle name="Normal" xfId="0" builtinId="0"/>
    <cellStyle name="Normal_Total expenses by date" xfId="3" xr:uid="{00000000-0005-0000-0000-000006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pivotCacheDefinition" Target="pivotCache/pivotCacheDefinition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6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7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6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152400</xdr:rowOff>
    </xdr:from>
    <xdr:to>
      <xdr:col>1</xdr:col>
      <xdr:colOff>228600</xdr:colOff>
      <xdr:row>3</xdr:row>
      <xdr:rowOff>175260</xdr:rowOff>
    </xdr:to>
    <xdr:pic>
      <xdr:nvPicPr>
        <xdr:cNvPr id="8" name="Image 2" descr="Description : Logo mefe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52400"/>
          <a:ext cx="7696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251460</xdr:colOff>
      <xdr:row>0</xdr:row>
      <xdr:rowOff>142875</xdr:rowOff>
    </xdr:from>
    <xdr:to>
      <xdr:col>8</xdr:col>
      <xdr:colOff>99060</xdr:colOff>
      <xdr:row>3</xdr:row>
      <xdr:rowOff>158115</xdr:rowOff>
    </xdr:to>
    <xdr:pic>
      <xdr:nvPicPr>
        <xdr:cNvPr id="9" name="Image 5" descr="Description : téléchargement.png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728"/>
        <a:stretch>
          <a:fillRect/>
        </a:stretch>
      </xdr:blipFill>
      <xdr:spPr bwMode="auto">
        <a:xfrm>
          <a:off x="5937885" y="142875"/>
          <a:ext cx="74295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939165</xdr:colOff>
      <xdr:row>1</xdr:row>
      <xdr:rowOff>57150</xdr:rowOff>
    </xdr:from>
    <xdr:to>
      <xdr:col>5</xdr:col>
      <xdr:colOff>337185</xdr:colOff>
      <xdr:row>4</xdr:row>
      <xdr:rowOff>64770</xdr:rowOff>
    </xdr:to>
    <xdr:pic>
      <xdr:nvPicPr>
        <xdr:cNvPr id="10" name="Image 6" descr="Description : téléchargement (1).pn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140" y="247650"/>
          <a:ext cx="2493645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729616</xdr:colOff>
      <xdr:row>0</xdr:row>
      <xdr:rowOff>123826</xdr:rowOff>
    </xdr:from>
    <xdr:ext cx="1120139" cy="716279"/>
    <xdr:pic>
      <xdr:nvPicPr>
        <xdr:cNvPr id="11" name="Image 4" descr="eaglelogo.jpg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311391" y="123826"/>
          <a:ext cx="1120139" cy="716279"/>
        </a:xfrm>
        <a:prstGeom prst="rect">
          <a:avLst/>
        </a:prstGeom>
      </xdr:spPr>
    </xdr:pic>
    <xdr:clientData/>
  </xdr:oneCellAnchor>
  <xdr:twoCellAnchor editAs="oneCell">
    <xdr:from>
      <xdr:col>2</xdr:col>
      <xdr:colOff>523875</xdr:colOff>
      <xdr:row>0</xdr:row>
      <xdr:rowOff>0</xdr:rowOff>
    </xdr:from>
    <xdr:to>
      <xdr:col>3</xdr:col>
      <xdr:colOff>257175</xdr:colOff>
      <xdr:row>4</xdr:row>
      <xdr:rowOff>30480</xdr:rowOff>
    </xdr:to>
    <xdr:pic>
      <xdr:nvPicPr>
        <xdr:cNvPr id="12" name="Image 6" descr="E:\PALF_logo_new_1.jp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0"/>
          <a:ext cx="600075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0</xdr:row>
      <xdr:rowOff>0</xdr:rowOff>
    </xdr:from>
    <xdr:ext cx="76200" cy="228600"/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219950" y="5029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0</xdr:row>
      <xdr:rowOff>0</xdr:rowOff>
    </xdr:from>
    <xdr:ext cx="19050" cy="209550"/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7791450" y="50292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0</xdr:row>
      <xdr:rowOff>0</xdr:rowOff>
    </xdr:from>
    <xdr:ext cx="76200" cy="228600"/>
    <xdr:sp macro="" textlink="">
      <xdr:nvSpPr>
        <xdr:cNvPr id="9" name="Text Box 3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7219950" y="4838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0</xdr:row>
      <xdr:rowOff>0</xdr:rowOff>
    </xdr:from>
    <xdr:ext cx="19050" cy="209550"/>
    <xdr:sp macro="" textlink="">
      <xdr:nvSpPr>
        <xdr:cNvPr id="10" name="Text Box 3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7791450" y="48387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220980</xdr:colOff>
      <xdr:row>0</xdr:row>
      <xdr:rowOff>152400</xdr:rowOff>
    </xdr:from>
    <xdr:to>
      <xdr:col>2</xdr:col>
      <xdr:colOff>228600</xdr:colOff>
      <xdr:row>3</xdr:row>
      <xdr:rowOff>175260</xdr:rowOff>
    </xdr:to>
    <xdr:pic>
      <xdr:nvPicPr>
        <xdr:cNvPr id="11" name="Image 2" descr="Description : Logo mefe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" y="152400"/>
          <a:ext cx="7696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1327785</xdr:colOff>
      <xdr:row>0</xdr:row>
      <xdr:rowOff>28575</xdr:rowOff>
    </xdr:from>
    <xdr:to>
      <xdr:col>9</xdr:col>
      <xdr:colOff>2423160</xdr:colOff>
      <xdr:row>3</xdr:row>
      <xdr:rowOff>43815</xdr:rowOff>
    </xdr:to>
    <xdr:pic>
      <xdr:nvPicPr>
        <xdr:cNvPr id="12" name="Image 5" descr="Description : téléchargement.png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728"/>
        <a:stretch>
          <a:fillRect/>
        </a:stretch>
      </xdr:blipFill>
      <xdr:spPr bwMode="auto">
        <a:xfrm>
          <a:off x="7557135" y="28575"/>
          <a:ext cx="1095375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339090</xdr:colOff>
      <xdr:row>0</xdr:row>
      <xdr:rowOff>180975</xdr:rowOff>
    </xdr:from>
    <xdr:to>
      <xdr:col>8</xdr:col>
      <xdr:colOff>394335</xdr:colOff>
      <xdr:row>3</xdr:row>
      <xdr:rowOff>188595</xdr:rowOff>
    </xdr:to>
    <xdr:pic>
      <xdr:nvPicPr>
        <xdr:cNvPr id="13" name="Image 6" descr="Description : téléchargement (1).pn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1590" y="180975"/>
          <a:ext cx="92202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34291</xdr:colOff>
      <xdr:row>0</xdr:row>
      <xdr:rowOff>28576</xdr:rowOff>
    </xdr:from>
    <xdr:ext cx="1120139" cy="716279"/>
    <xdr:pic>
      <xdr:nvPicPr>
        <xdr:cNvPr id="14" name="Image 4" descr="eaglelogo.jpg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749791" y="28576"/>
          <a:ext cx="1120139" cy="716279"/>
        </a:xfrm>
        <a:prstGeom prst="rect">
          <a:avLst/>
        </a:prstGeom>
      </xdr:spPr>
    </xdr:pic>
    <xdr:clientData/>
  </xdr:oneCellAnchor>
  <xdr:twoCellAnchor editAs="oneCell">
    <xdr:from>
      <xdr:col>3</xdr:col>
      <xdr:colOff>561975</xdr:colOff>
      <xdr:row>0</xdr:row>
      <xdr:rowOff>133350</xdr:rowOff>
    </xdr:from>
    <xdr:to>
      <xdr:col>4</xdr:col>
      <xdr:colOff>561975</xdr:colOff>
      <xdr:row>4</xdr:row>
      <xdr:rowOff>163830</xdr:rowOff>
    </xdr:to>
    <xdr:pic>
      <xdr:nvPicPr>
        <xdr:cNvPr id="15" name="Image 6" descr="E:\PALF_logo_new_1.jpg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33350"/>
          <a:ext cx="7620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152400</xdr:rowOff>
    </xdr:from>
    <xdr:to>
      <xdr:col>1</xdr:col>
      <xdr:colOff>228600</xdr:colOff>
      <xdr:row>3</xdr:row>
      <xdr:rowOff>175260</xdr:rowOff>
    </xdr:to>
    <xdr:pic>
      <xdr:nvPicPr>
        <xdr:cNvPr id="12" name="Image 2" descr="Description : Logo mefe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52400"/>
          <a:ext cx="7696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375285</xdr:colOff>
      <xdr:row>0</xdr:row>
      <xdr:rowOff>152400</xdr:rowOff>
    </xdr:from>
    <xdr:to>
      <xdr:col>7</xdr:col>
      <xdr:colOff>613410</xdr:colOff>
      <xdr:row>3</xdr:row>
      <xdr:rowOff>167640</xdr:rowOff>
    </xdr:to>
    <xdr:pic>
      <xdr:nvPicPr>
        <xdr:cNvPr id="13" name="Image 5" descr="Description : téléchargement.pn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728"/>
        <a:stretch>
          <a:fillRect/>
        </a:stretch>
      </xdr:blipFill>
      <xdr:spPr bwMode="auto">
        <a:xfrm>
          <a:off x="6528435" y="152400"/>
          <a:ext cx="1076325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605790</xdr:colOff>
      <xdr:row>0</xdr:row>
      <xdr:rowOff>180975</xdr:rowOff>
    </xdr:from>
    <xdr:to>
      <xdr:col>5</xdr:col>
      <xdr:colOff>3810</xdr:colOff>
      <xdr:row>3</xdr:row>
      <xdr:rowOff>188595</xdr:rowOff>
    </xdr:to>
    <xdr:pic>
      <xdr:nvPicPr>
        <xdr:cNvPr id="14" name="Image 6" descr="Description : téléchargement (1).png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440" y="180975"/>
          <a:ext cx="339852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167641</xdr:colOff>
      <xdr:row>0</xdr:row>
      <xdr:rowOff>104776</xdr:rowOff>
    </xdr:from>
    <xdr:ext cx="1120139" cy="716279"/>
    <xdr:pic>
      <xdr:nvPicPr>
        <xdr:cNvPr id="15" name="Image 9" descr="eaglelogo.jpg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997191" y="104776"/>
          <a:ext cx="1120139" cy="716279"/>
        </a:xfrm>
        <a:prstGeom prst="rect">
          <a:avLst/>
        </a:prstGeom>
      </xdr:spPr>
    </xdr:pic>
    <xdr:clientData/>
  </xdr:oneCellAnchor>
  <xdr:twoCellAnchor editAs="oneCell">
    <xdr:from>
      <xdr:col>2</xdr:col>
      <xdr:colOff>0</xdr:colOff>
      <xdr:row>0</xdr:row>
      <xdr:rowOff>0</xdr:rowOff>
    </xdr:from>
    <xdr:to>
      <xdr:col>3</xdr:col>
      <xdr:colOff>85725</xdr:colOff>
      <xdr:row>4</xdr:row>
      <xdr:rowOff>11430</xdr:rowOff>
    </xdr:to>
    <xdr:pic>
      <xdr:nvPicPr>
        <xdr:cNvPr id="16" name="Image 6" descr="E:\PALF_logo_new_1.jpg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0"/>
          <a:ext cx="76200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0</xdr:row>
      <xdr:rowOff>0</xdr:rowOff>
    </xdr:from>
    <xdr:ext cx="76200" cy="228600"/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7467600" y="5029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0</xdr:row>
      <xdr:rowOff>0</xdr:rowOff>
    </xdr:from>
    <xdr:ext cx="19050" cy="209550"/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8039100" y="50292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220980</xdr:colOff>
      <xdr:row>0</xdr:row>
      <xdr:rowOff>152400</xdr:rowOff>
    </xdr:from>
    <xdr:to>
      <xdr:col>2</xdr:col>
      <xdr:colOff>228600</xdr:colOff>
      <xdr:row>3</xdr:row>
      <xdr:rowOff>175260</xdr:rowOff>
    </xdr:to>
    <xdr:pic>
      <xdr:nvPicPr>
        <xdr:cNvPr id="14" name="Image 2" descr="Description : Logo mefe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" y="152400"/>
          <a:ext cx="7696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1327785</xdr:colOff>
      <xdr:row>0</xdr:row>
      <xdr:rowOff>28575</xdr:rowOff>
    </xdr:from>
    <xdr:to>
      <xdr:col>9</xdr:col>
      <xdr:colOff>2423160</xdr:colOff>
      <xdr:row>3</xdr:row>
      <xdr:rowOff>43815</xdr:rowOff>
    </xdr:to>
    <xdr:pic>
      <xdr:nvPicPr>
        <xdr:cNvPr id="15" name="Image 5" descr="Description : téléchargement.pn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728"/>
        <a:stretch>
          <a:fillRect/>
        </a:stretch>
      </xdr:blipFill>
      <xdr:spPr bwMode="auto">
        <a:xfrm>
          <a:off x="7557135" y="28575"/>
          <a:ext cx="1095375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339090</xdr:colOff>
      <xdr:row>0</xdr:row>
      <xdr:rowOff>180975</xdr:rowOff>
    </xdr:from>
    <xdr:to>
      <xdr:col>8</xdr:col>
      <xdr:colOff>394335</xdr:colOff>
      <xdr:row>3</xdr:row>
      <xdr:rowOff>188595</xdr:rowOff>
    </xdr:to>
    <xdr:pic>
      <xdr:nvPicPr>
        <xdr:cNvPr id="16" name="Image 6" descr="Description : téléchargement (1).pn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1590" y="180975"/>
          <a:ext cx="92202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34291</xdr:colOff>
      <xdr:row>0</xdr:row>
      <xdr:rowOff>28576</xdr:rowOff>
    </xdr:from>
    <xdr:ext cx="1120139" cy="716279"/>
    <xdr:pic>
      <xdr:nvPicPr>
        <xdr:cNvPr id="17" name="Image 4" descr="eaglelogo.jpg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073641" y="28576"/>
          <a:ext cx="1120139" cy="716279"/>
        </a:xfrm>
        <a:prstGeom prst="rect">
          <a:avLst/>
        </a:prstGeom>
      </xdr:spPr>
    </xdr:pic>
    <xdr:clientData/>
  </xdr:oneCellAnchor>
  <xdr:twoCellAnchor editAs="oneCell">
    <xdr:from>
      <xdr:col>3</xdr:col>
      <xdr:colOff>561975</xdr:colOff>
      <xdr:row>0</xdr:row>
      <xdr:rowOff>133350</xdr:rowOff>
    </xdr:from>
    <xdr:to>
      <xdr:col>4</xdr:col>
      <xdr:colOff>561975</xdr:colOff>
      <xdr:row>4</xdr:row>
      <xdr:rowOff>78105</xdr:rowOff>
    </xdr:to>
    <xdr:pic>
      <xdr:nvPicPr>
        <xdr:cNvPr id="18" name="Image 6" descr="E:\PALF_logo_new_1.jp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33350"/>
          <a:ext cx="7620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septembre/compta%2030%20SPTE/Compta_Perrine_3009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dzandzao/Desktop/RF/Compta%20Avril/COMPTA%20PALF%20JB%20actualis&#233;e%20ce%2002.05.2021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dzandzao/Desktop/RF/Compta%20Avril/Fichier%20comptable-Merveill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dzandzao/Desktop/RF/Compta%20Avril/P29-Comptabilit&#233;%20(13)VF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dzandzao/Desktop/RF/Compta%20Avril/Fichier%20comptable-ted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dzandzao/Desktop/RF/Compta%20Avril/Compta_Tiffany%20Avril%202021%201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COMPTA_CREPIN%20du%2031-08-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Fichier_comptable_Dalia_au_21_Aout_2020%20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Comptabilit&#233;%20Evariste%20du%2021%20ao&#251;t%202020%20vf%20OK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Compta_21_08_20_%20Herick%20_Harmonis&#233;e(3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Comptabilit&#233;%20i23c%20au%2019%20Ao&#251;t%202020%20corrig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dzandzao/Desktop/RF/RF%20Mars%202021/PALF%20Rapport%20Financier%20Mars%202021.%201.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COMPTA%20PALF%20JB%20actualis&#233;e%20ce%2021.08.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Fichier_%20comptable_%20Jospin%20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P29-Comptabilit&#233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Fichier%20comptable-Shely%20A%20(1)%20(1)O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Fichier%20comptable-ted%20(1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lff/AppData/Local/Microsoft/Windows/INetCache/Content.Outlook/BTO9MOI8/RAPPORT%20FINANCIER%20JUILLET%20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Rapprochement%20bancaire/Mois%20de%20Mars%202021/Rapprochement%20%20Mars%20%202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Rapport%20Fin/RAF/RF/Rapport_20/RALFF%2020/2021/RF/Rapprochement%20bancaire/Mois%20d'Avril%202021/Caisse-PALF%202020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dzandzao/Desktop/RF/Rapprochement%20bancaire/Mois%20d'Avril%202021/Caisse-PALF%202020-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dzandzao/Desktop/RF/Compta%20Avril/Compta%20Christian%20actuais&#233;e%20au%2008_04_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dzandzao/Desktop/RF/Compta%20Avril/COMPTA_CREPIN%20du%2030-04-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dzandzao/Desktop/RF/Compta%20Avril/Comptabilit&#233;%20Evariste%2003%20mai%202021%20vf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dzandzao/Desktop/RF/Compta%20Avril/Fichier%20Compta%20matoko%20Geisner%20o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mars%202021/Actu_Compta_29_03_21_%20Herick%20%20_Harmonis&#233;e%20O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dzandzao/Desktop/RF/Compta%20Avril/Comptabilit&#233;%20i23c%20au%204%20Mai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SALAIRE FCFA "/>
      <sheetName val="Commentaires"/>
      <sheetName val="Feuil2"/>
      <sheetName val="Feuil3"/>
      <sheetName val="Feuil4"/>
      <sheetName val="Feuil5"/>
      <sheetName val="Feuil6"/>
      <sheetName val="Feuil1 (2)"/>
      <sheetName val="Feuil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 t="str">
            <v xml:space="preserve">Transfert </v>
          </cell>
          <cell r="G6" t="str">
            <v>Investigations</v>
          </cell>
        </row>
        <row r="7">
          <cell r="A7" t="str">
            <v>Transport</v>
          </cell>
          <cell r="G7" t="str">
            <v>Legal</v>
          </cell>
        </row>
        <row r="8">
          <cell r="A8" t="str">
            <v>Flight</v>
          </cell>
          <cell r="G8" t="str">
            <v>Operations</v>
          </cell>
        </row>
        <row r="9">
          <cell r="A9" t="str">
            <v>Travel Expenses</v>
          </cell>
          <cell r="G9" t="str">
            <v>Media</v>
          </cell>
        </row>
        <row r="10">
          <cell r="A10" t="str">
            <v>Travel Subsistence</v>
          </cell>
          <cell r="G10" t="str">
            <v xml:space="preserve">Management </v>
          </cell>
        </row>
        <row r="11">
          <cell r="A11" t="str">
            <v>Office Materials</v>
          </cell>
          <cell r="G11" t="str">
            <v>CCU</v>
          </cell>
        </row>
        <row r="12">
          <cell r="A12" t="str">
            <v>Trust building</v>
          </cell>
          <cell r="G12" t="str">
            <v>EAGLE Family</v>
          </cell>
        </row>
        <row r="13">
          <cell r="A13" t="str">
            <v>Jail visits</v>
          </cell>
          <cell r="G13" t="str">
            <v>Policy</v>
          </cell>
        </row>
        <row r="14">
          <cell r="A14" t="str">
            <v>Transfer fees</v>
          </cell>
          <cell r="G14" t="str">
            <v>External relations</v>
          </cell>
        </row>
        <row r="15">
          <cell r="A15" t="str">
            <v>Bank fees</v>
          </cell>
        </row>
        <row r="16">
          <cell r="A16" t="str">
            <v>Services</v>
          </cell>
        </row>
        <row r="17">
          <cell r="A17" t="str">
            <v>Telephone</v>
          </cell>
        </row>
        <row r="18">
          <cell r="A18" t="str">
            <v>Rent &amp; Utilities</v>
          </cell>
        </row>
        <row r="19">
          <cell r="A19" t="str">
            <v>Internet</v>
          </cell>
        </row>
        <row r="20">
          <cell r="A20" t="str">
            <v>Editing costs</v>
          </cell>
        </row>
        <row r="21">
          <cell r="A21" t="str">
            <v>Equipment</v>
          </cell>
        </row>
        <row r="22">
          <cell r="A22" t="str">
            <v>Publications</v>
          </cell>
        </row>
        <row r="23">
          <cell r="A23" t="str">
            <v>Court fees</v>
          </cell>
        </row>
        <row r="24">
          <cell r="A24" t="str">
            <v>Lawyer fees</v>
          </cell>
        </row>
        <row r="25">
          <cell r="A25" t="str">
            <v>Bonus/lawyer bonus</v>
          </cell>
        </row>
      </sheetData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1 (2)"/>
      <sheetName val="compta jack "/>
      <sheetName val="compta jack ok "/>
      <sheetName val="CUMUL FRAIS DE TRANSPORT"/>
      <sheetName val="cumul frais de jail visite"/>
    </sheetNames>
    <sheetDataSet>
      <sheetData sheetId="0" refreshError="1"/>
      <sheetData sheetId="1" refreshError="1"/>
      <sheetData sheetId="2" refreshError="1"/>
      <sheetData sheetId="3">
        <row r="3170">
          <cell r="G3170">
            <v>-4675</v>
          </cell>
        </row>
      </sheetData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Merveille"/>
      <sheetName val="compta Merveille mars 2021"/>
      <sheetName val="compta Merveille mars 2021 ok"/>
      <sheetName val="Feuil3"/>
    </sheetNames>
    <sheetDataSet>
      <sheetData sheetId="0" refreshError="1"/>
      <sheetData sheetId="1" refreshError="1"/>
      <sheetData sheetId="2" refreshError="1"/>
      <sheetData sheetId="3">
        <row r="154">
          <cell r="G154">
            <v>5000</v>
          </cell>
        </row>
      </sheetData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frais transport local"/>
      <sheetName val="Cumul achat boisson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30">
          <cell r="G830">
            <v>72800</v>
          </cell>
        </row>
      </sheetData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ted"/>
      <sheetName val="Feuil3"/>
      <sheetName val="compta ted (2)"/>
      <sheetName val="Feuil4"/>
    </sheetNames>
    <sheetDataSet>
      <sheetData sheetId="0" refreshError="1"/>
      <sheetData sheetId="1" refreshError="1"/>
      <sheetData sheetId="2" refreshError="1"/>
      <sheetData sheetId="3">
        <row r="34">
          <cell r="G34">
            <v>47300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ok"/>
      <sheetName val="Compta ok (2)"/>
      <sheetName val="Cumul frais transport local "/>
    </sheetNames>
    <sheetDataSet>
      <sheetData sheetId="0" refreshError="1"/>
      <sheetData sheetId="1" refreshError="1"/>
      <sheetData sheetId="2">
        <row r="56">
          <cell r="G56">
            <v>79600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itulatif"/>
      <sheetName val="Donateurs"/>
      <sheetName val="Sheet4"/>
      <sheetName val="DATA  MARS"/>
      <sheetName val="Compte Principal 34 BCI"/>
      <sheetName val="Rapprochement Bancaire Cpte 34"/>
      <sheetName val="Sous-Compte 56 BCI"/>
      <sheetName val="Rapprochement Bancaire Cpte 56"/>
      <sheetName val="CAISSE Mars 21"/>
    </sheetNames>
    <sheetDataSet>
      <sheetData sheetId="0">
        <row r="3">
          <cell r="I3">
            <v>2957378</v>
          </cell>
        </row>
        <row r="4">
          <cell r="I4">
            <v>28018504</v>
          </cell>
        </row>
        <row r="5">
          <cell r="I5">
            <v>1672959</v>
          </cell>
        </row>
        <row r="6">
          <cell r="I6">
            <v>-450</v>
          </cell>
        </row>
        <row r="7">
          <cell r="I7">
            <v>12510</v>
          </cell>
        </row>
        <row r="8">
          <cell r="I8">
            <v>2895</v>
          </cell>
        </row>
        <row r="9">
          <cell r="I9">
            <v>62040</v>
          </cell>
        </row>
        <row r="10">
          <cell r="I10">
            <v>184</v>
          </cell>
        </row>
        <row r="11">
          <cell r="I11">
            <v>-36500</v>
          </cell>
        </row>
        <row r="12">
          <cell r="I12">
            <v>233614</v>
          </cell>
        </row>
        <row r="13">
          <cell r="I13">
            <v>249769</v>
          </cell>
        </row>
        <row r="14">
          <cell r="I14">
            <v>71200</v>
          </cell>
        </row>
        <row r="15">
          <cell r="I15">
            <v>6000</v>
          </cell>
        </row>
        <row r="16">
          <cell r="I16">
            <v>167700</v>
          </cell>
        </row>
        <row r="17">
          <cell r="I17">
            <v>65300</v>
          </cell>
        </row>
        <row r="18">
          <cell r="I18">
            <v>-11700</v>
          </cell>
        </row>
      </sheetData>
      <sheetData sheetId="1"/>
      <sheetData sheetId="2"/>
      <sheetData sheetId="3">
        <row r="414">
          <cell r="G414">
            <v>33471402.99927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s compte bancaire compte 56"/>
      <sheetName val="Raprochement bancaire Compte 56"/>
      <sheetName val="Compte principal 34 banque"/>
      <sheetName val="Raprochement bancaire compte 34"/>
    </sheetNames>
    <sheetDataSet>
      <sheetData sheetId="0">
        <row r="40">
          <cell r="H40">
            <v>28018507</v>
          </cell>
        </row>
      </sheetData>
      <sheetData sheetId="1"/>
      <sheetData sheetId="2">
        <row r="29">
          <cell r="H29">
            <v>2957378</v>
          </cell>
        </row>
      </sheetData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sse PALF"/>
      <sheetName val="Caisse avril 20"/>
      <sheetName val=" Caisse mai 20"/>
      <sheetName val="JUIN 20"/>
      <sheetName val="juil 20"/>
      <sheetName val="aout"/>
      <sheetName val="caisse sept 20"/>
      <sheetName val="caisse oCT 20 (2)"/>
      <sheetName val="caisse NOV 20 "/>
      <sheetName val="caisse Décembre 2020"/>
      <sheetName val="caisse Février 2021  "/>
      <sheetName val="caisse Janvier 2021"/>
      <sheetName val=" Caisse Mars 2021"/>
      <sheetName val=" Caisse Avril 2021 "/>
      <sheetName val="Feuil1"/>
      <sheetName val="Feuil2"/>
      <sheetName val="Feui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>
            <v>1672959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sse PALF"/>
      <sheetName val="Caisse avril 20"/>
      <sheetName val=" Caisse mai 20"/>
      <sheetName val="JUIN 20"/>
      <sheetName val="juil 20"/>
      <sheetName val="aout"/>
      <sheetName val="caisse sept 20"/>
      <sheetName val="caisse oCT 20 (2)"/>
      <sheetName val="caisse NOV 20 "/>
      <sheetName val="caisse Décembre 2020"/>
      <sheetName val="caisse Février 2021  "/>
      <sheetName val="caisse Janvier 2021"/>
      <sheetName val=" Caisse Mars 2021"/>
      <sheetName val=" Caisse Avril 2021 "/>
      <sheetName val="Feuil1"/>
      <sheetName val="Feuil2"/>
      <sheetName val="Feui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4">
          <cell r="G104">
            <v>467929</v>
          </cell>
        </row>
      </sheetData>
      <sheetData sheetId="14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"/>
      <sheetName val="compta  OK"/>
      <sheetName val="Feuil3"/>
    </sheetNames>
    <sheetDataSet>
      <sheetData sheetId="0" refreshError="1"/>
      <sheetData sheetId="1" refreshError="1"/>
      <sheetData sheetId="2">
        <row r="594">
          <cell r="G594">
            <v>40050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_CREPIN"/>
      <sheetName val="Type de dépenses"/>
      <sheetName val="Liste1"/>
      <sheetName val="COMPTA_CREPIN OK"/>
      <sheetName val="Cumul frais transport local"/>
      <sheetName val="Cumul frais Jail visits"/>
    </sheetNames>
    <sheetDataSet>
      <sheetData sheetId="0" refreshError="1"/>
      <sheetData sheetId="1" refreshError="1"/>
      <sheetData sheetId="2" refreshError="1"/>
      <sheetData sheetId="3">
        <row r="3546">
          <cell r="G3546">
            <v>38845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"/>
      <sheetName val="Feuil2"/>
      <sheetName val="Type de dépenses"/>
      <sheetName val="Feuil1"/>
      <sheetName val="Feuil3"/>
      <sheetName val="compta OK"/>
      <sheetName val="Cumul frais transport lo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794">
          <cell r="G2794">
            <v>6895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"/>
      <sheetName val="COMPTA (2)"/>
      <sheetName val="COMPTA ok"/>
      <sheetName val="Feuil3"/>
    </sheetNames>
    <sheetDataSet>
      <sheetData sheetId="0" refreshError="1"/>
      <sheetData sheetId="1" refreshError="1"/>
      <sheetData sheetId="2" refreshError="1"/>
      <sheetData sheetId="3">
        <row r="381">
          <cell r="G381">
            <v>28540</v>
          </cell>
        </row>
      </sheetData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compta"/>
      <sheetName val="compta ok"/>
      <sheetName val="Cumul frais transport"/>
      <sheetName val="Cumul frais jail visits"/>
      <sheetName val="Frais trust building"/>
    </sheetNames>
    <sheetDataSet>
      <sheetData sheetId="0" refreshError="1"/>
      <sheetData sheetId="1" refreshError="1"/>
      <sheetData sheetId="2">
        <row r="2815">
          <cell r="G2815">
            <v>183.5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ok"/>
      <sheetName val="Cumul frais transport local"/>
      <sheetName val="Cumul frais trust buildin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896">
          <cell r="G4896">
            <v>68200</v>
          </cell>
        </row>
      </sheetData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J2018-3" refreshedDate="44327.377337384256" createdVersion="3" refreshedVersion="3" minRefreshableVersion="3" recordCount="267" xr:uid="{00000000-000A-0000-FFFF-FFFF00000000}">
  <cacheSource type="worksheet">
    <worksheetSource ref="A11:O278" sheet="DATA  AVRIL "/>
  </cacheSource>
  <cacheFields count="15">
    <cacheField name="Date" numFmtId="14">
      <sharedItems containsSemiMixedTypes="0" containsNonDate="0" containsDate="1" containsString="0" minDate="2021-04-01T00:00:00" maxDate="2021-05-01T00:00:00"/>
    </cacheField>
    <cacheField name="Details" numFmtId="0">
      <sharedItems/>
    </cacheField>
    <cacheField name="Type de dépenses" numFmtId="0">
      <sharedItems containsBlank="1" count="24">
        <m/>
        <s v="Bonus"/>
        <s v="Versement"/>
        <s v="Jail visits"/>
        <s v="Transport"/>
        <s v="Services"/>
        <s v="Internet"/>
        <s v="Travel Subsistence"/>
        <s v="Office Materials"/>
        <s v="Travel expenses "/>
        <s v="Transfer fees"/>
        <s v="Lawyer fees"/>
        <s v="Court fees"/>
        <s v="Rent &amp; Utilities"/>
        <s v="Equipment"/>
        <s v="Donation"/>
        <s v="Personnel"/>
        <s v="Telephone"/>
        <s v="Bank fees"/>
        <s v="Trust building"/>
        <s v="Transport "/>
        <s v="Travel Expenses" u="1"/>
        <s v="Travel expense" u="1"/>
        <s v="Flight" u="1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10000" maxValue="7828953"/>
    </cacheField>
    <cacheField name="Spent" numFmtId="0">
      <sharedItems containsString="0" containsBlank="1" containsNumber="1" containsInteger="1" minValue="0" maxValue="1000000"/>
    </cacheField>
    <cacheField name="Balance" numFmtId="167">
      <sharedItems containsSemiMixedTypes="0" containsString="0" containsNumber="1" minValue="29881232.99927" maxValue="38611385.99927"/>
    </cacheField>
    <cacheField name="Name" numFmtId="0">
      <sharedItems containsBlank="1" count="19">
        <m/>
        <s v="Caisse"/>
        <s v="Christian"/>
        <s v="P29"/>
        <s v="Jack-Bénisson"/>
        <s v="BCI"/>
        <s v="I23C"/>
        <s v="Evariste"/>
        <s v="Tiffany"/>
        <s v="Crépin"/>
        <s v="Merveille"/>
        <s v="BCI Sous-Compte"/>
        <s v="Geisner"/>
        <s v="Ted"/>
        <s v="Herick"/>
        <s v="I73X"/>
        <s v="I55S"/>
        <s v="Perrine Odier" u="1"/>
        <s v="T44" u="1"/>
      </sharedItems>
    </cacheField>
    <cacheField name="Receipt" numFmtId="0">
      <sharedItems containsBlank="1" containsMixedTypes="1" containsNumber="1" containsInteger="1" minValue="3643442" maxValue="3654443"/>
    </cacheField>
    <cacheField name="Donor" numFmtId="0">
      <sharedItems containsBlank="1" count="11">
        <m/>
        <s v="NO WILDLIFE CRIME"/>
        <s v="AVAAZ 2020"/>
        <s v="UE"/>
        <s v="USFWS-EAGLE" u="1"/>
        <s v="ECF" u="1"/>
        <s v="EAGLE-USFWS" u="1"/>
        <s v="EU" u="1"/>
        <s v="Wildcat" u="1"/>
        <s v="AVAAZ" u="1"/>
        <s v="CIDT" u="1"/>
      </sharedItems>
    </cacheField>
    <cacheField name="Project" numFmtId="0">
      <sharedItems containsBlank="1"/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7">
  <r>
    <d v="2021-04-01T00:00:00"/>
    <s v="Solde au 01/04/2021"/>
    <x v="0"/>
    <m/>
    <m/>
    <m/>
    <n v="33471402.99927"/>
    <x v="0"/>
    <m/>
    <x v="0"/>
    <m/>
    <m/>
    <m/>
    <m/>
    <m/>
  </r>
  <r>
    <d v="2021-04-01T00:00:00"/>
    <s v="Bonus Opération à Dolisie/I23C"/>
    <x v="1"/>
    <s v="Investigation"/>
    <m/>
    <n v="140000"/>
    <n v="33331402.99927"/>
    <x v="1"/>
    <s v="Décharge"/>
    <x v="1"/>
    <s v="PALF"/>
    <s v="CONGO"/>
    <m/>
    <m/>
    <m/>
  </r>
  <r>
    <d v="2021-04-01T00:00:00"/>
    <s v="Reçu caisse JB/Christian"/>
    <x v="2"/>
    <m/>
    <n v="30000"/>
    <m/>
    <n v="33361402.99927"/>
    <x v="2"/>
    <m/>
    <x v="0"/>
    <m/>
    <m/>
    <m/>
    <m/>
    <m/>
  </r>
  <r>
    <d v="2021-04-01T00:00:00"/>
    <s v="Reçu caisse JB/Christian"/>
    <x v="2"/>
    <m/>
    <n v="25000"/>
    <m/>
    <n v="33386402.99927"/>
    <x v="2"/>
    <m/>
    <x v="0"/>
    <m/>
    <m/>
    <m/>
    <m/>
    <m/>
  </r>
  <r>
    <d v="2021-04-01T00:00:00"/>
    <s v="Frais Consultation médical Robert/Christian"/>
    <x v="3"/>
    <s v="Legal"/>
    <m/>
    <n v="5000"/>
    <n v="33381402.99927"/>
    <x v="2"/>
    <s v="Oui"/>
    <x v="2"/>
    <s v="PALF"/>
    <s v="CONGO"/>
    <m/>
    <m/>
    <m/>
  </r>
  <r>
    <d v="2021-04-01T00:00:00"/>
    <s v="Frais Examens médical ECG pour détenu Robert /christian"/>
    <x v="3"/>
    <s v="Legal"/>
    <m/>
    <n v="5000"/>
    <n v="33376402.99927"/>
    <x v="2"/>
    <s v="Oui"/>
    <x v="2"/>
    <s v="PALF"/>
    <s v="CONGO"/>
    <m/>
    <m/>
    <m/>
  </r>
  <r>
    <d v="2021-04-01T00:00:00"/>
    <s v="Frais Examens médical thorax osseux face pour détenu Robert/Christian "/>
    <x v="3"/>
    <s v="Legal"/>
    <m/>
    <n v="6000"/>
    <n v="33370402.99927"/>
    <x v="2"/>
    <s v="Oui"/>
    <x v="2"/>
    <s v="PALF"/>
    <s v="CONGO"/>
    <m/>
    <m/>
    <m/>
  </r>
  <r>
    <d v="2021-04-01T00:00:00"/>
    <s v="Frais de transport  Boundji-Okoyo/P29"/>
    <x v="4"/>
    <s v="Investigation"/>
    <m/>
    <n v="10000"/>
    <n v="33360402.99927"/>
    <x v="3"/>
    <s v="Oui"/>
    <x v="2"/>
    <s v="PALF"/>
    <s v="CONGO"/>
    <m/>
    <m/>
    <m/>
  </r>
  <r>
    <d v="2021-04-01T00:00:00"/>
    <s v="Versement Christian/JB "/>
    <x v="2"/>
    <m/>
    <m/>
    <n v="30000"/>
    <n v="33330402.99927"/>
    <x v="4"/>
    <m/>
    <x v="0"/>
    <m/>
    <m/>
    <m/>
    <m/>
    <m/>
  </r>
  <r>
    <d v="2021-04-01T00:00:00"/>
    <s v="Versement Christian/JB "/>
    <x v="2"/>
    <m/>
    <m/>
    <n v="25000"/>
    <n v="33305402.99927"/>
    <x v="4"/>
    <m/>
    <x v="0"/>
    <m/>
    <m/>
    <m/>
    <m/>
    <m/>
  </r>
  <r>
    <d v="2021-04-02T00:00:00"/>
    <s v="Reglement gardiennage mois de Mars 2021"/>
    <x v="5"/>
    <s v="Office"/>
    <m/>
    <n v="260000"/>
    <n v="33045402.99927"/>
    <x v="5"/>
    <s v="Virement"/>
    <x v="2"/>
    <s v="PALF"/>
    <s v="CONGO"/>
    <m/>
    <m/>
    <m/>
  </r>
  <r>
    <d v="2021-04-02T00:00:00"/>
    <s v="Bonus Opération à Dolisie/crepin"/>
    <x v="1"/>
    <s v="Legal"/>
    <m/>
    <n v="60000"/>
    <n v="32985402.99927"/>
    <x v="1"/>
    <s v="Décharge"/>
    <x v="1"/>
    <s v="PALF"/>
    <s v="CONGO"/>
    <m/>
    <m/>
    <m/>
  </r>
  <r>
    <d v="2021-04-02T00:00:00"/>
    <s v="Reglement Facture Internet/mois d'Avril 21/Congo telecom"/>
    <x v="6"/>
    <s v="Office"/>
    <m/>
    <n v="89175"/>
    <n v="32896227.99927"/>
    <x v="1"/>
    <s v="Oui"/>
    <x v="3"/>
    <s v="RALFF"/>
    <s v="CONGO"/>
    <s v="RALFF-CO2093"/>
    <s v="4.5"/>
    <m/>
  </r>
  <r>
    <d v="2021-04-02T00:00:00"/>
    <s v="I23C"/>
    <x v="2"/>
    <m/>
    <m/>
    <n v="36500"/>
    <n v="32859727.99927"/>
    <x v="1"/>
    <m/>
    <x v="0"/>
    <m/>
    <m/>
    <m/>
    <m/>
    <m/>
  </r>
  <r>
    <d v="2021-04-02T00:00:00"/>
    <s v="Reçu caisse/I23C"/>
    <x v="2"/>
    <m/>
    <n v="36500"/>
    <m/>
    <n v="32896227.99927"/>
    <x v="6"/>
    <m/>
    <x v="0"/>
    <m/>
    <m/>
    <m/>
    <m/>
    <m/>
  </r>
  <r>
    <d v="2021-04-03T00:00:00"/>
    <s v="P29 -CONGO- Hôtel Mission à Okoyo du 01 au 03/04/21"/>
    <x v="7"/>
    <s v="Investigation"/>
    <m/>
    <n v="30000"/>
    <n v="32866227.99927"/>
    <x v="3"/>
    <s v="Oui"/>
    <x v="3"/>
    <s v="RALFF"/>
    <s v="CONGO"/>
    <s v="RALFF-CO2094"/>
    <s v="1.3.2"/>
    <m/>
  </r>
  <r>
    <d v="2021-04-03T00:00:00"/>
    <s v="Frais de transport Okoyo-Boundji/P29"/>
    <x v="4"/>
    <s v="Investigation"/>
    <m/>
    <n v="10000"/>
    <n v="32856227.99927"/>
    <x v="3"/>
    <s v="Oui"/>
    <x v="2"/>
    <s v="PALF"/>
    <s v="CONGO"/>
    <m/>
    <m/>
    <m/>
  </r>
  <r>
    <d v="2021-04-03T00:00:00"/>
    <s v="Frais de transport  Boundji-Ngoko/P29"/>
    <x v="4"/>
    <s v="Investigation"/>
    <m/>
    <n v="10000"/>
    <n v="32846227.99927"/>
    <x v="3"/>
    <s v="Oui"/>
    <x v="2"/>
    <s v="PALF"/>
    <s v="CONGO"/>
    <m/>
    <m/>
    <m/>
  </r>
  <r>
    <d v="2021-04-03T00:00:00"/>
    <s v="Frais de transport Ngoko-Boundji/P29"/>
    <x v="4"/>
    <s v="Investigation"/>
    <m/>
    <n v="10000"/>
    <n v="32836227.99927"/>
    <x v="3"/>
    <s v="Oui"/>
    <x v="2"/>
    <s v="PALF"/>
    <s v="CONGO"/>
    <m/>
    <m/>
    <m/>
  </r>
  <r>
    <d v="2021-04-04T00:00:00"/>
    <s v="Réprographie et reliure document PALF"/>
    <x v="8"/>
    <s v="Office"/>
    <m/>
    <n v="7400"/>
    <n v="32828827.99927"/>
    <x v="1"/>
    <s v="Oui"/>
    <x v="3"/>
    <s v="RALFF"/>
    <s v="CONGO"/>
    <s v="RALFF-CO2095"/>
    <s v="4.3"/>
    <m/>
  </r>
  <r>
    <d v="2021-04-04T00:00:00"/>
    <s v="Achat billet Boundji-Brazza/P29"/>
    <x v="4"/>
    <s v="Investigation"/>
    <m/>
    <n v="12000"/>
    <n v="32816827.99927"/>
    <x v="3"/>
    <s v="Oui"/>
    <x v="3"/>
    <s v="RALFF"/>
    <s v="CONGO"/>
    <s v="RALFF-CO2096"/>
    <s v="2.2"/>
    <m/>
  </r>
  <r>
    <d v="2021-04-05T00:00:00"/>
    <s v="P29 -CONGO- Hôtel Mission Boundji du 29/03 au 01/04 et 03 au 05/04/21"/>
    <x v="7"/>
    <s v="Investigation"/>
    <m/>
    <n v="75000"/>
    <n v="32741827.99927"/>
    <x v="3"/>
    <s v="Oui"/>
    <x v="3"/>
    <s v="RALFF"/>
    <s v="CONGO"/>
    <s v="RALFF-CO2097"/>
    <s v="1.3.2"/>
    <m/>
  </r>
  <r>
    <d v="2021-04-06T00:00:00"/>
    <s v="Achat papier toilette et brosse toilette/Bureau PALF"/>
    <x v="8"/>
    <s v="Office"/>
    <m/>
    <n v="8000"/>
    <n v="32733827.99927"/>
    <x v="1"/>
    <s v="Oui"/>
    <x v="2"/>
    <s v="PALF"/>
    <s v="CONGO"/>
    <m/>
    <m/>
    <m/>
  </r>
  <r>
    <d v="2021-04-06T00:00:00"/>
    <s v="Evariste"/>
    <x v="2"/>
    <m/>
    <m/>
    <n v="10000"/>
    <n v="32723827.99927"/>
    <x v="1"/>
    <m/>
    <x v="0"/>
    <m/>
    <m/>
    <m/>
    <m/>
    <m/>
  </r>
  <r>
    <d v="2021-04-06T00:00:00"/>
    <s v="JB"/>
    <x v="2"/>
    <m/>
    <m/>
    <n v="107000"/>
    <n v="32616827.99927"/>
    <x v="1"/>
    <m/>
    <x v="0"/>
    <m/>
    <m/>
    <m/>
    <m/>
    <m/>
  </r>
  <r>
    <d v="2021-04-06T00:00:00"/>
    <s v="Reçu Caise/Evariste"/>
    <x v="2"/>
    <m/>
    <n v="10000"/>
    <m/>
    <n v="32626827.99927"/>
    <x v="7"/>
    <m/>
    <x v="0"/>
    <m/>
    <m/>
    <m/>
    <m/>
    <m/>
  </r>
  <r>
    <d v="2021-04-06T00:00:00"/>
    <s v="Reçu caisse/JB"/>
    <x v="2"/>
    <m/>
    <n v="107000"/>
    <m/>
    <n v="32733827.99927"/>
    <x v="4"/>
    <m/>
    <x v="0"/>
    <m/>
    <m/>
    <m/>
    <m/>
    <m/>
  </r>
  <r>
    <d v="2021-04-07T00:00:00"/>
    <s v="Bonus Média portant sur la condamnation ferme/Evariste"/>
    <x v="1"/>
    <s v="Media"/>
    <m/>
    <n v="89000"/>
    <n v="32644827.99927"/>
    <x v="1"/>
    <s v="Décharge"/>
    <x v="2"/>
    <s v="PALF"/>
    <s v="CONGO"/>
    <m/>
    <m/>
    <m/>
  </r>
  <r>
    <d v="2021-04-07T00:00:00"/>
    <s v="Achat billet Brazzaville-Pointe-Noire/JB"/>
    <x v="4"/>
    <s v="Legal"/>
    <m/>
    <n v="15000"/>
    <n v="32629827.99927"/>
    <x v="4"/>
    <s v="Oui"/>
    <x v="3"/>
    <s v="RALFF"/>
    <s v="CONGO"/>
    <s v="RALFF-CO2098"/>
    <s v="2.2"/>
    <m/>
  </r>
  <r>
    <d v="2021-04-07T00:00:00"/>
    <s v="JB MALONGA  -CONGO- Ration pour mission de 3 nuitées à PN du 07 au 10/04/21"/>
    <x v="7"/>
    <s v="Legal"/>
    <m/>
    <n v="30000"/>
    <n v="32599827.99927"/>
    <x v="4"/>
    <s v="Décharge"/>
    <x v="3"/>
    <s v="RALFF"/>
    <s v="CONGO"/>
    <s v="RALFF-CO2099"/>
    <s v="1.3.2"/>
    <m/>
  </r>
  <r>
    <d v="2021-04-08T00:00:00"/>
    <s v="Tiffany"/>
    <x v="2"/>
    <m/>
    <m/>
    <n v="55800"/>
    <n v="32544027.99927"/>
    <x v="1"/>
    <m/>
    <x v="0"/>
    <m/>
    <m/>
    <m/>
    <m/>
    <m/>
  </r>
  <r>
    <d v="2021-04-08T00:00:00"/>
    <s v="Tiffany"/>
    <x v="2"/>
    <m/>
    <m/>
    <n v="20000"/>
    <n v="32524027.99927"/>
    <x v="1"/>
    <m/>
    <x v="0"/>
    <m/>
    <m/>
    <m/>
    <m/>
    <m/>
  </r>
  <r>
    <d v="2021-04-08T00:00:00"/>
    <s v="Photocopie et reliure des documents PALF"/>
    <x v="8"/>
    <s v="Office"/>
    <m/>
    <n v="7400"/>
    <n v="32516627.99927"/>
    <x v="1"/>
    <s v="Oui"/>
    <x v="3"/>
    <s v="RALFF"/>
    <s v="CONGO"/>
    <s v="RALFF-CO2100"/>
    <s v="4.3"/>
    <m/>
  </r>
  <r>
    <d v="2021-04-08T00:00:00"/>
    <s v="Reçu caisse/Tiffany"/>
    <x v="2"/>
    <m/>
    <n v="55800"/>
    <m/>
    <n v="32572427.99927"/>
    <x v="8"/>
    <m/>
    <x v="0"/>
    <m/>
    <m/>
    <m/>
    <m/>
    <m/>
  </r>
  <r>
    <d v="2021-04-08T00:00:00"/>
    <s v="Reçu caisse/Tiffany"/>
    <x v="2"/>
    <m/>
    <n v="20000"/>
    <m/>
    <n v="32592427.99927"/>
    <x v="8"/>
    <m/>
    <x v="0"/>
    <m/>
    <m/>
    <m/>
    <m/>
    <m/>
  </r>
  <r>
    <d v="2021-04-08T00:00:00"/>
    <s v="Décallage vol Brazzaville- Nairobi/Tiffany"/>
    <x v="9"/>
    <s v="Management"/>
    <m/>
    <n v="55600"/>
    <n v="32536827.99927"/>
    <x v="8"/>
    <s v="Oui"/>
    <x v="2"/>
    <s v="PALF"/>
    <s v="CONGO"/>
    <m/>
    <m/>
    <m/>
  </r>
  <r>
    <d v="2021-04-09T00:00:00"/>
    <s v="JB"/>
    <x v="2"/>
    <m/>
    <m/>
    <n v="30000"/>
    <n v="32506827.99927"/>
    <x v="1"/>
    <m/>
    <x v="0"/>
    <m/>
    <m/>
    <m/>
    <m/>
    <m/>
  </r>
  <r>
    <d v="2021-04-09T00:00:00"/>
    <s v="Frais de transfert Charden farell/JB"/>
    <x v="10"/>
    <s v="Office"/>
    <m/>
    <n v="900"/>
    <n v="32505927.99927"/>
    <x v="1"/>
    <s v="Oui"/>
    <x v="3"/>
    <s v="RALFF"/>
    <s v="CONGO"/>
    <s v="RALFF-CO2101"/>
    <s v="5.6"/>
    <m/>
  </r>
  <r>
    <d v="2021-04-09T00:00:00"/>
    <s v="Frais consultation et Certificat médical détenu Robert"/>
    <x v="3"/>
    <s v="Legal"/>
    <m/>
    <n v="30000"/>
    <n v="32475927.99927"/>
    <x v="1"/>
    <s v="Oui"/>
    <x v="2"/>
    <s v="PALF"/>
    <s v="CONGO"/>
    <m/>
    <m/>
    <m/>
  </r>
  <r>
    <d v="2021-04-09T00:00:00"/>
    <s v="I23C"/>
    <x v="2"/>
    <m/>
    <m/>
    <n v="80000"/>
    <n v="32395927.99927"/>
    <x v="1"/>
    <m/>
    <x v="0"/>
    <m/>
    <m/>
    <m/>
    <m/>
    <m/>
  </r>
  <r>
    <d v="2021-04-09T00:00:00"/>
    <s v="P29"/>
    <x v="2"/>
    <m/>
    <m/>
    <n v="80000"/>
    <n v="32315927.99927"/>
    <x v="1"/>
    <m/>
    <x v="0"/>
    <m/>
    <m/>
    <m/>
    <m/>
    <m/>
  </r>
  <r>
    <d v="2021-04-09T00:00:00"/>
    <s v="P29"/>
    <x v="2"/>
    <m/>
    <m/>
    <n v="15000"/>
    <n v="32300927.99927"/>
    <x v="1"/>
    <m/>
    <x v="0"/>
    <m/>
    <m/>
    <m/>
    <m/>
    <m/>
  </r>
  <r>
    <d v="2021-04-09T00:00:00"/>
    <s v="Reçu caisse/I23C"/>
    <x v="2"/>
    <m/>
    <n v="80000"/>
    <m/>
    <n v="32380927.99927"/>
    <x v="6"/>
    <m/>
    <x v="0"/>
    <m/>
    <m/>
    <m/>
    <m/>
    <m/>
  </r>
  <r>
    <d v="2021-04-09T00:00:00"/>
    <s v="Achat billet BZ-Oyo /I23C"/>
    <x v="4"/>
    <s v="Investigation"/>
    <m/>
    <n v="10000"/>
    <n v="32370927.99927"/>
    <x v="6"/>
    <s v="Oui"/>
    <x v="3"/>
    <s v="RALFF"/>
    <s v="CONGO"/>
    <s v="RALFF-CO2102"/>
    <s v="2.2"/>
    <m/>
  </r>
  <r>
    <d v="2021-04-09T00:00:00"/>
    <s v="Recu caisse/P29"/>
    <x v="2"/>
    <m/>
    <n v="95000"/>
    <m/>
    <n v="32465927.99927"/>
    <x v="3"/>
    <m/>
    <x v="0"/>
    <m/>
    <m/>
    <m/>
    <m/>
    <m/>
  </r>
  <r>
    <d v="2021-04-09T00:00:00"/>
    <s v="Reçu caisse/JB"/>
    <x v="2"/>
    <m/>
    <n v="30000"/>
    <m/>
    <n v="32495927.99927"/>
    <x v="4"/>
    <m/>
    <x v="0"/>
    <m/>
    <m/>
    <m/>
    <m/>
    <m/>
  </r>
  <r>
    <d v="2021-04-09T00:00:00"/>
    <s v="JB MALONGA  -CONGO- Hôtel Mission PN du 07 au 10 avril 2021"/>
    <x v="7"/>
    <s v="Legal"/>
    <m/>
    <n v="45000"/>
    <n v="32450927.99927"/>
    <x v="4"/>
    <s v="Oui"/>
    <x v="3"/>
    <s v="RALFF"/>
    <s v="CONGO"/>
    <s v="RALFF-CO2103"/>
    <s v="1.3.2"/>
    <m/>
  </r>
  <r>
    <d v="2021-04-10T00:00:00"/>
    <s v="Achat billet BZV-Loudima/P29"/>
    <x v="4"/>
    <s v="Investigation"/>
    <m/>
    <n v="9000"/>
    <n v="32441927.99927"/>
    <x v="3"/>
    <s v="Oui"/>
    <x v="3"/>
    <s v="RALFF"/>
    <s v="CONGO"/>
    <s v="RALFF-CO2104"/>
    <s v="2.2"/>
    <m/>
  </r>
  <r>
    <d v="2021-04-10T00:00:00"/>
    <s v="Achat billet Pointe-Noire-Brazzaville/JB"/>
    <x v="4"/>
    <s v="Legal"/>
    <m/>
    <n v="15000"/>
    <n v="32426927.99927"/>
    <x v="4"/>
    <s v="Oui"/>
    <x v="3"/>
    <s v="RALFF"/>
    <s v="CONGO"/>
    <s v="RALFF-CO2105"/>
    <s v="2.2"/>
    <m/>
  </r>
  <r>
    <d v="2021-04-12T00:00:00"/>
    <s v="JB"/>
    <x v="2"/>
    <m/>
    <m/>
    <n v="125000"/>
    <n v="32301927.99927"/>
    <x v="1"/>
    <m/>
    <x v="0"/>
    <m/>
    <m/>
    <m/>
    <m/>
    <m/>
  </r>
  <r>
    <d v="2021-04-12T00:00:00"/>
    <s v="Crépin"/>
    <x v="2"/>
    <m/>
    <m/>
    <n v="84000"/>
    <n v="32217927.99927"/>
    <x v="1"/>
    <m/>
    <x v="0"/>
    <m/>
    <m/>
    <m/>
    <m/>
    <m/>
  </r>
  <r>
    <d v="2021-04-12T00:00:00"/>
    <s v="Frais de mission à Dolisie maitre MOUYETI/cas ARLY"/>
    <x v="11"/>
    <s v="Legal"/>
    <m/>
    <n v="76000"/>
    <n v="32141927.99927"/>
    <x v="1"/>
    <s v="Oui"/>
    <x v="3"/>
    <s v="RALFF"/>
    <s v="CONGO"/>
    <s v="RALFF-CO2106"/>
    <s v="5.2.2"/>
    <m/>
  </r>
  <r>
    <d v="2021-04-12T00:00:00"/>
    <s v="Evariste"/>
    <x v="2"/>
    <m/>
    <m/>
    <n v="10000"/>
    <n v="32131927.99927"/>
    <x v="1"/>
    <m/>
    <x v="0"/>
    <m/>
    <m/>
    <m/>
    <m/>
    <m/>
  </r>
  <r>
    <d v="2021-04-12T00:00:00"/>
    <s v="JB"/>
    <x v="2"/>
    <m/>
    <m/>
    <n v="40000"/>
    <n v="32091927.99927"/>
    <x v="1"/>
    <m/>
    <x v="0"/>
    <m/>
    <m/>
    <m/>
    <m/>
    <m/>
  </r>
  <r>
    <d v="2021-04-12T00:00:00"/>
    <s v="Entretien général du jardin bureau PALF"/>
    <x v="5"/>
    <s v="Office"/>
    <m/>
    <n v="12000"/>
    <n v="32079927.99927"/>
    <x v="1"/>
    <s v="Oui"/>
    <x v="2"/>
    <s v="PALF"/>
    <s v="CONGO"/>
    <m/>
    <m/>
    <m/>
  </r>
  <r>
    <d v="2021-04-12T00:00:00"/>
    <s v="Reçu caisse/Crépin"/>
    <x v="2"/>
    <m/>
    <n v="84000"/>
    <m/>
    <n v="32163927.99927"/>
    <x v="9"/>
    <m/>
    <x v="0"/>
    <m/>
    <m/>
    <m/>
    <m/>
    <m/>
  </r>
  <r>
    <d v="2021-04-12T00:00:00"/>
    <s v="Achat Billet Brazzaville-Dolisie/Crépin"/>
    <x v="4"/>
    <s v="Management"/>
    <m/>
    <n v="10000"/>
    <n v="32153927.99927"/>
    <x v="9"/>
    <s v="Oui"/>
    <x v="3"/>
    <s v="RALFF"/>
    <s v="CONGO"/>
    <s v="RALFF-CO2107"/>
    <s v="2.2"/>
    <m/>
  </r>
  <r>
    <d v="2021-04-12T00:00:00"/>
    <s v="Reçu Caise/Evariste"/>
    <x v="2"/>
    <m/>
    <n v="10000"/>
    <m/>
    <n v="32163927.99927"/>
    <x v="7"/>
    <m/>
    <x v="0"/>
    <m/>
    <m/>
    <m/>
    <m/>
    <m/>
  </r>
  <r>
    <d v="2021-04-12T00:00:00"/>
    <s v="I23C -CONGO- Ration pour mission de 7 nuitées à Oyo-Ngo du 12 au 19/04/21"/>
    <x v="7"/>
    <s v="Investigation"/>
    <m/>
    <n v="70000"/>
    <n v="32093927.99927"/>
    <x v="6"/>
    <s v="Décharge"/>
    <x v="3"/>
    <s v="RALFF"/>
    <s v="CONGO"/>
    <s v="RALFF-CO2108"/>
    <s v="1.3.2"/>
    <m/>
  </r>
  <r>
    <d v="2021-04-12T00:00:00"/>
    <s v="P29 - CONGO - Ration pour Mission de 7 nuitée SIBITI-Zanaga du 12 au 19 avril"/>
    <x v="7"/>
    <s v="Investigation"/>
    <m/>
    <n v="70000"/>
    <n v="32023927.99927"/>
    <x v="3"/>
    <s v="Decharge"/>
    <x v="3"/>
    <s v="RALFF"/>
    <s v="CONGO"/>
    <s v="RALFF-CO2109"/>
    <s v="1.3.2"/>
    <m/>
  </r>
  <r>
    <d v="2021-04-12T00:00:00"/>
    <s v="Frais de transport LOUDIMA-SIBITI/P29"/>
    <x v="4"/>
    <s v="Investigation"/>
    <m/>
    <n v="4000"/>
    <n v="32019927.99927"/>
    <x v="3"/>
    <s v="Oui"/>
    <x v="2"/>
    <s v="PALF"/>
    <s v="CONGO"/>
    <m/>
    <m/>
    <m/>
  </r>
  <r>
    <d v="2021-04-12T00:00:00"/>
    <s v="Reçu caisse/JB"/>
    <x v="2"/>
    <m/>
    <n v="125000"/>
    <m/>
    <n v="32144927.99927"/>
    <x v="4"/>
    <m/>
    <x v="0"/>
    <m/>
    <m/>
    <m/>
    <m/>
    <m/>
  </r>
  <r>
    <d v="2021-04-12T00:00:00"/>
    <s v="Reçu caisse/JB"/>
    <x v="2"/>
    <m/>
    <n v="40000"/>
    <m/>
    <n v="32184927.99927"/>
    <x v="4"/>
    <m/>
    <x v="0"/>
    <m/>
    <m/>
    <m/>
    <m/>
    <m/>
  </r>
  <r>
    <d v="2021-04-12T00:00:00"/>
    <s v="Achat billet Brazzaville-Ouesso/JB"/>
    <x v="4"/>
    <s v="Legal"/>
    <m/>
    <n v="20000"/>
    <n v="32164927.99927"/>
    <x v="4"/>
    <s v="Oui"/>
    <x v="3"/>
    <s v="RALFF"/>
    <s v="CONGO"/>
    <s v="RALFF-CO2110"/>
    <s v="2.2"/>
    <m/>
  </r>
  <r>
    <d v="2021-04-13T00:00:00"/>
    <s v="CREPIN IBOUILI - CONGO - Ration pour  Mission de 4 nuitées  à Dolisie et Madingou du 13 au 17/04/21"/>
    <x v="7"/>
    <s v="Management"/>
    <m/>
    <n v="40000"/>
    <n v="32124927.99927"/>
    <x v="9"/>
    <s v="Décharge"/>
    <x v="3"/>
    <s v="RALFF"/>
    <s v="CONGO"/>
    <s v="RALFF-CO2111"/>
    <s v="1.3.2"/>
    <m/>
  </r>
  <r>
    <d v="2021-04-13T00:00:00"/>
    <s v="Frais de transport  Sibiti-Zanaga/P29"/>
    <x v="4"/>
    <s v="Investigation"/>
    <m/>
    <n v="10000"/>
    <n v="32114927.99927"/>
    <x v="3"/>
    <s v="Oui"/>
    <x v="2"/>
    <s v="PALF"/>
    <s v="CONGO"/>
    <m/>
    <m/>
    <m/>
  </r>
  <r>
    <d v="2021-04-13T00:00:00"/>
    <s v="JB MALONGA  - CONGO - Ration pour  Mission de 15 nuitées à Ouesso-Owando-Oyo  du 13 au 28 avril"/>
    <x v="7"/>
    <s v="Legal"/>
    <m/>
    <n v="150000"/>
    <n v="31964927.99927"/>
    <x v="4"/>
    <s v="Décharge"/>
    <x v="3"/>
    <s v="RALFF"/>
    <s v="CONGO"/>
    <s v="RALFF-CO2112"/>
    <s v="1.3.2"/>
    <m/>
  </r>
  <r>
    <d v="2021-04-14T00:00:00"/>
    <s v="Retrait especes/appro caisse/bord n°3654439"/>
    <x v="2"/>
    <m/>
    <m/>
    <n v="1000000"/>
    <n v="30964927.99927"/>
    <x v="5"/>
    <n v="3654439"/>
    <x v="0"/>
    <m/>
    <m/>
    <m/>
    <m/>
    <m/>
  </r>
  <r>
    <d v="2021-04-14T00:00:00"/>
    <s v="BCI"/>
    <x v="2"/>
    <m/>
    <n v="1000000"/>
    <m/>
    <n v="31964927.99927"/>
    <x v="1"/>
    <m/>
    <x v="0"/>
    <m/>
    <m/>
    <m/>
    <m/>
    <m/>
  </r>
  <r>
    <d v="2021-04-14T00:00:00"/>
    <s v="P29"/>
    <x v="2"/>
    <m/>
    <m/>
    <n v="171000"/>
    <n v="31793927.99927"/>
    <x v="1"/>
    <m/>
    <x v="0"/>
    <m/>
    <m/>
    <m/>
    <m/>
    <m/>
  </r>
  <r>
    <d v="2021-04-14T00:00:00"/>
    <s v="I23C"/>
    <x v="2"/>
    <m/>
    <m/>
    <n v="169000"/>
    <n v="31624927.99927"/>
    <x v="1"/>
    <m/>
    <x v="0"/>
    <m/>
    <m/>
    <m/>
    <m/>
    <m/>
  </r>
  <r>
    <d v="2021-04-14T00:00:00"/>
    <s v="Frais de transfert charden farell/I23C et P29"/>
    <x v="10"/>
    <s v="Office"/>
    <m/>
    <n v="10200"/>
    <n v="31614727.99927"/>
    <x v="1"/>
    <s v="Oui"/>
    <x v="3"/>
    <s v="RALFF"/>
    <s v="CONGO"/>
    <s v="RALFF-CO2113"/>
    <s v="5.6"/>
    <m/>
  </r>
  <r>
    <d v="2021-04-14T00:00:00"/>
    <s v="Frais achat produit contre le palu"/>
    <x v="3"/>
    <s v="Legal"/>
    <m/>
    <n v="3465"/>
    <n v="31611262.99927"/>
    <x v="9"/>
    <s v="Oui"/>
    <x v="2"/>
    <s v="PALF"/>
    <s v="CONGO"/>
    <m/>
    <m/>
    <m/>
  </r>
  <r>
    <d v="2021-04-14T00:00:00"/>
    <s v="Frais de transport  Oyo-Ollombo - Oyo  (allez-retour avec un informateur à Ollombo)/I23C"/>
    <x v="4"/>
    <s v="Investigation"/>
    <m/>
    <n v="6000"/>
    <n v="31605262.99927"/>
    <x v="6"/>
    <s v="Décharge"/>
    <x v="2"/>
    <s v="PALF"/>
    <s v="CONGO"/>
    <m/>
    <m/>
    <m/>
  </r>
  <r>
    <d v="2021-04-14T00:00:00"/>
    <s v="Recu caisse/P29"/>
    <x v="2"/>
    <m/>
    <n v="171000"/>
    <m/>
    <n v="31776262.99927"/>
    <x v="3"/>
    <m/>
    <x v="0"/>
    <m/>
    <m/>
    <m/>
    <m/>
    <m/>
  </r>
  <r>
    <d v="2021-04-14T00:00:00"/>
    <s v=" L'Expédition + Le pourvoi  cassation /Cas Hebert"/>
    <x v="12"/>
    <s v="Legal"/>
    <m/>
    <n v="40000"/>
    <n v="31736262.99927"/>
    <x v="4"/>
    <s v="Oui"/>
    <x v="2"/>
    <s v="PALF"/>
    <s v="CONGO"/>
    <m/>
    <m/>
    <m/>
  </r>
  <r>
    <d v="2021-04-14T00:00:00"/>
    <s v="Achat billet Ouesso-Owando/JB"/>
    <x v="4"/>
    <s v="Legal"/>
    <m/>
    <n v="10000"/>
    <n v="31726262.99927"/>
    <x v="4"/>
    <s v="Oui"/>
    <x v="3"/>
    <s v="RALFF"/>
    <s v="CONGO"/>
    <s v="RALFF-CO2114"/>
    <s v="2.2"/>
    <m/>
  </r>
  <r>
    <d v="2021-04-15T00:00:00"/>
    <s v="Achat 50 litres de Gazoil/groupe electrogène"/>
    <x v="13"/>
    <s v="Office"/>
    <m/>
    <n v="24000"/>
    <n v="31702262.99927"/>
    <x v="1"/>
    <s v="Oui"/>
    <x v="3"/>
    <s v="RALFF"/>
    <s v="CONGO"/>
    <s v="RALFF-CO2115"/>
    <s v="4.4"/>
    <m/>
  </r>
  <r>
    <d v="2021-04-15T00:00:00"/>
    <s v="Achat Divers/lait sucre,serpière,produit de nettoyage bureau"/>
    <x v="8"/>
    <s v="Office"/>
    <m/>
    <n v="24450"/>
    <n v="31677812.99927"/>
    <x v="1"/>
    <s v="Oui"/>
    <x v="2"/>
    <s v="PALF"/>
    <s v="CONGO"/>
    <m/>
    <m/>
    <m/>
  </r>
  <r>
    <d v="2021-04-15T00:00:00"/>
    <s v="Frais de mission à Madingou maitre Séverin/cas MAMPOUYA"/>
    <x v="11"/>
    <s v="Legal"/>
    <m/>
    <n v="45000"/>
    <n v="31632812.99927"/>
    <x v="1"/>
    <s v="Oui"/>
    <x v="3"/>
    <s v="RALFF"/>
    <s v="CONGO"/>
    <s v="RALFF-CO2116"/>
    <s v="5.2.2"/>
    <m/>
  </r>
  <r>
    <d v="2021-04-15T00:00:00"/>
    <s v="Crépin"/>
    <x v="2"/>
    <m/>
    <m/>
    <n v="57000"/>
    <n v="31575812.99927"/>
    <x v="1"/>
    <m/>
    <x v="0"/>
    <m/>
    <m/>
    <m/>
    <m/>
    <m/>
  </r>
  <r>
    <d v="2021-04-15T00:00:00"/>
    <s v="Frais de transfert charden farell/Crépin"/>
    <x v="10"/>
    <s v="Office"/>
    <m/>
    <n v="1710"/>
    <n v="31574102.99927"/>
    <x v="1"/>
    <s v="Oui"/>
    <x v="3"/>
    <s v="RALFF"/>
    <s v="CONGO"/>
    <s v="RALFF-CO2117"/>
    <s v="5.6"/>
    <m/>
  </r>
  <r>
    <d v="2021-04-15T00:00:00"/>
    <s v="Achat Eau/03Bobone/Bureau PALF"/>
    <x v="13"/>
    <s v="Office"/>
    <m/>
    <n v="13500"/>
    <n v="31560602.99927"/>
    <x v="1"/>
    <s v="Oui"/>
    <x v="2"/>
    <s v="PALF"/>
    <s v="CONGO"/>
    <m/>
    <m/>
    <m/>
  </r>
  <r>
    <d v="2021-04-15T00:00:00"/>
    <s v="Merveille"/>
    <x v="2"/>
    <m/>
    <m/>
    <n v="10000"/>
    <n v="31550602.99927"/>
    <x v="1"/>
    <m/>
    <x v="0"/>
    <m/>
    <m/>
    <m/>
    <m/>
    <m/>
  </r>
  <r>
    <d v="2021-04-15T00:00:00"/>
    <s v="Reçu caisse/Crépin"/>
    <x v="2"/>
    <m/>
    <n v="57000"/>
    <m/>
    <n v="31607602.99927"/>
    <x v="9"/>
    <m/>
    <x v="0"/>
    <m/>
    <m/>
    <m/>
    <m/>
    <m/>
  </r>
  <r>
    <d v="2021-04-15T00:00:00"/>
    <s v="CREPIN IBOUILI - CONGO - Hôtel Mission à  Dolisie du 13 au 16/04/21"/>
    <x v="7"/>
    <s v="Management"/>
    <m/>
    <n v="45000"/>
    <n v="31562602.99927"/>
    <x v="9"/>
    <s v="Oui"/>
    <x v="3"/>
    <s v="RALFF"/>
    <s v="CONGO"/>
    <s v="RALFF-CO2118"/>
    <s v="1.3.2"/>
    <m/>
  </r>
  <r>
    <d v="2021-04-15T00:00:00"/>
    <s v="Cumul frais ration aux détenus à Dolisie  /Crépin"/>
    <x v="3"/>
    <s v="Legal"/>
    <m/>
    <n v="15000"/>
    <n v="31547602.99927"/>
    <x v="9"/>
    <s v="Décharge"/>
    <x v="2"/>
    <s v="PALF"/>
    <s v="CONGO"/>
    <m/>
    <m/>
    <m/>
  </r>
  <r>
    <d v="2021-04-15T00:00:00"/>
    <s v="Frais de transport  Oyo-Tchikapika-Oyo/I23C"/>
    <x v="4"/>
    <s v="Investigation"/>
    <m/>
    <n v="12000"/>
    <n v="31535602.99927"/>
    <x v="6"/>
    <s v="Décharge"/>
    <x v="2"/>
    <s v="PALF"/>
    <s v="CONGO"/>
    <m/>
    <m/>
    <m/>
  </r>
  <r>
    <d v="2021-04-15T00:00:00"/>
    <s v="Reçu caisse/I23C"/>
    <x v="2"/>
    <m/>
    <n v="169000"/>
    <m/>
    <n v="31704602.99927"/>
    <x v="6"/>
    <m/>
    <x v="0"/>
    <m/>
    <m/>
    <m/>
    <m/>
    <m/>
  </r>
  <r>
    <d v="2021-04-15T00:00:00"/>
    <s v="Reçu caisse/Merveille"/>
    <x v="2"/>
    <m/>
    <n v="10000"/>
    <m/>
    <n v="31714602.99927"/>
    <x v="10"/>
    <m/>
    <x v="0"/>
    <m/>
    <m/>
    <m/>
    <m/>
    <m/>
  </r>
  <r>
    <d v="2021-04-15T00:00:00"/>
    <s v="JB MALONGA - CONGO -  Hôtel Mission à Ouesso du 13 au 15 avril"/>
    <x v="7"/>
    <s v="Legal"/>
    <m/>
    <n v="30000"/>
    <n v="31684602.99927"/>
    <x v="4"/>
    <s v="Oui"/>
    <x v="3"/>
    <s v="RALFF"/>
    <s v="CONGO"/>
    <s v="RALFF-CO2119"/>
    <s v="1.3.2"/>
    <m/>
  </r>
  <r>
    <d v="2021-04-15T00:00:00"/>
    <s v="JB MALONGA - CONGO -  Hôtel Mission à Owando du 15 au 16 avril"/>
    <x v="7"/>
    <s v="Legal"/>
    <m/>
    <n v="15000"/>
    <n v="31669602.99927"/>
    <x v="4"/>
    <s v="Oui"/>
    <x v="3"/>
    <s v="RALFF"/>
    <s v="CONGO"/>
    <s v="RALFF-CO2120"/>
    <s v="1.3.2"/>
    <m/>
  </r>
  <r>
    <d v="2021-04-16T00:00:00"/>
    <s v="Crépin"/>
    <x v="2"/>
    <m/>
    <m/>
    <n v="30000"/>
    <n v="31639602.99927"/>
    <x v="1"/>
    <m/>
    <x v="0"/>
    <m/>
    <m/>
    <m/>
    <m/>
    <m/>
  </r>
  <r>
    <d v="2021-04-16T00:00:00"/>
    <s v="Frais de transfert charden farell/Crépin"/>
    <x v="10"/>
    <s v="Office"/>
    <m/>
    <n v="900"/>
    <n v="31638702.99927"/>
    <x v="1"/>
    <s v="Oui"/>
    <x v="3"/>
    <s v="RALFF"/>
    <s v="CONGO"/>
    <s v="RALFF-CO2121"/>
    <s v="5.6"/>
    <m/>
  </r>
  <r>
    <d v="2021-04-16T00:00:00"/>
    <s v="Bonus mois de mars 2021/Evariste"/>
    <x v="1"/>
    <s v="Media"/>
    <m/>
    <n v="20000"/>
    <n v="31618702.99927"/>
    <x v="1"/>
    <s v="Décharge"/>
    <x v="2"/>
    <s v="PALF"/>
    <s v="CONGO"/>
    <m/>
    <m/>
    <m/>
  </r>
  <r>
    <d v="2021-04-16T00:00:00"/>
    <s v="Bonus mois de mars 2021/Christian"/>
    <x v="1"/>
    <s v="Legal"/>
    <m/>
    <n v="5000"/>
    <n v="31613702.99927"/>
    <x v="1"/>
    <s v="Décharge"/>
    <x v="2"/>
    <s v="PALF"/>
    <s v="CONGO"/>
    <m/>
    <m/>
    <m/>
  </r>
  <r>
    <d v="2021-04-16T00:00:00"/>
    <s v="JB"/>
    <x v="2"/>
    <m/>
    <m/>
    <n v="214000"/>
    <n v="31399702.99927"/>
    <x v="1"/>
    <m/>
    <x v="0"/>
    <m/>
    <m/>
    <m/>
    <m/>
    <m/>
  </r>
  <r>
    <d v="2021-04-16T00:00:00"/>
    <s v="Frais de transfert charden farell/JB"/>
    <x v="10"/>
    <s v="Office"/>
    <m/>
    <n v="6420"/>
    <n v="31393282.99927"/>
    <x v="1"/>
    <s v="Oui"/>
    <x v="3"/>
    <s v="RALFF"/>
    <s v="CONGO"/>
    <s v="RALFF-CO2122"/>
    <s v="5.6"/>
    <m/>
  </r>
  <r>
    <d v="2021-04-16T00:00:00"/>
    <s v="Reçu caisse/Crépin"/>
    <x v="2"/>
    <m/>
    <n v="30000"/>
    <m/>
    <n v="31423282.99927"/>
    <x v="9"/>
    <m/>
    <x v="0"/>
    <m/>
    <m/>
    <m/>
    <m/>
    <m/>
  </r>
  <r>
    <d v="2021-04-16T00:00:00"/>
    <s v="Frais de transport Dolisie-Madingou/Crépin"/>
    <x v="4"/>
    <s v="Management"/>
    <m/>
    <n v="5000"/>
    <n v="31418282.99927"/>
    <x v="9"/>
    <s v="Oui"/>
    <x v="3"/>
    <s v="RALFF"/>
    <s v="CONGO"/>
    <s v="RALFF-CO2123"/>
    <s v="2.2"/>
    <m/>
  </r>
  <r>
    <d v="2021-04-16T00:00:00"/>
    <s v="Achat Billet Madingou-Brazzaville"/>
    <x v="4"/>
    <s v="Management"/>
    <m/>
    <n v="8000"/>
    <n v="31410282.99927"/>
    <x v="9"/>
    <s v="Oui"/>
    <x v="3"/>
    <s v="RALFF"/>
    <s v="CONGO"/>
    <s v="RALFF-CO2124"/>
    <s v="2.2"/>
    <m/>
  </r>
  <r>
    <d v="2021-04-16T00:00:00"/>
    <s v="I23C - CONGO - Hôtel Mission à Oyo  du 12 au 16 avril 2021"/>
    <x v="7"/>
    <s v="Investigation"/>
    <m/>
    <n v="60000"/>
    <n v="31350282.99927"/>
    <x v="6"/>
    <s v="Oui"/>
    <x v="3"/>
    <s v="RALFF"/>
    <s v="CONGO"/>
    <s v="RALFF-CO2125"/>
    <s v="1.3.2"/>
    <m/>
  </r>
  <r>
    <d v="2021-04-16T00:00:00"/>
    <s v="Frais de transport Oyo-Ngo/I23C"/>
    <x v="4"/>
    <s v="Investigation"/>
    <m/>
    <n v="8000"/>
    <n v="31342282.99927"/>
    <x v="6"/>
    <s v="Oui"/>
    <x v="2"/>
    <s v="PALF"/>
    <s v="CONGO"/>
    <m/>
    <m/>
    <m/>
  </r>
  <r>
    <d v="2021-04-16T00:00:00"/>
    <s v="Frais de transport Owando-Oyo/JB"/>
    <x v="4"/>
    <s v="Legal"/>
    <m/>
    <n v="5000"/>
    <n v="31337282.99927"/>
    <x v="4"/>
    <s v="Décharge"/>
    <x v="2"/>
    <s v="PALF"/>
    <s v="CONGO"/>
    <m/>
    <m/>
    <m/>
  </r>
  <r>
    <d v="2021-04-17T00:00:00"/>
    <s v="CREPIN IBOUILI - CONGO - Hôtel Ms à Madingou du 16 au 17/04/21"/>
    <x v="7"/>
    <s v="Management"/>
    <m/>
    <n v="15000"/>
    <n v="31322282.99927"/>
    <x v="9"/>
    <s v="Oui"/>
    <x v="3"/>
    <s v="RALFF"/>
    <s v="CONGO"/>
    <s v="RALFF-CO2126"/>
    <s v="1.3.2"/>
    <m/>
  </r>
  <r>
    <d v="2021-04-17T00:00:00"/>
    <s v="Frais de transport Zanaga-Sibiti/P29"/>
    <x v="4"/>
    <s v="Investigation"/>
    <m/>
    <n v="10000"/>
    <n v="31312282.99927"/>
    <x v="3"/>
    <s v="Oui"/>
    <x v="2"/>
    <s v="PALF"/>
    <s v="CONGO"/>
    <m/>
    <m/>
    <m/>
  </r>
  <r>
    <d v="2021-04-17T00:00:00"/>
    <s v="P29 - CONGO - Hôtel Mission à Zanaga du 13 au 17/04"/>
    <x v="7"/>
    <s v="Investigation"/>
    <m/>
    <n v="60000"/>
    <n v="31252282.99927"/>
    <x v="3"/>
    <s v="Oui"/>
    <x v="3"/>
    <s v="RALFF"/>
    <s v="CONGO"/>
    <s v="RALFF-CO2127"/>
    <s v="1.3.2"/>
    <m/>
  </r>
  <r>
    <d v="2021-04-17T00:00:00"/>
    <s v="Reçu caisse/JB"/>
    <x v="2"/>
    <m/>
    <n v="214000"/>
    <m/>
    <n v="31466282.99927"/>
    <x v="4"/>
    <m/>
    <x v="0"/>
    <m/>
    <m/>
    <m/>
    <m/>
    <m/>
  </r>
  <r>
    <d v="2021-04-19T00:00:00"/>
    <s v="Retrait especes/appro caisse/bord n°3654440"/>
    <x v="2"/>
    <m/>
    <m/>
    <n v="1000000"/>
    <n v="30466282.99927"/>
    <x v="5"/>
    <n v="3654440"/>
    <x v="0"/>
    <m/>
    <m/>
    <m/>
    <m/>
    <m/>
  </r>
  <r>
    <d v="2021-04-19T00:00:00"/>
    <s v="Acompte honoraires contrat n°33/Dolisie/maitre Séverin "/>
    <x v="11"/>
    <s v="Legal"/>
    <m/>
    <n v="200000"/>
    <n v="30266282.99927"/>
    <x v="11"/>
    <n v="3643442"/>
    <x v="3"/>
    <s v="RALFF"/>
    <s v="CONGO"/>
    <s v="RALFF-CO2128"/>
    <s v="5.2.2"/>
    <m/>
  </r>
  <r>
    <d v="2021-04-19T00:00:00"/>
    <s v="Achat onduleur"/>
    <x v="14"/>
    <s v="Office"/>
    <m/>
    <n v="75000"/>
    <n v="30191282.99927"/>
    <x v="1"/>
    <s v="Oui"/>
    <x v="3"/>
    <s v="RALFF"/>
    <s v="CONGO"/>
    <s v="RALFF-CO2129"/>
    <s v="3.2"/>
    <m/>
  </r>
  <r>
    <d v="2021-04-19T00:00:00"/>
    <s v="Achat d'une broyeuse"/>
    <x v="14"/>
    <s v="Office"/>
    <m/>
    <n v="80000"/>
    <n v="30111282.99927"/>
    <x v="1"/>
    <s v="Oui"/>
    <x v="2"/>
    <s v="PALF"/>
    <s v="CONGO"/>
    <m/>
    <m/>
    <m/>
  </r>
  <r>
    <d v="2021-04-19T00:00:00"/>
    <s v="Bonus mois de mars 2021/Crépin"/>
    <x v="1"/>
    <s v="Legal"/>
    <m/>
    <n v="45000"/>
    <n v="30066282.99927"/>
    <x v="1"/>
    <s v="Décharge"/>
    <x v="2"/>
    <s v="PALF"/>
    <s v="CONGO"/>
    <m/>
    <m/>
    <m/>
  </r>
  <r>
    <d v="2021-04-19T00:00:00"/>
    <s v="Reglement fact LCDE/Mars-Avril 2021/ bureau PALF"/>
    <x v="13"/>
    <s v="Office"/>
    <m/>
    <n v="12750"/>
    <n v="30053532.99927"/>
    <x v="1"/>
    <s v="Oui"/>
    <x v="3"/>
    <s v="RALFF"/>
    <s v="CONGO"/>
    <s v="RALFF-CO2130"/>
    <s v="4.4"/>
    <m/>
  </r>
  <r>
    <d v="2021-04-19T00:00:00"/>
    <s v="I23C - CONGO - Hôtel Mission à NGO  du 16 au 19 Avril 2021"/>
    <x v="7"/>
    <s v="Investigation"/>
    <m/>
    <n v="45000"/>
    <n v="30008532.99927"/>
    <x v="6"/>
    <s v="Oui"/>
    <x v="3"/>
    <s v="RALFF"/>
    <s v="CONGO"/>
    <s v="RALFF-CO2131"/>
    <s v="1.3.2"/>
    <m/>
  </r>
  <r>
    <d v="2021-04-19T00:00:00"/>
    <s v="Frais de transport  Ngo-Brazzaville/I23C"/>
    <x v="4"/>
    <s v="Investigation"/>
    <m/>
    <n v="8000"/>
    <n v="30000532.99927"/>
    <x v="6"/>
    <s v="Oui"/>
    <x v="3"/>
    <s v="RALFF"/>
    <s v="CONGO"/>
    <s v="RALFF-CO2132"/>
    <s v="2.2"/>
    <m/>
  </r>
  <r>
    <d v="2021-04-19T00:00:00"/>
    <s v="P29 - CONGO - Hôtel Mission à Sibiti du 12 au 13/04 et du 17 au 19/04"/>
    <x v="7"/>
    <s v="Investigation"/>
    <m/>
    <n v="45000"/>
    <n v="29955532.99927"/>
    <x v="3"/>
    <s v="Oui"/>
    <x v="3"/>
    <s v="RALFF"/>
    <s v="CONGO"/>
    <s v="RALFF-CO2133"/>
    <s v="1.3.2"/>
    <m/>
  </r>
  <r>
    <d v="2021-04-19T00:00:00"/>
    <s v="Frais de transport Loudima-BZ/P29"/>
    <x v="4"/>
    <s v="Investigation"/>
    <m/>
    <n v="10000"/>
    <n v="29945532.99927"/>
    <x v="3"/>
    <s v="Oui"/>
    <x v="2"/>
    <s v="PALF"/>
    <s v="CONGO"/>
    <m/>
    <m/>
    <m/>
  </r>
  <r>
    <d v="2021-04-19T00:00:00"/>
    <s v="Frais de transport Sibiti-Loudima/P29"/>
    <x v="4"/>
    <s v="Investigation"/>
    <m/>
    <n v="4000"/>
    <n v="29941532.99927"/>
    <x v="3"/>
    <s v="Oui"/>
    <x v="2"/>
    <s v="PALF"/>
    <s v="CONGO"/>
    <m/>
    <m/>
    <m/>
  </r>
  <r>
    <d v="2021-04-19T00:00:00"/>
    <s v="Frais de Consultation-Produit Pharmaceutique détenu-Bonheur/JB"/>
    <x v="3"/>
    <s v="Legal"/>
    <m/>
    <n v="60300"/>
    <n v="29881232.99927"/>
    <x v="4"/>
    <s v="Oui"/>
    <x v="2"/>
    <s v="PALF"/>
    <s v="CONGO"/>
    <m/>
    <m/>
    <m/>
  </r>
  <r>
    <d v="2021-04-20T00:00:00"/>
    <s v="Fond reçu AVAAZ 2020"/>
    <x v="15"/>
    <m/>
    <n v="7828953"/>
    <m/>
    <n v="37710185.99927"/>
    <x v="5"/>
    <s v="Relevé"/>
    <x v="2"/>
    <s v="PALF"/>
    <s v="CONGO"/>
    <m/>
    <m/>
    <m/>
  </r>
  <r>
    <d v="2021-04-20T00:00:00"/>
    <s v="JB"/>
    <x v="2"/>
    <m/>
    <m/>
    <n v="195000"/>
    <n v="37515185.99927"/>
    <x v="1"/>
    <m/>
    <x v="0"/>
    <m/>
    <m/>
    <m/>
    <m/>
    <m/>
  </r>
  <r>
    <d v="2021-04-20T00:00:00"/>
    <s v="Frais de transfert charden farell/JB"/>
    <x v="10"/>
    <s v="Office"/>
    <m/>
    <n v="5850"/>
    <n v="37509335.99927"/>
    <x v="1"/>
    <s v="Oui"/>
    <x v="3"/>
    <s v="RALFF"/>
    <s v="CONGO"/>
    <s v="RALFF-CO2134"/>
    <s v="5.6"/>
    <m/>
  </r>
  <r>
    <d v="2021-04-20T00:00:00"/>
    <s v="Christian"/>
    <x v="2"/>
    <m/>
    <m/>
    <n v="84000"/>
    <n v="37425335.99927"/>
    <x v="1"/>
    <m/>
    <x v="0"/>
    <m/>
    <m/>
    <m/>
    <m/>
    <m/>
  </r>
  <r>
    <d v="2021-04-20T00:00:00"/>
    <s v="BCI"/>
    <x v="2"/>
    <m/>
    <n v="1000000"/>
    <m/>
    <n v="38425335.99927"/>
    <x v="1"/>
    <m/>
    <x v="0"/>
    <m/>
    <m/>
    <m/>
    <m/>
    <m/>
  </r>
  <r>
    <d v="2021-04-20T00:00:00"/>
    <s v="Bonus mois de mars 2021/I23C"/>
    <x v="1"/>
    <s v="Investigation"/>
    <m/>
    <n v="50000"/>
    <n v="38375335.99927"/>
    <x v="1"/>
    <s v="Décharge"/>
    <x v="2"/>
    <s v="PALF"/>
    <s v="CONGO"/>
    <m/>
    <m/>
    <m/>
  </r>
  <r>
    <d v="2021-04-20T00:00:00"/>
    <s v="MO Reinitialisation code SC542 &amp; Ajustement parametre Imprimante"/>
    <x v="8"/>
    <s v="Office"/>
    <m/>
    <n v="17000"/>
    <n v="38358335.99927"/>
    <x v="1"/>
    <s v="Oui"/>
    <x v="2"/>
    <s v="PALF"/>
    <s v="CONGO"/>
    <m/>
    <m/>
    <m/>
  </r>
  <r>
    <d v="2021-04-20T00:00:00"/>
    <s v="Frais de l'Expédition des actes d'appel/Cas Hebert"/>
    <x v="12"/>
    <s v="Legal"/>
    <m/>
    <n v="2500"/>
    <n v="38355835.99927"/>
    <x v="4"/>
    <s v="Oui"/>
    <x v="2"/>
    <s v="PALF"/>
    <s v="CONGO"/>
    <m/>
    <m/>
    <m/>
  </r>
  <r>
    <d v="2021-04-20T00:00:00"/>
    <s v="Frais Achat produits pharmaceutique-détenu Bonheur/JB"/>
    <x v="3"/>
    <s v="Legal"/>
    <m/>
    <n v="10550"/>
    <n v="38345285.99927"/>
    <x v="4"/>
    <s v="Oui"/>
    <x v="2"/>
    <s v="PALF"/>
    <s v="CONGO"/>
    <m/>
    <m/>
    <m/>
  </r>
  <r>
    <d v="2021-04-20T00:00:00"/>
    <s v="Reçu caisse/JB"/>
    <x v="2"/>
    <m/>
    <n v="195000"/>
    <m/>
    <n v="38540285.99927"/>
    <x v="4"/>
    <m/>
    <x v="0"/>
    <m/>
    <m/>
    <m/>
    <m/>
    <m/>
  </r>
  <r>
    <d v="2021-04-20T00:00:00"/>
    <s v="Achat carton de gants chirurgicaux/JB"/>
    <x v="3"/>
    <s v="Legal"/>
    <m/>
    <n v="10000"/>
    <n v="38530285.99927"/>
    <x v="4"/>
    <s v="Oui"/>
    <x v="2"/>
    <s v="PALF"/>
    <s v="CONGO"/>
    <m/>
    <m/>
    <m/>
  </r>
  <r>
    <d v="2021-04-20T00:00:00"/>
    <s v="Frais Achat produits pharmaceutique-détenu Bonheur/JB"/>
    <x v="3"/>
    <s v="Legal"/>
    <m/>
    <n v="2900"/>
    <n v="38527385.99927"/>
    <x v="4"/>
    <s v="Oui"/>
    <x v="2"/>
    <s v="PALF"/>
    <s v="CONGO"/>
    <m/>
    <m/>
    <m/>
  </r>
  <r>
    <d v="2021-04-21T00:00:00"/>
    <s v="Recu caisse/Christian"/>
    <x v="2"/>
    <m/>
    <n v="84000"/>
    <m/>
    <n v="38611385.99927"/>
    <x v="2"/>
    <m/>
    <x v="0"/>
    <m/>
    <m/>
    <m/>
    <m/>
    <m/>
  </r>
  <r>
    <d v="2021-04-21T00:00:00"/>
    <s v="Frais de Mission du 22 au 24/04 à P/N Maitre Anicet"/>
    <x v="11"/>
    <s v="Legal"/>
    <m/>
    <n v="81000"/>
    <n v="38530385.99927"/>
    <x v="1"/>
    <s v="Oui"/>
    <x v="2"/>
    <s v="PALF"/>
    <s v="CONGO"/>
    <m/>
    <m/>
    <m/>
  </r>
  <r>
    <d v="2021-04-21T00:00:00"/>
    <s v="Crépin"/>
    <x v="2"/>
    <m/>
    <m/>
    <n v="30000"/>
    <n v="38500385.99927"/>
    <x v="1"/>
    <m/>
    <x v="0"/>
    <m/>
    <m/>
    <m/>
    <m/>
    <m/>
  </r>
  <r>
    <d v="2021-04-21T00:00:00"/>
    <s v="Crépin"/>
    <x v="2"/>
    <m/>
    <m/>
    <n v="92000"/>
    <n v="38408385.99927"/>
    <x v="1"/>
    <m/>
    <x v="0"/>
    <m/>
    <m/>
    <m/>
    <m/>
    <m/>
  </r>
  <r>
    <d v="2021-04-21T00:00:00"/>
    <s v="Bonus mois de mars/ P29"/>
    <x v="1"/>
    <s v="Investigation"/>
    <m/>
    <n v="20000"/>
    <n v="38388385.99927"/>
    <x v="1"/>
    <s v="Décharge"/>
    <x v="2"/>
    <s v="PALF"/>
    <s v="CONGO"/>
    <m/>
    <m/>
    <m/>
  </r>
  <r>
    <d v="2021-04-21T00:00:00"/>
    <s v="Evariste"/>
    <x v="2"/>
    <m/>
    <m/>
    <n v="10000"/>
    <n v="38378385.99927"/>
    <x v="1"/>
    <m/>
    <x v="0"/>
    <m/>
    <m/>
    <m/>
    <m/>
    <m/>
  </r>
  <r>
    <d v="2021-04-21T00:00:00"/>
    <s v="Crépin"/>
    <x v="2"/>
    <m/>
    <m/>
    <n v="10000"/>
    <n v="38368385.99927"/>
    <x v="1"/>
    <m/>
    <x v="0"/>
    <m/>
    <m/>
    <m/>
    <m/>
    <m/>
  </r>
  <r>
    <d v="2021-04-21T00:00:00"/>
    <s v="Achat Billet Brazzaville-Loudima/Christian"/>
    <x v="4"/>
    <s v="Legal"/>
    <m/>
    <n v="10000"/>
    <n v="38358385.99927"/>
    <x v="2"/>
    <s v="Oui"/>
    <x v="3"/>
    <s v="RALFF"/>
    <s v="CONGO"/>
    <s v="RALFF-CO2135"/>
    <s v="2.2"/>
    <m/>
  </r>
  <r>
    <d v="2021-04-21T00:00:00"/>
    <s v="Reçu caisse/Crépin"/>
    <x v="2"/>
    <m/>
    <n v="10000"/>
    <m/>
    <n v="38368385.99927"/>
    <x v="9"/>
    <m/>
    <x v="0"/>
    <m/>
    <m/>
    <m/>
    <m/>
    <m/>
  </r>
  <r>
    <d v="2021-04-21T00:00:00"/>
    <s v="Reçu caisse/Crépin"/>
    <x v="2"/>
    <m/>
    <n v="92000"/>
    <m/>
    <n v="38460385.99927"/>
    <x v="9"/>
    <m/>
    <x v="0"/>
    <m/>
    <m/>
    <m/>
    <m/>
    <m/>
  </r>
  <r>
    <d v="2021-04-21T00:00:00"/>
    <s v="Reçu caisse/Crépin"/>
    <x v="2"/>
    <m/>
    <n v="30000"/>
    <m/>
    <n v="38490385.99927"/>
    <x v="9"/>
    <m/>
    <x v="0"/>
    <m/>
    <m/>
    <m/>
    <m/>
    <m/>
  </r>
  <r>
    <d v="2021-04-21T00:00:00"/>
    <s v="Achat Billet Brazzaville-Pointe-Noire/Crépin"/>
    <x v="4"/>
    <s v="Management"/>
    <m/>
    <n v="15000"/>
    <n v="38475385.99927"/>
    <x v="9"/>
    <s v="Oui"/>
    <x v="3"/>
    <s v="RALFF"/>
    <s v="CONGO"/>
    <s v="RALFF-CO2136"/>
    <s v="2.2"/>
    <m/>
  </r>
  <r>
    <d v="2021-04-21T00:00:00"/>
    <s v="Reçu Caise/Evariste"/>
    <x v="2"/>
    <m/>
    <n v="10000"/>
    <m/>
    <n v="38485385.99927"/>
    <x v="7"/>
    <m/>
    <x v="0"/>
    <m/>
    <m/>
    <m/>
    <m/>
    <m/>
  </r>
  <r>
    <d v="2021-04-21T00:00:00"/>
    <s v="Frais Achat produits pharmaceutique-détenu Bonheur/JB"/>
    <x v="3"/>
    <s v="Legal"/>
    <m/>
    <n v="18250"/>
    <n v="38467135.99927"/>
    <x v="4"/>
    <s v="Oui"/>
    <x v="2"/>
    <s v="PALF"/>
    <s v="CONGO"/>
    <m/>
    <m/>
    <m/>
  </r>
  <r>
    <d v="2021-04-21T00:00:00"/>
    <s v="Achat 3 boites de médicaments-détenu Bonheur/JB"/>
    <x v="3"/>
    <s v="Legal"/>
    <m/>
    <n v="8400"/>
    <n v="38458735.99927"/>
    <x v="4"/>
    <s v="Oui"/>
    <x v="2"/>
    <s v="PALF"/>
    <s v="CONGO"/>
    <m/>
    <m/>
    <m/>
  </r>
  <r>
    <d v="2021-04-21T00:00:00"/>
    <s v="Achat 2 boites malavon inj de médicaments-détenu Bonheur/JB"/>
    <x v="3"/>
    <s v="Legal"/>
    <m/>
    <n v="5600"/>
    <n v="38453135.99927"/>
    <x v="4"/>
    <s v="Oui"/>
    <x v="2"/>
    <s v="PALF"/>
    <s v="CONGO"/>
    <m/>
    <m/>
    <m/>
  </r>
  <r>
    <d v="2021-04-21T00:00:00"/>
    <s v="Remboursement frais médicaux engagés par la MA d'Oyo/JB"/>
    <x v="3"/>
    <s v="Legal"/>
    <m/>
    <n v="28450"/>
    <n v="38424685.99927"/>
    <x v="4"/>
    <s v="Oui"/>
    <x v="2"/>
    <s v="PALF"/>
    <s v="CONGO"/>
    <m/>
    <m/>
    <m/>
  </r>
  <r>
    <d v="2021-04-22T00:00:00"/>
    <s v="JB"/>
    <x v="2"/>
    <m/>
    <m/>
    <n v="310000"/>
    <n v="38114685.99927"/>
    <x v="1"/>
    <m/>
    <x v="0"/>
    <m/>
    <m/>
    <m/>
    <m/>
    <m/>
  </r>
  <r>
    <d v="2021-04-22T00:00:00"/>
    <s v="Frais de transfert charden farell/JB"/>
    <x v="10"/>
    <s v="Office"/>
    <m/>
    <n v="9300"/>
    <n v="38105385.99927"/>
    <x v="1"/>
    <s v="Oui"/>
    <x v="3"/>
    <s v="RALFF"/>
    <s v="CONGO"/>
    <s v="RALFF-CO2137"/>
    <s v="5.6"/>
    <m/>
  </r>
  <r>
    <d v="2021-04-22T00:00:00"/>
    <s v="Bonus mois de mars/ Geisner"/>
    <x v="1"/>
    <s v="Legal"/>
    <m/>
    <n v="20000"/>
    <n v="38085385.99927"/>
    <x v="1"/>
    <s v="Décharge"/>
    <x v="2"/>
    <s v="PALF"/>
    <s v="CONGO"/>
    <m/>
    <m/>
    <m/>
  </r>
  <r>
    <d v="2021-04-22T00:00:00"/>
    <s v="Achat 2 cartouches HP 63/Imprimante HP 2130"/>
    <x v="8"/>
    <s v="Office"/>
    <m/>
    <n v="26000"/>
    <n v="38059385.99927"/>
    <x v="1"/>
    <s v="Oui"/>
    <x v="3"/>
    <s v="RALFF"/>
    <s v="CONGO"/>
    <s v="RALFF-CO2138"/>
    <s v="4.3"/>
    <m/>
  </r>
  <r>
    <d v="2021-04-22T00:00:00"/>
    <s v="Frais de transport  Loudima-Sibiti/Christian"/>
    <x v="4"/>
    <s v="Legal"/>
    <m/>
    <n v="4000"/>
    <n v="38055385.99927"/>
    <x v="2"/>
    <s v="Oui"/>
    <x v="3"/>
    <s v="RALFF"/>
    <s v="CONGO"/>
    <s v="RALFF-CO2139"/>
    <s v="2.2"/>
    <m/>
  </r>
  <r>
    <d v="2021-04-22T00:00:00"/>
    <s v="CHRISTIAN MININGOU - CONGO - Ration pour Mission de 2 nuitées  à sibiti du 22 au 24/04/21"/>
    <x v="7"/>
    <s v="Legal"/>
    <m/>
    <n v="20000"/>
    <n v="38035385.99927"/>
    <x v="2"/>
    <s v="Decharge"/>
    <x v="3"/>
    <s v="RALFF"/>
    <s v="CONGO"/>
    <s v="RALFF-CO2140"/>
    <s v="1.3.2"/>
    <m/>
  </r>
  <r>
    <d v="2021-04-22T00:00:00"/>
    <s v="CREPIN IBOUILI - CONGO - Ration pour Mission de 2 nuitées  à P/N du 22 au 24/04/21"/>
    <x v="7"/>
    <s v="Management"/>
    <m/>
    <n v="20000"/>
    <n v="38015385.99927"/>
    <x v="9"/>
    <s v="Décharge"/>
    <x v="3"/>
    <s v="RALFF"/>
    <s v="CONGO"/>
    <s v="RALFF-CO2141"/>
    <s v="1.3.2"/>
    <m/>
  </r>
  <r>
    <d v="2021-04-22T00:00:00"/>
    <s v="Cumul frais transport local mois d'avril/Geisner"/>
    <x v="4"/>
    <s v="Legal"/>
    <m/>
    <n v="8500"/>
    <n v="38006885.99927"/>
    <x v="12"/>
    <s v="Décharge"/>
    <x v="3"/>
    <s v="RALFF"/>
    <s v="CONGO"/>
    <s v="RALFF-CO2142"/>
    <s v="2.2"/>
    <m/>
  </r>
  <r>
    <d v="2021-04-22T00:00:00"/>
    <s v="Frais surveillance détenu Bonheur hospitalisé par les agents SOMAC du 19 au 22/04/21/JB"/>
    <x v="3"/>
    <s v="Legal"/>
    <m/>
    <n v="15000"/>
    <n v="37991885.99927"/>
    <x v="4"/>
    <s v="Décharge"/>
    <x v="2"/>
    <s v="PALF"/>
    <s v="CONGO"/>
    <m/>
    <m/>
    <m/>
  </r>
  <r>
    <d v="2021-04-22T00:00:00"/>
    <s v="Frais Achat produits pharmaceutique-détenu Bonheur/JB"/>
    <x v="3"/>
    <s v="Legal"/>
    <m/>
    <n v="25850"/>
    <n v="37966035.99927"/>
    <x v="4"/>
    <s v="Oui"/>
    <x v="2"/>
    <s v="PALF"/>
    <s v="CONGO"/>
    <m/>
    <m/>
    <m/>
  </r>
  <r>
    <d v="2021-04-22T00:00:00"/>
    <s v="Reçu caisse/JB"/>
    <x v="2"/>
    <m/>
    <n v="310000"/>
    <m/>
    <n v="38276035.99927"/>
    <x v="4"/>
    <m/>
    <x v="0"/>
    <m/>
    <m/>
    <m/>
    <m/>
    <m/>
  </r>
  <r>
    <d v="2021-04-22T00:00:00"/>
    <s v="Achat 1 médicament sous prescription médicale"/>
    <x v="3"/>
    <s v="Legal"/>
    <m/>
    <n v="2800"/>
    <n v="38273235.99927"/>
    <x v="4"/>
    <s v="Oui"/>
    <x v="2"/>
    <s v="PALF"/>
    <s v="CONGO"/>
    <m/>
    <m/>
    <m/>
  </r>
  <r>
    <d v="2021-04-23T00:00:00"/>
    <s v="Bonus média portant sur l'audience/Evariste"/>
    <x v="1"/>
    <s v="Media"/>
    <m/>
    <n v="33000"/>
    <n v="38240235.99927"/>
    <x v="1"/>
    <s v="Décharge"/>
    <x v="2"/>
    <s v="PALF"/>
    <s v="CONGO"/>
    <m/>
    <m/>
    <m/>
  </r>
  <r>
    <d v="2021-04-23T00:00:00"/>
    <s v="Ted"/>
    <x v="2"/>
    <m/>
    <m/>
    <n v="10000"/>
    <n v="38230235.99927"/>
    <x v="1"/>
    <m/>
    <x v="0"/>
    <m/>
    <m/>
    <m/>
    <m/>
    <m/>
  </r>
  <r>
    <d v="2021-04-23T00:00:00"/>
    <s v="Achat Billet Pointe Noire-Brazzaville/Crépin"/>
    <x v="4"/>
    <s v="Management"/>
    <m/>
    <n v="15000"/>
    <n v="38215235.99927"/>
    <x v="9"/>
    <s v="Oui"/>
    <x v="3"/>
    <s v="RALFF"/>
    <s v="CONGO"/>
    <s v="RALFF-CO2143"/>
    <s v="2.2"/>
    <m/>
  </r>
  <r>
    <d v="2021-04-23T00:00:00"/>
    <s v="CREPIN IBOUILI - CONGO - Hôtel Mission  à Pointe-Noire du 22 au 24/04/2021/"/>
    <x v="7"/>
    <s v="Management"/>
    <m/>
    <n v="20000"/>
    <n v="38195235.99927"/>
    <x v="9"/>
    <s v="Décharge"/>
    <x v="3"/>
    <s v="RALFF"/>
    <s v="CONGO"/>
    <s v="RALFF-CO2144"/>
    <s v="1.3.2"/>
    <m/>
  </r>
  <r>
    <d v="2021-04-23T00:00:00"/>
    <s v="Reçu caisse/Ted"/>
    <x v="2"/>
    <m/>
    <n v="10000"/>
    <m/>
    <n v="38205235.99927"/>
    <x v="13"/>
    <m/>
    <x v="0"/>
    <m/>
    <m/>
    <m/>
    <m/>
    <m/>
  </r>
  <r>
    <d v="2021-04-23T00:00:00"/>
    <s v="Frais Achat produits pharmaceutique-détenu Bonheur/JB"/>
    <x v="3"/>
    <s v="Legal"/>
    <m/>
    <n v="22700"/>
    <n v="38182535.99927"/>
    <x v="4"/>
    <s v="Oui"/>
    <x v="2"/>
    <s v="PALF"/>
    <s v="CONGO"/>
    <m/>
    <m/>
    <m/>
  </r>
  <r>
    <d v="2021-04-24T00:00:00"/>
    <s v="CHRISTIAN MININGOU - CONGO- Hôtel Mission à Sibiti du 22 au 24/04/21"/>
    <x v="7"/>
    <s v="Legal"/>
    <m/>
    <n v="30000"/>
    <n v="38152535.99927"/>
    <x v="2"/>
    <s v="Oui"/>
    <x v="3"/>
    <s v="RALFF"/>
    <s v="CONGO"/>
    <s v="RALFF-CO2145"/>
    <s v="1.3.2"/>
    <m/>
  </r>
  <r>
    <d v="2021-04-24T00:00:00"/>
    <s v="Frais de transport Sibiti-Nkayi/Christian"/>
    <x v="4"/>
    <s v="Legal"/>
    <m/>
    <n v="6000"/>
    <n v="38146535.99927"/>
    <x v="2"/>
    <s v="Oui"/>
    <x v="3"/>
    <s v="RALFF"/>
    <s v="CONGO"/>
    <s v="RALFF-CO2146"/>
    <s v="2.2"/>
    <m/>
  </r>
  <r>
    <d v="2021-04-24T00:00:00"/>
    <s v="Achat billet Nkayi-Brazzaville/Christian"/>
    <x v="4"/>
    <s v="Legal"/>
    <m/>
    <n v="8000"/>
    <n v="38138535.99927"/>
    <x v="2"/>
    <s v="Oui"/>
    <x v="3"/>
    <s v="RALFF"/>
    <s v="CONGO"/>
    <s v="RALFF-CO2147"/>
    <s v="2.2"/>
    <m/>
  </r>
  <r>
    <d v="2021-04-24T00:00:00"/>
    <s v="Cumul frais transport local mois d'avril/Crépin"/>
    <x v="4"/>
    <s v="Management"/>
    <m/>
    <n v="65200"/>
    <n v="38073335.99927"/>
    <x v="9"/>
    <s v="Décharge"/>
    <x v="3"/>
    <s v="RALFF"/>
    <s v="CONGO"/>
    <s v="RALFF-CO2148"/>
    <s v="2.2"/>
    <m/>
  </r>
  <r>
    <d v="2021-04-24T00:00:00"/>
    <s v="Frais Achat produits pharmaceutique-détenu Bonheur/JB"/>
    <x v="3"/>
    <s v="Legal"/>
    <m/>
    <n v="24550"/>
    <n v="38048785.99927"/>
    <x v="4"/>
    <s v="Oui"/>
    <x v="2"/>
    <s v="PALF"/>
    <s v="CONGO"/>
    <m/>
    <m/>
    <m/>
  </r>
  <r>
    <d v="2021-04-26T00:00:00"/>
    <s v="Retrait especes/appro caisse/bord n°3654441"/>
    <x v="2"/>
    <m/>
    <m/>
    <n v="1000000"/>
    <n v="37048785.99927"/>
    <x v="5"/>
    <n v="3654441"/>
    <x v="0"/>
    <m/>
    <m/>
    <m/>
    <m/>
    <m/>
  </r>
  <r>
    <d v="2021-04-26T00:00:00"/>
    <s v="Solde  honoraires contrat n°30/Madingou/maitre Séverin "/>
    <x v="11"/>
    <s v="Legal"/>
    <m/>
    <n v="300000"/>
    <n v="36748785.99927"/>
    <x v="11"/>
    <n v="3643456"/>
    <x v="3"/>
    <s v="RALFF"/>
    <s v="CONGO"/>
    <s v="RALFF-CO2149"/>
    <s v="5.2.2"/>
    <m/>
  </r>
  <r>
    <d v="2021-04-26T00:00:00"/>
    <s v="Reglement fact Agence pluriel solutions/ loyer PALF AVRIL 2021"/>
    <x v="13"/>
    <s v="Office"/>
    <m/>
    <n v="500000"/>
    <n v="36248785.99927"/>
    <x v="11"/>
    <s v="Virement"/>
    <x v="3"/>
    <s v="RALFF"/>
    <s v="CONGO"/>
    <s v="RALFF-CO2150"/>
    <s v="4.2"/>
    <m/>
  </r>
  <r>
    <d v="2021-04-26T00:00:00"/>
    <s v="Appro caisse/Achat carte de recharge AIRTEL mois de MaI 2021/Staff PALF"/>
    <x v="2"/>
    <m/>
    <m/>
    <n v="174000"/>
    <n v="36074785.99927"/>
    <x v="11"/>
    <n v="3643454"/>
    <x v="0"/>
    <m/>
    <m/>
    <m/>
    <m/>
    <m/>
  </r>
  <r>
    <d v="2021-04-26T00:00:00"/>
    <s v="Appro caisse/Achat carte de recharge MTN mois de Mai 2021/Staff PALF"/>
    <x v="2"/>
    <m/>
    <m/>
    <n v="167000"/>
    <n v="35907785.99927"/>
    <x v="11"/>
    <n v="3643455"/>
    <x v="0"/>
    <m/>
    <m/>
    <m/>
    <m/>
    <m/>
  </r>
  <r>
    <d v="2021-04-26T00:00:00"/>
    <s v="Paiement salaire du mois d'AVRIL 2021/ MALONGA MERSY/chq n°3643446"/>
    <x v="16"/>
    <s v="Legal"/>
    <m/>
    <n v="308000"/>
    <n v="35599785.99927"/>
    <x v="11"/>
    <n v="3643446"/>
    <x v="3"/>
    <s v="RALFF"/>
    <s v="CONGO"/>
    <s v="RALFF-CO2151"/>
    <s v="1.1.1.7"/>
    <m/>
  </r>
  <r>
    <d v="2021-04-26T00:00:00"/>
    <s v="Reglement salaire du mois d'AVRIL 2021/ KOUENITOUKA TED/chq n°3643447"/>
    <x v="16"/>
    <s v="Management"/>
    <m/>
    <n v="400000"/>
    <n v="35199785.99927"/>
    <x v="11"/>
    <n v="3643447"/>
    <x v="3"/>
    <s v="RALFF"/>
    <s v="CONGO"/>
    <s v="RALFF-CO2152"/>
    <s v="1.1.2.1"/>
    <m/>
  </r>
  <r>
    <d v="2021-04-26T00:00:00"/>
    <s v="Reglement facture honoraire du mois d'Avril 2021/I23C/chq n°3643453"/>
    <x v="16"/>
    <s v="Investigation"/>
    <m/>
    <n v="400000"/>
    <n v="34799785.99927"/>
    <x v="11"/>
    <n v="3643453"/>
    <x v="3"/>
    <s v="RALFF"/>
    <s v="CONGO"/>
    <s v="RALFF-CO2153"/>
    <s v="1.1.1.9"/>
    <m/>
  </r>
  <r>
    <d v="2021-04-26T00:00:00"/>
    <s v="Paiement salaire du mois de D'Avril 2021/IBOUILI CREPIN/chq n°3643452"/>
    <x v="16"/>
    <s v="Legal"/>
    <m/>
    <n v="356500"/>
    <n v="34443285.99927"/>
    <x v="11"/>
    <n v="3643452"/>
    <x v="3"/>
    <s v="RALFF"/>
    <s v="CONGO"/>
    <s v="RALFF-CO2154"/>
    <s v="1.1.1.7"/>
    <m/>
  </r>
  <r>
    <d v="2021-04-26T00:00:00"/>
    <s v="Paiement salaire du mois de D'Avril 2021/P29/chq n°3643443"/>
    <x v="16"/>
    <s v="Investigation"/>
    <m/>
    <n v="191000"/>
    <n v="34252285.99927"/>
    <x v="11"/>
    <n v="3643443"/>
    <x v="3"/>
    <s v="RALFF"/>
    <s v="CONGO"/>
    <s v="RALFF-CO2155"/>
    <s v="1.1.1.9"/>
    <m/>
  </r>
  <r>
    <d v="2021-04-26T00:00:00"/>
    <s v="Paiement salaire du mois d'Avril 2021/Tiffany GOBERT/chq n°3643463"/>
    <x v="16"/>
    <s v="Management"/>
    <m/>
    <n v="813263"/>
    <n v="33439022.99927"/>
    <x v="11"/>
    <n v="3643449"/>
    <x v="3"/>
    <s v="RALFF"/>
    <s v="CONGO"/>
    <s v="RALFF-CO2156"/>
    <s v="1.1.1.1"/>
    <m/>
  </r>
  <r>
    <d v="2021-04-26T00:00:00"/>
    <s v="Paiement salaire du mois d'Avril 2021/MAHANGA Merveille/chq n°3643452"/>
    <x v="16"/>
    <s v="Management"/>
    <m/>
    <n v="275000"/>
    <n v="33164022.99927"/>
    <x v="11"/>
    <n v="3643452"/>
    <x v="3"/>
    <s v="RALFF"/>
    <s v="CONGO"/>
    <s v="RALFF-CO2157"/>
    <s v="1.1.2.1"/>
    <m/>
  </r>
  <r>
    <d v="2021-04-26T00:00:00"/>
    <s v="Paiement salaire du mois d'Avril  2021/MININGOU Christian/chq n°3643445"/>
    <x v="16"/>
    <s v="Legal"/>
    <m/>
    <n v="193600"/>
    <n v="32970422.99927"/>
    <x v="11"/>
    <n v="3643445"/>
    <x v="3"/>
    <s v="RALFF"/>
    <s v="CONGO"/>
    <s v="RALFF-CO2158"/>
    <s v="1.1.1.7"/>
    <m/>
  </r>
  <r>
    <d v="2021-04-26T00:00:00"/>
    <s v="Paiement salaire du mois d'Avril 2021/MATOKO Geisner/chq n°3643444"/>
    <x v="16"/>
    <s v="Legal"/>
    <m/>
    <n v="193600"/>
    <n v="32776822.99927"/>
    <x v="11"/>
    <n v="3643444"/>
    <x v="3"/>
    <s v="RALFF"/>
    <s v="CONGO"/>
    <s v="RALFF-CO2159"/>
    <s v="1.1.1.7"/>
    <m/>
  </r>
  <r>
    <d v="2021-04-26T00:00:00"/>
    <s v="Virement salaire mois Avril 2021/ TCHICAYA Hérick"/>
    <x v="16"/>
    <s v="Legal"/>
    <m/>
    <n v="326000"/>
    <n v="32450822.99927"/>
    <x v="11"/>
    <s v="Virement"/>
    <x v="3"/>
    <s v="RALFF"/>
    <s v="CONGO"/>
    <s v="RALFF-CO2160"/>
    <s v="1.1.1.7"/>
    <m/>
  </r>
  <r>
    <d v="2021-04-26T00:00:00"/>
    <s v="Virement salaire mois d'Avril  2021/ LELOUSSI Evariste"/>
    <x v="16"/>
    <s v="Media"/>
    <m/>
    <n v="230000"/>
    <n v="32220822.99927"/>
    <x v="11"/>
    <s v="Virement"/>
    <x v="3"/>
    <s v="RALFF"/>
    <s v="CONGO"/>
    <s v="RALFF-CO2161"/>
    <s v="1.1.1.4"/>
    <m/>
  </r>
  <r>
    <d v="2021-04-26T00:00:00"/>
    <s v="Evariste"/>
    <x v="2"/>
    <m/>
    <m/>
    <n v="10000"/>
    <n v="32210822.99927"/>
    <x v="1"/>
    <m/>
    <x v="0"/>
    <m/>
    <m/>
    <m/>
    <m/>
    <m/>
  </r>
  <r>
    <d v="2021-04-26T00:00:00"/>
    <s v="Reglement prestation Technicienne de Surface mois d'Avril 2021/MFIELO"/>
    <x v="5"/>
    <s v="Office"/>
    <m/>
    <n v="110000"/>
    <n v="32100822.99927"/>
    <x v="1"/>
    <s v="Oui"/>
    <x v="2"/>
    <s v="PALF"/>
    <s v="CONGO"/>
    <m/>
    <m/>
    <m/>
  </r>
  <r>
    <d v="2021-04-26T00:00:00"/>
    <s v="JB"/>
    <x v="2"/>
    <m/>
    <m/>
    <n v="35000"/>
    <n v="32065822.99927"/>
    <x v="1"/>
    <m/>
    <x v="0"/>
    <m/>
    <m/>
    <m/>
    <m/>
    <m/>
  </r>
  <r>
    <d v="2021-04-26T00:00:00"/>
    <s v="Frais de transfert charden farell/JB"/>
    <x v="10"/>
    <s v="Office"/>
    <m/>
    <n v="1050"/>
    <n v="32064772.99927"/>
    <x v="1"/>
    <s v="Oui"/>
    <x v="3"/>
    <s v="RALFF"/>
    <s v="CONGO"/>
    <s v="RALFF-CO2162"/>
    <s v="5.6"/>
    <m/>
  </r>
  <r>
    <d v="2021-04-26T00:00:00"/>
    <s v="P29"/>
    <x v="2"/>
    <m/>
    <m/>
    <n v="70000"/>
    <n v="31994772.99927"/>
    <x v="1"/>
    <m/>
    <x v="0"/>
    <m/>
    <m/>
    <m/>
    <m/>
    <m/>
  </r>
  <r>
    <d v="2021-04-26T00:00:00"/>
    <s v="I23C"/>
    <x v="2"/>
    <m/>
    <m/>
    <n v="70000"/>
    <n v="31924772.99927"/>
    <x v="1"/>
    <m/>
    <x v="0"/>
    <m/>
    <m/>
    <m/>
    <m/>
    <m/>
  </r>
  <r>
    <d v="2021-04-26T00:00:00"/>
    <s v="BCI"/>
    <x v="2"/>
    <m/>
    <n v="1000000"/>
    <m/>
    <n v="32924772.99927"/>
    <x v="1"/>
    <m/>
    <x v="0"/>
    <m/>
    <m/>
    <m/>
    <m/>
    <m/>
  </r>
  <r>
    <d v="2021-04-26T00:00:00"/>
    <s v="Merveille"/>
    <x v="2"/>
    <m/>
    <m/>
    <n v="10000"/>
    <n v="32914772.99927"/>
    <x v="1"/>
    <m/>
    <x v="0"/>
    <m/>
    <m/>
    <m/>
    <m/>
    <m/>
  </r>
  <r>
    <d v="2021-04-26T00:00:00"/>
    <s v="I23C"/>
    <x v="2"/>
    <m/>
    <m/>
    <n v="20000"/>
    <n v="32894772.99927"/>
    <x v="1"/>
    <m/>
    <x v="0"/>
    <m/>
    <m/>
    <m/>
    <m/>
    <m/>
  </r>
  <r>
    <d v="2021-04-26T00:00:00"/>
    <s v="BCI"/>
    <x v="2"/>
    <m/>
    <n v="174000"/>
    <m/>
    <n v="33068772.99927"/>
    <x v="1"/>
    <m/>
    <x v="0"/>
    <m/>
    <m/>
    <m/>
    <m/>
    <m/>
  </r>
  <r>
    <d v="2021-04-26T00:00:00"/>
    <s v="BCI"/>
    <x v="2"/>
    <m/>
    <n v="167000"/>
    <m/>
    <n v="33235772.99927"/>
    <x v="1"/>
    <m/>
    <x v="0"/>
    <m/>
    <m/>
    <m/>
    <m/>
    <m/>
  </r>
  <r>
    <d v="2021-04-26T00:00:00"/>
    <s v="Ted"/>
    <x v="2"/>
    <m/>
    <n v="20000"/>
    <m/>
    <n v="33255772.99927"/>
    <x v="1"/>
    <m/>
    <x v="0"/>
    <m/>
    <m/>
    <m/>
    <m/>
    <m/>
  </r>
  <r>
    <d v="2021-04-26T00:00:00"/>
    <s v="Reçu Caise/Evariste"/>
    <x v="2"/>
    <m/>
    <n v="10000"/>
    <m/>
    <n v="33265772.99927"/>
    <x v="7"/>
    <m/>
    <x v="0"/>
    <m/>
    <m/>
    <m/>
    <m/>
    <m/>
  </r>
  <r>
    <d v="2021-04-26T00:00:00"/>
    <s v="Reçu caisse/I23C"/>
    <x v="2"/>
    <m/>
    <n v="20000"/>
    <m/>
    <n v="33285772.99927"/>
    <x v="6"/>
    <m/>
    <x v="0"/>
    <m/>
    <m/>
    <m/>
    <m/>
    <m/>
  </r>
  <r>
    <d v="2021-04-26T00:00:00"/>
    <s v="Reçu caisse/I23C"/>
    <x v="2"/>
    <m/>
    <n v="70000"/>
    <m/>
    <n v="33355772.99927"/>
    <x v="6"/>
    <m/>
    <x v="0"/>
    <m/>
    <m/>
    <m/>
    <m/>
    <m/>
  </r>
  <r>
    <d v="2021-04-26T00:00:00"/>
    <s v="Reçu caisse/Merveille"/>
    <x v="2"/>
    <m/>
    <n v="10000"/>
    <m/>
    <n v="33365772.99927"/>
    <x v="10"/>
    <m/>
    <x v="0"/>
    <m/>
    <m/>
    <m/>
    <m/>
    <m/>
  </r>
  <r>
    <d v="2021-04-26T00:00:00"/>
    <s v="Recu caisse/P29"/>
    <x v="2"/>
    <m/>
    <n v="70000"/>
    <m/>
    <n v="33435772.99927"/>
    <x v="3"/>
    <m/>
    <x v="0"/>
    <m/>
    <m/>
    <m/>
    <m/>
    <m/>
  </r>
  <r>
    <d v="2021-04-26T00:00:00"/>
    <s v="Versement Caisse /Ted"/>
    <x v="2"/>
    <m/>
    <m/>
    <n v="20000"/>
    <n v="33415772.99927"/>
    <x v="13"/>
    <m/>
    <x v="0"/>
    <m/>
    <m/>
    <m/>
    <m/>
    <m/>
  </r>
  <r>
    <d v="2021-04-26T00:00:00"/>
    <s v="Frais Achat produits pharmaceutique-Examens-détenu Bonheur/JB"/>
    <x v="3"/>
    <s v="Legal"/>
    <m/>
    <n v="25375"/>
    <n v="33390397.99927"/>
    <x v="4"/>
    <s v="Oui"/>
    <x v="2"/>
    <s v="PALF"/>
    <s v="CONGO"/>
    <m/>
    <m/>
    <m/>
  </r>
  <r>
    <d v="2021-04-26T00:00:00"/>
    <s v="Frais Achat produits pharmaceutique-détenu Bonheur/JB"/>
    <x v="3"/>
    <s v="Legal"/>
    <m/>
    <n v="11450"/>
    <n v="33378947.99927"/>
    <x v="4"/>
    <s v="Oui"/>
    <x v="2"/>
    <s v="PALF"/>
    <s v="CONGO"/>
    <m/>
    <m/>
    <m/>
  </r>
  <r>
    <d v="2021-04-26T00:00:00"/>
    <s v="Frais hospitalisation du 19 au 26 avril 2021 à HGELBO/JB"/>
    <x v="3"/>
    <s v="Legal"/>
    <m/>
    <n v="35000"/>
    <n v="33343947.99927"/>
    <x v="4"/>
    <s v="Oui"/>
    <x v="2"/>
    <s v="PALF"/>
    <s v="CONGO"/>
    <m/>
    <m/>
    <m/>
  </r>
  <r>
    <d v="2021-04-26T00:00:00"/>
    <s v="Frais surveillance détenu hospitalisé par les agents SOMAC du 22 au 26/04/21 escorte pour sa reintégration en cellule au CC"/>
    <x v="3"/>
    <s v="Legal"/>
    <m/>
    <n v="25000"/>
    <n v="33318947.99927"/>
    <x v="4"/>
    <s v="Décharge"/>
    <x v="2"/>
    <s v="PALF"/>
    <s v="CONGO"/>
    <m/>
    <m/>
    <m/>
  </r>
  <r>
    <d v="2021-04-26T00:00:00"/>
    <s v="JB MALONGA - CONGO -  Hôtel Mission à Oyo du 16 au 27 avril 21"/>
    <x v="7"/>
    <s v="Legal"/>
    <m/>
    <n v="165000"/>
    <n v="33153947.99927"/>
    <x v="4"/>
    <s v="Oui"/>
    <x v="3"/>
    <s v="RALFF"/>
    <s v="CONGO"/>
    <s v="RALFF-CO2163"/>
    <s v="1.3.2"/>
    <m/>
  </r>
  <r>
    <d v="2021-04-27T00:00:00"/>
    <s v="Achat billet BZ-PN/I23C"/>
    <x v="4"/>
    <s v="Investigation"/>
    <m/>
    <n v="15000"/>
    <n v="33138947.99927"/>
    <x v="6"/>
    <s v="Oui"/>
    <x v="3"/>
    <s v="RALFF"/>
    <s v="CONGO"/>
    <s v="RALFF-CO2164"/>
    <s v="2.2"/>
    <m/>
  </r>
  <r>
    <d v="2021-04-27T00:00:00"/>
    <s v="I23C - CONGO - Ration pour Mission de 6 nuitées à   PN-Nzassi-Nkayi du 27 Avril au 03 Mai"/>
    <x v="7"/>
    <s v="Investigation"/>
    <m/>
    <n v="60000"/>
    <n v="33078947.99927"/>
    <x v="6"/>
    <s v="Décharge"/>
    <x v="3"/>
    <s v="RALFF"/>
    <s v="CONGO"/>
    <s v="RALFF-CO2165"/>
    <s v="1.3.2"/>
    <m/>
  </r>
  <r>
    <d v="2021-04-27T00:00:00"/>
    <s v="P29 - CONGO - Ration pour  Mission de 6 nuitées à Mouyondzi-Dolisie-Madingou du 27/04 au 03/05/"/>
    <x v="7"/>
    <s v="Investigation"/>
    <m/>
    <n v="60000"/>
    <n v="33018947.99927"/>
    <x v="3"/>
    <s v="Decharge"/>
    <x v="3"/>
    <s v="RALFF"/>
    <s v="CONGO"/>
    <s v="RALFF-CO2166"/>
    <s v="1.3.2"/>
    <m/>
  </r>
  <r>
    <d v="2021-04-27T00:00:00"/>
    <s v="Frais de transport BZ-Mouyondzi/P29"/>
    <x v="4"/>
    <s v="Investigation"/>
    <m/>
    <n v="12000"/>
    <n v="33006947.99927"/>
    <x v="3"/>
    <s v="Oui"/>
    <x v="2"/>
    <s v="PALF"/>
    <s v="CONGO"/>
    <m/>
    <m/>
    <m/>
  </r>
  <r>
    <d v="2021-04-27T00:00:00"/>
    <s v="Reçu caisse/JB"/>
    <x v="2"/>
    <m/>
    <n v="35000"/>
    <m/>
    <n v="33041947.99927"/>
    <x v="4"/>
    <m/>
    <x v="0"/>
    <m/>
    <m/>
    <m/>
    <m/>
    <m/>
  </r>
  <r>
    <d v="2021-04-27T00:00:00"/>
    <s v="Achat Billet Oyo-Brazzaville/JB"/>
    <x v="4"/>
    <s v="Legal"/>
    <m/>
    <n v="10000"/>
    <n v="33031947.99927"/>
    <x v="4"/>
    <s v="Oui"/>
    <x v="3"/>
    <s v="RALFF"/>
    <s v="CONGO"/>
    <s v="RALFF-CO2167"/>
    <s v="2.2"/>
    <m/>
  </r>
  <r>
    <d v="2021-04-27T00:00:00"/>
    <s v="JB MALONGA - CONGO -  Hôtel Mission à Oyo du 27 au 28 avril 2021 /"/>
    <x v="7"/>
    <s v="Legal"/>
    <m/>
    <n v="15000"/>
    <n v="33016947.99927"/>
    <x v="4"/>
    <s v="Oui"/>
    <x v="3"/>
    <s v="RALFF"/>
    <s v="CONGO"/>
    <s v="RALFF-CO2168"/>
    <s v="1.3.2"/>
    <m/>
  </r>
  <r>
    <d v="2021-04-28T00:00:00"/>
    <s v="Frais de consultation avocat/LOCKO Christian"/>
    <x v="11"/>
    <s v="Legal"/>
    <m/>
    <n v="100000"/>
    <n v="32916947.99927"/>
    <x v="5"/>
    <n v="3654443"/>
    <x v="2"/>
    <s v="PALF"/>
    <s v="CONGO"/>
    <m/>
    <m/>
    <m/>
  </r>
  <r>
    <d v="2021-04-28T00:00:00"/>
    <s v="Impression et reliure des documents"/>
    <x v="8"/>
    <s v="Office"/>
    <m/>
    <n v="21000"/>
    <n v="32895947.99927"/>
    <x v="1"/>
    <s v="Oui"/>
    <x v="2"/>
    <s v="PALF"/>
    <s v="CONGO"/>
    <m/>
    <m/>
    <m/>
  </r>
  <r>
    <d v="2021-04-28T00:00:00"/>
    <s v="I23C"/>
    <x v="2"/>
    <m/>
    <m/>
    <n v="148000"/>
    <n v="32747947.99927"/>
    <x v="1"/>
    <m/>
    <x v="0"/>
    <m/>
    <m/>
    <m/>
    <m/>
    <m/>
  </r>
  <r>
    <d v="2021-04-28T00:00:00"/>
    <s v="P29"/>
    <x v="2"/>
    <m/>
    <m/>
    <n v="137000"/>
    <n v="32610947.99927"/>
    <x v="1"/>
    <m/>
    <x v="0"/>
    <m/>
    <m/>
    <m/>
    <m/>
    <m/>
  </r>
  <r>
    <d v="2021-04-28T00:00:00"/>
    <s v="Frais de transfert charden farell/I23C et P29"/>
    <x v="10"/>
    <s v="Office"/>
    <m/>
    <n v="8550"/>
    <n v="32602397.99927"/>
    <x v="1"/>
    <s v="Oui"/>
    <x v="3"/>
    <s v="RALFF"/>
    <s v="CONGO"/>
    <s v="RALFF-CO2169"/>
    <s v="5.6"/>
    <m/>
  </r>
  <r>
    <d v="2021-04-28T00:00:00"/>
    <s v="Christian"/>
    <x v="2"/>
    <m/>
    <m/>
    <n v="84000"/>
    <n v="32518397.99927"/>
    <x v="1"/>
    <m/>
    <x v="0"/>
    <m/>
    <m/>
    <m/>
    <m/>
    <m/>
  </r>
  <r>
    <d v="2021-04-28T00:00:00"/>
    <s v="Tiffany"/>
    <x v="2"/>
    <m/>
    <m/>
    <n v="10000"/>
    <n v="32508397.99927"/>
    <x v="1"/>
    <m/>
    <x v="0"/>
    <m/>
    <m/>
    <m/>
    <m/>
    <m/>
  </r>
  <r>
    <d v="2021-04-28T00:00:00"/>
    <s v="MTN/Achat carte de recharge Mai-Partiel 2021/Staff PALF/Management"/>
    <x v="17"/>
    <s v="Management"/>
    <m/>
    <n v="36000"/>
    <n v="32472397.99927"/>
    <x v="1"/>
    <s v="Oui"/>
    <x v="3"/>
    <s v="RALFF"/>
    <s v="CONGO"/>
    <s v="RALFF-CO2170"/>
    <s v="4.6"/>
    <m/>
  </r>
  <r>
    <d v="2021-04-28T00:00:00"/>
    <s v="MTN/Achat carte de recharge Mai- Partiel 2021/Staff PALF/Légal"/>
    <x v="17"/>
    <s v="Legal"/>
    <m/>
    <n v="31000"/>
    <n v="32441397.99927"/>
    <x v="1"/>
    <s v="Oui"/>
    <x v="3"/>
    <s v="RALFF"/>
    <s v="CONGO"/>
    <s v="RALFF-CO2171"/>
    <s v="4.6"/>
    <m/>
  </r>
  <r>
    <d v="2021-04-28T00:00:00"/>
    <s v="MTN/Achat carte de recharge Mai-Partiel 2021/Staff PALF/Investigation"/>
    <x v="17"/>
    <s v="Investigation"/>
    <m/>
    <n v="25000"/>
    <n v="32416397.99927"/>
    <x v="1"/>
    <s v="Oui"/>
    <x v="3"/>
    <s v="RALFF"/>
    <s v="CONGO"/>
    <s v="RALFF-CO2172"/>
    <s v="4.6"/>
    <m/>
  </r>
  <r>
    <d v="2021-04-28T00:00:00"/>
    <s v="MTN/Achat carte de recharge Mai-Partiel 2021/Staff PALF/Média"/>
    <x v="17"/>
    <s v="Media"/>
    <m/>
    <n v="5000"/>
    <n v="32411397.99927"/>
    <x v="1"/>
    <s v="Oui"/>
    <x v="3"/>
    <s v="RALFF"/>
    <s v="CONGO"/>
    <s v="RALFF-CO2173"/>
    <s v="4.6"/>
    <m/>
  </r>
  <r>
    <d v="2021-04-28T00:00:00"/>
    <s v="Recu caisse/Christian"/>
    <x v="2"/>
    <m/>
    <n v="84000"/>
    <m/>
    <n v="32495397.99927"/>
    <x v="2"/>
    <m/>
    <x v="0"/>
    <m/>
    <m/>
    <m/>
    <m/>
    <m/>
  </r>
  <r>
    <d v="2021-04-28T00:00:00"/>
    <s v="Achat Billet Brazaville-Loudima/Christian"/>
    <x v="4"/>
    <s v="Legal"/>
    <m/>
    <n v="10000"/>
    <n v="32485397.99927"/>
    <x v="2"/>
    <s v="Oui"/>
    <x v="3"/>
    <s v="RALFF"/>
    <s v="CONGO"/>
    <s v="RALFF-CO2174"/>
    <s v="2.2"/>
    <m/>
  </r>
  <r>
    <d v="2021-04-28T00:00:00"/>
    <s v="Reçu caisse/I23C"/>
    <x v="2"/>
    <m/>
    <n v="148000"/>
    <m/>
    <n v="32633397.99927"/>
    <x v="6"/>
    <m/>
    <x v="0"/>
    <m/>
    <m/>
    <m/>
    <m/>
    <m/>
  </r>
  <r>
    <d v="2021-04-28T00:00:00"/>
    <s v="Recu caisse/P29"/>
    <x v="2"/>
    <m/>
    <n v="137000"/>
    <m/>
    <n v="32770397.99927"/>
    <x v="3"/>
    <m/>
    <x v="0"/>
    <m/>
    <m/>
    <m/>
    <m/>
    <m/>
  </r>
  <r>
    <d v="2021-04-28T00:00:00"/>
    <s v="Reçu caisse/Tiffany"/>
    <x v="2"/>
    <m/>
    <n v="10000"/>
    <m/>
    <n v="32780397.99927"/>
    <x v="8"/>
    <m/>
    <x v="0"/>
    <m/>
    <m/>
    <m/>
    <m/>
    <m/>
  </r>
  <r>
    <d v="2021-04-28T00:00:00"/>
    <s v="Cumul frais de transport Local mois d'Avril 2021"/>
    <x v="4"/>
    <s v="Legal"/>
    <m/>
    <n v="148200"/>
    <n v="32632197.99927"/>
    <x v="4"/>
    <s v="Décharge"/>
    <x v="3"/>
    <s v="RALFF"/>
    <s v="CONGO"/>
    <s v="RALFF-CO2175"/>
    <s v="2.2"/>
    <m/>
  </r>
  <r>
    <d v="2021-04-28T00:00:00"/>
    <s v="Cumul Frais de Jail visit mois d'Avril 2021"/>
    <x v="3"/>
    <s v="Legal"/>
    <m/>
    <n v="29000"/>
    <n v="32603197.99927"/>
    <x v="4"/>
    <s v="Décharge"/>
    <x v="2"/>
    <s v="PALF"/>
    <s v="CONGO"/>
    <m/>
    <m/>
    <m/>
  </r>
  <r>
    <d v="2021-04-29T00:00:00"/>
    <s v="Geisner"/>
    <x v="2"/>
    <m/>
    <n v="25000"/>
    <m/>
    <n v="32628197.99927"/>
    <x v="1"/>
    <m/>
    <x v="0"/>
    <m/>
    <m/>
    <m/>
    <m/>
    <m/>
  </r>
  <r>
    <d v="2021-04-29T00:00:00"/>
    <s v="Airtel/Achat carte de recharge Mai- Partiel 2021/Staff PALF/Management"/>
    <x v="17"/>
    <s v="Management"/>
    <m/>
    <n v="43000"/>
    <n v="32585197.99927"/>
    <x v="1"/>
    <s v="Oui"/>
    <x v="3"/>
    <s v="RALFF"/>
    <s v="CONGO"/>
    <s v="RALFF-CO2176"/>
    <s v="4.6"/>
    <m/>
  </r>
  <r>
    <d v="2021-04-29T00:00:00"/>
    <s v="Airtel/Achat carte de recharge Mai- Partiel 2021/Staff PALF/Légal"/>
    <x v="17"/>
    <s v="Legal"/>
    <m/>
    <n v="53000"/>
    <n v="32532197.99927"/>
    <x v="1"/>
    <s v="Oui"/>
    <x v="3"/>
    <s v="RALFF"/>
    <s v="CONGO"/>
    <s v="RALFF-CO2177"/>
    <s v="4.6"/>
    <m/>
  </r>
  <r>
    <d v="2021-04-29T00:00:00"/>
    <s v="Airtel/Achat carte de recharge Mai- Partiel 2021/Staff PALF/Investigation"/>
    <x v="17"/>
    <s v="Investigation"/>
    <m/>
    <n v="32000"/>
    <n v="32500197.99927"/>
    <x v="1"/>
    <s v="Oui"/>
    <x v="3"/>
    <s v="RALFF"/>
    <s v="CONGO"/>
    <s v="RALFF-CO2178"/>
    <s v="4.6"/>
    <m/>
  </r>
  <r>
    <d v="2021-04-29T00:00:00"/>
    <s v="Airtel/Achat carte de recharge Mai- Partiel 2021/Staff PALF/Média"/>
    <x v="17"/>
    <s v="Media"/>
    <m/>
    <n v="11000"/>
    <n v="32489197.99927"/>
    <x v="1"/>
    <s v="Oui"/>
    <x v="3"/>
    <s v="RALFF"/>
    <s v="CONGO"/>
    <s v="RALFF-CO2179"/>
    <s v="4.6"/>
    <m/>
  </r>
  <r>
    <d v="2021-04-29T00:00:00"/>
    <s v="Reglement Facture Internet/mois de Mai  21/Congo telecom"/>
    <x v="6"/>
    <s v="Office"/>
    <m/>
    <n v="89175"/>
    <n v="32400022.99927"/>
    <x v="1"/>
    <s v="Oui"/>
    <x v="3"/>
    <s v="RALFF"/>
    <s v="CONGO"/>
    <s v="RALFF-CO2180"/>
    <s v="4.5"/>
    <m/>
  </r>
  <r>
    <d v="2021-04-29T00:00:00"/>
    <s v="Frais de transport  Loudima-Sibiti/Christian"/>
    <x v="4"/>
    <s v="Legal"/>
    <m/>
    <n v="4000"/>
    <n v="32396022.99927"/>
    <x v="2"/>
    <s v="Oui"/>
    <x v="3"/>
    <s v="RALFF"/>
    <s v="CONGO"/>
    <s v="RALFF-CO2181"/>
    <s v="2.2"/>
    <m/>
  </r>
  <r>
    <d v="2021-04-29T00:00:00"/>
    <s v="CHRISTIAN MININGOU - CONGO - Ration pour  Mission de 2 nuitées à Sibiti du 29/04 au 01/05/21"/>
    <x v="7"/>
    <s v="Legal"/>
    <m/>
    <n v="20000"/>
    <n v="32376022.99927"/>
    <x v="2"/>
    <s v="Decharge"/>
    <x v="3"/>
    <s v="RALFF"/>
    <s v="CONGO"/>
    <s v="RALFF-CO2182"/>
    <s v="1.3.2"/>
    <m/>
  </r>
  <r>
    <d v="2021-04-29T00:00:00"/>
    <s v="Versement caisse/Geis"/>
    <x v="2"/>
    <m/>
    <m/>
    <n v="25000"/>
    <n v="32351022.99927"/>
    <x v="12"/>
    <m/>
    <x v="0"/>
    <m/>
    <m/>
    <m/>
    <m/>
    <m/>
  </r>
  <r>
    <d v="2021-04-29T00:00:00"/>
    <s v="Frais de transport PN-Nzassi-P/N/I23C"/>
    <x v="4"/>
    <s v="Investigation"/>
    <m/>
    <n v="6000"/>
    <n v="32345022.99927"/>
    <x v="6"/>
    <s v="Décharge"/>
    <x v="2"/>
    <s v="PALF"/>
    <s v="CONGO"/>
    <m/>
    <m/>
    <m/>
  </r>
  <r>
    <d v="2021-04-29T00:00:00"/>
    <s v="Cumul frais transport local mois d'Avril/Merveille"/>
    <x v="4"/>
    <s v="Management"/>
    <m/>
    <n v="21000"/>
    <n v="32324022.99927"/>
    <x v="10"/>
    <s v="Décharge"/>
    <x v="3"/>
    <s v="RALFF"/>
    <s v="CONGO"/>
    <s v="RALFF-CO2183"/>
    <s v="2.2"/>
    <m/>
  </r>
  <r>
    <d v="2021-04-29T00:00:00"/>
    <s v="Frais de transport  Mouyondzi-dolisie/P29"/>
    <x v="4"/>
    <s v="Investigation"/>
    <m/>
    <n v="7000"/>
    <n v="32317022.99927"/>
    <x v="3"/>
    <s v="Oui"/>
    <x v="2"/>
    <s v="PALF"/>
    <s v="CONGO"/>
    <m/>
    <m/>
    <m/>
  </r>
  <r>
    <d v="2021-04-29T00:00:00"/>
    <s v="P29 - CONGO - Hôtel Mission à Mouyondzi du 27 au 29/04/21"/>
    <x v="7"/>
    <s v="Investigation"/>
    <m/>
    <n v="30000"/>
    <n v="32287022.99927"/>
    <x v="3"/>
    <s v="Oui"/>
    <x v="3"/>
    <s v="RALFF"/>
    <s v="CONGO"/>
    <s v="RALFF-CO2184"/>
    <s v="1.3.2"/>
    <m/>
  </r>
  <r>
    <d v="2021-04-30T00:00:00"/>
    <s v="Cumul frais bancaire mois d'Avril compte 34/BCI"/>
    <x v="18"/>
    <s v="Office"/>
    <m/>
    <n v="20404"/>
    <n v="32266618.99927"/>
    <x v="5"/>
    <s v="Relevé"/>
    <x v="2"/>
    <s v="PALF"/>
    <s v="CONGO"/>
    <m/>
    <m/>
    <m/>
  </r>
  <r>
    <d v="2021-04-30T00:00:00"/>
    <s v="Cumul frais bancaire mois d'Avril compte 56/BCI"/>
    <x v="18"/>
    <s v="Office"/>
    <m/>
    <n v="18476"/>
    <n v="32248142.99927"/>
    <x v="11"/>
    <s v="Relevé"/>
    <x v="3"/>
    <s v="RALFF"/>
    <s v="CONGO"/>
    <s v="RALFF-CO2185"/>
    <s v="5.6"/>
    <m/>
  </r>
  <r>
    <d v="2021-04-30T00:00:00"/>
    <s v="Tiffany"/>
    <x v="2"/>
    <m/>
    <m/>
    <n v="300000"/>
    <n v="31948142.99927"/>
    <x v="1"/>
    <m/>
    <x v="0"/>
    <m/>
    <m/>
    <m/>
    <m/>
    <m/>
  </r>
  <r>
    <d v="2021-04-30T00:00:00"/>
    <s v="Cumul frais transport local mois d'avril/Christian"/>
    <x v="4"/>
    <s v="Legal"/>
    <m/>
    <n v="54500"/>
    <n v="31893642.99927"/>
    <x v="2"/>
    <s v="Decharge"/>
    <x v="3"/>
    <s v="RALFF"/>
    <s v="CONGO"/>
    <s v="RALFF-CO2186"/>
    <s v="2.2"/>
    <m/>
  </r>
  <r>
    <d v="2021-04-30T00:00:00"/>
    <s v="Cumul frais transport local mois d'avril/Evariste"/>
    <x v="4"/>
    <s v="Media"/>
    <m/>
    <n v="36000"/>
    <n v="31857642.99927"/>
    <x v="7"/>
    <s v="Décharge"/>
    <x v="3"/>
    <s v="RALFF"/>
    <s v="CONGO"/>
    <s v="RALFF-CO2187"/>
    <s v="2.2"/>
    <m/>
  </r>
  <r>
    <d v="2021-04-30T00:00:00"/>
    <s v="I23C - CONGO - Hôtel Mission à P/N  du 27 au 30 avril/"/>
    <x v="7"/>
    <s v="Investigation"/>
    <m/>
    <n v="45000"/>
    <n v="31812642.99927"/>
    <x v="6"/>
    <s v="Oui"/>
    <x v="3"/>
    <s v="RALFF"/>
    <s v="CONGO"/>
    <s v="RALFF-CO2188"/>
    <s v="1.3.2"/>
    <m/>
  </r>
  <r>
    <d v="2021-04-30T00:00:00"/>
    <s v="Achat Billet PN-Nkayi/I23C"/>
    <x v="4"/>
    <s v="Investigation"/>
    <m/>
    <n v="8000"/>
    <n v="31804642.99927"/>
    <x v="6"/>
    <s v="Oui"/>
    <x v="3"/>
    <s v="RALFF"/>
    <s v="CONGO"/>
    <s v="RALFF-CO2189"/>
    <s v="2.2"/>
    <m/>
  </r>
  <r>
    <d v="2021-04-30T00:00:00"/>
    <s v="Cumul frais transport local mois d'Avril 20/I23C"/>
    <x v="4"/>
    <s v="Investigation"/>
    <m/>
    <n v="52300"/>
    <n v="31752342.99927"/>
    <x v="6"/>
    <s v="Décharge"/>
    <x v="3"/>
    <s v="RALFF"/>
    <s v="CONGO"/>
    <s v="RALFF-CO2190"/>
    <s v="2.2"/>
    <m/>
  </r>
  <r>
    <d v="2021-04-30T00:00:00"/>
    <s v="Cumul frais achat boisson pour les informateurs/I23C"/>
    <x v="19"/>
    <s v="Investigation"/>
    <m/>
    <n v="13500"/>
    <n v="31738842.99927"/>
    <x v="6"/>
    <s v="Décharge"/>
    <x v="2"/>
    <s v="PALF"/>
    <s v="CONGO"/>
    <m/>
    <m/>
    <m/>
  </r>
  <r>
    <d v="2021-04-30T00:00:00"/>
    <s v="Cumul frais transport local mois d'Avril/P29"/>
    <x v="4"/>
    <s v="Investigation"/>
    <m/>
    <n v="60400"/>
    <n v="31678442.99927"/>
    <x v="3"/>
    <s v="Decharge"/>
    <x v="3"/>
    <s v="RALFF"/>
    <s v="CONGO"/>
    <s v="RALFF-CO2191"/>
    <s v="2.2"/>
    <m/>
  </r>
  <r>
    <d v="2021-04-30T00:00:00"/>
    <s v="Cumul achat boissons pour les informateurs/P29"/>
    <x v="19"/>
    <s v="Investigation"/>
    <m/>
    <n v="19500"/>
    <n v="31658942.99927"/>
    <x v="3"/>
    <s v="Decharge"/>
    <x v="2"/>
    <s v="PALF"/>
    <s v="CONGO"/>
    <m/>
    <m/>
    <m/>
  </r>
  <r>
    <d v="2021-04-30T00:00:00"/>
    <s v="Cumul frais transport local mois d'avril/Ted"/>
    <x v="4"/>
    <s v="Management"/>
    <m/>
    <n v="8000"/>
    <n v="31650942.99927"/>
    <x v="13"/>
    <s v="Décharge"/>
    <x v="3"/>
    <s v="RALFF"/>
    <s v="CONGO"/>
    <s v="RALFF-CO2192"/>
    <s v="2.2"/>
    <m/>
  </r>
  <r>
    <d v="2021-04-30T00:00:00"/>
    <s v="Reçu caisse/Tiffany"/>
    <x v="2"/>
    <m/>
    <n v="300000"/>
    <m/>
    <n v="31950942.99927"/>
    <x v="8"/>
    <m/>
    <x v="0"/>
    <m/>
    <m/>
    <m/>
    <m/>
    <m/>
  </r>
  <r>
    <d v="2021-04-30T00:00:00"/>
    <s v="Achat billet avion Nairobi- Brazzaville/Tiffany"/>
    <x v="9"/>
    <s v="Management"/>
    <m/>
    <n v="222900"/>
    <n v="31728042.99927"/>
    <x v="8"/>
    <s v="Oui"/>
    <x v="2"/>
    <s v="PALF"/>
    <s v="CONGO"/>
    <m/>
    <m/>
    <m/>
  </r>
  <r>
    <d v="2021-04-30T00:00:00"/>
    <s v="Cumul frais transport local mois d'avril/Tiffany"/>
    <x v="20"/>
    <s v="Management"/>
    <m/>
    <n v="16000"/>
    <n v="31712042.99927"/>
    <x v="8"/>
    <s v="Décharge"/>
    <x v="3"/>
    <s v="RALFF"/>
    <s v="CONGO"/>
    <s v="RALFF-CO2193"/>
    <s v="2.2"/>
    <m/>
  </r>
  <r>
    <d v="2021-04-30T00:00:00"/>
    <s v="Reçu caisse/Herick"/>
    <x v="2"/>
    <m/>
    <m/>
    <n v="0"/>
    <n v="31712042.99927"/>
    <x v="14"/>
    <m/>
    <x v="0"/>
    <m/>
    <m/>
    <m/>
    <m/>
    <m/>
  </r>
  <r>
    <d v="2021-04-30T00:00:00"/>
    <s v="Reçu caisse/I73X"/>
    <x v="2"/>
    <m/>
    <m/>
    <n v="0"/>
    <n v="31712042.99927"/>
    <x v="15"/>
    <m/>
    <x v="0"/>
    <m/>
    <m/>
    <m/>
    <m/>
    <m/>
  </r>
  <r>
    <d v="2021-04-30T00:00:00"/>
    <s v="Reçu caisse/I55S"/>
    <x v="2"/>
    <m/>
    <m/>
    <n v="0"/>
    <n v="31712042.99927"/>
    <x v="16"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7" firstHeaderRow="1" firstDataRow="1" firstDataCol="1"/>
  <pivotFields count="15">
    <pivotField numFmtId="14" showAll="0"/>
    <pivotField showAll="0"/>
    <pivotField showAll="0"/>
    <pivotField showAll="0"/>
    <pivotField showAll="0"/>
    <pivotField dataField="1" showAll="0"/>
    <pivotField numFmtId="167" showAll="0"/>
    <pivotField showAll="0"/>
    <pivotField showAll="0"/>
    <pivotField axis="axisRow" showAll="0">
      <items count="12">
        <item m="1" x="9"/>
        <item m="1" x="10"/>
        <item m="1" x="6"/>
        <item m="1" x="5"/>
        <item m="1" x="7"/>
        <item x="1"/>
        <item x="3"/>
        <item m="1" x="8"/>
        <item h="1" x="0"/>
        <item x="2"/>
        <item m="1" x="4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4">
    <i>
      <x v="5"/>
    </i>
    <i>
      <x v="6"/>
    </i>
    <i>
      <x v="9"/>
    </i>
    <i t="grand">
      <x/>
    </i>
  </rowItems>
  <colItems count="1">
    <i/>
  </colItems>
  <dataFields count="1">
    <dataField name="Sum of Spent" fld="5" baseField="9" baseItem="1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AQ22" firstHeaderRow="1" firstDataRow="3" firstDataCol="1"/>
  <pivotFields count="15">
    <pivotField numFmtId="14" showAll="0"/>
    <pivotField showAll="0"/>
    <pivotField axis="axisCol" showAll="0">
      <items count="25">
        <item x="18"/>
        <item x="1"/>
        <item x="12"/>
        <item x="15"/>
        <item m="1" x="23"/>
        <item x="6"/>
        <item x="3"/>
        <item x="11"/>
        <item x="8"/>
        <item x="16"/>
        <item x="13"/>
        <item x="5"/>
        <item x="17"/>
        <item x="10"/>
        <item x="4"/>
        <item x="20"/>
        <item m="1" x="22"/>
        <item m="1" x="21"/>
        <item x="9"/>
        <item x="7"/>
        <item x="19"/>
        <item x="2"/>
        <item x="0"/>
        <item x="14"/>
        <item t="default"/>
      </items>
    </pivotField>
    <pivotField showAll="0"/>
    <pivotField dataField="1" showAll="0"/>
    <pivotField dataField="1" showAll="0"/>
    <pivotField numFmtId="167" showAll="0"/>
    <pivotField axis="axisRow" showAll="0">
      <items count="20">
        <item x="5"/>
        <item x="11"/>
        <item x="1"/>
        <item x="2"/>
        <item x="9"/>
        <item x="7"/>
        <item x="12"/>
        <item x="14"/>
        <item x="6"/>
        <item x="16"/>
        <item x="15"/>
        <item x="4"/>
        <item x="10"/>
        <item x="3"/>
        <item m="1" x="17"/>
        <item m="1" x="18"/>
        <item x="13"/>
        <item x="8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6"/>
    </i>
    <i>
      <x v="17"/>
    </i>
    <i t="grand">
      <x/>
    </i>
  </rowItems>
  <colFields count="2">
    <field x="2"/>
    <field x="-2"/>
  </colFields>
  <colItems count="4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3"/>
      <x/>
    </i>
    <i r="1" i="1">
      <x v="1"/>
    </i>
    <i t="grand">
      <x/>
    </i>
    <i t="grand" i="1">
      <x/>
    </i>
  </colItems>
  <dataFields count="2">
    <dataField name="Sum of Received" fld="4" baseField="7" baseItem="0" numFmtId="3"/>
    <dataField name="Sum of Spent" fld="5" baseField="7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O290"/>
  <sheetViews>
    <sheetView zoomScale="80" zoomScaleNormal="80" workbookViewId="0">
      <pane xSplit="1" topLeftCell="B1" activePane="topRight" state="frozen"/>
      <selection pane="topRight" activeCell="D22" sqref="D22"/>
    </sheetView>
  </sheetViews>
  <sheetFormatPr baseColWidth="10" defaultColWidth="11.42578125" defaultRowHeight="15" x14ac:dyDescent="0.25"/>
  <cols>
    <col min="1" max="1" width="31" style="56" customWidth="1"/>
    <col min="2" max="2" width="21.42578125" style="56" customWidth="1"/>
    <col min="3" max="3" width="26" style="56" customWidth="1"/>
    <col min="4" max="4" width="23.7109375" style="56" customWidth="1"/>
    <col min="5" max="5" width="19.5703125" style="56" customWidth="1"/>
    <col min="6" max="6" width="21" style="56" customWidth="1"/>
    <col min="7" max="7" width="19.85546875" style="56" customWidth="1"/>
    <col min="8" max="8" width="20.5703125" style="56" customWidth="1"/>
    <col min="9" max="9" width="19.7109375" style="56" customWidth="1"/>
    <col min="10" max="10" width="16.7109375" style="56" customWidth="1"/>
    <col min="11" max="11" width="14.5703125" style="56" customWidth="1"/>
    <col min="12" max="12" width="16" style="107" customWidth="1"/>
    <col min="13" max="13" width="14.85546875" style="107" customWidth="1"/>
    <col min="14" max="14" width="14.140625" style="107" customWidth="1"/>
    <col min="15" max="15" width="14.85546875" style="107" customWidth="1"/>
    <col min="16" max="16384" width="11.42578125" style="56"/>
  </cols>
  <sheetData>
    <row r="1" spans="1:15" x14ac:dyDescent="0.25">
      <c r="A1" s="55">
        <v>44316</v>
      </c>
    </row>
    <row r="2" spans="1:15" ht="15.75" x14ac:dyDescent="0.25">
      <c r="A2" s="57" t="s">
        <v>78</v>
      </c>
      <c r="B2" s="57" t="s">
        <v>9</v>
      </c>
      <c r="C2" s="57">
        <v>44287</v>
      </c>
      <c r="D2" s="58" t="s">
        <v>79</v>
      </c>
      <c r="E2" s="58" t="s">
        <v>80</v>
      </c>
      <c r="F2" s="58" t="s">
        <v>81</v>
      </c>
      <c r="G2" s="58" t="s">
        <v>82</v>
      </c>
      <c r="H2" s="57">
        <v>44316</v>
      </c>
      <c r="I2" s="58" t="s">
        <v>83</v>
      </c>
      <c r="K2" s="106"/>
      <c r="L2" s="106" t="s">
        <v>84</v>
      </c>
      <c r="M2" s="106" t="s">
        <v>85</v>
      </c>
      <c r="N2" s="106" t="s">
        <v>86</v>
      </c>
      <c r="O2" s="106" t="s">
        <v>87</v>
      </c>
    </row>
    <row r="3" spans="1:15" ht="16.5" x14ac:dyDescent="0.3">
      <c r="A3" s="119" t="str">
        <f>+K3</f>
        <v xml:space="preserve">BCI </v>
      </c>
      <c r="B3" s="120" t="s">
        <v>88</v>
      </c>
      <c r="C3" s="121">
        <f>+[2]Récapitulatif!$I$3</f>
        <v>2957378</v>
      </c>
      <c r="D3" s="222">
        <f>+L3</f>
        <v>0</v>
      </c>
      <c r="E3" s="122">
        <f>+N3</f>
        <v>380404</v>
      </c>
      <c r="F3" s="122">
        <f>+M3</f>
        <v>3000000</v>
      </c>
      <c r="G3" s="122">
        <f>+O3</f>
        <v>7828953</v>
      </c>
      <c r="H3" s="261">
        <f>+'Compte Principal 34 BCI'!H29</f>
        <v>7405927</v>
      </c>
      <c r="I3" s="261">
        <f>+C3+D3-E3-F3+G3</f>
        <v>7405927</v>
      </c>
      <c r="J3" s="60">
        <f>I3-H3</f>
        <v>0</v>
      </c>
      <c r="K3" s="106" t="s">
        <v>89</v>
      </c>
      <c r="L3" s="108">
        <v>0</v>
      </c>
      <c r="M3" s="108">
        <v>3000000</v>
      </c>
      <c r="N3" s="108">
        <v>380404</v>
      </c>
      <c r="O3" s="108">
        <v>7828953</v>
      </c>
    </row>
    <row r="4" spans="1:15" ht="16.5" x14ac:dyDescent="0.3">
      <c r="A4" s="119" t="str">
        <f>+K4</f>
        <v>BCI  sous-compte</v>
      </c>
      <c r="B4" s="120" t="s">
        <v>88</v>
      </c>
      <c r="C4" s="121">
        <f>+[2]Récapitulatif!$I$4</f>
        <v>28018504</v>
      </c>
      <c r="D4" s="122">
        <f>+L4</f>
        <v>0</v>
      </c>
      <c r="E4" s="122">
        <f>+N4</f>
        <v>4705439</v>
      </c>
      <c r="F4" s="122">
        <f>+M4</f>
        <v>341000</v>
      </c>
      <c r="G4" s="122">
        <f t="shared" ref="G4:G18" si="0">+O4</f>
        <v>0</v>
      </c>
      <c r="H4" s="261">
        <f>+'Sous-Compte 56 BCI'!H37</f>
        <v>22972068</v>
      </c>
      <c r="I4" s="261">
        <f>+C4+D4-E4-F4+G4</f>
        <v>22972065</v>
      </c>
      <c r="J4" s="60">
        <f t="shared" ref="J4:J14" si="1">I4-H4</f>
        <v>-3</v>
      </c>
      <c r="K4" s="106" t="s">
        <v>90</v>
      </c>
      <c r="L4" s="108">
        <v>0</v>
      </c>
      <c r="M4" s="108">
        <v>341000</v>
      </c>
      <c r="N4" s="108">
        <v>4705439</v>
      </c>
      <c r="O4" s="108">
        <v>0</v>
      </c>
    </row>
    <row r="5" spans="1:15" ht="16.5" x14ac:dyDescent="0.3">
      <c r="A5" s="119" t="str">
        <f t="shared" ref="A5:A15" si="2">+K5</f>
        <v>Caisse</v>
      </c>
      <c r="B5" s="120" t="s">
        <v>62</v>
      </c>
      <c r="C5" s="121">
        <f>+[2]Récapitulatif!$I$5</f>
        <v>1672959</v>
      </c>
      <c r="D5" s="122">
        <f>+L5</f>
        <v>3386000</v>
      </c>
      <c r="E5" s="122">
        <f>+N5</f>
        <v>1611730</v>
      </c>
      <c r="F5" s="122">
        <f t="shared" ref="F5:F18" si="3">+M5</f>
        <v>2979300</v>
      </c>
      <c r="G5" s="122">
        <f t="shared" si="0"/>
        <v>0</v>
      </c>
      <c r="H5" s="261">
        <f>+'[3] Caisse Avril 2021 '!$G$104</f>
        <v>467929</v>
      </c>
      <c r="I5" s="261">
        <f>+C5+D5-E5-F5+G5</f>
        <v>467929</v>
      </c>
      <c r="J5" s="188">
        <f t="shared" si="1"/>
        <v>0</v>
      </c>
      <c r="K5" s="106" t="s">
        <v>62</v>
      </c>
      <c r="L5" s="108">
        <v>3386000</v>
      </c>
      <c r="M5" s="108">
        <v>2979300</v>
      </c>
      <c r="N5" s="108">
        <v>1611730</v>
      </c>
      <c r="O5" s="108">
        <v>0</v>
      </c>
    </row>
    <row r="6" spans="1:15" ht="16.5" x14ac:dyDescent="0.3">
      <c r="A6" s="119" t="str">
        <f t="shared" si="2"/>
        <v>Christian</v>
      </c>
      <c r="B6" s="120" t="s">
        <v>16</v>
      </c>
      <c r="C6" s="121">
        <f>+[2]Récapitulatif!$I$6</f>
        <v>-450</v>
      </c>
      <c r="D6" s="122">
        <f t="shared" ref="D6:D18" si="4">+L6</f>
        <v>223000</v>
      </c>
      <c r="E6" s="122">
        <f t="shared" ref="E6:E18" si="5">+N6</f>
        <v>182500</v>
      </c>
      <c r="F6" s="122">
        <f t="shared" si="3"/>
        <v>0</v>
      </c>
      <c r="G6" s="122">
        <f t="shared" si="0"/>
        <v>0</v>
      </c>
      <c r="H6" s="261">
        <f>+'[4]compta  OK'!$G$594</f>
        <v>40050</v>
      </c>
      <c r="I6" s="261">
        <f t="shared" ref="I6:I18" si="6">+C6+D6-E6-F6+G6</f>
        <v>40050</v>
      </c>
      <c r="J6" s="60">
        <f t="shared" si="1"/>
        <v>0</v>
      </c>
      <c r="K6" s="106" t="s">
        <v>122</v>
      </c>
      <c r="L6" s="108">
        <v>223000</v>
      </c>
      <c r="M6" s="108">
        <v>0</v>
      </c>
      <c r="N6" s="108">
        <v>182500</v>
      </c>
      <c r="O6" s="108">
        <v>0</v>
      </c>
    </row>
    <row r="7" spans="1:15" ht="16.5" x14ac:dyDescent="0.3">
      <c r="A7" s="119" t="str">
        <f t="shared" si="2"/>
        <v>Crépin</v>
      </c>
      <c r="B7" s="120" t="s">
        <v>16</v>
      </c>
      <c r="C7" s="121">
        <f>+[2]Récapitulatif!$I$7</f>
        <v>12510</v>
      </c>
      <c r="D7" s="122">
        <f t="shared" si="4"/>
        <v>303000</v>
      </c>
      <c r="E7" s="122">
        <f t="shared" si="5"/>
        <v>276665</v>
      </c>
      <c r="F7" s="122">
        <f t="shared" si="3"/>
        <v>0</v>
      </c>
      <c r="G7" s="122">
        <f t="shared" si="0"/>
        <v>0</v>
      </c>
      <c r="H7" s="261">
        <f>+'[5]COMPTA_CREPIN OK'!$G$3546</f>
        <v>38845</v>
      </c>
      <c r="I7" s="261">
        <f t="shared" si="6"/>
        <v>38845</v>
      </c>
      <c r="J7" s="60">
        <f t="shared" si="1"/>
        <v>0</v>
      </c>
      <c r="K7" s="106" t="s">
        <v>91</v>
      </c>
      <c r="L7" s="108">
        <v>303000</v>
      </c>
      <c r="M7" s="108">
        <v>0</v>
      </c>
      <c r="N7" s="108">
        <v>276665</v>
      </c>
      <c r="O7" s="108">
        <v>0</v>
      </c>
    </row>
    <row r="8" spans="1:15" ht="16.5" x14ac:dyDescent="0.3">
      <c r="A8" s="119" t="str">
        <f t="shared" si="2"/>
        <v>Evariste</v>
      </c>
      <c r="B8" s="120" t="s">
        <v>16</v>
      </c>
      <c r="C8" s="121">
        <f>+[2]Récapitulatif!$I$8</f>
        <v>2895</v>
      </c>
      <c r="D8" s="122">
        <f t="shared" si="4"/>
        <v>40000</v>
      </c>
      <c r="E8" s="122">
        <f t="shared" si="5"/>
        <v>36000</v>
      </c>
      <c r="F8" s="122">
        <f t="shared" si="3"/>
        <v>0</v>
      </c>
      <c r="G8" s="122">
        <f t="shared" si="0"/>
        <v>0</v>
      </c>
      <c r="H8" s="261">
        <f>+'[6]compta OK'!$G$2794</f>
        <v>6895</v>
      </c>
      <c r="I8" s="261">
        <f t="shared" si="6"/>
        <v>6895</v>
      </c>
      <c r="J8" s="60">
        <f t="shared" si="1"/>
        <v>0</v>
      </c>
      <c r="K8" s="106" t="s">
        <v>69</v>
      </c>
      <c r="L8" s="108">
        <v>40000</v>
      </c>
      <c r="M8" s="108">
        <v>0</v>
      </c>
      <c r="N8" s="108">
        <v>36000</v>
      </c>
      <c r="O8" s="108">
        <v>0</v>
      </c>
    </row>
    <row r="9" spans="1:15" ht="16.5" x14ac:dyDescent="0.3">
      <c r="A9" s="119" t="str">
        <f t="shared" si="2"/>
        <v>Geisner</v>
      </c>
      <c r="B9" s="184" t="s">
        <v>16</v>
      </c>
      <c r="C9" s="122">
        <f>+[2]Récapitulatif!$I$9</f>
        <v>62040</v>
      </c>
      <c r="D9" s="122">
        <f t="shared" si="4"/>
        <v>0</v>
      </c>
      <c r="E9" s="122">
        <f t="shared" si="5"/>
        <v>8500</v>
      </c>
      <c r="F9" s="122">
        <f t="shared" si="3"/>
        <v>25000</v>
      </c>
      <c r="G9" s="122">
        <f t="shared" si="0"/>
        <v>0</v>
      </c>
      <c r="H9" s="261">
        <f>+'[7]COMPTA ok'!$G$381</f>
        <v>28540</v>
      </c>
      <c r="I9" s="261">
        <f t="shared" si="6"/>
        <v>28540</v>
      </c>
      <c r="J9" s="60">
        <f t="shared" si="1"/>
        <v>0</v>
      </c>
      <c r="K9" s="106" t="s">
        <v>123</v>
      </c>
      <c r="L9" s="108">
        <v>0</v>
      </c>
      <c r="M9" s="108">
        <v>25000</v>
      </c>
      <c r="N9" s="108">
        <v>8500</v>
      </c>
      <c r="O9" s="108">
        <v>0</v>
      </c>
    </row>
    <row r="10" spans="1:15" ht="16.5" x14ac:dyDescent="0.3">
      <c r="A10" s="119" t="str">
        <f t="shared" si="2"/>
        <v>Herick</v>
      </c>
      <c r="B10" s="184" t="s">
        <v>16</v>
      </c>
      <c r="C10" s="122">
        <f>+[2]Récapitulatif!$I$10</f>
        <v>184</v>
      </c>
      <c r="D10" s="261">
        <f t="shared" si="4"/>
        <v>0</v>
      </c>
      <c r="E10" s="261">
        <f t="shared" si="5"/>
        <v>0</v>
      </c>
      <c r="F10" s="261">
        <f t="shared" si="3"/>
        <v>0</v>
      </c>
      <c r="G10" s="261">
        <f t="shared" si="0"/>
        <v>0</v>
      </c>
      <c r="H10" s="122">
        <f>+'[8]compta ok'!$G$2815</f>
        <v>183.5</v>
      </c>
      <c r="I10" s="261">
        <f t="shared" si="6"/>
        <v>184</v>
      </c>
      <c r="J10" s="60">
        <f t="shared" si="1"/>
        <v>0.5</v>
      </c>
      <c r="K10" s="106" t="s">
        <v>64</v>
      </c>
      <c r="L10" s="108">
        <v>0</v>
      </c>
      <c r="M10" s="108">
        <v>0</v>
      </c>
      <c r="N10" s="108">
        <v>0</v>
      </c>
      <c r="O10" s="108">
        <v>0</v>
      </c>
    </row>
    <row r="11" spans="1:15" ht="16.5" x14ac:dyDescent="0.3">
      <c r="A11" s="119" t="str">
        <f>K11</f>
        <v>I23C</v>
      </c>
      <c r="B11" s="120" t="s">
        <v>31</v>
      </c>
      <c r="C11" s="121">
        <f>+[2]Récapitulatif!$I$11</f>
        <v>-36500</v>
      </c>
      <c r="D11" s="122">
        <f t="shared" si="4"/>
        <v>523500</v>
      </c>
      <c r="E11" s="122">
        <f t="shared" si="5"/>
        <v>418800</v>
      </c>
      <c r="F11" s="122">
        <f t="shared" si="3"/>
        <v>0</v>
      </c>
      <c r="G11" s="122">
        <f t="shared" si="0"/>
        <v>0</v>
      </c>
      <c r="H11" s="261">
        <f>+'[9]COMPTA_I23C ok'!$G$4896</f>
        <v>68200</v>
      </c>
      <c r="I11" s="261">
        <f t="shared" si="6"/>
        <v>68200</v>
      </c>
      <c r="J11" s="60">
        <f t="shared" si="1"/>
        <v>0</v>
      </c>
      <c r="K11" s="106" t="s">
        <v>68</v>
      </c>
      <c r="L11" s="108">
        <v>523500</v>
      </c>
      <c r="M11" s="108">
        <v>0</v>
      </c>
      <c r="N11" s="108">
        <v>418800</v>
      </c>
      <c r="O11" s="108">
        <v>0</v>
      </c>
    </row>
    <row r="12" spans="1:15" ht="16.5" x14ac:dyDescent="0.3">
      <c r="A12" s="241" t="str">
        <f t="shared" si="2"/>
        <v>I55S</v>
      </c>
      <c r="B12" s="242" t="s">
        <v>31</v>
      </c>
      <c r="C12" s="243">
        <f>+[2]Récapitulatif!$I$12</f>
        <v>233614</v>
      </c>
      <c r="D12" s="244">
        <f t="shared" si="4"/>
        <v>0</v>
      </c>
      <c r="E12" s="244">
        <f t="shared" si="5"/>
        <v>0</v>
      </c>
      <c r="F12" s="244">
        <f t="shared" si="3"/>
        <v>0</v>
      </c>
      <c r="G12" s="244">
        <f t="shared" si="0"/>
        <v>0</v>
      </c>
      <c r="H12" s="262">
        <v>233614</v>
      </c>
      <c r="I12" s="262">
        <f t="shared" si="6"/>
        <v>233614</v>
      </c>
      <c r="J12" s="60">
        <f t="shared" si="1"/>
        <v>0</v>
      </c>
      <c r="K12" s="106" t="s">
        <v>130</v>
      </c>
      <c r="L12" s="108">
        <v>0</v>
      </c>
      <c r="M12" s="108">
        <v>0</v>
      </c>
      <c r="N12" s="108">
        <v>0</v>
      </c>
      <c r="O12" s="108">
        <v>0</v>
      </c>
    </row>
    <row r="13" spans="1:15" ht="16.5" x14ac:dyDescent="0.3">
      <c r="A13" s="241" t="str">
        <f t="shared" si="2"/>
        <v>I73X</v>
      </c>
      <c r="B13" s="242" t="s">
        <v>31</v>
      </c>
      <c r="C13" s="243">
        <f>+[2]Récapitulatif!$I$13</f>
        <v>249769</v>
      </c>
      <c r="D13" s="244">
        <f t="shared" si="4"/>
        <v>0</v>
      </c>
      <c r="E13" s="244">
        <f t="shared" si="5"/>
        <v>0</v>
      </c>
      <c r="F13" s="244">
        <f t="shared" si="3"/>
        <v>0</v>
      </c>
      <c r="G13" s="244">
        <f t="shared" si="0"/>
        <v>0</v>
      </c>
      <c r="H13" s="262">
        <v>249769</v>
      </c>
      <c r="I13" s="262">
        <f t="shared" si="6"/>
        <v>249769</v>
      </c>
      <c r="J13" s="60">
        <f t="shared" si="1"/>
        <v>0</v>
      </c>
      <c r="K13" s="106" t="s">
        <v>129</v>
      </c>
      <c r="L13" s="108">
        <v>0</v>
      </c>
      <c r="M13" s="108">
        <v>0</v>
      </c>
      <c r="N13" s="108">
        <v>0</v>
      </c>
      <c r="O13" s="108">
        <v>0</v>
      </c>
    </row>
    <row r="14" spans="1:15" ht="16.5" x14ac:dyDescent="0.3">
      <c r="A14" s="119" t="str">
        <f t="shared" si="2"/>
        <v>Jack-Bénisson</v>
      </c>
      <c r="B14" s="184" t="s">
        <v>16</v>
      </c>
      <c r="C14" s="121">
        <f>+[2]Récapitulatif!$I$14</f>
        <v>71200</v>
      </c>
      <c r="D14" s="122">
        <f t="shared" si="4"/>
        <v>1056000</v>
      </c>
      <c r="E14" s="122">
        <f t="shared" si="5"/>
        <v>1076875</v>
      </c>
      <c r="F14" s="122">
        <f t="shared" si="3"/>
        <v>55000</v>
      </c>
      <c r="G14" s="122">
        <f t="shared" si="0"/>
        <v>0</v>
      </c>
      <c r="H14" s="261">
        <f>+'[10]compta jack ok '!$G$3170</f>
        <v>-4675</v>
      </c>
      <c r="I14" s="261">
        <f t="shared" si="6"/>
        <v>-4675</v>
      </c>
      <c r="J14" s="60">
        <f t="shared" si="1"/>
        <v>0</v>
      </c>
      <c r="K14" s="106" t="s">
        <v>77</v>
      </c>
      <c r="L14" s="108">
        <v>1056000</v>
      </c>
      <c r="M14" s="108">
        <v>55000</v>
      </c>
      <c r="N14" s="108">
        <v>1076875</v>
      </c>
      <c r="O14" s="108">
        <v>0</v>
      </c>
    </row>
    <row r="15" spans="1:15" ht="16.5" x14ac:dyDescent="0.3">
      <c r="A15" s="119" t="str">
        <f t="shared" si="2"/>
        <v>Merveille</v>
      </c>
      <c r="B15" s="120" t="s">
        <v>19</v>
      </c>
      <c r="C15" s="121">
        <f>+[2]Récapitulatif!$I$15</f>
        <v>6000</v>
      </c>
      <c r="D15" s="122">
        <f t="shared" si="4"/>
        <v>20000</v>
      </c>
      <c r="E15" s="122">
        <f t="shared" si="5"/>
        <v>21000</v>
      </c>
      <c r="F15" s="122">
        <f t="shared" si="3"/>
        <v>0</v>
      </c>
      <c r="G15" s="122">
        <f t="shared" si="0"/>
        <v>0</v>
      </c>
      <c r="H15" s="261">
        <f>+'[11]compta Merveille mars 2021 ok'!$G$154</f>
        <v>5000</v>
      </c>
      <c r="I15" s="261">
        <f t="shared" si="6"/>
        <v>5000</v>
      </c>
      <c r="J15" s="60">
        <f>I15-H15</f>
        <v>0</v>
      </c>
      <c r="K15" s="106" t="s">
        <v>142</v>
      </c>
      <c r="L15" s="108">
        <v>20000</v>
      </c>
      <c r="M15" s="108">
        <v>0</v>
      </c>
      <c r="N15" s="108">
        <v>21000</v>
      </c>
      <c r="O15" s="108">
        <v>0</v>
      </c>
    </row>
    <row r="16" spans="1:15" ht="16.5" x14ac:dyDescent="0.3">
      <c r="A16" s="119" t="str">
        <f>K16</f>
        <v>P29</v>
      </c>
      <c r="B16" s="120" t="s">
        <v>31</v>
      </c>
      <c r="C16" s="121">
        <f>+[2]Récapitulatif!$I$16</f>
        <v>167700</v>
      </c>
      <c r="D16" s="122">
        <f t="shared" si="4"/>
        <v>473000</v>
      </c>
      <c r="E16" s="122">
        <f t="shared" si="5"/>
        <v>567900</v>
      </c>
      <c r="F16" s="122">
        <f t="shared" si="3"/>
        <v>0</v>
      </c>
      <c r="G16" s="122">
        <f t="shared" si="0"/>
        <v>0</v>
      </c>
      <c r="H16" s="261">
        <f>+'[12]COMPT-P29 (2)'!$G$830</f>
        <v>72800</v>
      </c>
      <c r="I16" s="261">
        <f t="shared" si="6"/>
        <v>72800</v>
      </c>
      <c r="J16" s="60">
        <f t="shared" ref="J16:J18" si="7">I16-H16</f>
        <v>0</v>
      </c>
      <c r="K16" s="106" t="s">
        <v>67</v>
      </c>
      <c r="L16" s="108">
        <v>473000</v>
      </c>
      <c r="M16" s="108">
        <v>0</v>
      </c>
      <c r="N16" s="108">
        <v>567900</v>
      </c>
      <c r="O16" s="108">
        <v>0</v>
      </c>
    </row>
    <row r="17" spans="1:15" ht="16.5" x14ac:dyDescent="0.3">
      <c r="A17" s="119" t="str">
        <f>+K17</f>
        <v>Ted</v>
      </c>
      <c r="B17" s="120" t="s">
        <v>19</v>
      </c>
      <c r="C17" s="121">
        <f>+[2]Récapitulatif!$I$17</f>
        <v>65300</v>
      </c>
      <c r="D17" s="122">
        <f t="shared" si="4"/>
        <v>10000</v>
      </c>
      <c r="E17" s="122">
        <f t="shared" si="5"/>
        <v>8000</v>
      </c>
      <c r="F17" s="122">
        <f>+M17</f>
        <v>20000</v>
      </c>
      <c r="G17" s="122">
        <f t="shared" si="0"/>
        <v>0</v>
      </c>
      <c r="H17" s="261">
        <f>+'[13]compta ted (2)'!$G$34</f>
        <v>47300</v>
      </c>
      <c r="I17" s="261">
        <f t="shared" si="6"/>
        <v>47300</v>
      </c>
      <c r="J17" s="60">
        <f t="shared" si="7"/>
        <v>0</v>
      </c>
      <c r="K17" s="106" t="s">
        <v>70</v>
      </c>
      <c r="L17" s="108">
        <v>10000</v>
      </c>
      <c r="M17" s="108">
        <v>20000</v>
      </c>
      <c r="N17" s="108">
        <v>8000</v>
      </c>
      <c r="O17" s="108">
        <v>0</v>
      </c>
    </row>
    <row r="18" spans="1:15" ht="16.5" x14ac:dyDescent="0.3">
      <c r="A18" s="119" t="str">
        <f>K18</f>
        <v>Tiffany</v>
      </c>
      <c r="B18" s="120" t="s">
        <v>31</v>
      </c>
      <c r="C18" s="121">
        <f>+[2]Récapitulatif!$I$18</f>
        <v>-11700</v>
      </c>
      <c r="D18" s="122">
        <f t="shared" si="4"/>
        <v>385800</v>
      </c>
      <c r="E18" s="122">
        <f t="shared" si="5"/>
        <v>294500</v>
      </c>
      <c r="F18" s="122">
        <f t="shared" si="3"/>
        <v>0</v>
      </c>
      <c r="G18" s="122">
        <f t="shared" si="0"/>
        <v>0</v>
      </c>
      <c r="H18" s="261">
        <f>+'[14]Compta ok (2)'!$G$56</f>
        <v>79600</v>
      </c>
      <c r="I18" s="261">
        <f t="shared" si="6"/>
        <v>79600</v>
      </c>
      <c r="J18" s="60">
        <f t="shared" si="7"/>
        <v>0</v>
      </c>
      <c r="K18" s="106" t="s">
        <v>175</v>
      </c>
      <c r="L18" s="108">
        <v>385800</v>
      </c>
      <c r="M18" s="108">
        <v>0</v>
      </c>
      <c r="N18" s="108">
        <v>294500</v>
      </c>
      <c r="O18" s="108">
        <v>0</v>
      </c>
    </row>
    <row r="19" spans="1:15" ht="16.5" x14ac:dyDescent="0.3">
      <c r="A19" s="61" t="s">
        <v>94</v>
      </c>
      <c r="B19" s="62"/>
      <c r="C19" s="63">
        <f t="shared" ref="C19:I19" si="8">SUM(C3:C18)</f>
        <v>33471403</v>
      </c>
      <c r="D19" s="118">
        <f t="shared" si="8"/>
        <v>6420300</v>
      </c>
      <c r="E19" s="118">
        <f t="shared" si="8"/>
        <v>9588313</v>
      </c>
      <c r="F19" s="118">
        <f t="shared" si="8"/>
        <v>6420300</v>
      </c>
      <c r="G19" s="118">
        <f t="shared" si="8"/>
        <v>7828953</v>
      </c>
      <c r="H19" s="118">
        <f t="shared" si="8"/>
        <v>31712045.5</v>
      </c>
      <c r="I19" s="118">
        <f t="shared" si="8"/>
        <v>31712043</v>
      </c>
      <c r="J19" s="60">
        <f>I19-H19</f>
        <v>-2.5</v>
      </c>
      <c r="L19" s="108">
        <v>6420300</v>
      </c>
      <c r="M19" s="108">
        <v>6420300</v>
      </c>
      <c r="N19" s="108">
        <v>9588313</v>
      </c>
      <c r="O19" s="108">
        <v>7828953</v>
      </c>
    </row>
    <row r="20" spans="1:15" ht="16.5" x14ac:dyDescent="0.3">
      <c r="A20" s="61"/>
      <c r="B20" s="62"/>
      <c r="C20" s="63"/>
      <c r="D20" s="64"/>
      <c r="E20" s="63"/>
      <c r="F20" s="64"/>
      <c r="G20" s="63"/>
      <c r="H20" s="63"/>
      <c r="I20" s="265" t="b">
        <f>I19=D22</f>
        <v>1</v>
      </c>
      <c r="L20" s="56"/>
      <c r="M20" s="56"/>
      <c r="N20" s="56"/>
      <c r="O20" s="56"/>
    </row>
    <row r="21" spans="1:15" ht="16.5" x14ac:dyDescent="0.3">
      <c r="A21" s="61" t="s">
        <v>399</v>
      </c>
      <c r="B21" s="62" t="s">
        <v>400</v>
      </c>
      <c r="C21" s="63" t="s">
        <v>401</v>
      </c>
      <c r="D21" s="63" t="s">
        <v>402</v>
      </c>
      <c r="E21" s="63" t="s">
        <v>95</v>
      </c>
      <c r="F21" s="63"/>
      <c r="G21" s="63">
        <f>+D19-F19</f>
        <v>0</v>
      </c>
      <c r="H21" s="63"/>
      <c r="I21" s="63"/>
    </row>
    <row r="22" spans="1:15" ht="16.5" x14ac:dyDescent="0.3">
      <c r="A22" s="65">
        <f>C19</f>
        <v>33471403</v>
      </c>
      <c r="B22" s="66">
        <f>G19</f>
        <v>7828953</v>
      </c>
      <c r="C22" s="63">
        <f>E19</f>
        <v>9588313</v>
      </c>
      <c r="D22" s="63">
        <f>A22+B22-C22</f>
        <v>31712043</v>
      </c>
      <c r="E22" s="64">
        <f>I19-D22</f>
        <v>0</v>
      </c>
      <c r="F22" s="63"/>
      <c r="G22" s="63"/>
      <c r="H22" s="63"/>
      <c r="I22" s="63"/>
    </row>
    <row r="23" spans="1:15" ht="16.5" x14ac:dyDescent="0.3">
      <c r="A23" s="65"/>
      <c r="B23" s="66"/>
      <c r="C23" s="63"/>
      <c r="D23" s="63"/>
      <c r="E23" s="64"/>
      <c r="F23" s="63"/>
      <c r="G23" s="63"/>
      <c r="H23" s="63"/>
      <c r="I23" s="63"/>
    </row>
    <row r="24" spans="1:15" x14ac:dyDescent="0.2">
      <c r="A24" s="67" t="s">
        <v>96</v>
      </c>
      <c r="B24" s="67"/>
      <c r="C24" s="67"/>
      <c r="D24" s="68"/>
      <c r="E24" s="68"/>
      <c r="F24" s="68"/>
      <c r="G24" s="68"/>
      <c r="H24" s="68"/>
      <c r="I24" s="68"/>
    </row>
    <row r="25" spans="1:15" x14ac:dyDescent="0.2">
      <c r="A25" s="69" t="s">
        <v>395</v>
      </c>
      <c r="B25" s="69"/>
      <c r="C25" s="69"/>
      <c r="D25" s="69"/>
      <c r="E25" s="69"/>
      <c r="F25" s="69"/>
      <c r="G25" s="69"/>
      <c r="H25" s="69"/>
      <c r="I25" s="69"/>
      <c r="J25" s="68"/>
    </row>
    <row r="26" spans="1:15" x14ac:dyDescent="0.2">
      <c r="A26" s="70"/>
      <c r="B26" s="71"/>
      <c r="C26" s="72"/>
      <c r="D26" s="72"/>
      <c r="E26" s="72"/>
      <c r="F26" s="72"/>
      <c r="G26" s="72"/>
      <c r="H26" s="71"/>
      <c r="I26" s="71"/>
      <c r="J26" s="69"/>
    </row>
    <row r="27" spans="1:15" x14ac:dyDescent="0.2">
      <c r="A27" s="510" t="s">
        <v>97</v>
      </c>
      <c r="B27" s="512" t="s">
        <v>98</v>
      </c>
      <c r="C27" s="514" t="s">
        <v>396</v>
      </c>
      <c r="D27" s="516" t="s">
        <v>99</v>
      </c>
      <c r="E27" s="517"/>
      <c r="F27" s="517"/>
      <c r="G27" s="518"/>
      <c r="H27" s="519" t="s">
        <v>100</v>
      </c>
      <c r="I27" s="506" t="s">
        <v>101</v>
      </c>
      <c r="J27" s="71"/>
    </row>
    <row r="28" spans="1:15" x14ac:dyDescent="0.25">
      <c r="A28" s="511"/>
      <c r="B28" s="513"/>
      <c r="C28" s="515"/>
      <c r="D28" s="73" t="s">
        <v>58</v>
      </c>
      <c r="E28" s="73" t="s">
        <v>62</v>
      </c>
      <c r="F28" s="393" t="s">
        <v>246</v>
      </c>
      <c r="G28" s="73" t="s">
        <v>102</v>
      </c>
      <c r="H28" s="520"/>
      <c r="I28" s="507"/>
      <c r="J28" s="508" t="s">
        <v>397</v>
      </c>
      <c r="K28" s="379"/>
    </row>
    <row r="29" spans="1:15" x14ac:dyDescent="0.2">
      <c r="A29" s="75"/>
      <c r="B29" s="76" t="s">
        <v>103</v>
      </c>
      <c r="C29" s="77"/>
      <c r="D29" s="77"/>
      <c r="E29" s="77"/>
      <c r="F29" s="77"/>
      <c r="G29" s="77"/>
      <c r="H29" s="77"/>
      <c r="I29" s="78"/>
      <c r="J29" s="509"/>
      <c r="K29" s="379"/>
    </row>
    <row r="30" spans="1:15" x14ac:dyDescent="0.2">
      <c r="A30" s="248" t="s">
        <v>398</v>
      </c>
      <c r="B30" s="253" t="s">
        <v>122</v>
      </c>
      <c r="C30" s="84">
        <f t="shared" ref="C30:C42" si="9">+C6</f>
        <v>-450</v>
      </c>
      <c r="D30" s="83"/>
      <c r="E30" s="84">
        <v>168000</v>
      </c>
      <c r="F30" s="84">
        <v>55000</v>
      </c>
      <c r="G30" s="84"/>
      <c r="H30" s="116"/>
      <c r="I30" s="84">
        <v>182500</v>
      </c>
      <c r="J30" s="82">
        <f>+SUM(C30:G30)-(H30+I30)</f>
        <v>40050</v>
      </c>
      <c r="K30" s="380" t="b">
        <f t="shared" ref="K30:K42" si="10">J30=I6</f>
        <v>1</v>
      </c>
    </row>
    <row r="31" spans="1:15" x14ac:dyDescent="0.2">
      <c r="A31" s="248" t="s">
        <v>398</v>
      </c>
      <c r="B31" s="253" t="s">
        <v>91</v>
      </c>
      <c r="C31" s="84">
        <f t="shared" si="9"/>
        <v>12510</v>
      </c>
      <c r="D31" s="83"/>
      <c r="E31" s="84">
        <v>303000</v>
      </c>
      <c r="F31" s="84"/>
      <c r="G31" s="84"/>
      <c r="H31" s="116"/>
      <c r="I31" s="84">
        <v>276665</v>
      </c>
      <c r="J31" s="82">
        <f t="shared" ref="J31:J32" si="11">+SUM(C31:G31)-(H31+I31)</f>
        <v>38845</v>
      </c>
      <c r="K31" s="380" t="b">
        <f t="shared" si="10"/>
        <v>1</v>
      </c>
    </row>
    <row r="32" spans="1:15" x14ac:dyDescent="0.2">
      <c r="A32" s="248" t="s">
        <v>398</v>
      </c>
      <c r="B32" s="253" t="s">
        <v>69</v>
      </c>
      <c r="C32" s="84">
        <f t="shared" si="9"/>
        <v>2895</v>
      </c>
      <c r="D32" s="83"/>
      <c r="E32" s="84">
        <v>40000</v>
      </c>
      <c r="F32" s="84"/>
      <c r="G32" s="84"/>
      <c r="H32" s="84"/>
      <c r="I32" s="84">
        <v>36000</v>
      </c>
      <c r="J32" s="187">
        <f t="shared" si="11"/>
        <v>6895</v>
      </c>
      <c r="K32" s="380" t="b">
        <f t="shared" si="10"/>
        <v>1</v>
      </c>
    </row>
    <row r="33" spans="1:11" x14ac:dyDescent="0.2">
      <c r="A33" s="248" t="s">
        <v>398</v>
      </c>
      <c r="B33" s="253" t="s">
        <v>123</v>
      </c>
      <c r="C33" s="84">
        <f t="shared" si="9"/>
        <v>62040</v>
      </c>
      <c r="D33" s="192"/>
      <c r="E33" s="84"/>
      <c r="F33" s="84"/>
      <c r="G33" s="84"/>
      <c r="H33" s="84">
        <v>25000</v>
      </c>
      <c r="I33" s="84">
        <v>8500</v>
      </c>
      <c r="J33" s="187">
        <f>+SUM(C33:G33)-(H33+I33)</f>
        <v>28540</v>
      </c>
      <c r="K33" s="380" t="b">
        <f t="shared" si="10"/>
        <v>1</v>
      </c>
    </row>
    <row r="34" spans="1:11" x14ac:dyDescent="0.2">
      <c r="A34" s="248" t="s">
        <v>398</v>
      </c>
      <c r="B34" s="253" t="s">
        <v>114</v>
      </c>
      <c r="C34" s="84">
        <f t="shared" si="9"/>
        <v>184</v>
      </c>
      <c r="D34" s="192"/>
      <c r="E34" s="84">
        <v>0</v>
      </c>
      <c r="F34" s="84"/>
      <c r="G34" s="84"/>
      <c r="H34" s="84"/>
      <c r="I34" s="84">
        <v>0</v>
      </c>
      <c r="J34" s="187">
        <f t="shared" ref="J34" si="12">+SUM(C34:G34)-(H34+I34)</f>
        <v>184</v>
      </c>
      <c r="K34" s="380" t="b">
        <f t="shared" si="10"/>
        <v>1</v>
      </c>
    </row>
    <row r="35" spans="1:11" x14ac:dyDescent="0.2">
      <c r="A35" s="248" t="s">
        <v>398</v>
      </c>
      <c r="B35" s="254" t="s">
        <v>68</v>
      </c>
      <c r="C35" s="84">
        <f t="shared" si="9"/>
        <v>-36500</v>
      </c>
      <c r="D35" s="245"/>
      <c r="E35" s="112">
        <v>523500</v>
      </c>
      <c r="F35" s="112"/>
      <c r="G35" s="112"/>
      <c r="H35" s="112"/>
      <c r="I35" s="112">
        <v>418800</v>
      </c>
      <c r="J35" s="250">
        <f>+SUM(C35:G35)-(H35+I35)</f>
        <v>68200</v>
      </c>
      <c r="K35" s="380" t="b">
        <f t="shared" si="10"/>
        <v>1</v>
      </c>
    </row>
    <row r="36" spans="1:11" x14ac:dyDescent="0.2">
      <c r="A36" s="248" t="s">
        <v>398</v>
      </c>
      <c r="B36" s="255" t="s">
        <v>130</v>
      </c>
      <c r="C36" s="246">
        <f t="shared" si="9"/>
        <v>233614</v>
      </c>
      <c r="D36" s="249"/>
      <c r="E36" s="268"/>
      <c r="F36" s="268"/>
      <c r="G36" s="268"/>
      <c r="H36" s="268"/>
      <c r="I36" s="268"/>
      <c r="J36" s="247">
        <f>+SUM(C36:G36)-(H36+I36)</f>
        <v>233614</v>
      </c>
      <c r="K36" s="380" t="b">
        <f t="shared" si="10"/>
        <v>1</v>
      </c>
    </row>
    <row r="37" spans="1:11" x14ac:dyDescent="0.2">
      <c r="A37" s="248" t="s">
        <v>398</v>
      </c>
      <c r="B37" s="255" t="s">
        <v>129</v>
      </c>
      <c r="C37" s="246">
        <f t="shared" si="9"/>
        <v>249769</v>
      </c>
      <c r="D37" s="249"/>
      <c r="E37" s="268"/>
      <c r="F37" s="268"/>
      <c r="G37" s="268"/>
      <c r="H37" s="268"/>
      <c r="I37" s="268"/>
      <c r="J37" s="247">
        <f t="shared" ref="J37:J42" si="13">+SUM(C37:G37)-(H37+I37)</f>
        <v>249769</v>
      </c>
      <c r="K37" s="380" t="b">
        <f t="shared" si="10"/>
        <v>1</v>
      </c>
    </row>
    <row r="38" spans="1:11" x14ac:dyDescent="0.2">
      <c r="A38" s="248" t="s">
        <v>398</v>
      </c>
      <c r="B38" s="253" t="s">
        <v>77</v>
      </c>
      <c r="C38" s="84">
        <f t="shared" si="9"/>
        <v>71200</v>
      </c>
      <c r="D38" s="83"/>
      <c r="E38" s="84">
        <v>1056000</v>
      </c>
      <c r="F38" s="84"/>
      <c r="G38" s="192"/>
      <c r="H38" s="192">
        <v>55000</v>
      </c>
      <c r="I38" s="84">
        <v>1076875</v>
      </c>
      <c r="J38" s="82">
        <f t="shared" si="13"/>
        <v>-4675</v>
      </c>
      <c r="K38" s="380" t="b">
        <f t="shared" si="10"/>
        <v>1</v>
      </c>
    </row>
    <row r="39" spans="1:11" x14ac:dyDescent="0.2">
      <c r="A39" s="248" t="s">
        <v>398</v>
      </c>
      <c r="B39" s="253" t="s">
        <v>142</v>
      </c>
      <c r="C39" s="84">
        <f t="shared" si="9"/>
        <v>6000</v>
      </c>
      <c r="D39" s="83"/>
      <c r="E39" s="84">
        <v>20000</v>
      </c>
      <c r="F39" s="192"/>
      <c r="G39" s="192"/>
      <c r="H39" s="192"/>
      <c r="I39" s="84">
        <v>21000</v>
      </c>
      <c r="J39" s="82">
        <f t="shared" si="13"/>
        <v>5000</v>
      </c>
      <c r="K39" s="380" t="b">
        <f t="shared" si="10"/>
        <v>1</v>
      </c>
    </row>
    <row r="40" spans="1:11" x14ac:dyDescent="0.2">
      <c r="A40" s="248" t="s">
        <v>398</v>
      </c>
      <c r="B40" s="253" t="s">
        <v>67</v>
      </c>
      <c r="C40" s="84">
        <f t="shared" si="9"/>
        <v>167700</v>
      </c>
      <c r="D40" s="83"/>
      <c r="E40" s="84">
        <v>473000</v>
      </c>
      <c r="F40" s="192"/>
      <c r="G40" s="192"/>
      <c r="H40" s="192"/>
      <c r="I40" s="84">
        <v>567900</v>
      </c>
      <c r="J40" s="82">
        <f t="shared" si="13"/>
        <v>72800</v>
      </c>
      <c r="K40" s="380" t="b">
        <f t="shared" si="10"/>
        <v>1</v>
      </c>
    </row>
    <row r="41" spans="1:11" x14ac:dyDescent="0.2">
      <c r="A41" s="248" t="s">
        <v>398</v>
      </c>
      <c r="B41" s="253" t="s">
        <v>70</v>
      </c>
      <c r="C41" s="84">
        <f t="shared" si="9"/>
        <v>65300</v>
      </c>
      <c r="D41" s="83"/>
      <c r="E41" s="84">
        <v>10000</v>
      </c>
      <c r="F41" s="192"/>
      <c r="G41" s="192"/>
      <c r="H41" s="192">
        <v>20000</v>
      </c>
      <c r="I41" s="84">
        <v>8000</v>
      </c>
      <c r="J41" s="82">
        <f t="shared" si="13"/>
        <v>47300</v>
      </c>
      <c r="K41" s="380" t="b">
        <f t="shared" si="10"/>
        <v>1</v>
      </c>
    </row>
    <row r="42" spans="1:11" x14ac:dyDescent="0.2">
      <c r="A42" s="248" t="s">
        <v>398</v>
      </c>
      <c r="B42" s="254" t="s">
        <v>175</v>
      </c>
      <c r="C42" s="84">
        <f t="shared" si="9"/>
        <v>-11700</v>
      </c>
      <c r="D42" s="245"/>
      <c r="E42" s="112">
        <v>385800</v>
      </c>
      <c r="F42" s="112"/>
      <c r="G42" s="269"/>
      <c r="H42" s="112"/>
      <c r="I42" s="112">
        <v>294500</v>
      </c>
      <c r="J42" s="82">
        <f t="shared" si="13"/>
        <v>79600</v>
      </c>
      <c r="K42" s="380" t="b">
        <f t="shared" si="10"/>
        <v>1</v>
      </c>
    </row>
    <row r="43" spans="1:11" x14ac:dyDescent="0.2">
      <c r="A43" s="86" t="s">
        <v>104</v>
      </c>
      <c r="B43" s="87"/>
      <c r="C43" s="87"/>
      <c r="D43" s="87"/>
      <c r="E43" s="87"/>
      <c r="F43" s="87"/>
      <c r="G43" s="87"/>
      <c r="H43" s="87"/>
      <c r="I43" s="87"/>
      <c r="J43" s="88"/>
      <c r="K43" s="379"/>
    </row>
    <row r="44" spans="1:11" x14ac:dyDescent="0.2">
      <c r="A44" s="248" t="s">
        <v>398</v>
      </c>
      <c r="B44" s="89" t="s">
        <v>105</v>
      </c>
      <c r="C44" s="90">
        <f>+C5</f>
        <v>1672959</v>
      </c>
      <c r="D44" s="110">
        <v>3341000</v>
      </c>
      <c r="E44" s="191"/>
      <c r="F44" s="191">
        <v>45000</v>
      </c>
      <c r="G44" s="270"/>
      <c r="H44" s="257">
        <v>2979300</v>
      </c>
      <c r="I44" s="252">
        <v>1611730</v>
      </c>
      <c r="J44" s="97">
        <f>+SUM(C44:G44)-(H44+I44)</f>
        <v>467929</v>
      </c>
      <c r="K44" s="380" t="b">
        <f>J44=I5</f>
        <v>1</v>
      </c>
    </row>
    <row r="45" spans="1:11" x14ac:dyDescent="0.2">
      <c r="A45" s="95" t="s">
        <v>106</v>
      </c>
      <c r="B45" s="76"/>
      <c r="C45" s="87"/>
      <c r="D45" s="76"/>
      <c r="E45" s="76"/>
      <c r="F45" s="76"/>
      <c r="G45" s="76"/>
      <c r="H45" s="76"/>
      <c r="I45" s="76"/>
      <c r="J45" s="88"/>
      <c r="K45" s="379"/>
    </row>
    <row r="46" spans="1:11" x14ac:dyDescent="0.2">
      <c r="A46" s="248" t="s">
        <v>398</v>
      </c>
      <c r="B46" s="89" t="s">
        <v>107</v>
      </c>
      <c r="C46" s="251">
        <f>+C3</f>
        <v>2957378</v>
      </c>
      <c r="D46" s="258">
        <v>7828953</v>
      </c>
      <c r="E46" s="110"/>
      <c r="F46" s="110"/>
      <c r="G46" s="110"/>
      <c r="H46" s="112">
        <v>3000000</v>
      </c>
      <c r="I46" s="114">
        <v>380404</v>
      </c>
      <c r="J46" s="97">
        <f>+SUM(C46:G46)-(H46+I46)</f>
        <v>7405927</v>
      </c>
      <c r="K46" s="380" t="b">
        <f>+J46=I3</f>
        <v>1</v>
      </c>
    </row>
    <row r="47" spans="1:11" x14ac:dyDescent="0.2">
      <c r="A47" s="248" t="s">
        <v>398</v>
      </c>
      <c r="B47" s="89" t="s">
        <v>108</v>
      </c>
      <c r="C47" s="251">
        <f>+C4</f>
        <v>28018504</v>
      </c>
      <c r="D47" s="110"/>
      <c r="E47" s="109"/>
      <c r="F47" s="109"/>
      <c r="G47" s="109"/>
      <c r="H47" s="84">
        <v>341000</v>
      </c>
      <c r="I47" s="111">
        <v>4705439</v>
      </c>
      <c r="J47" s="97">
        <f>SUM(C47:G47)-(H47+I47)</f>
        <v>22972065</v>
      </c>
      <c r="K47" s="380" t="b">
        <f>+J47=I4</f>
        <v>1</v>
      </c>
    </row>
    <row r="48" spans="1:11" ht="15.75" x14ac:dyDescent="0.25">
      <c r="C48" s="278">
        <f>SUM(C30:C47)</f>
        <v>33471403</v>
      </c>
      <c r="I48" s="272">
        <f>SUM(I30:I47)</f>
        <v>9588313</v>
      </c>
      <c r="J48" s="193">
        <f>+SUM(J30:J47)</f>
        <v>31712043</v>
      </c>
      <c r="K48" s="56" t="b">
        <f>J48=I19</f>
        <v>1</v>
      </c>
    </row>
    <row r="49" spans="1:11" ht="16.5" x14ac:dyDescent="0.3">
      <c r="A49" s="65"/>
      <c r="B49" s="66"/>
      <c r="C49" s="63" t="b">
        <f>C48=C19</f>
        <v>1</v>
      </c>
      <c r="D49" s="63"/>
      <c r="E49" s="64"/>
      <c r="F49" s="63"/>
      <c r="G49" s="63"/>
      <c r="H49" s="63"/>
      <c r="I49" s="63"/>
    </row>
    <row r="50" spans="1:11" ht="16.5" x14ac:dyDescent="0.3">
      <c r="A50" s="65"/>
      <c r="B50" s="66"/>
      <c r="C50" s="63"/>
      <c r="D50" s="63"/>
      <c r="E50" s="64"/>
      <c r="F50" s="63"/>
      <c r="G50" s="63"/>
      <c r="H50" s="63"/>
      <c r="I50" s="63"/>
    </row>
    <row r="51" spans="1:11" ht="16.5" x14ac:dyDescent="0.3">
      <c r="A51" s="65"/>
      <c r="B51" s="66"/>
      <c r="C51" s="63"/>
      <c r="D51" s="63"/>
      <c r="E51" s="64"/>
      <c r="F51" s="63"/>
      <c r="G51" s="63"/>
      <c r="H51" s="63"/>
      <c r="I51" s="63"/>
    </row>
    <row r="52" spans="1:11" x14ac:dyDescent="0.2">
      <c r="A52" s="67" t="s">
        <v>96</v>
      </c>
      <c r="B52" s="67"/>
      <c r="C52" s="67"/>
      <c r="D52" s="68"/>
      <c r="E52" s="68"/>
      <c r="F52" s="68"/>
      <c r="G52" s="68"/>
      <c r="H52" s="68"/>
      <c r="I52" s="68"/>
    </row>
    <row r="53" spans="1:11" x14ac:dyDescent="0.2">
      <c r="A53" s="69" t="s">
        <v>242</v>
      </c>
      <c r="B53" s="69"/>
      <c r="C53" s="69"/>
      <c r="D53" s="69"/>
      <c r="E53" s="69"/>
      <c r="F53" s="69"/>
      <c r="G53" s="69"/>
      <c r="H53" s="69"/>
      <c r="I53" s="69"/>
      <c r="J53" s="68"/>
    </row>
    <row r="54" spans="1:11" x14ac:dyDescent="0.2">
      <c r="A54" s="70"/>
      <c r="B54" s="71"/>
      <c r="C54" s="72"/>
      <c r="D54" s="72"/>
      <c r="E54" s="72"/>
      <c r="F54" s="72"/>
      <c r="G54" s="72"/>
      <c r="H54" s="71"/>
      <c r="I54" s="71"/>
      <c r="J54" s="69"/>
    </row>
    <row r="55" spans="1:11" x14ac:dyDescent="0.2">
      <c r="A55" s="510" t="s">
        <v>97</v>
      </c>
      <c r="B55" s="512" t="s">
        <v>98</v>
      </c>
      <c r="C55" s="514" t="s">
        <v>244</v>
      </c>
      <c r="D55" s="516" t="s">
        <v>99</v>
      </c>
      <c r="E55" s="517"/>
      <c r="F55" s="517"/>
      <c r="G55" s="518"/>
      <c r="H55" s="519" t="s">
        <v>100</v>
      </c>
      <c r="I55" s="506" t="s">
        <v>101</v>
      </c>
      <c r="J55" s="71"/>
    </row>
    <row r="56" spans="1:11" x14ac:dyDescent="0.25">
      <c r="A56" s="511"/>
      <c r="B56" s="513"/>
      <c r="C56" s="515"/>
      <c r="D56" s="73" t="s">
        <v>58</v>
      </c>
      <c r="E56" s="73" t="s">
        <v>62</v>
      </c>
      <c r="F56" s="377" t="s">
        <v>246</v>
      </c>
      <c r="G56" s="73" t="s">
        <v>102</v>
      </c>
      <c r="H56" s="520"/>
      <c r="I56" s="507"/>
      <c r="J56" s="508" t="s">
        <v>245</v>
      </c>
      <c r="K56" s="379"/>
    </row>
    <row r="57" spans="1:11" x14ac:dyDescent="0.2">
      <c r="A57" s="75"/>
      <c r="B57" s="76" t="s">
        <v>103</v>
      </c>
      <c r="C57" s="77"/>
      <c r="D57" s="77"/>
      <c r="E57" s="77"/>
      <c r="F57" s="77"/>
      <c r="G57" s="77"/>
      <c r="H57" s="77"/>
      <c r="I57" s="78"/>
      <c r="J57" s="509"/>
      <c r="K57" s="379"/>
    </row>
    <row r="58" spans="1:11" x14ac:dyDescent="0.2">
      <c r="A58" s="248" t="s">
        <v>243</v>
      </c>
      <c r="B58" s="253" t="s">
        <v>122</v>
      </c>
      <c r="C58" s="84">
        <v>7670</v>
      </c>
      <c r="D58" s="83"/>
      <c r="E58" s="84">
        <v>438000</v>
      </c>
      <c r="F58" s="84"/>
      <c r="G58" s="84"/>
      <c r="H58" s="116">
        <v>40000</v>
      </c>
      <c r="I58" s="84">
        <v>406120</v>
      </c>
      <c r="J58" s="82">
        <f>+SUM(C58:G58)-(H58+I58)</f>
        <v>-450</v>
      </c>
      <c r="K58" s="380" t="b">
        <f t="shared" ref="K58:K70" si="14">J58=I6</f>
        <v>0</v>
      </c>
    </row>
    <row r="59" spans="1:11" x14ac:dyDescent="0.2">
      <c r="A59" s="248" t="s">
        <v>243</v>
      </c>
      <c r="B59" s="253" t="s">
        <v>91</v>
      </c>
      <c r="C59" s="84">
        <v>4710</v>
      </c>
      <c r="D59" s="83"/>
      <c r="E59" s="84">
        <v>303000</v>
      </c>
      <c r="F59" s="84">
        <f>25000+91000+62000</f>
        <v>178000</v>
      </c>
      <c r="G59" s="84"/>
      <c r="H59" s="116">
        <v>29000</v>
      </c>
      <c r="I59" s="84">
        <v>444200</v>
      </c>
      <c r="J59" s="82">
        <f t="shared" ref="J59:J60" si="15">+SUM(C59:G59)-(H59+I59)</f>
        <v>12510</v>
      </c>
      <c r="K59" s="380" t="b">
        <f t="shared" si="14"/>
        <v>0</v>
      </c>
    </row>
    <row r="60" spans="1:11" x14ac:dyDescent="0.2">
      <c r="A60" s="248" t="s">
        <v>243</v>
      </c>
      <c r="B60" s="253" t="s">
        <v>69</v>
      </c>
      <c r="C60" s="84">
        <v>9295</v>
      </c>
      <c r="D60" s="83"/>
      <c r="E60" s="84">
        <v>743000</v>
      </c>
      <c r="F60" s="84">
        <v>2000</v>
      </c>
      <c r="G60" s="84"/>
      <c r="H60" s="84">
        <f>103000+91000+137000+101000+91000</f>
        <v>523000</v>
      </c>
      <c r="I60" s="84">
        <v>228400</v>
      </c>
      <c r="J60" s="187">
        <f t="shared" si="15"/>
        <v>2895</v>
      </c>
      <c r="K60" s="380" t="b">
        <f t="shared" si="14"/>
        <v>0</v>
      </c>
    </row>
    <row r="61" spans="1:11" x14ac:dyDescent="0.2">
      <c r="A61" s="248" t="s">
        <v>243</v>
      </c>
      <c r="B61" s="253" t="s">
        <v>123</v>
      </c>
      <c r="C61" s="84">
        <v>-25100</v>
      </c>
      <c r="D61" s="192"/>
      <c r="E61" s="84">
        <v>121100</v>
      </c>
      <c r="F61" s="84">
        <f>103000+1000+28000+137000</f>
        <v>269000</v>
      </c>
      <c r="G61" s="84"/>
      <c r="H61" s="84"/>
      <c r="I61" s="84">
        <v>302960</v>
      </c>
      <c r="J61" s="187">
        <f>+SUM(C61:G61)-(H61+I61)</f>
        <v>62040</v>
      </c>
      <c r="K61" s="380" t="b">
        <f t="shared" si="14"/>
        <v>0</v>
      </c>
    </row>
    <row r="62" spans="1:11" x14ac:dyDescent="0.2">
      <c r="A62" s="248" t="s">
        <v>243</v>
      </c>
      <c r="B62" s="253" t="s">
        <v>114</v>
      </c>
      <c r="C62" s="84">
        <v>7384</v>
      </c>
      <c r="D62" s="192"/>
      <c r="E62" s="84">
        <v>319000</v>
      </c>
      <c r="F62" s="84">
        <v>101000</v>
      </c>
      <c r="G62" s="84"/>
      <c r="H62" s="84">
        <v>62000</v>
      </c>
      <c r="I62" s="84">
        <v>365200</v>
      </c>
      <c r="J62" s="187">
        <f t="shared" ref="J62" si="16">+SUM(C62:G62)-(H62+I62)</f>
        <v>184</v>
      </c>
      <c r="K62" s="380" t="b">
        <f t="shared" si="14"/>
        <v>1</v>
      </c>
    </row>
    <row r="63" spans="1:11" x14ac:dyDescent="0.2">
      <c r="A63" s="248" t="s">
        <v>243</v>
      </c>
      <c r="B63" s="254" t="s">
        <v>68</v>
      </c>
      <c r="C63" s="84">
        <v>61300</v>
      </c>
      <c r="D63" s="245"/>
      <c r="E63" s="112">
        <v>931200</v>
      </c>
      <c r="F63" s="112"/>
      <c r="G63" s="112"/>
      <c r="H63" s="112">
        <v>28000</v>
      </c>
      <c r="I63" s="112">
        <v>1001000</v>
      </c>
      <c r="J63" s="250">
        <f>+SUM(C63:G63)-(H63+I63)</f>
        <v>-36500</v>
      </c>
      <c r="K63" s="380" t="b">
        <f t="shared" si="14"/>
        <v>0</v>
      </c>
    </row>
    <row r="64" spans="1:11" x14ac:dyDescent="0.2">
      <c r="A64" s="248" t="s">
        <v>243</v>
      </c>
      <c r="B64" s="255" t="s">
        <v>130</v>
      </c>
      <c r="C64" s="246">
        <v>233614</v>
      </c>
      <c r="D64" s="249"/>
      <c r="E64" s="268"/>
      <c r="F64" s="268"/>
      <c r="G64" s="268"/>
      <c r="H64" s="268"/>
      <c r="I64" s="268"/>
      <c r="J64" s="247">
        <f>+SUM(C64:G64)-(H64+I64)</f>
        <v>233614</v>
      </c>
      <c r="K64" s="380" t="b">
        <f t="shared" si="14"/>
        <v>1</v>
      </c>
    </row>
    <row r="65" spans="1:11" x14ac:dyDescent="0.2">
      <c r="A65" s="248" t="s">
        <v>243</v>
      </c>
      <c r="B65" s="255" t="s">
        <v>129</v>
      </c>
      <c r="C65" s="246">
        <v>249769</v>
      </c>
      <c r="D65" s="249"/>
      <c r="E65" s="268"/>
      <c r="F65" s="268"/>
      <c r="G65" s="268"/>
      <c r="H65" s="268"/>
      <c r="I65" s="268"/>
      <c r="J65" s="247">
        <f t="shared" ref="J65:J68" si="17">+SUM(C65:G65)-(H65+I65)</f>
        <v>249769</v>
      </c>
      <c r="K65" s="380" t="b">
        <f t="shared" si="14"/>
        <v>1</v>
      </c>
    </row>
    <row r="66" spans="1:11" x14ac:dyDescent="0.2">
      <c r="A66" s="248" t="s">
        <v>243</v>
      </c>
      <c r="B66" s="253" t="s">
        <v>77</v>
      </c>
      <c r="C66" s="84">
        <v>4500</v>
      </c>
      <c r="D66" s="83"/>
      <c r="E66" s="84">
        <v>234000</v>
      </c>
      <c r="F66" s="84">
        <v>40000</v>
      </c>
      <c r="G66" s="192"/>
      <c r="H66" s="192"/>
      <c r="I66" s="84">
        <v>207300</v>
      </c>
      <c r="J66" s="82">
        <f t="shared" si="17"/>
        <v>71200</v>
      </c>
      <c r="K66" s="380" t="b">
        <f t="shared" si="14"/>
        <v>0</v>
      </c>
    </row>
    <row r="67" spans="1:11" x14ac:dyDescent="0.2">
      <c r="A67" s="248" t="s">
        <v>243</v>
      </c>
      <c r="B67" s="253" t="s">
        <v>142</v>
      </c>
      <c r="C67" s="84">
        <v>-6000</v>
      </c>
      <c r="D67" s="83"/>
      <c r="E67" s="84">
        <v>61000</v>
      </c>
      <c r="F67" s="192"/>
      <c r="G67" s="192"/>
      <c r="H67" s="192"/>
      <c r="I67" s="84">
        <v>49000</v>
      </c>
      <c r="J67" s="82">
        <f t="shared" si="17"/>
        <v>6000</v>
      </c>
      <c r="K67" s="380" t="b">
        <f t="shared" si="14"/>
        <v>0</v>
      </c>
    </row>
    <row r="68" spans="1:11" x14ac:dyDescent="0.2">
      <c r="A68" s="248" t="s">
        <v>243</v>
      </c>
      <c r="B68" s="253" t="s">
        <v>67</v>
      </c>
      <c r="C68" s="84">
        <v>72200</v>
      </c>
      <c r="D68" s="83"/>
      <c r="E68" s="84">
        <v>722000</v>
      </c>
      <c r="F68" s="192"/>
      <c r="G68" s="192"/>
      <c r="H68" s="192"/>
      <c r="I68" s="84">
        <v>626500</v>
      </c>
      <c r="J68" s="82">
        <f t="shared" si="17"/>
        <v>167700</v>
      </c>
      <c r="K68" s="380" t="b">
        <f t="shared" si="14"/>
        <v>0</v>
      </c>
    </row>
    <row r="69" spans="1:11" x14ac:dyDescent="0.2">
      <c r="A69" s="248" t="s">
        <v>243</v>
      </c>
      <c r="B69" s="253" t="s">
        <v>70</v>
      </c>
      <c r="C69" s="84">
        <v>9300</v>
      </c>
      <c r="D69" s="83"/>
      <c r="E69" s="84">
        <v>60000</v>
      </c>
      <c r="F69" s="192"/>
      <c r="G69" s="192"/>
      <c r="H69" s="192"/>
      <c r="I69" s="84">
        <v>4000</v>
      </c>
      <c r="J69" s="82">
        <f t="shared" ref="J69:J70" si="18">+SUM(C69:G69)-(H69+I69)</f>
        <v>65300</v>
      </c>
      <c r="K69" s="380" t="b">
        <f t="shared" si="14"/>
        <v>0</v>
      </c>
    </row>
    <row r="70" spans="1:11" x14ac:dyDescent="0.2">
      <c r="A70" s="248" t="s">
        <v>243</v>
      </c>
      <c r="B70" s="254" t="s">
        <v>175</v>
      </c>
      <c r="C70" s="84">
        <v>-14000</v>
      </c>
      <c r="D70" s="245"/>
      <c r="E70" s="112">
        <v>378000</v>
      </c>
      <c r="F70" s="112">
        <f>29000+91000</f>
        <v>120000</v>
      </c>
      <c r="G70" s="269"/>
      <c r="H70" s="112">
        <f>2000+1000+25000</f>
        <v>28000</v>
      </c>
      <c r="I70" s="112">
        <v>467700</v>
      </c>
      <c r="J70" s="82">
        <f t="shared" si="18"/>
        <v>-11700</v>
      </c>
      <c r="K70" s="380" t="b">
        <f t="shared" si="14"/>
        <v>0</v>
      </c>
    </row>
    <row r="71" spans="1:11" x14ac:dyDescent="0.2">
      <c r="A71" s="86" t="s">
        <v>104</v>
      </c>
      <c r="B71" s="87"/>
      <c r="C71" s="87"/>
      <c r="D71" s="87"/>
      <c r="E71" s="87"/>
      <c r="F71" s="87"/>
      <c r="G71" s="87"/>
      <c r="H71" s="87"/>
      <c r="I71" s="87"/>
      <c r="J71" s="88"/>
      <c r="K71" s="379"/>
    </row>
    <row r="72" spans="1:11" x14ac:dyDescent="0.2">
      <c r="A72" s="248" t="s">
        <v>243</v>
      </c>
      <c r="B72" s="89" t="s">
        <v>105</v>
      </c>
      <c r="C72" s="90">
        <v>1148337</v>
      </c>
      <c r="D72" s="110">
        <v>7000000</v>
      </c>
      <c r="E72" s="191"/>
      <c r="F72" s="191"/>
      <c r="G72" s="270"/>
      <c r="H72" s="257">
        <v>4310300</v>
      </c>
      <c r="I72" s="252">
        <v>2165078</v>
      </c>
      <c r="J72" s="97">
        <f>+SUM(C72:G72)-(H72+I72)</f>
        <v>1672959</v>
      </c>
      <c r="K72" s="380" t="b">
        <f>J72=I5</f>
        <v>0</v>
      </c>
    </row>
    <row r="73" spans="1:11" x14ac:dyDescent="0.2">
      <c r="A73" s="95" t="s">
        <v>106</v>
      </c>
      <c r="B73" s="76"/>
      <c r="C73" s="87"/>
      <c r="D73" s="76"/>
      <c r="E73" s="76"/>
      <c r="F73" s="76"/>
      <c r="G73" s="76"/>
      <c r="H73" s="76"/>
      <c r="I73" s="76"/>
      <c r="J73" s="88"/>
      <c r="K73" s="379"/>
    </row>
    <row r="74" spans="1:11" x14ac:dyDescent="0.2">
      <c r="A74" s="248" t="s">
        <v>243</v>
      </c>
      <c r="B74" s="89" t="s">
        <v>107</v>
      </c>
      <c r="C74" s="251">
        <v>10113263</v>
      </c>
      <c r="D74" s="258">
        <v>0</v>
      </c>
      <c r="E74" s="110"/>
      <c r="F74" s="110"/>
      <c r="G74" s="110"/>
      <c r="H74" s="112">
        <v>7000000</v>
      </c>
      <c r="I74" s="114">
        <v>155885</v>
      </c>
      <c r="J74" s="97">
        <f>+SUM(C74:G74)-(H74+I74)</f>
        <v>2957378</v>
      </c>
      <c r="K74" s="380" t="b">
        <f>+J74=I3</f>
        <v>0</v>
      </c>
    </row>
    <row r="75" spans="1:11" x14ac:dyDescent="0.2">
      <c r="A75" s="248" t="s">
        <v>243</v>
      </c>
      <c r="B75" s="89" t="s">
        <v>108</v>
      </c>
      <c r="C75" s="251">
        <v>6219904</v>
      </c>
      <c r="D75" s="110">
        <v>28506579</v>
      </c>
      <c r="E75" s="109"/>
      <c r="F75" s="109"/>
      <c r="G75" s="109"/>
      <c r="H75" s="84"/>
      <c r="I75" s="111">
        <v>6707979</v>
      </c>
      <c r="J75" s="97">
        <f>SUM(C75:G75)-(H75+I75)</f>
        <v>28018504</v>
      </c>
      <c r="K75" s="380" t="b">
        <f>+J75=I4</f>
        <v>0</v>
      </c>
    </row>
    <row r="76" spans="1:11" ht="15.75" x14ac:dyDescent="0.25">
      <c r="C76" s="278">
        <f>SUM(C58:C75)</f>
        <v>18096146</v>
      </c>
      <c r="I76" s="272">
        <f>SUM(I58:I75)</f>
        <v>13131322</v>
      </c>
      <c r="J76" s="193">
        <f>+SUM(J58:J75)</f>
        <v>33471403</v>
      </c>
      <c r="K76" s="56" t="b">
        <f>J76=I19</f>
        <v>0</v>
      </c>
    </row>
    <row r="77" spans="1:11" ht="16.5" x14ac:dyDescent="0.3">
      <c r="A77" s="65"/>
      <c r="B77" s="66"/>
      <c r="C77" s="63" t="b">
        <f>C76=C19</f>
        <v>0</v>
      </c>
      <c r="D77" s="63"/>
      <c r="E77" s="64"/>
      <c r="F77" s="63"/>
      <c r="G77" s="63"/>
      <c r="H77" s="63"/>
      <c r="I77" s="63"/>
    </row>
    <row r="78" spans="1:11" ht="16.5" x14ac:dyDescent="0.3">
      <c r="A78" s="65"/>
      <c r="B78" s="66"/>
      <c r="C78" s="63"/>
      <c r="D78" s="63"/>
      <c r="E78" s="64"/>
      <c r="F78" s="63"/>
      <c r="G78" s="63"/>
      <c r="H78" s="63"/>
      <c r="I78" s="63"/>
    </row>
    <row r="79" spans="1:11" x14ac:dyDescent="0.2">
      <c r="A79" s="67" t="s">
        <v>96</v>
      </c>
      <c r="B79" s="67"/>
      <c r="C79" s="67"/>
      <c r="D79" s="68"/>
      <c r="E79" s="68"/>
      <c r="F79" s="68"/>
      <c r="G79" s="68"/>
      <c r="H79" s="68"/>
      <c r="I79" s="68"/>
    </row>
    <row r="80" spans="1:11" x14ac:dyDescent="0.2">
      <c r="A80" s="69" t="s">
        <v>203</v>
      </c>
      <c r="B80" s="69"/>
      <c r="C80" s="69"/>
      <c r="D80" s="69"/>
      <c r="E80" s="69"/>
      <c r="F80" s="69"/>
      <c r="G80" s="69"/>
      <c r="H80" s="69"/>
      <c r="I80" s="69"/>
      <c r="J80" s="68"/>
    </row>
    <row r="81" spans="1:11" x14ac:dyDescent="0.2">
      <c r="A81" s="70"/>
      <c r="B81" s="71"/>
      <c r="C81" s="72"/>
      <c r="D81" s="72"/>
      <c r="E81" s="72"/>
      <c r="F81" s="72"/>
      <c r="G81" s="72"/>
      <c r="H81" s="71"/>
      <c r="I81" s="71"/>
      <c r="J81" s="69"/>
    </row>
    <row r="82" spans="1:11" x14ac:dyDescent="0.2">
      <c r="A82" s="510" t="s">
        <v>97</v>
      </c>
      <c r="B82" s="512" t="s">
        <v>98</v>
      </c>
      <c r="C82" s="514" t="s">
        <v>205</v>
      </c>
      <c r="D82" s="516" t="s">
        <v>99</v>
      </c>
      <c r="E82" s="517"/>
      <c r="F82" s="517"/>
      <c r="G82" s="518"/>
      <c r="H82" s="519" t="s">
        <v>100</v>
      </c>
      <c r="I82" s="506" t="s">
        <v>101</v>
      </c>
      <c r="J82" s="71"/>
    </row>
    <row r="83" spans="1:11" x14ac:dyDescent="0.25">
      <c r="A83" s="511"/>
      <c r="B83" s="513"/>
      <c r="C83" s="515"/>
      <c r="D83" s="73" t="s">
        <v>58</v>
      </c>
      <c r="E83" s="73" t="s">
        <v>62</v>
      </c>
      <c r="F83" s="279" t="s">
        <v>207</v>
      </c>
      <c r="G83" s="73" t="s">
        <v>102</v>
      </c>
      <c r="H83" s="520"/>
      <c r="I83" s="507"/>
      <c r="J83" s="508" t="s">
        <v>206</v>
      </c>
    </row>
    <row r="84" spans="1:11" x14ac:dyDescent="0.2">
      <c r="A84" s="75"/>
      <c r="B84" s="76" t="s">
        <v>103</v>
      </c>
      <c r="C84" s="77"/>
      <c r="D84" s="77"/>
      <c r="E84" s="77"/>
      <c r="F84" s="77"/>
      <c r="G84" s="77"/>
      <c r="H84" s="77"/>
      <c r="I84" s="78"/>
      <c r="J84" s="509"/>
    </row>
    <row r="85" spans="1:11" x14ac:dyDescent="0.2">
      <c r="A85" s="248" t="s">
        <v>204</v>
      </c>
      <c r="B85" s="253" t="s">
        <v>122</v>
      </c>
      <c r="C85" s="84">
        <v>3670</v>
      </c>
      <c r="D85" s="83"/>
      <c r="E85" s="84">
        <v>118000</v>
      </c>
      <c r="F85" s="84">
        <v>4000</v>
      </c>
      <c r="G85" s="84"/>
      <c r="H85" s="116"/>
      <c r="I85" s="84">
        <v>118000</v>
      </c>
      <c r="J85" s="82">
        <f>+SUM(C85:G85)-(H85+I85)</f>
        <v>7670</v>
      </c>
      <c r="K85" s="342"/>
    </row>
    <row r="86" spans="1:11" x14ac:dyDescent="0.2">
      <c r="A86" s="248" t="s">
        <v>204</v>
      </c>
      <c r="B86" s="253" t="s">
        <v>91</v>
      </c>
      <c r="C86" s="84">
        <v>-540</v>
      </c>
      <c r="D86" s="83"/>
      <c r="E86" s="84">
        <v>209750</v>
      </c>
      <c r="F86" s="84">
        <v>5000</v>
      </c>
      <c r="G86" s="84"/>
      <c r="H86" s="116"/>
      <c r="I86" s="84">
        <v>209500</v>
      </c>
      <c r="J86" s="82">
        <f t="shared" ref="J86:J87" si="19">+SUM(C86:G86)-(H86+I86)</f>
        <v>4710</v>
      </c>
      <c r="K86" s="342"/>
    </row>
    <row r="87" spans="1:11" x14ac:dyDescent="0.2">
      <c r="A87" s="248" t="s">
        <v>204</v>
      </c>
      <c r="B87" s="253" t="s">
        <v>69</v>
      </c>
      <c r="C87" s="84">
        <v>2395</v>
      </c>
      <c r="D87" s="83"/>
      <c r="E87" s="84">
        <v>70000</v>
      </c>
      <c r="F87" s="84">
        <v>4000</v>
      </c>
      <c r="G87" s="84"/>
      <c r="H87" s="84"/>
      <c r="I87" s="84">
        <v>67100</v>
      </c>
      <c r="J87" s="187">
        <f t="shared" si="19"/>
        <v>9295</v>
      </c>
      <c r="K87" s="342"/>
    </row>
    <row r="88" spans="1:11" x14ac:dyDescent="0.2">
      <c r="A88" s="248" t="s">
        <v>204</v>
      </c>
      <c r="B88" s="253" t="s">
        <v>123</v>
      </c>
      <c r="C88" s="84">
        <v>96100</v>
      </c>
      <c r="D88" s="192"/>
      <c r="E88" s="84">
        <v>488100</v>
      </c>
      <c r="F88" s="84">
        <v>4000</v>
      </c>
      <c r="G88" s="84"/>
      <c r="H88" s="84">
        <v>61600</v>
      </c>
      <c r="I88" s="84">
        <v>551700</v>
      </c>
      <c r="J88" s="187">
        <f>+SUM(C88:G88)-(H88+I88)</f>
        <v>-25100</v>
      </c>
      <c r="K88" s="342"/>
    </row>
    <row r="89" spans="1:11" x14ac:dyDescent="0.2">
      <c r="A89" s="248" t="s">
        <v>204</v>
      </c>
      <c r="B89" s="253" t="s">
        <v>114</v>
      </c>
      <c r="C89" s="84">
        <v>13884</v>
      </c>
      <c r="D89" s="192"/>
      <c r="E89" s="84">
        <v>194000</v>
      </c>
      <c r="F89" s="84"/>
      <c r="G89" s="84"/>
      <c r="H89" s="84">
        <v>17000</v>
      </c>
      <c r="I89" s="84">
        <v>183500</v>
      </c>
      <c r="J89" s="187">
        <f t="shared" ref="J89" si="20">+SUM(C89:G89)-(H89+I89)</f>
        <v>7384</v>
      </c>
      <c r="K89" s="342"/>
    </row>
    <row r="90" spans="1:11" x14ac:dyDescent="0.2">
      <c r="A90" s="248" t="s">
        <v>204</v>
      </c>
      <c r="B90" s="254" t="s">
        <v>68</v>
      </c>
      <c r="C90" s="84">
        <v>72400</v>
      </c>
      <c r="D90" s="245"/>
      <c r="E90" s="112">
        <v>599900</v>
      </c>
      <c r="F90" s="112"/>
      <c r="G90" s="112"/>
      <c r="H90" s="112"/>
      <c r="I90" s="112">
        <v>611000</v>
      </c>
      <c r="J90" s="250">
        <f>+SUM(C90:G90)-(H90+I90)</f>
        <v>61300</v>
      </c>
      <c r="K90" s="342"/>
    </row>
    <row r="91" spans="1:11" x14ac:dyDescent="0.2">
      <c r="A91" s="248" t="s">
        <v>204</v>
      </c>
      <c r="B91" s="255" t="s">
        <v>130</v>
      </c>
      <c r="C91" s="246">
        <v>233614</v>
      </c>
      <c r="D91" s="249"/>
      <c r="E91" s="268"/>
      <c r="F91" s="268"/>
      <c r="G91" s="268"/>
      <c r="H91" s="268"/>
      <c r="I91" s="268"/>
      <c r="J91" s="247">
        <f>+SUM(C91:G91)-(H91+I91)</f>
        <v>233614</v>
      </c>
      <c r="K91" s="342"/>
    </row>
    <row r="92" spans="1:11" x14ac:dyDescent="0.2">
      <c r="A92" s="248" t="s">
        <v>204</v>
      </c>
      <c r="B92" s="255" t="s">
        <v>129</v>
      </c>
      <c r="C92" s="246">
        <v>249769</v>
      </c>
      <c r="D92" s="249"/>
      <c r="E92" s="268"/>
      <c r="F92" s="268"/>
      <c r="G92" s="268"/>
      <c r="H92" s="268"/>
      <c r="I92" s="268"/>
      <c r="J92" s="247">
        <f t="shared" ref="J92:J99" si="21">+SUM(C92:G92)-(H92+I92)</f>
        <v>249769</v>
      </c>
      <c r="K92" s="342"/>
    </row>
    <row r="93" spans="1:11" x14ac:dyDescent="0.2">
      <c r="A93" s="248" t="s">
        <v>204</v>
      </c>
      <c r="B93" s="253" t="s">
        <v>77</v>
      </c>
      <c r="C93" s="84">
        <v>18490</v>
      </c>
      <c r="D93" s="83"/>
      <c r="E93" s="84">
        <v>796460</v>
      </c>
      <c r="F93" s="84">
        <v>61600</v>
      </c>
      <c r="G93" s="192"/>
      <c r="H93" s="192"/>
      <c r="I93" s="84">
        <v>872050</v>
      </c>
      <c r="J93" s="82">
        <f t="shared" si="21"/>
        <v>4500</v>
      </c>
      <c r="K93" s="342"/>
    </row>
    <row r="94" spans="1:11" x14ac:dyDescent="0.2">
      <c r="A94" s="248" t="s">
        <v>204</v>
      </c>
      <c r="B94" s="253" t="s">
        <v>142</v>
      </c>
      <c r="C94" s="84">
        <v>4500</v>
      </c>
      <c r="D94" s="83"/>
      <c r="E94" s="84">
        <v>40000</v>
      </c>
      <c r="F94" s="192"/>
      <c r="G94" s="192"/>
      <c r="H94" s="192"/>
      <c r="I94" s="84">
        <v>50500</v>
      </c>
      <c r="J94" s="82">
        <f t="shared" si="21"/>
        <v>-6000</v>
      </c>
      <c r="K94" s="342"/>
    </row>
    <row r="95" spans="1:11" x14ac:dyDescent="0.2">
      <c r="A95" s="248" t="s">
        <v>204</v>
      </c>
      <c r="B95" s="253" t="s">
        <v>67</v>
      </c>
      <c r="C95" s="84">
        <v>44200</v>
      </c>
      <c r="D95" s="83"/>
      <c r="E95" s="84">
        <v>60000</v>
      </c>
      <c r="F95" s="192"/>
      <c r="G95" s="192"/>
      <c r="H95" s="192"/>
      <c r="I95" s="84">
        <v>32000</v>
      </c>
      <c r="J95" s="82">
        <f t="shared" si="21"/>
        <v>72200</v>
      </c>
      <c r="K95" s="342"/>
    </row>
    <row r="96" spans="1:11" x14ac:dyDescent="0.2">
      <c r="A96" s="248" t="s">
        <v>204</v>
      </c>
      <c r="B96" s="253" t="s">
        <v>146</v>
      </c>
      <c r="C96" s="84">
        <v>-851709</v>
      </c>
      <c r="D96" s="83"/>
      <c r="E96" s="84">
        <v>851709</v>
      </c>
      <c r="F96" s="192"/>
      <c r="G96" s="192"/>
      <c r="H96" s="192"/>
      <c r="I96" s="84"/>
      <c r="J96" s="82">
        <f>+SUM(C96:G96)-(H96+I96)</f>
        <v>0</v>
      </c>
      <c r="K96" s="342"/>
    </row>
    <row r="97" spans="1:11" x14ac:dyDescent="0.2">
      <c r="A97" s="248" t="s">
        <v>204</v>
      </c>
      <c r="B97" s="253" t="s">
        <v>154</v>
      </c>
      <c r="C97" s="84">
        <v>90300</v>
      </c>
      <c r="D97" s="83"/>
      <c r="E97" s="84">
        <v>69200</v>
      </c>
      <c r="F97" s="192"/>
      <c r="G97" s="192"/>
      <c r="H97" s="192"/>
      <c r="I97" s="84">
        <v>159500</v>
      </c>
      <c r="J97" s="82">
        <f t="shared" si="21"/>
        <v>0</v>
      </c>
      <c r="K97" s="342"/>
    </row>
    <row r="98" spans="1:11" x14ac:dyDescent="0.2">
      <c r="A98" s="248" t="s">
        <v>204</v>
      </c>
      <c r="B98" s="253" t="s">
        <v>70</v>
      </c>
      <c r="C98" s="84">
        <v>300</v>
      </c>
      <c r="D98" s="83"/>
      <c r="E98" s="84">
        <v>20000</v>
      </c>
      <c r="F98" s="192"/>
      <c r="G98" s="192"/>
      <c r="H98" s="192"/>
      <c r="I98" s="84">
        <v>11000</v>
      </c>
      <c r="J98" s="82">
        <f t="shared" si="21"/>
        <v>9300</v>
      </c>
      <c r="K98" s="342"/>
    </row>
    <row r="99" spans="1:11" x14ac:dyDescent="0.2">
      <c r="A99" s="248" t="s">
        <v>204</v>
      </c>
      <c r="B99" s="254" t="s">
        <v>175</v>
      </c>
      <c r="C99" s="84">
        <v>0</v>
      </c>
      <c r="D99" s="245"/>
      <c r="E99" s="267"/>
      <c r="F99" s="267"/>
      <c r="G99" s="269"/>
      <c r="H99" s="267"/>
      <c r="I99" s="112">
        <v>14000</v>
      </c>
      <c r="J99" s="82">
        <f t="shared" si="21"/>
        <v>-14000</v>
      </c>
      <c r="K99" s="342"/>
    </row>
    <row r="100" spans="1:11" x14ac:dyDescent="0.2">
      <c r="A100" s="86" t="s">
        <v>104</v>
      </c>
      <c r="B100" s="87"/>
      <c r="C100" s="87"/>
      <c r="D100" s="87"/>
      <c r="E100" s="87"/>
      <c r="F100" s="87"/>
      <c r="G100" s="87"/>
      <c r="H100" s="87"/>
      <c r="I100" s="87"/>
      <c r="J100" s="88"/>
    </row>
    <row r="101" spans="1:11" x14ac:dyDescent="0.2">
      <c r="A101" s="248" t="s">
        <v>204</v>
      </c>
      <c r="B101" s="89" t="s">
        <v>105</v>
      </c>
      <c r="C101" s="90">
        <f>C5</f>
        <v>1672959</v>
      </c>
      <c r="D101" s="110">
        <v>5872000</v>
      </c>
      <c r="E101" s="191"/>
      <c r="F101" s="191"/>
      <c r="G101" s="270"/>
      <c r="H101" s="257">
        <v>3517119</v>
      </c>
      <c r="I101" s="252">
        <v>1523260</v>
      </c>
      <c r="J101" s="97">
        <f>+SUM(C101:G101)-(H101+I101)</f>
        <v>2504580</v>
      </c>
      <c r="K101" s="342"/>
    </row>
    <row r="102" spans="1:11" x14ac:dyDescent="0.2">
      <c r="A102" s="95" t="s">
        <v>106</v>
      </c>
      <c r="B102" s="76"/>
      <c r="C102" s="87"/>
      <c r="D102" s="76"/>
      <c r="E102" s="76"/>
      <c r="F102" s="76"/>
      <c r="G102" s="76"/>
      <c r="H102" s="76"/>
      <c r="I102" s="76"/>
      <c r="J102" s="88"/>
    </row>
    <row r="103" spans="1:11" x14ac:dyDescent="0.2">
      <c r="A103" s="248" t="s">
        <v>204</v>
      </c>
      <c r="B103" s="89" t="s">
        <v>107</v>
      </c>
      <c r="C103" s="251">
        <f>C3</f>
        <v>2957378</v>
      </c>
      <c r="D103" s="258">
        <v>10380044</v>
      </c>
      <c r="E103" s="110"/>
      <c r="F103" s="110"/>
      <c r="G103" s="110"/>
      <c r="H103" s="112">
        <v>5500000</v>
      </c>
      <c r="I103" s="114">
        <v>277455</v>
      </c>
      <c r="J103" s="97">
        <f>+SUM(C103:G103)-(H103+I103)</f>
        <v>7559967</v>
      </c>
      <c r="K103" s="342"/>
    </row>
    <row r="104" spans="1:11" x14ac:dyDescent="0.2">
      <c r="A104" s="248" t="s">
        <v>204</v>
      </c>
      <c r="B104" s="89" t="s">
        <v>108</v>
      </c>
      <c r="C104" s="251">
        <f>C4</f>
        <v>28018504</v>
      </c>
      <c r="D104" s="110"/>
      <c r="E104" s="109"/>
      <c r="F104" s="109"/>
      <c r="G104" s="109"/>
      <c r="H104" s="84">
        <v>372000</v>
      </c>
      <c r="I104" s="111">
        <v>4601760</v>
      </c>
      <c r="J104" s="97">
        <f>SUM(C104:G104)-(H104+I104)</f>
        <v>23044744</v>
      </c>
      <c r="K104" s="342"/>
    </row>
    <row r="105" spans="1:11" ht="15.75" x14ac:dyDescent="0.25">
      <c r="C105" s="278">
        <f>SUM(C85:C104)</f>
        <v>32626214</v>
      </c>
      <c r="I105" s="272">
        <f>SUM(I85:I104)</f>
        <v>9282325</v>
      </c>
      <c r="J105" s="193">
        <f>+SUM(J85:J104)</f>
        <v>33723933</v>
      </c>
    </row>
    <row r="106" spans="1:11" ht="16.5" x14ac:dyDescent="0.3">
      <c r="A106" s="65"/>
      <c r="B106" s="66"/>
      <c r="C106" s="63"/>
      <c r="D106" s="63"/>
      <c r="E106" s="64"/>
      <c r="F106" s="63"/>
      <c r="G106" s="63"/>
      <c r="H106" s="63"/>
      <c r="I106" s="63"/>
    </row>
    <row r="107" spans="1:11" x14ac:dyDescent="0.2">
      <c r="A107" s="67" t="s">
        <v>96</v>
      </c>
      <c r="B107" s="67"/>
      <c r="C107" s="67"/>
      <c r="D107" s="68"/>
      <c r="E107" s="68"/>
      <c r="F107" s="68"/>
      <c r="G107" s="68"/>
      <c r="H107" s="68"/>
      <c r="I107" s="68"/>
    </row>
    <row r="108" spans="1:11" x14ac:dyDescent="0.2">
      <c r="A108" s="69" t="s">
        <v>168</v>
      </c>
      <c r="B108" s="69"/>
      <c r="C108" s="69"/>
      <c r="D108" s="69"/>
      <c r="E108" s="69"/>
      <c r="F108" s="69"/>
      <c r="G108" s="69"/>
      <c r="H108" s="69"/>
      <c r="I108" s="69"/>
      <c r="J108" s="68"/>
    </row>
    <row r="109" spans="1:11" x14ac:dyDescent="0.2">
      <c r="A109" s="70"/>
      <c r="B109" s="71"/>
      <c r="C109" s="72"/>
      <c r="D109" s="72"/>
      <c r="E109" s="72"/>
      <c r="F109" s="72"/>
      <c r="G109" s="72"/>
      <c r="H109" s="71"/>
      <c r="I109" s="71"/>
      <c r="J109" s="69"/>
    </row>
    <row r="110" spans="1:11" x14ac:dyDescent="0.2">
      <c r="A110" s="510" t="s">
        <v>97</v>
      </c>
      <c r="B110" s="512" t="s">
        <v>98</v>
      </c>
      <c r="C110" s="514" t="s">
        <v>169</v>
      </c>
      <c r="D110" s="516" t="s">
        <v>99</v>
      </c>
      <c r="E110" s="517"/>
      <c r="F110" s="517"/>
      <c r="G110" s="518"/>
      <c r="H110" s="519" t="s">
        <v>100</v>
      </c>
      <c r="I110" s="506" t="s">
        <v>101</v>
      </c>
      <c r="J110" s="71"/>
    </row>
    <row r="111" spans="1:11" x14ac:dyDescent="0.25">
      <c r="A111" s="511"/>
      <c r="B111" s="513"/>
      <c r="C111" s="515"/>
      <c r="D111" s="73" t="s">
        <v>58</v>
      </c>
      <c r="E111" s="73" t="s">
        <v>62</v>
      </c>
      <c r="F111" s="276" t="s">
        <v>172</v>
      </c>
      <c r="G111" s="73" t="s">
        <v>102</v>
      </c>
      <c r="H111" s="520"/>
      <c r="I111" s="507"/>
      <c r="J111" s="508" t="s">
        <v>170</v>
      </c>
    </row>
    <row r="112" spans="1:11" x14ac:dyDescent="0.2">
      <c r="A112" s="75"/>
      <c r="B112" s="76" t="s">
        <v>103</v>
      </c>
      <c r="C112" s="77"/>
      <c r="D112" s="77"/>
      <c r="E112" s="77"/>
      <c r="F112" s="77"/>
      <c r="G112" s="77"/>
      <c r="H112" s="77"/>
      <c r="I112" s="78"/>
      <c r="J112" s="509"/>
    </row>
    <row r="113" spans="1:11" x14ac:dyDescent="0.2">
      <c r="A113" s="248" t="s">
        <v>167</v>
      </c>
      <c r="B113" s="253" t="s">
        <v>122</v>
      </c>
      <c r="C113" s="84">
        <v>-11330</v>
      </c>
      <c r="D113" s="83"/>
      <c r="E113" s="84">
        <v>201400</v>
      </c>
      <c r="F113" s="84">
        <v>184300</v>
      </c>
      <c r="G113" s="84"/>
      <c r="H113" s="116"/>
      <c r="I113" s="84">
        <v>370700</v>
      </c>
      <c r="J113" s="82">
        <f>+SUM(C113:G113)-(H113+I113)</f>
        <v>3670</v>
      </c>
      <c r="K113" s="130"/>
    </row>
    <row r="114" spans="1:11" x14ac:dyDescent="0.2">
      <c r="A114" s="248" t="s">
        <v>167</v>
      </c>
      <c r="B114" s="253" t="s">
        <v>91</v>
      </c>
      <c r="C114" s="84">
        <v>8260</v>
      </c>
      <c r="D114" s="83"/>
      <c r="E114" s="84">
        <v>357900</v>
      </c>
      <c r="F114" s="84"/>
      <c r="G114" s="84"/>
      <c r="H114" s="116">
        <v>50000</v>
      </c>
      <c r="I114" s="84">
        <v>316700</v>
      </c>
      <c r="J114" s="82">
        <f t="shared" ref="J114:J115" si="22">+SUM(C114:G114)-(H114+I114)</f>
        <v>-540</v>
      </c>
      <c r="K114" s="130"/>
    </row>
    <row r="115" spans="1:11" x14ac:dyDescent="0.2">
      <c r="A115" s="248" t="s">
        <v>167</v>
      </c>
      <c r="B115" s="253" t="s">
        <v>69</v>
      </c>
      <c r="C115" s="84">
        <v>3795</v>
      </c>
      <c r="D115" s="83"/>
      <c r="E115" s="84">
        <v>20000</v>
      </c>
      <c r="F115" s="84"/>
      <c r="G115" s="84"/>
      <c r="H115" s="84"/>
      <c r="I115" s="84">
        <v>21400</v>
      </c>
      <c r="J115" s="187">
        <f t="shared" si="22"/>
        <v>2395</v>
      </c>
      <c r="K115" s="130"/>
    </row>
    <row r="116" spans="1:11" x14ac:dyDescent="0.2">
      <c r="A116" s="248" t="s">
        <v>167</v>
      </c>
      <c r="B116" s="253" t="s">
        <v>123</v>
      </c>
      <c r="C116" s="84">
        <v>-83100</v>
      </c>
      <c r="D116" s="192"/>
      <c r="E116" s="84">
        <v>699200</v>
      </c>
      <c r="F116" s="84"/>
      <c r="G116" s="84"/>
      <c r="H116" s="84"/>
      <c r="I116" s="84">
        <v>520000</v>
      </c>
      <c r="J116" s="187">
        <f>+SUM(C116:G116)-(H116+I116)</f>
        <v>96100</v>
      </c>
      <c r="K116" s="130"/>
    </row>
    <row r="117" spans="1:11" x14ac:dyDescent="0.2">
      <c r="A117" s="248" t="s">
        <v>167</v>
      </c>
      <c r="B117" s="253" t="s">
        <v>114</v>
      </c>
      <c r="C117" s="84">
        <v>1784</v>
      </c>
      <c r="D117" s="192"/>
      <c r="E117" s="84">
        <v>568600</v>
      </c>
      <c r="F117" s="84">
        <v>50000</v>
      </c>
      <c r="G117" s="84"/>
      <c r="H117" s="84">
        <v>184300</v>
      </c>
      <c r="I117" s="84">
        <v>422200</v>
      </c>
      <c r="J117" s="187">
        <f t="shared" ref="J117" si="23">+SUM(C117:G117)-(H117+I117)</f>
        <v>13884</v>
      </c>
      <c r="K117" s="130"/>
    </row>
    <row r="118" spans="1:11" x14ac:dyDescent="0.2">
      <c r="A118" s="248" t="s">
        <v>167</v>
      </c>
      <c r="B118" s="254" t="s">
        <v>68</v>
      </c>
      <c r="C118" s="84">
        <v>88800</v>
      </c>
      <c r="D118" s="245"/>
      <c r="E118" s="112">
        <v>694600</v>
      </c>
      <c r="F118" s="112"/>
      <c r="G118" s="112"/>
      <c r="H118" s="112"/>
      <c r="I118" s="112">
        <v>711000</v>
      </c>
      <c r="J118" s="250">
        <f>+SUM(C118:G118)-(H118+I118)</f>
        <v>72400</v>
      </c>
      <c r="K118" s="130"/>
    </row>
    <row r="119" spans="1:11" x14ac:dyDescent="0.2">
      <c r="A119" s="248" t="s">
        <v>167</v>
      </c>
      <c r="B119" s="255" t="s">
        <v>130</v>
      </c>
      <c r="C119" s="246">
        <v>233614</v>
      </c>
      <c r="D119" s="249"/>
      <c r="E119" s="268"/>
      <c r="F119" s="268"/>
      <c r="G119" s="268"/>
      <c r="H119" s="268"/>
      <c r="I119" s="268"/>
      <c r="J119" s="247">
        <f>+SUM(C119:G119)-(H119+I119)</f>
        <v>233614</v>
      </c>
      <c r="K119" s="130"/>
    </row>
    <row r="120" spans="1:11" x14ac:dyDescent="0.2">
      <c r="A120" s="248" t="s">
        <v>167</v>
      </c>
      <c r="B120" s="255" t="s">
        <v>129</v>
      </c>
      <c r="C120" s="246">
        <v>249769</v>
      </c>
      <c r="D120" s="249"/>
      <c r="E120" s="268"/>
      <c r="F120" s="268"/>
      <c r="G120" s="268"/>
      <c r="H120" s="268"/>
      <c r="I120" s="268"/>
      <c r="J120" s="247">
        <f t="shared" ref="J120:J124" si="24">+SUM(C120:G120)-(H120+I120)</f>
        <v>249769</v>
      </c>
      <c r="K120" s="130"/>
    </row>
    <row r="121" spans="1:11" x14ac:dyDescent="0.2">
      <c r="A121" s="248" t="s">
        <v>167</v>
      </c>
      <c r="B121" s="253" t="s">
        <v>77</v>
      </c>
      <c r="C121" s="84">
        <v>7890</v>
      </c>
      <c r="D121" s="83"/>
      <c r="E121" s="84">
        <v>135600</v>
      </c>
      <c r="F121" s="192"/>
      <c r="G121" s="192"/>
      <c r="H121" s="192"/>
      <c r="I121" s="84">
        <v>125000</v>
      </c>
      <c r="J121" s="82">
        <f t="shared" si="24"/>
        <v>18490</v>
      </c>
      <c r="K121" s="130"/>
    </row>
    <row r="122" spans="1:11" x14ac:dyDescent="0.2">
      <c r="A122" s="248" t="s">
        <v>167</v>
      </c>
      <c r="B122" s="253" t="s">
        <v>142</v>
      </c>
      <c r="C122" s="84">
        <v>5000</v>
      </c>
      <c r="D122" s="83"/>
      <c r="E122" s="84">
        <v>30000</v>
      </c>
      <c r="F122" s="192"/>
      <c r="G122" s="192"/>
      <c r="H122" s="192"/>
      <c r="I122" s="84">
        <v>30500</v>
      </c>
      <c r="J122" s="82">
        <f t="shared" si="24"/>
        <v>4500</v>
      </c>
      <c r="K122" s="130"/>
    </row>
    <row r="123" spans="1:11" x14ac:dyDescent="0.2">
      <c r="A123" s="248" t="s">
        <v>167</v>
      </c>
      <c r="B123" s="253" t="s">
        <v>67</v>
      </c>
      <c r="C123" s="84">
        <v>57700</v>
      </c>
      <c r="D123" s="83"/>
      <c r="E123" s="84">
        <v>639000</v>
      </c>
      <c r="F123" s="192"/>
      <c r="G123" s="192"/>
      <c r="H123" s="192"/>
      <c r="I123" s="84">
        <v>652500</v>
      </c>
      <c r="J123" s="82">
        <f t="shared" si="24"/>
        <v>44200</v>
      </c>
      <c r="K123" s="130"/>
    </row>
    <row r="124" spans="1:11" x14ac:dyDescent="0.2">
      <c r="A124" s="248" t="s">
        <v>167</v>
      </c>
      <c r="B124" s="253" t="s">
        <v>146</v>
      </c>
      <c r="C124" s="84">
        <v>-32081</v>
      </c>
      <c r="D124" s="83"/>
      <c r="E124" s="192"/>
      <c r="F124" s="192"/>
      <c r="G124" s="192"/>
      <c r="H124" s="192"/>
      <c r="I124" s="84">
        <v>819628</v>
      </c>
      <c r="J124" s="82">
        <f t="shared" si="24"/>
        <v>-851709</v>
      </c>
      <c r="K124" s="130"/>
    </row>
    <row r="125" spans="1:11" x14ac:dyDescent="0.2">
      <c r="A125" s="248" t="s">
        <v>167</v>
      </c>
      <c r="B125" s="253" t="s">
        <v>154</v>
      </c>
      <c r="C125" s="84">
        <v>62000</v>
      </c>
      <c r="D125" s="83"/>
      <c r="E125" s="84">
        <v>622600</v>
      </c>
      <c r="F125" s="192"/>
      <c r="G125" s="192"/>
      <c r="H125" s="192"/>
      <c r="I125" s="84">
        <v>594300</v>
      </c>
      <c r="J125" s="82">
        <f>+SUM(C125:G125)-(H125+I125)</f>
        <v>90300</v>
      </c>
      <c r="K125" s="130"/>
    </row>
    <row r="126" spans="1:11" x14ac:dyDescent="0.2">
      <c r="A126" s="248" t="s">
        <v>167</v>
      </c>
      <c r="B126" s="254" t="s">
        <v>70</v>
      </c>
      <c r="C126" s="84">
        <v>4300</v>
      </c>
      <c r="D126" s="245"/>
      <c r="E126" s="267"/>
      <c r="F126" s="267"/>
      <c r="G126" s="269"/>
      <c r="H126" s="267"/>
      <c r="I126" s="112">
        <v>4000</v>
      </c>
      <c r="J126" s="82">
        <f t="shared" ref="J126" si="25">+SUM(C126:G126)-(H126+I126)</f>
        <v>300</v>
      </c>
      <c r="K126" s="130"/>
    </row>
    <row r="127" spans="1:11" x14ac:dyDescent="0.2">
      <c r="A127" s="86" t="s">
        <v>104</v>
      </c>
      <c r="B127" s="87"/>
      <c r="C127" s="87"/>
      <c r="D127" s="87"/>
      <c r="E127" s="87"/>
      <c r="F127" s="87"/>
      <c r="G127" s="87"/>
      <c r="H127" s="87"/>
      <c r="I127" s="87"/>
      <c r="J127" s="88"/>
      <c r="K127" s="130"/>
    </row>
    <row r="128" spans="1:11" x14ac:dyDescent="0.2">
      <c r="A128" s="248" t="s">
        <v>167</v>
      </c>
      <c r="B128" s="89" t="s">
        <v>105</v>
      </c>
      <c r="C128" s="90">
        <v>62150</v>
      </c>
      <c r="D128" s="110">
        <v>5500000</v>
      </c>
      <c r="E128" s="191"/>
      <c r="F128" s="191"/>
      <c r="G128" s="270"/>
      <c r="H128" s="257">
        <v>3968900</v>
      </c>
      <c r="I128" s="252">
        <v>1276534</v>
      </c>
      <c r="J128" s="97">
        <f>+SUM(C128:G128)-(H128+I128)</f>
        <v>316716</v>
      </c>
      <c r="K128" s="130"/>
    </row>
    <row r="129" spans="1:11" x14ac:dyDescent="0.2">
      <c r="A129" s="95" t="s">
        <v>106</v>
      </c>
      <c r="B129" s="76"/>
      <c r="C129" s="87"/>
      <c r="D129" s="76"/>
      <c r="E129" s="76"/>
      <c r="F129" s="76"/>
      <c r="G129" s="76"/>
      <c r="H129" s="76"/>
      <c r="I129" s="76"/>
      <c r="J129" s="88"/>
    </row>
    <row r="130" spans="1:11" x14ac:dyDescent="0.2">
      <c r="A130" s="248" t="s">
        <v>167</v>
      </c>
      <c r="B130" s="89" t="s">
        <v>107</v>
      </c>
      <c r="C130" s="251">
        <v>11284555</v>
      </c>
      <c r="D130" s="258"/>
      <c r="E130" s="110"/>
      <c r="F130" s="110"/>
      <c r="G130" s="110"/>
      <c r="H130" s="112">
        <v>5500000</v>
      </c>
      <c r="I130" s="114">
        <v>273881</v>
      </c>
      <c r="J130" s="97">
        <f>+SUM(C130:G130)-(H130+I130)</f>
        <v>5510674</v>
      </c>
      <c r="K130" s="130"/>
    </row>
    <row r="131" spans="1:11" x14ac:dyDescent="0.2">
      <c r="A131" s="248" t="s">
        <v>167</v>
      </c>
      <c r="B131" s="89" t="s">
        <v>108</v>
      </c>
      <c r="C131" s="251">
        <v>2158645</v>
      </c>
      <c r="D131" s="110">
        <v>15435980</v>
      </c>
      <c r="E131" s="109"/>
      <c r="F131" s="109"/>
      <c r="G131" s="109"/>
      <c r="H131" s="84"/>
      <c r="I131" s="111">
        <v>6400961</v>
      </c>
      <c r="J131" s="97">
        <f>SUM(C131:G131)-(H131+I131)</f>
        <v>11193664</v>
      </c>
      <c r="K131" s="130"/>
    </row>
    <row r="132" spans="1:11" ht="15.75" x14ac:dyDescent="0.25">
      <c r="C132" s="278">
        <f>SUM(C113:C131)</f>
        <v>14101751</v>
      </c>
      <c r="I132" s="272">
        <f>SUM(I113:I131)</f>
        <v>12539304</v>
      </c>
      <c r="J132" s="193">
        <f>+SUM(J113:J131)</f>
        <v>16998427</v>
      </c>
    </row>
    <row r="133" spans="1:11" ht="16.5" x14ac:dyDescent="0.3">
      <c r="A133" s="61"/>
      <c r="B133" s="62"/>
      <c r="C133" s="63"/>
      <c r="D133" s="63"/>
      <c r="E133" s="63"/>
      <c r="F133" s="63"/>
      <c r="G133" s="63"/>
      <c r="H133" s="63"/>
      <c r="I133" s="63"/>
      <c r="J133" s="259"/>
    </row>
    <row r="134" spans="1:11" ht="16.5" x14ac:dyDescent="0.3">
      <c r="A134" s="65"/>
      <c r="B134" s="66"/>
      <c r="C134" s="63"/>
      <c r="D134" s="63"/>
      <c r="E134" s="64"/>
      <c r="F134" s="63"/>
      <c r="G134" s="63"/>
      <c r="H134" s="63"/>
      <c r="I134" s="63"/>
    </row>
    <row r="135" spans="1:11" x14ac:dyDescent="0.2">
      <c r="A135" s="67" t="s">
        <v>96</v>
      </c>
      <c r="B135" s="67"/>
      <c r="C135" s="67"/>
      <c r="D135" s="68"/>
      <c r="E135" s="68"/>
      <c r="F135" s="68"/>
      <c r="G135" s="68"/>
      <c r="H135" s="68"/>
      <c r="I135" s="68"/>
    </row>
    <row r="136" spans="1:11" x14ac:dyDescent="0.2">
      <c r="A136" s="69" t="s">
        <v>160</v>
      </c>
      <c r="B136" s="69"/>
      <c r="C136" s="69"/>
      <c r="D136" s="69"/>
      <c r="E136" s="69"/>
      <c r="F136" s="69"/>
      <c r="G136" s="69"/>
      <c r="H136" s="69"/>
      <c r="I136" s="69"/>
      <c r="J136" s="68"/>
    </row>
    <row r="137" spans="1:11" x14ac:dyDescent="0.2">
      <c r="A137" s="70"/>
      <c r="B137" s="71"/>
      <c r="C137" s="72"/>
      <c r="D137" s="72"/>
      <c r="E137" s="72"/>
      <c r="F137" s="72"/>
      <c r="G137" s="72"/>
      <c r="H137" s="71"/>
      <c r="I137" s="71"/>
      <c r="J137" s="69"/>
    </row>
    <row r="138" spans="1:11" x14ac:dyDescent="0.2">
      <c r="A138" s="510" t="s">
        <v>97</v>
      </c>
      <c r="B138" s="512" t="s">
        <v>98</v>
      </c>
      <c r="C138" s="514" t="s">
        <v>158</v>
      </c>
      <c r="D138" s="516" t="s">
        <v>99</v>
      </c>
      <c r="E138" s="517"/>
      <c r="F138" s="517"/>
      <c r="G138" s="518"/>
      <c r="H138" s="519" t="s">
        <v>100</v>
      </c>
      <c r="I138" s="506" t="s">
        <v>101</v>
      </c>
      <c r="J138" s="71"/>
    </row>
    <row r="139" spans="1:11" x14ac:dyDescent="0.25">
      <c r="A139" s="511"/>
      <c r="B139" s="513"/>
      <c r="C139" s="515"/>
      <c r="D139" s="73" t="s">
        <v>58</v>
      </c>
      <c r="E139" s="73" t="s">
        <v>62</v>
      </c>
      <c r="F139" s="263" t="s">
        <v>164</v>
      </c>
      <c r="G139" s="73" t="s">
        <v>102</v>
      </c>
      <c r="H139" s="520"/>
      <c r="I139" s="507"/>
      <c r="J139" s="508" t="s">
        <v>159</v>
      </c>
    </row>
    <row r="140" spans="1:11" x14ac:dyDescent="0.2">
      <c r="A140" s="75"/>
      <c r="B140" s="76" t="s">
        <v>103</v>
      </c>
      <c r="C140" s="77"/>
      <c r="D140" s="77"/>
      <c r="E140" s="77"/>
      <c r="F140" s="77"/>
      <c r="G140" s="77"/>
      <c r="H140" s="77"/>
      <c r="I140" s="78"/>
      <c r="J140" s="509"/>
    </row>
    <row r="141" spans="1:11" x14ac:dyDescent="0.2">
      <c r="A141" s="248" t="s">
        <v>157</v>
      </c>
      <c r="B141" s="253" t="s">
        <v>122</v>
      </c>
      <c r="C141" s="84">
        <v>22200</v>
      </c>
      <c r="D141" s="83"/>
      <c r="E141" s="84">
        <v>439970</v>
      </c>
      <c r="F141" s="192"/>
      <c r="G141" s="192"/>
      <c r="H141" s="266"/>
      <c r="I141" s="84">
        <v>473500</v>
      </c>
      <c r="J141" s="82">
        <f>+SUM(C141:G141)-(H141+I141)</f>
        <v>-11330</v>
      </c>
      <c r="K141" s="130"/>
    </row>
    <row r="142" spans="1:11" x14ac:dyDescent="0.2">
      <c r="A142" s="248" t="s">
        <v>157</v>
      </c>
      <c r="B142" s="253" t="s">
        <v>91</v>
      </c>
      <c r="C142" s="84">
        <v>3060</v>
      </c>
      <c r="D142" s="83"/>
      <c r="E142" s="84">
        <v>157200</v>
      </c>
      <c r="F142" s="84"/>
      <c r="G142" s="84"/>
      <c r="H142" s="116"/>
      <c r="I142" s="84">
        <v>152000</v>
      </c>
      <c r="J142" s="82">
        <f t="shared" ref="J142:J143" si="26">+SUM(C142:G142)-(H142+I142)</f>
        <v>8260</v>
      </c>
      <c r="K142" s="130"/>
    </row>
    <row r="143" spans="1:11" x14ac:dyDescent="0.2">
      <c r="A143" s="248" t="s">
        <v>157</v>
      </c>
      <c r="B143" s="253" t="s">
        <v>69</v>
      </c>
      <c r="C143" s="84">
        <v>3795</v>
      </c>
      <c r="D143" s="83"/>
      <c r="E143" s="84">
        <v>45000</v>
      </c>
      <c r="F143" s="84"/>
      <c r="G143" s="84"/>
      <c r="H143" s="84"/>
      <c r="I143" s="84">
        <v>45000</v>
      </c>
      <c r="J143" s="187">
        <f t="shared" si="26"/>
        <v>3795</v>
      </c>
      <c r="K143" s="130"/>
    </row>
    <row r="144" spans="1:11" x14ac:dyDescent="0.2">
      <c r="A144" s="248" t="s">
        <v>157</v>
      </c>
      <c r="B144" s="253" t="s">
        <v>123</v>
      </c>
      <c r="C144" s="84">
        <v>2300</v>
      </c>
      <c r="D144" s="192"/>
      <c r="E144" s="84">
        <v>266600</v>
      </c>
      <c r="F144" s="84">
        <v>159900</v>
      </c>
      <c r="G144" s="84"/>
      <c r="H144" s="84">
        <v>25000</v>
      </c>
      <c r="I144" s="84">
        <v>486900</v>
      </c>
      <c r="J144" s="187">
        <f>+SUM(C144:G144)-(H144+I144)</f>
        <v>-83100</v>
      </c>
      <c r="K144" s="130"/>
    </row>
    <row r="145" spans="1:11" x14ac:dyDescent="0.2">
      <c r="A145" s="248" t="s">
        <v>157</v>
      </c>
      <c r="B145" s="253" t="s">
        <v>114</v>
      </c>
      <c r="C145" s="84">
        <v>-14216</v>
      </c>
      <c r="D145" s="192"/>
      <c r="E145" s="84">
        <v>622600</v>
      </c>
      <c r="F145" s="84">
        <v>25000</v>
      </c>
      <c r="G145" s="84"/>
      <c r="H145" s="84">
        <v>260700</v>
      </c>
      <c r="I145" s="84">
        <v>370900</v>
      </c>
      <c r="J145" s="187">
        <f>+SUM(C145:G145)-(H145+I145)</f>
        <v>1784</v>
      </c>
      <c r="K145" s="130"/>
    </row>
    <row r="146" spans="1:11" x14ac:dyDescent="0.2">
      <c r="A146" s="248" t="s">
        <v>157</v>
      </c>
      <c r="B146" s="254" t="s">
        <v>68</v>
      </c>
      <c r="C146" s="112">
        <v>143300</v>
      </c>
      <c r="D146" s="245"/>
      <c r="E146" s="112">
        <v>466500</v>
      </c>
      <c r="F146" s="267"/>
      <c r="G146" s="267"/>
      <c r="H146" s="267"/>
      <c r="I146" s="112">
        <v>521000</v>
      </c>
      <c r="J146" s="250">
        <f>+SUM(C146:G146)-(H146+I146)</f>
        <v>88800</v>
      </c>
      <c r="K146" s="130"/>
    </row>
    <row r="147" spans="1:11" x14ac:dyDescent="0.2">
      <c r="A147" s="248" t="s">
        <v>157</v>
      </c>
      <c r="B147" s="255" t="s">
        <v>130</v>
      </c>
      <c r="C147" s="246">
        <v>233614</v>
      </c>
      <c r="D147" s="249"/>
      <c r="E147" s="268"/>
      <c r="F147" s="268"/>
      <c r="G147" s="268"/>
      <c r="H147" s="268"/>
      <c r="I147" s="268"/>
      <c r="J147" s="247">
        <f>+SUM(C147:G147)-(H147+I147)</f>
        <v>233614</v>
      </c>
      <c r="K147" s="130"/>
    </row>
    <row r="148" spans="1:11" x14ac:dyDescent="0.2">
      <c r="A148" s="248" t="s">
        <v>157</v>
      </c>
      <c r="B148" s="255" t="s">
        <v>129</v>
      </c>
      <c r="C148" s="246">
        <v>249768</v>
      </c>
      <c r="D148" s="249"/>
      <c r="E148" s="268"/>
      <c r="F148" s="268"/>
      <c r="G148" s="268"/>
      <c r="H148" s="268"/>
      <c r="I148" s="268"/>
      <c r="J148" s="247">
        <f t="shared" ref="J148:J154" si="27">+SUM(C148:G148)-(H148+I148)</f>
        <v>249768</v>
      </c>
      <c r="K148" s="130"/>
    </row>
    <row r="149" spans="1:11" x14ac:dyDescent="0.2">
      <c r="A149" s="248" t="s">
        <v>157</v>
      </c>
      <c r="B149" s="253" t="s">
        <v>77</v>
      </c>
      <c r="C149" s="84">
        <v>55090</v>
      </c>
      <c r="D149" s="83"/>
      <c r="E149" s="84">
        <v>143000</v>
      </c>
      <c r="F149" s="84">
        <v>70800</v>
      </c>
      <c r="G149" s="192"/>
      <c r="H149" s="192"/>
      <c r="I149" s="84">
        <v>261000</v>
      </c>
      <c r="J149" s="82">
        <f t="shared" si="27"/>
        <v>7890</v>
      </c>
      <c r="K149" s="130"/>
    </row>
    <row r="150" spans="1:11" x14ac:dyDescent="0.2">
      <c r="A150" s="248" t="s">
        <v>157</v>
      </c>
      <c r="B150" s="253" t="s">
        <v>142</v>
      </c>
      <c r="C150" s="84">
        <v>0</v>
      </c>
      <c r="D150" s="83"/>
      <c r="E150" s="84">
        <v>30000</v>
      </c>
      <c r="F150" s="192"/>
      <c r="G150" s="192"/>
      <c r="H150" s="192"/>
      <c r="I150" s="84">
        <v>25000</v>
      </c>
      <c r="J150" s="82">
        <f t="shared" si="27"/>
        <v>5000</v>
      </c>
      <c r="K150" s="130"/>
    </row>
    <row r="151" spans="1:11" x14ac:dyDescent="0.2">
      <c r="A151" s="248" t="s">
        <v>157</v>
      </c>
      <c r="B151" s="253" t="s">
        <v>67</v>
      </c>
      <c r="C151" s="84">
        <v>110700</v>
      </c>
      <c r="D151" s="83"/>
      <c r="E151" s="84">
        <v>375000</v>
      </c>
      <c r="F151" s="84">
        <v>30000</v>
      </c>
      <c r="G151" s="192"/>
      <c r="H151" s="192"/>
      <c r="I151" s="84">
        <v>458000</v>
      </c>
      <c r="J151" s="82">
        <f t="shared" si="27"/>
        <v>57700</v>
      </c>
      <c r="K151" s="130"/>
    </row>
    <row r="152" spans="1:11" x14ac:dyDescent="0.2">
      <c r="A152" s="248" t="s">
        <v>157</v>
      </c>
      <c r="B152" s="253" t="s">
        <v>146</v>
      </c>
      <c r="C152" s="84">
        <v>-32081</v>
      </c>
      <c r="D152" s="83"/>
      <c r="E152" s="192">
        <v>0</v>
      </c>
      <c r="F152" s="192"/>
      <c r="G152" s="192"/>
      <c r="H152" s="192"/>
      <c r="I152" s="192">
        <v>0</v>
      </c>
      <c r="J152" s="82">
        <f t="shared" si="27"/>
        <v>-32081</v>
      </c>
      <c r="K152" s="130"/>
    </row>
    <row r="153" spans="1:11" x14ac:dyDescent="0.2">
      <c r="A153" s="248" t="s">
        <v>157</v>
      </c>
      <c r="B153" s="253" t="s">
        <v>154</v>
      </c>
      <c r="C153" s="84">
        <v>0</v>
      </c>
      <c r="D153" s="83"/>
      <c r="E153" s="84">
        <v>82000</v>
      </c>
      <c r="F153" s="192"/>
      <c r="G153" s="192"/>
      <c r="H153" s="192"/>
      <c r="I153" s="84">
        <v>20000</v>
      </c>
      <c r="J153" s="82">
        <f>+SUM(C153:G153)-(H153+I153)</f>
        <v>62000</v>
      </c>
      <c r="K153" s="130"/>
    </row>
    <row r="154" spans="1:11" x14ac:dyDescent="0.2">
      <c r="A154" s="248" t="s">
        <v>157</v>
      </c>
      <c r="B154" s="254" t="s">
        <v>70</v>
      </c>
      <c r="C154" s="112">
        <v>7300</v>
      </c>
      <c r="D154" s="245"/>
      <c r="E154" s="267"/>
      <c r="F154" s="267"/>
      <c r="G154" s="269"/>
      <c r="H154" s="267"/>
      <c r="I154" s="112">
        <v>3000</v>
      </c>
      <c r="J154" s="82">
        <f t="shared" si="27"/>
        <v>4300</v>
      </c>
      <c r="K154" s="130"/>
    </row>
    <row r="155" spans="1:11" x14ac:dyDescent="0.2">
      <c r="A155" s="86" t="s">
        <v>104</v>
      </c>
      <c r="B155" s="87"/>
      <c r="C155" s="87"/>
      <c r="D155" s="87"/>
      <c r="E155" s="87"/>
      <c r="F155" s="87"/>
      <c r="G155" s="87"/>
      <c r="H155" s="87"/>
      <c r="I155" s="87"/>
      <c r="J155" s="88"/>
      <c r="K155" s="130"/>
    </row>
    <row r="156" spans="1:11" x14ac:dyDescent="0.2">
      <c r="A156" s="248" t="s">
        <v>157</v>
      </c>
      <c r="B156" s="89" t="s">
        <v>105</v>
      </c>
      <c r="C156" s="90">
        <v>817769</v>
      </c>
      <c r="D156" s="110">
        <v>3000000</v>
      </c>
      <c r="E156" s="191"/>
      <c r="F156" s="191"/>
      <c r="G156" s="270"/>
      <c r="H156" s="257">
        <v>2627870</v>
      </c>
      <c r="I156" s="252">
        <v>1127749</v>
      </c>
      <c r="J156" s="97">
        <f>+SUM(C156:G156)-(H156+I156)</f>
        <v>62150</v>
      </c>
      <c r="K156" s="130"/>
    </row>
    <row r="157" spans="1:11" x14ac:dyDescent="0.2">
      <c r="A157" s="95" t="s">
        <v>106</v>
      </c>
      <c r="B157" s="76"/>
      <c r="C157" s="87"/>
      <c r="D157" s="76"/>
      <c r="E157" s="76"/>
      <c r="F157" s="76"/>
      <c r="G157" s="76"/>
      <c r="H157" s="76"/>
      <c r="I157" s="76"/>
      <c r="J157" s="88"/>
    </row>
    <row r="158" spans="1:11" x14ac:dyDescent="0.2">
      <c r="A158" s="248" t="s">
        <v>157</v>
      </c>
      <c r="B158" s="89" t="s">
        <v>107</v>
      </c>
      <c r="C158" s="251">
        <v>14712920</v>
      </c>
      <c r="D158" s="258"/>
      <c r="E158" s="110"/>
      <c r="F158" s="110"/>
      <c r="G158" s="110"/>
      <c r="H158" s="112">
        <v>3000000</v>
      </c>
      <c r="I158" s="114">
        <v>428365</v>
      </c>
      <c r="J158" s="97">
        <f>+SUM(C158:G158)-(H158+I158)</f>
        <v>11284555</v>
      </c>
      <c r="K158" s="130"/>
    </row>
    <row r="159" spans="1:11" x14ac:dyDescent="0.2">
      <c r="A159" s="248" t="s">
        <v>157</v>
      </c>
      <c r="B159" s="89" t="s">
        <v>108</v>
      </c>
      <c r="C159" s="251">
        <v>8361083</v>
      </c>
      <c r="D159" s="110"/>
      <c r="E159" s="109"/>
      <c r="F159" s="109"/>
      <c r="G159" s="109"/>
      <c r="H159" s="84"/>
      <c r="I159" s="111">
        <v>6202438</v>
      </c>
      <c r="J159" s="97">
        <f>SUM(C159:G159)-(H159+I159)</f>
        <v>2158645</v>
      </c>
      <c r="K159" s="130"/>
    </row>
    <row r="160" spans="1:11" ht="15.75" x14ac:dyDescent="0.25">
      <c r="C160" s="60"/>
      <c r="I160" s="272">
        <f>SUM(I141:I159)</f>
        <v>10574852</v>
      </c>
      <c r="J160" s="193">
        <f>+SUM(J141:J159)</f>
        <v>14101750</v>
      </c>
      <c r="K160" s="60">
        <f>J160-C132</f>
        <v>-1</v>
      </c>
    </row>
    <row r="161" spans="1:11" ht="16.5" x14ac:dyDescent="0.3">
      <c r="A161" s="61"/>
      <c r="B161" s="62"/>
      <c r="C161" s="63"/>
      <c r="D161" s="63"/>
      <c r="E161" s="63"/>
      <c r="F161" s="63"/>
      <c r="G161" s="63"/>
      <c r="H161" s="63"/>
      <c r="I161" s="63"/>
      <c r="J161" s="259"/>
    </row>
    <row r="162" spans="1:11" x14ac:dyDescent="0.2">
      <c r="A162" s="67" t="s">
        <v>96</v>
      </c>
      <c r="B162" s="67"/>
      <c r="C162" s="67"/>
      <c r="D162" s="68"/>
      <c r="E162" s="68"/>
      <c r="F162" s="68"/>
      <c r="G162" s="68"/>
      <c r="H162" s="68"/>
      <c r="I162" s="68"/>
    </row>
    <row r="163" spans="1:11" x14ac:dyDescent="0.2">
      <c r="A163" s="69" t="s">
        <v>147</v>
      </c>
      <c r="B163" s="69"/>
      <c r="C163" s="69"/>
      <c r="D163" s="69"/>
      <c r="E163" s="69"/>
      <c r="F163" s="69"/>
      <c r="G163" s="69"/>
      <c r="H163" s="69"/>
      <c r="I163" s="69"/>
      <c r="J163" s="68"/>
    </row>
    <row r="164" spans="1:11" x14ac:dyDescent="0.2">
      <c r="A164" s="70"/>
      <c r="B164" s="71"/>
      <c r="C164" s="72"/>
      <c r="D164" s="72"/>
      <c r="E164" s="72"/>
      <c r="F164" s="72"/>
      <c r="G164" s="72"/>
      <c r="H164" s="71"/>
      <c r="I164" s="71"/>
      <c r="J164" s="69"/>
    </row>
    <row r="165" spans="1:11" ht="15" customHeight="1" x14ac:dyDescent="0.2">
      <c r="A165" s="510" t="s">
        <v>97</v>
      </c>
      <c r="B165" s="512" t="s">
        <v>98</v>
      </c>
      <c r="C165" s="514" t="s">
        <v>148</v>
      </c>
      <c r="D165" s="516" t="s">
        <v>99</v>
      </c>
      <c r="E165" s="517"/>
      <c r="F165" s="517"/>
      <c r="G165" s="518"/>
      <c r="H165" s="519" t="s">
        <v>100</v>
      </c>
      <c r="I165" s="506" t="s">
        <v>101</v>
      </c>
      <c r="J165" s="71"/>
    </row>
    <row r="166" spans="1:11" ht="15" customHeight="1" x14ac:dyDescent="0.25">
      <c r="A166" s="511"/>
      <c r="B166" s="513"/>
      <c r="C166" s="515"/>
      <c r="D166" s="73" t="s">
        <v>58</v>
      </c>
      <c r="E166" s="73" t="s">
        <v>62</v>
      </c>
      <c r="F166" s="234" t="s">
        <v>151</v>
      </c>
      <c r="G166" s="73" t="s">
        <v>102</v>
      </c>
      <c r="H166" s="520"/>
      <c r="I166" s="507"/>
      <c r="J166" s="508" t="s">
        <v>149</v>
      </c>
    </row>
    <row r="167" spans="1:11" x14ac:dyDescent="0.2">
      <c r="A167" s="75"/>
      <c r="B167" s="76" t="s">
        <v>103</v>
      </c>
      <c r="C167" s="77"/>
      <c r="D167" s="77"/>
      <c r="E167" s="77"/>
      <c r="F167" s="77"/>
      <c r="G167" s="77"/>
      <c r="H167" s="77"/>
      <c r="I167" s="78"/>
      <c r="J167" s="509"/>
    </row>
    <row r="168" spans="1:11" x14ac:dyDescent="0.2">
      <c r="A168" s="248" t="s">
        <v>150</v>
      </c>
      <c r="B168" s="253" t="s">
        <v>122</v>
      </c>
      <c r="C168" s="84">
        <v>-10750</v>
      </c>
      <c r="D168" s="83"/>
      <c r="E168" s="83">
        <v>170625</v>
      </c>
      <c r="F168" s="83">
        <v>301700</v>
      </c>
      <c r="G168" s="83"/>
      <c r="H168" s="116">
        <v>27000</v>
      </c>
      <c r="I168" s="84">
        <v>412375</v>
      </c>
      <c r="J168" s="82">
        <f>+SUM(C168:G168)-(H168+I168)</f>
        <v>22200</v>
      </c>
      <c r="K168" s="130"/>
    </row>
    <row r="169" spans="1:11" x14ac:dyDescent="0.2">
      <c r="A169" s="248" t="s">
        <v>150</v>
      </c>
      <c r="B169" s="253" t="s">
        <v>91</v>
      </c>
      <c r="C169" s="84">
        <v>9060</v>
      </c>
      <c r="D169" s="83"/>
      <c r="E169" s="83">
        <v>0</v>
      </c>
      <c r="F169" s="83"/>
      <c r="G169" s="83"/>
      <c r="H169" s="116"/>
      <c r="I169" s="84">
        <v>6000</v>
      </c>
      <c r="J169" s="82">
        <f t="shared" ref="J169:J170" si="28">+SUM(C169:G169)-(H169+I169)</f>
        <v>3060</v>
      </c>
      <c r="K169" s="130"/>
    </row>
    <row r="170" spans="1:11" x14ac:dyDescent="0.2">
      <c r="A170" s="248" t="s">
        <v>150</v>
      </c>
      <c r="B170" s="253" t="s">
        <v>69</v>
      </c>
      <c r="C170" s="84">
        <v>1195</v>
      </c>
      <c r="D170" s="83"/>
      <c r="E170" s="83">
        <v>75000</v>
      </c>
      <c r="F170" s="84"/>
      <c r="G170" s="84"/>
      <c r="H170" s="84"/>
      <c r="I170" s="84">
        <v>72400</v>
      </c>
      <c r="J170" s="187">
        <f t="shared" si="28"/>
        <v>3795</v>
      </c>
      <c r="K170" s="130"/>
    </row>
    <row r="171" spans="1:11" x14ac:dyDescent="0.2">
      <c r="A171" s="248" t="s">
        <v>150</v>
      </c>
      <c r="B171" s="253" t="s">
        <v>123</v>
      </c>
      <c r="C171" s="84">
        <v>-8600</v>
      </c>
      <c r="D171" s="192"/>
      <c r="E171" s="83">
        <v>596900</v>
      </c>
      <c r="F171" s="84"/>
      <c r="G171" s="84"/>
      <c r="H171" s="84"/>
      <c r="I171" s="84">
        <v>586000</v>
      </c>
      <c r="J171" s="187">
        <f>+SUM(C171:G171)-(H171+I171)</f>
        <v>2300</v>
      </c>
      <c r="K171" s="130"/>
    </row>
    <row r="172" spans="1:11" x14ac:dyDescent="0.2">
      <c r="A172" s="248" t="s">
        <v>150</v>
      </c>
      <c r="B172" s="253" t="s">
        <v>114</v>
      </c>
      <c r="C172" s="84">
        <v>8884</v>
      </c>
      <c r="D172" s="192"/>
      <c r="E172" s="83">
        <v>618600</v>
      </c>
      <c r="F172" s="84">
        <v>27000</v>
      </c>
      <c r="G172" s="84"/>
      <c r="H172" s="84">
        <v>301700</v>
      </c>
      <c r="I172" s="84">
        <v>367000</v>
      </c>
      <c r="J172" s="187">
        <f t="shared" ref="J172" si="29">+SUM(C172:G172)-(H172+I172)</f>
        <v>-14216</v>
      </c>
      <c r="K172" s="130"/>
    </row>
    <row r="173" spans="1:11" x14ac:dyDescent="0.2">
      <c r="A173" s="245" t="s">
        <v>150</v>
      </c>
      <c r="B173" s="254" t="s">
        <v>68</v>
      </c>
      <c r="C173" s="112">
        <v>191600</v>
      </c>
      <c r="D173" s="245"/>
      <c r="E173" s="245">
        <v>777000</v>
      </c>
      <c r="F173" s="112"/>
      <c r="G173" s="112"/>
      <c r="H173" s="112"/>
      <c r="I173" s="112">
        <v>825300</v>
      </c>
      <c r="J173" s="250">
        <f>+SUM(C173:G173)-(H173+I173)</f>
        <v>143300</v>
      </c>
      <c r="K173" s="130"/>
    </row>
    <row r="174" spans="1:11" x14ac:dyDescent="0.2">
      <c r="A174" s="249" t="s">
        <v>150</v>
      </c>
      <c r="B174" s="255" t="s">
        <v>130</v>
      </c>
      <c r="C174" s="246">
        <v>233614</v>
      </c>
      <c r="D174" s="249"/>
      <c r="E174" s="249"/>
      <c r="F174" s="249"/>
      <c r="G174" s="249"/>
      <c r="H174" s="246"/>
      <c r="I174" s="246"/>
      <c r="J174" s="247">
        <f>+SUM(C174:G174)-(H174+I174)</f>
        <v>233614</v>
      </c>
      <c r="K174" s="130"/>
    </row>
    <row r="175" spans="1:11" x14ac:dyDescent="0.2">
      <c r="A175" s="249" t="s">
        <v>150</v>
      </c>
      <c r="B175" s="255" t="s">
        <v>129</v>
      </c>
      <c r="C175" s="246">
        <v>249769</v>
      </c>
      <c r="D175" s="249"/>
      <c r="E175" s="249"/>
      <c r="F175" s="249"/>
      <c r="G175" s="249"/>
      <c r="H175" s="246"/>
      <c r="I175" s="246"/>
      <c r="J175" s="247">
        <f t="shared" ref="J175:J180" si="30">+SUM(C175:G175)-(H175+I175)</f>
        <v>249769</v>
      </c>
      <c r="K175" s="130"/>
    </row>
    <row r="176" spans="1:11" x14ac:dyDescent="0.2">
      <c r="A176" s="248" t="s">
        <v>150</v>
      </c>
      <c r="B176" s="253" t="s">
        <v>77</v>
      </c>
      <c r="C176" s="84">
        <v>-3510</v>
      </c>
      <c r="D176" s="83"/>
      <c r="E176" s="83">
        <v>240100</v>
      </c>
      <c r="F176" s="83"/>
      <c r="G176" s="83"/>
      <c r="H176" s="84"/>
      <c r="I176" s="84">
        <v>181500</v>
      </c>
      <c r="J176" s="82">
        <f t="shared" si="30"/>
        <v>55090</v>
      </c>
      <c r="K176" s="130"/>
    </row>
    <row r="177" spans="1:11" x14ac:dyDescent="0.2">
      <c r="A177" s="248" t="s">
        <v>150</v>
      </c>
      <c r="B177" s="253" t="s">
        <v>142</v>
      </c>
      <c r="C177" s="84">
        <v>0</v>
      </c>
      <c r="D177" s="83"/>
      <c r="E177" s="83">
        <v>5000</v>
      </c>
      <c r="F177" s="83"/>
      <c r="G177" s="83"/>
      <c r="H177" s="84"/>
      <c r="I177" s="84">
        <v>5000</v>
      </c>
      <c r="J177" s="82">
        <f t="shared" si="30"/>
        <v>0</v>
      </c>
      <c r="K177" s="130"/>
    </row>
    <row r="178" spans="1:11" x14ac:dyDescent="0.2">
      <c r="A178" s="248" t="s">
        <v>150</v>
      </c>
      <c r="B178" s="253" t="s">
        <v>67</v>
      </c>
      <c r="C178" s="84">
        <v>111200</v>
      </c>
      <c r="D178" s="83"/>
      <c r="E178" s="83">
        <v>704000</v>
      </c>
      <c r="F178" s="83"/>
      <c r="G178" s="83"/>
      <c r="H178" s="84"/>
      <c r="I178" s="84">
        <v>704500</v>
      </c>
      <c r="J178" s="82">
        <f t="shared" si="30"/>
        <v>110700</v>
      </c>
      <c r="K178" s="130"/>
    </row>
    <row r="179" spans="1:11" x14ac:dyDescent="0.2">
      <c r="A179" s="248" t="s">
        <v>150</v>
      </c>
      <c r="B179" s="253" t="s">
        <v>146</v>
      </c>
      <c r="C179" s="84">
        <v>-32081</v>
      </c>
      <c r="D179" s="83"/>
      <c r="E179" s="83">
        <v>0</v>
      </c>
      <c r="F179" s="83"/>
      <c r="G179" s="83"/>
      <c r="H179" s="84"/>
      <c r="I179" s="84">
        <v>0</v>
      </c>
      <c r="J179" s="82">
        <f t="shared" si="30"/>
        <v>-32081</v>
      </c>
      <c r="K179" s="130"/>
    </row>
    <row r="180" spans="1:11" x14ac:dyDescent="0.2">
      <c r="A180" s="248" t="s">
        <v>150</v>
      </c>
      <c r="B180" s="254" t="s">
        <v>70</v>
      </c>
      <c r="C180" s="112">
        <v>5300</v>
      </c>
      <c r="D180" s="245"/>
      <c r="E180" s="245">
        <v>10000</v>
      </c>
      <c r="F180" s="245"/>
      <c r="G180" s="256"/>
      <c r="H180" s="112"/>
      <c r="I180" s="112">
        <v>8000</v>
      </c>
      <c r="J180" s="82">
        <f t="shared" si="30"/>
        <v>7300</v>
      </c>
      <c r="K180" s="130"/>
    </row>
    <row r="181" spans="1:11" x14ac:dyDescent="0.2">
      <c r="A181" s="86" t="s">
        <v>104</v>
      </c>
      <c r="B181" s="87"/>
      <c r="C181" s="87"/>
      <c r="D181" s="87"/>
      <c r="E181" s="87"/>
      <c r="F181" s="87"/>
      <c r="G181" s="87"/>
      <c r="H181" s="87"/>
      <c r="I181" s="87"/>
      <c r="J181" s="88"/>
      <c r="K181" s="130"/>
    </row>
    <row r="182" spans="1:11" x14ac:dyDescent="0.2">
      <c r="A182" s="79" t="s">
        <v>150</v>
      </c>
      <c r="B182" s="89" t="s">
        <v>105</v>
      </c>
      <c r="C182" s="90">
        <v>733034</v>
      </c>
      <c r="D182" s="91">
        <v>4293000</v>
      </c>
      <c r="E182" s="91"/>
      <c r="F182" s="91"/>
      <c r="G182" s="251"/>
      <c r="H182" s="257">
        <v>3197225</v>
      </c>
      <c r="I182" s="252">
        <v>1011040</v>
      </c>
      <c r="J182" s="97">
        <f>+SUM(C182:G182)-(H182+I182)</f>
        <v>817769</v>
      </c>
      <c r="K182" s="130"/>
    </row>
    <row r="183" spans="1:11" x14ac:dyDescent="0.2">
      <c r="A183" s="95" t="s">
        <v>106</v>
      </c>
      <c r="B183" s="76"/>
      <c r="C183" s="87"/>
      <c r="D183" s="76"/>
      <c r="E183" s="76"/>
      <c r="F183" s="76"/>
      <c r="G183" s="76"/>
      <c r="H183" s="76"/>
      <c r="I183" s="76"/>
      <c r="J183" s="88"/>
    </row>
    <row r="184" spans="1:11" x14ac:dyDescent="0.2">
      <c r="A184" s="79" t="s">
        <v>150</v>
      </c>
      <c r="B184" s="89" t="s">
        <v>107</v>
      </c>
      <c r="C184" s="251">
        <v>19184971</v>
      </c>
      <c r="D184" s="258"/>
      <c r="E184" s="110"/>
      <c r="F184" s="110"/>
      <c r="G184" s="110"/>
      <c r="H184" s="112">
        <v>4000000</v>
      </c>
      <c r="I184" s="114">
        <v>472051</v>
      </c>
      <c r="J184" s="97">
        <f>+SUM(C184:G184)-(H184+I184)</f>
        <v>14712920</v>
      </c>
      <c r="K184" s="130"/>
    </row>
    <row r="185" spans="1:11" x14ac:dyDescent="0.2">
      <c r="A185" s="79" t="s">
        <v>150</v>
      </c>
      <c r="B185" s="89" t="s">
        <v>108</v>
      </c>
      <c r="C185" s="251">
        <v>14419055</v>
      </c>
      <c r="D185" s="110"/>
      <c r="E185" s="109"/>
      <c r="F185" s="109"/>
      <c r="G185" s="109"/>
      <c r="H185" s="84">
        <v>293000</v>
      </c>
      <c r="I185" s="111">
        <v>5764972</v>
      </c>
      <c r="J185" s="97">
        <f>SUM(C185:G185)-(H185+I185)</f>
        <v>8361083</v>
      </c>
      <c r="K185" s="130"/>
    </row>
    <row r="186" spans="1:11" ht="15.75" x14ac:dyDescent="0.25">
      <c r="C186" s="60"/>
      <c r="I186" s="60"/>
      <c r="J186" s="193">
        <f>+SUM(J168:J185)</f>
        <v>24676603</v>
      </c>
    </row>
    <row r="187" spans="1:11" ht="16.5" x14ac:dyDescent="0.3">
      <c r="A187" s="61"/>
      <c r="B187" s="62"/>
      <c r="C187" s="63"/>
      <c r="D187" s="63"/>
      <c r="E187" s="63"/>
      <c r="F187" s="63"/>
      <c r="G187" s="63"/>
      <c r="H187" s="63"/>
      <c r="I187" s="63"/>
      <c r="J187" s="259"/>
    </row>
    <row r="188" spans="1:11" x14ac:dyDescent="0.2">
      <c r="A188" s="67" t="s">
        <v>96</v>
      </c>
      <c r="B188" s="67"/>
      <c r="C188" s="67"/>
      <c r="D188" s="68"/>
      <c r="E188" s="68"/>
      <c r="F188" s="68"/>
      <c r="G188" s="68"/>
      <c r="H188" s="68"/>
      <c r="I188" s="68"/>
    </row>
    <row r="189" spans="1:11" x14ac:dyDescent="0.2">
      <c r="A189" s="69" t="s">
        <v>135</v>
      </c>
      <c r="B189" s="69"/>
      <c r="C189" s="69"/>
      <c r="D189" s="69"/>
      <c r="E189" s="69"/>
      <c r="F189" s="69"/>
      <c r="G189" s="69"/>
      <c r="H189" s="69"/>
      <c r="I189" s="69"/>
      <c r="J189" s="68"/>
    </row>
    <row r="190" spans="1:11" ht="15" customHeight="1" x14ac:dyDescent="0.2">
      <c r="A190" s="70"/>
      <c r="B190" s="71"/>
      <c r="C190" s="72"/>
      <c r="D190" s="72"/>
      <c r="E190" s="72"/>
      <c r="F190" s="72"/>
      <c r="G190" s="72"/>
      <c r="H190" s="71"/>
      <c r="I190" s="71"/>
      <c r="J190" s="69"/>
    </row>
    <row r="191" spans="1:11" ht="15" customHeight="1" x14ac:dyDescent="0.2">
      <c r="A191" s="510" t="s">
        <v>97</v>
      </c>
      <c r="B191" s="512" t="s">
        <v>98</v>
      </c>
      <c r="C191" s="514" t="s">
        <v>136</v>
      </c>
      <c r="D191" s="516" t="s">
        <v>99</v>
      </c>
      <c r="E191" s="517"/>
      <c r="F191" s="517"/>
      <c r="G191" s="518"/>
      <c r="H191" s="519" t="s">
        <v>100</v>
      </c>
      <c r="I191" s="506" t="s">
        <v>101</v>
      </c>
      <c r="J191" s="71"/>
    </row>
    <row r="192" spans="1:11" ht="15" customHeight="1" x14ac:dyDescent="0.25">
      <c r="A192" s="511"/>
      <c r="B192" s="513"/>
      <c r="C192" s="515"/>
      <c r="D192" s="73" t="s">
        <v>58</v>
      </c>
      <c r="E192" s="73" t="s">
        <v>62</v>
      </c>
      <c r="F192" s="219" t="s">
        <v>139</v>
      </c>
      <c r="G192" s="73" t="s">
        <v>102</v>
      </c>
      <c r="H192" s="520"/>
      <c r="I192" s="507"/>
      <c r="J192" s="508" t="s">
        <v>137</v>
      </c>
    </row>
    <row r="193" spans="1:10" x14ac:dyDescent="0.2">
      <c r="A193" s="75"/>
      <c r="B193" s="76" t="s">
        <v>103</v>
      </c>
      <c r="C193" s="77"/>
      <c r="D193" s="77"/>
      <c r="E193" s="77"/>
      <c r="F193" s="77"/>
      <c r="G193" s="77"/>
      <c r="H193" s="77"/>
      <c r="I193" s="78"/>
      <c r="J193" s="509"/>
    </row>
    <row r="194" spans="1:10" ht="16.5" x14ac:dyDescent="0.3">
      <c r="A194" s="79" t="s">
        <v>138</v>
      </c>
      <c r="B194" s="59" t="s">
        <v>122</v>
      </c>
      <c r="C194" s="80">
        <f t="shared" ref="C194:C203" si="31">+C6</f>
        <v>-450</v>
      </c>
      <c r="D194" s="81"/>
      <c r="E194" s="81">
        <v>271100</v>
      </c>
      <c r="F194" s="81">
        <f>112800+126500</f>
        <v>239300</v>
      </c>
      <c r="G194" s="81"/>
      <c r="H194" s="116"/>
      <c r="I194" s="85">
        <v>521950</v>
      </c>
      <c r="J194" s="82">
        <f>+SUM(C194:G194)-(H194+I194)</f>
        <v>-12000</v>
      </c>
    </row>
    <row r="195" spans="1:10" ht="16.5" x14ac:dyDescent="0.3">
      <c r="A195" s="79" t="s">
        <v>138</v>
      </c>
      <c r="B195" s="59" t="s">
        <v>91</v>
      </c>
      <c r="C195" s="80">
        <f t="shared" si="31"/>
        <v>12510</v>
      </c>
      <c r="D195" s="81"/>
      <c r="E195" s="81">
        <v>625000</v>
      </c>
      <c r="F195" s="81"/>
      <c r="G195" s="81"/>
      <c r="H195" s="116">
        <v>247500</v>
      </c>
      <c r="I195" s="85">
        <v>371500</v>
      </c>
      <c r="J195" s="82">
        <f t="shared" ref="J195:J196" si="32">+SUM(C195:G195)-(H195+I195)</f>
        <v>18510</v>
      </c>
    </row>
    <row r="196" spans="1:10" ht="16.5" x14ac:dyDescent="0.3">
      <c r="A196" s="79" t="s">
        <v>138</v>
      </c>
      <c r="B196" s="59" t="s">
        <v>69</v>
      </c>
      <c r="C196" s="80">
        <f t="shared" si="31"/>
        <v>2895</v>
      </c>
      <c r="D196" s="81"/>
      <c r="E196" s="81">
        <v>60000</v>
      </c>
      <c r="F196" s="186"/>
      <c r="G196" s="186"/>
      <c r="H196" s="84"/>
      <c r="I196" s="115">
        <v>67200</v>
      </c>
      <c r="J196" s="187">
        <f t="shared" si="32"/>
        <v>-4305</v>
      </c>
    </row>
    <row r="197" spans="1:10" ht="15.75" customHeight="1" x14ac:dyDescent="0.3">
      <c r="A197" s="79" t="s">
        <v>138</v>
      </c>
      <c r="B197" s="59" t="s">
        <v>123</v>
      </c>
      <c r="C197" s="80">
        <f t="shared" si="31"/>
        <v>62040</v>
      </c>
      <c r="D197" s="117"/>
      <c r="E197" s="81">
        <v>140000</v>
      </c>
      <c r="F197" s="186">
        <v>270500</v>
      </c>
      <c r="G197" s="186"/>
      <c r="H197" s="84"/>
      <c r="I197" s="84">
        <v>417300</v>
      </c>
      <c r="J197" s="187">
        <f>+SUM(C197:G197)-(H197+I197)</f>
        <v>55240</v>
      </c>
    </row>
    <row r="198" spans="1:10" ht="16.5" x14ac:dyDescent="0.3">
      <c r="A198" s="79" t="s">
        <v>138</v>
      </c>
      <c r="B198" s="59" t="s">
        <v>114</v>
      </c>
      <c r="C198" s="80">
        <f t="shared" si="31"/>
        <v>184</v>
      </c>
      <c r="D198" s="117"/>
      <c r="E198" s="81">
        <v>256400</v>
      </c>
      <c r="F198" s="186"/>
      <c r="G198" s="186"/>
      <c r="H198" s="84"/>
      <c r="I198" s="85">
        <v>263500</v>
      </c>
      <c r="J198" s="187">
        <f t="shared" ref="J198" si="33">+SUM(C198:G198)-(H198+I198)</f>
        <v>-6916</v>
      </c>
    </row>
    <row r="199" spans="1:10" ht="16.5" x14ac:dyDescent="0.3">
      <c r="A199" s="79" t="s">
        <v>138</v>
      </c>
      <c r="B199" s="59" t="s">
        <v>68</v>
      </c>
      <c r="C199" s="80">
        <f t="shared" si="31"/>
        <v>-36500</v>
      </c>
      <c r="D199" s="81"/>
      <c r="E199" s="81">
        <v>858500</v>
      </c>
      <c r="F199" s="186"/>
      <c r="G199" s="186"/>
      <c r="H199" s="84"/>
      <c r="I199" s="85">
        <v>645000</v>
      </c>
      <c r="J199" s="187">
        <f>+SUM(C199:G199)-(H199+I199)</f>
        <v>177000</v>
      </c>
    </row>
    <row r="200" spans="1:10" ht="16.5" x14ac:dyDescent="0.3">
      <c r="A200" s="79" t="s">
        <v>138</v>
      </c>
      <c r="B200" s="59" t="s">
        <v>77</v>
      </c>
      <c r="C200" s="80">
        <f t="shared" si="31"/>
        <v>233614</v>
      </c>
      <c r="D200" s="81"/>
      <c r="E200" s="81">
        <v>800700</v>
      </c>
      <c r="F200" s="81"/>
      <c r="G200" s="81"/>
      <c r="H200" s="84">
        <v>262300</v>
      </c>
      <c r="I200" s="85">
        <v>543600</v>
      </c>
      <c r="J200" s="82">
        <f>+SUM(C200:G200)-(H200+I200)</f>
        <v>228414</v>
      </c>
    </row>
    <row r="201" spans="1:10" ht="16.5" x14ac:dyDescent="0.3">
      <c r="A201" s="79" t="s">
        <v>138</v>
      </c>
      <c r="B201" s="59" t="s">
        <v>67</v>
      </c>
      <c r="C201" s="80">
        <f t="shared" si="31"/>
        <v>249769</v>
      </c>
      <c r="D201" s="81"/>
      <c r="E201" s="81">
        <v>971600</v>
      </c>
      <c r="F201" s="81"/>
      <c r="G201" s="81"/>
      <c r="H201" s="84">
        <v>200000</v>
      </c>
      <c r="I201" s="85">
        <v>639450</v>
      </c>
      <c r="J201" s="82">
        <f t="shared" ref="J201:J202" si="34">+SUM(C201:G201)-(H201+I201)</f>
        <v>381919</v>
      </c>
    </row>
    <row r="202" spans="1:10" ht="16.5" x14ac:dyDescent="0.3">
      <c r="A202" s="79" t="s">
        <v>138</v>
      </c>
      <c r="B202" s="59" t="s">
        <v>36</v>
      </c>
      <c r="C202" s="80">
        <f t="shared" si="31"/>
        <v>71200</v>
      </c>
      <c r="D202" s="81"/>
      <c r="E202" s="81"/>
      <c r="F202" s="81"/>
      <c r="G202" s="81"/>
      <c r="H202" s="84"/>
      <c r="I202" s="115">
        <v>23000</v>
      </c>
      <c r="J202" s="82">
        <f t="shared" si="34"/>
        <v>48200</v>
      </c>
    </row>
    <row r="203" spans="1:10" ht="16.5" x14ac:dyDescent="0.3">
      <c r="A203" s="79" t="s">
        <v>138</v>
      </c>
      <c r="B203" s="59" t="s">
        <v>70</v>
      </c>
      <c r="C203" s="80">
        <f t="shared" si="31"/>
        <v>6000</v>
      </c>
      <c r="D203" s="81"/>
      <c r="E203" s="81"/>
      <c r="F203" s="81"/>
      <c r="G203" s="81"/>
      <c r="H203" s="84"/>
      <c r="I203" s="85">
        <v>0</v>
      </c>
      <c r="J203" s="82">
        <f>+SUM(C203:G203)-(H203+I203)</f>
        <v>6000</v>
      </c>
    </row>
    <row r="204" spans="1:10" ht="16.5" x14ac:dyDescent="0.3">
      <c r="A204" s="223" t="s">
        <v>138</v>
      </c>
      <c r="B204" s="224" t="s">
        <v>141</v>
      </c>
      <c r="C204" s="225">
        <v>3721074</v>
      </c>
      <c r="D204" s="226"/>
      <c r="E204" s="227"/>
      <c r="F204" s="226"/>
      <c r="G204" s="228"/>
      <c r="H204" s="225">
        <v>3721074</v>
      </c>
      <c r="I204" s="229"/>
      <c r="J204" s="230">
        <f>+SUM(C204:G204)-(H204+I204)</f>
        <v>0</v>
      </c>
    </row>
    <row r="205" spans="1:10" x14ac:dyDescent="0.2">
      <c r="A205" s="86" t="s">
        <v>104</v>
      </c>
      <c r="B205" s="87"/>
      <c r="C205" s="87"/>
      <c r="D205" s="87"/>
      <c r="E205" s="87"/>
      <c r="F205" s="87"/>
      <c r="G205" s="87"/>
      <c r="H205" s="87"/>
      <c r="I205" s="87"/>
      <c r="J205" s="88"/>
    </row>
    <row r="206" spans="1:10" x14ac:dyDescent="0.2">
      <c r="A206" s="79" t="s">
        <v>138</v>
      </c>
      <c r="B206" s="89" t="s">
        <v>105</v>
      </c>
      <c r="C206" s="90">
        <f>+C5</f>
        <v>1672959</v>
      </c>
      <c r="D206" s="91">
        <v>5000000</v>
      </c>
      <c r="E206" s="91"/>
      <c r="F206" s="91"/>
      <c r="G206" s="92">
        <v>200000</v>
      </c>
      <c r="H206" s="108">
        <v>3983300</v>
      </c>
      <c r="I206" s="93">
        <v>776245</v>
      </c>
      <c r="J206" s="94">
        <f>+SUM(C206:G206)-(H206+I206)</f>
        <v>2113414</v>
      </c>
    </row>
    <row r="207" spans="1:10" x14ac:dyDescent="0.2">
      <c r="A207" s="95" t="s">
        <v>106</v>
      </c>
      <c r="B207" s="76"/>
      <c r="C207" s="87"/>
      <c r="D207" s="76"/>
      <c r="E207" s="76"/>
      <c r="F207" s="76"/>
      <c r="G207" s="76"/>
      <c r="H207" s="76"/>
      <c r="I207" s="76"/>
      <c r="J207" s="88"/>
    </row>
    <row r="208" spans="1:10" x14ac:dyDescent="0.25">
      <c r="A208" s="79" t="s">
        <v>138</v>
      </c>
      <c r="B208" s="89" t="s">
        <v>107</v>
      </c>
      <c r="C208" s="96">
        <f>+C3</f>
        <v>2957378</v>
      </c>
      <c r="D208" s="113">
        <v>19826114</v>
      </c>
      <c r="E208" s="110"/>
      <c r="F208" s="110"/>
      <c r="G208" s="110"/>
      <c r="H208" s="112">
        <v>5000000</v>
      </c>
      <c r="I208" s="114">
        <v>455737</v>
      </c>
      <c r="J208" s="97">
        <f>+SUM(C208:G208)-(H208+I208)</f>
        <v>17327755</v>
      </c>
    </row>
    <row r="209" spans="1:11" x14ac:dyDescent="0.25">
      <c r="A209" s="79" t="s">
        <v>138</v>
      </c>
      <c r="B209" s="89" t="s">
        <v>108</v>
      </c>
      <c r="C209" s="96">
        <f>+C4</f>
        <v>28018504</v>
      </c>
      <c r="D209" s="110">
        <v>13119140</v>
      </c>
      <c r="E209" s="109"/>
      <c r="F209" s="109"/>
      <c r="G209" s="109"/>
      <c r="H209" s="84"/>
      <c r="I209" s="111">
        <v>3445919</v>
      </c>
      <c r="J209" s="97">
        <f>SUM(C209:G209)-(H209+I209)</f>
        <v>37691725</v>
      </c>
    </row>
    <row r="210" spans="1:11" x14ac:dyDescent="0.25">
      <c r="A210" s="386" t="s">
        <v>138</v>
      </c>
      <c r="B210" s="382" t="s">
        <v>129</v>
      </c>
      <c r="C210" s="387">
        <v>249769</v>
      </c>
      <c r="D210" s="110"/>
      <c r="E210" s="110"/>
      <c r="F210" s="110"/>
      <c r="G210" s="110"/>
      <c r="H210" s="84"/>
      <c r="I210" s="111"/>
      <c r="J210" s="388">
        <f>SUM(C210:G210)-(H210+I210)</f>
        <v>249769</v>
      </c>
    </row>
    <row r="211" spans="1:11" x14ac:dyDescent="0.25">
      <c r="A211" s="386" t="s">
        <v>138</v>
      </c>
      <c r="B211" s="384" t="s">
        <v>130</v>
      </c>
      <c r="C211" s="387">
        <v>233614</v>
      </c>
      <c r="D211" s="110"/>
      <c r="E211" s="110"/>
      <c r="F211" s="110"/>
      <c r="G211" s="110"/>
      <c r="H211" s="84"/>
      <c r="I211" s="111"/>
      <c r="J211" s="388">
        <f>SUM(C211:G211)-(H211+I211)</f>
        <v>233614</v>
      </c>
    </row>
    <row r="212" spans="1:11" x14ac:dyDescent="0.25">
      <c r="A212" s="386" t="s">
        <v>138</v>
      </c>
      <c r="B212" s="385" t="s">
        <v>131</v>
      </c>
      <c r="C212" s="387">
        <v>330169</v>
      </c>
      <c r="D212" s="389"/>
      <c r="E212" s="389"/>
      <c r="F212" s="389"/>
      <c r="G212" s="389"/>
      <c r="H212" s="389"/>
      <c r="I212" s="389"/>
      <c r="J212" s="388">
        <f>SUM(C212:G212)-(H212+I212)</f>
        <v>330169</v>
      </c>
    </row>
    <row r="213" spans="1:11" ht="15.75" x14ac:dyDescent="0.25">
      <c r="C213" s="60"/>
      <c r="I213" s="60"/>
      <c r="J213" s="193">
        <f>+SUM(J194:J212)</f>
        <v>58838508</v>
      </c>
      <c r="K213" s="220">
        <f>+J213-I19</f>
        <v>27126465</v>
      </c>
    </row>
    <row r="215" spans="1:11" x14ac:dyDescent="0.2">
      <c r="A215" s="67" t="s">
        <v>96</v>
      </c>
      <c r="B215" s="67"/>
      <c r="C215" s="67"/>
      <c r="D215" s="68"/>
      <c r="E215" s="68"/>
      <c r="F215" s="68"/>
      <c r="G215" s="68"/>
      <c r="H215" s="68"/>
      <c r="I215" s="68"/>
    </row>
    <row r="216" spans="1:11" x14ac:dyDescent="0.2">
      <c r="A216" s="69" t="s">
        <v>124</v>
      </c>
      <c r="B216" s="69"/>
      <c r="C216" s="69"/>
      <c r="D216" s="69"/>
      <c r="E216" s="69"/>
      <c r="F216" s="69"/>
      <c r="G216" s="69"/>
      <c r="H216" s="69"/>
      <c r="I216" s="69"/>
      <c r="J216" s="68"/>
    </row>
    <row r="217" spans="1:11" x14ac:dyDescent="0.2">
      <c r="A217" s="70"/>
      <c r="B217" s="71"/>
      <c r="C217" s="72"/>
      <c r="D217" s="72"/>
      <c r="E217" s="72"/>
      <c r="F217" s="72"/>
      <c r="G217" s="72"/>
      <c r="H217" s="71"/>
      <c r="I217" s="71"/>
      <c r="J217" s="69"/>
    </row>
    <row r="218" spans="1:11" x14ac:dyDescent="0.2">
      <c r="A218" s="510" t="s">
        <v>97</v>
      </c>
      <c r="B218" s="512" t="s">
        <v>98</v>
      </c>
      <c r="C218" s="514" t="s">
        <v>126</v>
      </c>
      <c r="D218" s="516" t="s">
        <v>99</v>
      </c>
      <c r="E218" s="517"/>
      <c r="F218" s="517"/>
      <c r="G218" s="518"/>
      <c r="H218" s="519" t="s">
        <v>100</v>
      </c>
      <c r="I218" s="506" t="s">
        <v>101</v>
      </c>
      <c r="J218" s="71"/>
    </row>
    <row r="219" spans="1:11" ht="36.75" customHeight="1" x14ac:dyDescent="0.25">
      <c r="A219" s="511"/>
      <c r="B219" s="513"/>
      <c r="C219" s="515"/>
      <c r="D219" s="73" t="s">
        <v>58</v>
      </c>
      <c r="E219" s="73" t="s">
        <v>62</v>
      </c>
      <c r="F219" s="74" t="s">
        <v>114</v>
      </c>
      <c r="G219" s="73" t="s">
        <v>102</v>
      </c>
      <c r="H219" s="520"/>
      <c r="I219" s="507"/>
      <c r="J219" s="508" t="s">
        <v>132</v>
      </c>
    </row>
    <row r="220" spans="1:11" x14ac:dyDescent="0.2">
      <c r="A220" s="75"/>
      <c r="B220" s="76" t="s">
        <v>103</v>
      </c>
      <c r="C220" s="77"/>
      <c r="D220" s="77"/>
      <c r="E220" s="77"/>
      <c r="F220" s="77"/>
      <c r="G220" s="77"/>
      <c r="H220" s="77"/>
      <c r="I220" s="78"/>
      <c r="J220" s="509"/>
    </row>
    <row r="221" spans="1:11" ht="16.5" x14ac:dyDescent="0.3">
      <c r="A221" s="79" t="s">
        <v>125</v>
      </c>
      <c r="B221" s="59" t="s">
        <v>122</v>
      </c>
      <c r="C221" s="80">
        <v>0</v>
      </c>
      <c r="D221" s="81"/>
      <c r="E221" s="81">
        <v>40000</v>
      </c>
      <c r="F221" s="81"/>
      <c r="G221" s="81"/>
      <c r="H221" s="116"/>
      <c r="I221" s="85">
        <v>39200</v>
      </c>
      <c r="J221" s="82">
        <f>+SUM(C221:G221)-(H221+I221)</f>
        <v>800</v>
      </c>
    </row>
    <row r="222" spans="1:11" ht="16.5" x14ac:dyDescent="0.3">
      <c r="A222" s="79" t="s">
        <v>125</v>
      </c>
      <c r="B222" s="59" t="str">
        <f t="shared" ref="B222:B229" si="35">+A7</f>
        <v>Crépin</v>
      </c>
      <c r="C222" s="80">
        <v>19060</v>
      </c>
      <c r="D222" s="81"/>
      <c r="E222" s="81">
        <v>20000</v>
      </c>
      <c r="F222" s="81"/>
      <c r="G222" s="81"/>
      <c r="H222" s="116"/>
      <c r="I222" s="85">
        <v>36000</v>
      </c>
      <c r="J222" s="82">
        <f t="shared" ref="J222:J229" si="36">+SUM(C222:G222)-(H222+I222)</f>
        <v>3060</v>
      </c>
    </row>
    <row r="223" spans="1:11" ht="16.5" x14ac:dyDescent="0.3">
      <c r="A223" s="79" t="s">
        <v>125</v>
      </c>
      <c r="B223" s="59" t="str">
        <f t="shared" si="35"/>
        <v>Evariste</v>
      </c>
      <c r="C223" s="80">
        <v>8395</v>
      </c>
      <c r="D223" s="81"/>
      <c r="E223" s="81">
        <v>20000</v>
      </c>
      <c r="F223" s="186"/>
      <c r="G223" s="186"/>
      <c r="H223" s="84"/>
      <c r="I223" s="115">
        <v>20000</v>
      </c>
      <c r="J223" s="187">
        <f t="shared" si="36"/>
        <v>8395</v>
      </c>
    </row>
    <row r="224" spans="1:11" ht="16.5" x14ac:dyDescent="0.3">
      <c r="A224" s="79" t="s">
        <v>125</v>
      </c>
      <c r="B224" s="59" t="str">
        <f t="shared" si="35"/>
        <v>Geisner</v>
      </c>
      <c r="C224" s="80">
        <v>0</v>
      </c>
      <c r="D224" s="117"/>
      <c r="E224" s="81">
        <v>100000</v>
      </c>
      <c r="F224" s="186">
        <v>102200</v>
      </c>
      <c r="G224" s="186"/>
      <c r="H224" s="84"/>
      <c r="I224" s="84">
        <v>204000</v>
      </c>
      <c r="J224" s="187">
        <f>+SUM(C224:G224)-(H224+I224)</f>
        <v>-1800</v>
      </c>
    </row>
    <row r="225" spans="1:10" ht="16.5" x14ac:dyDescent="0.3">
      <c r="A225" s="79" t="s">
        <v>125</v>
      </c>
      <c r="B225" s="59" t="str">
        <f t="shared" si="35"/>
        <v>Herick</v>
      </c>
      <c r="C225" s="80">
        <v>7559</v>
      </c>
      <c r="D225" s="117"/>
      <c r="E225" s="81">
        <v>866200</v>
      </c>
      <c r="F225" s="186"/>
      <c r="G225" s="186"/>
      <c r="H225" s="84">
        <v>252200</v>
      </c>
      <c r="I225" s="85">
        <v>605575</v>
      </c>
      <c r="J225" s="187">
        <f t="shared" si="36"/>
        <v>15984</v>
      </c>
    </row>
    <row r="226" spans="1:10" ht="16.5" x14ac:dyDescent="0.3">
      <c r="A226" s="79" t="s">
        <v>125</v>
      </c>
      <c r="B226" s="59" t="str">
        <f t="shared" si="35"/>
        <v>I23C</v>
      </c>
      <c r="C226" s="80">
        <v>214000</v>
      </c>
      <c r="D226" s="81"/>
      <c r="E226" s="81">
        <v>724100</v>
      </c>
      <c r="F226" s="186"/>
      <c r="G226" s="186"/>
      <c r="H226" s="84"/>
      <c r="I226" s="85">
        <v>960000</v>
      </c>
      <c r="J226" s="187">
        <f>+SUM(C226:G226)-(H226+I226)</f>
        <v>-21900</v>
      </c>
    </row>
    <row r="227" spans="1:10" ht="16.5" x14ac:dyDescent="0.3">
      <c r="A227" s="79" t="s">
        <v>125</v>
      </c>
      <c r="B227" s="59" t="str">
        <f t="shared" si="35"/>
        <v>I55S</v>
      </c>
      <c r="C227" s="80">
        <v>-13805</v>
      </c>
      <c r="D227" s="81"/>
      <c r="E227" s="81">
        <v>333400</v>
      </c>
      <c r="F227" s="81">
        <v>150000</v>
      </c>
      <c r="G227" s="81"/>
      <c r="H227" s="84">
        <v>129000</v>
      </c>
      <c r="I227" s="85">
        <v>338905</v>
      </c>
      <c r="J227" s="82">
        <f>+SUM(C227:G227)-(H227+I227)</f>
        <v>1690</v>
      </c>
    </row>
    <row r="228" spans="1:10" ht="16.5" x14ac:dyDescent="0.3">
      <c r="A228" s="79" t="s">
        <v>125</v>
      </c>
      <c r="B228" s="59" t="str">
        <f t="shared" si="35"/>
        <v>I73X</v>
      </c>
      <c r="C228" s="80">
        <v>84350</v>
      </c>
      <c r="D228" s="81"/>
      <c r="E228" s="81">
        <v>669400</v>
      </c>
      <c r="F228" s="81"/>
      <c r="G228" s="81"/>
      <c r="H228" s="84">
        <v>100000</v>
      </c>
      <c r="I228" s="85">
        <v>674700</v>
      </c>
      <c r="J228" s="82">
        <f>+SUM(C228:G228)-(H228+I228)</f>
        <v>-20950</v>
      </c>
    </row>
    <row r="229" spans="1:10" ht="16.5" x14ac:dyDescent="0.3">
      <c r="A229" s="79" t="s">
        <v>125</v>
      </c>
      <c r="B229" s="59" t="str">
        <f t="shared" si="35"/>
        <v>Jack-Bénisson</v>
      </c>
      <c r="C229" s="80">
        <v>-216251</v>
      </c>
      <c r="D229" s="81"/>
      <c r="E229" s="81">
        <v>242000</v>
      </c>
      <c r="F229" s="81"/>
      <c r="G229" s="81"/>
      <c r="H229" s="84"/>
      <c r="I229" s="115">
        <v>34830</v>
      </c>
      <c r="J229" s="82">
        <f t="shared" si="36"/>
        <v>-9081</v>
      </c>
    </row>
    <row r="230" spans="1:10" ht="16.5" x14ac:dyDescent="0.3">
      <c r="A230" s="79" t="s">
        <v>125</v>
      </c>
      <c r="B230" s="59" t="s">
        <v>71</v>
      </c>
      <c r="C230" s="80">
        <v>2025</v>
      </c>
      <c r="D230" s="81"/>
      <c r="E230" s="81">
        <v>25000</v>
      </c>
      <c r="F230" s="81"/>
      <c r="G230" s="81"/>
      <c r="H230" s="84">
        <v>3025</v>
      </c>
      <c r="I230" s="85">
        <v>24000</v>
      </c>
      <c r="J230" s="82">
        <f>+SUM(C230:G230)-(H230+I230)</f>
        <v>0</v>
      </c>
    </row>
    <row r="231" spans="1:10" ht="16.5" x14ac:dyDescent="0.3">
      <c r="A231" s="79" t="s">
        <v>125</v>
      </c>
      <c r="B231" s="59" t="s">
        <v>70</v>
      </c>
      <c r="C231" s="80">
        <v>10000</v>
      </c>
      <c r="D231" s="83"/>
      <c r="E231" s="81">
        <v>0</v>
      </c>
      <c r="F231" s="83"/>
      <c r="G231" s="83"/>
      <c r="H231" s="84"/>
      <c r="I231" s="85">
        <v>4700</v>
      </c>
      <c r="J231" s="82">
        <f>+SUM(C231:G231)-(H231+I231)</f>
        <v>5300</v>
      </c>
    </row>
    <row r="232" spans="1:10" x14ac:dyDescent="0.2">
      <c r="A232" s="86" t="s">
        <v>104</v>
      </c>
      <c r="B232" s="87"/>
      <c r="C232" s="87"/>
      <c r="D232" s="87"/>
      <c r="E232" s="87"/>
      <c r="F232" s="87"/>
      <c r="G232" s="87"/>
      <c r="H232" s="87"/>
      <c r="I232" s="87"/>
      <c r="J232" s="88"/>
    </row>
    <row r="233" spans="1:10" x14ac:dyDescent="0.2">
      <c r="A233" s="79" t="s">
        <v>125</v>
      </c>
      <c r="B233" s="89" t="s">
        <v>105</v>
      </c>
      <c r="C233" s="90">
        <v>791675</v>
      </c>
      <c r="D233" s="91">
        <v>3185100</v>
      </c>
      <c r="E233" s="91"/>
      <c r="F233" s="91"/>
      <c r="G233" s="92">
        <v>237025</v>
      </c>
      <c r="H233" s="108">
        <v>3045100</v>
      </c>
      <c r="I233" s="93">
        <v>876121</v>
      </c>
      <c r="J233" s="94">
        <f>+SUM(C233:G233)-(H233+I233)</f>
        <v>292579</v>
      </c>
    </row>
    <row r="234" spans="1:10" x14ac:dyDescent="0.2">
      <c r="A234" s="95" t="s">
        <v>106</v>
      </c>
      <c r="B234" s="76"/>
      <c r="C234" s="87"/>
      <c r="D234" s="76"/>
      <c r="E234" s="76"/>
      <c r="F234" s="76"/>
      <c r="G234" s="76"/>
      <c r="H234" s="76"/>
      <c r="I234" s="76"/>
      <c r="J234" s="88"/>
    </row>
    <row r="235" spans="1:10" x14ac:dyDescent="0.25">
      <c r="A235" s="79" t="s">
        <v>125</v>
      </c>
      <c r="B235" s="89" t="s">
        <v>107</v>
      </c>
      <c r="C235" s="96">
        <v>8039273</v>
      </c>
      <c r="D235" s="113">
        <v>0</v>
      </c>
      <c r="E235" s="110"/>
      <c r="F235" s="110"/>
      <c r="G235" s="110"/>
      <c r="H235" s="112">
        <v>3000000</v>
      </c>
      <c r="I235" s="114">
        <v>224679</v>
      </c>
      <c r="J235" s="97">
        <f>+SUM(C235:G235)-(H235+I235)</f>
        <v>4814594</v>
      </c>
    </row>
    <row r="236" spans="1:10" x14ac:dyDescent="0.25">
      <c r="A236" s="79" t="s">
        <v>125</v>
      </c>
      <c r="B236" s="89" t="s">
        <v>108</v>
      </c>
      <c r="C236" s="96">
        <v>13283340</v>
      </c>
      <c r="D236" s="110">
        <v>0</v>
      </c>
      <c r="E236" s="109"/>
      <c r="F236" s="109"/>
      <c r="G236" s="109"/>
      <c r="H236" s="84">
        <v>185100</v>
      </c>
      <c r="I236" s="111">
        <v>8352406</v>
      </c>
      <c r="J236" s="97">
        <f>SUM(C236:G236)-(H236+I236)</f>
        <v>4745834</v>
      </c>
    </row>
    <row r="237" spans="1:10" x14ac:dyDescent="0.25">
      <c r="A237" s="381" t="s">
        <v>125</v>
      </c>
      <c r="B237" s="382" t="s">
        <v>128</v>
      </c>
      <c r="C237" s="96">
        <v>3721074</v>
      </c>
      <c r="D237" s="381"/>
      <c r="E237" s="381"/>
      <c r="F237" s="381"/>
      <c r="G237" s="381"/>
      <c r="H237" s="381"/>
      <c r="I237" s="381"/>
      <c r="J237" s="383">
        <f>SUM(C237:G237)-(H237+I237)</f>
        <v>3721074</v>
      </c>
    </row>
    <row r="238" spans="1:10" x14ac:dyDescent="0.25">
      <c r="A238" s="381" t="s">
        <v>125</v>
      </c>
      <c r="B238" s="382" t="s">
        <v>129</v>
      </c>
      <c r="C238" s="96">
        <v>249769</v>
      </c>
      <c r="D238" s="110"/>
      <c r="E238" s="110"/>
      <c r="F238" s="110"/>
      <c r="G238" s="110"/>
      <c r="H238" s="84"/>
      <c r="I238" s="111"/>
      <c r="J238" s="383">
        <f>SUM(C238:G238)-(H238+I238)</f>
        <v>249769</v>
      </c>
    </row>
    <row r="239" spans="1:10" x14ac:dyDescent="0.25">
      <c r="A239" s="381" t="s">
        <v>125</v>
      </c>
      <c r="B239" s="384" t="s">
        <v>130</v>
      </c>
      <c r="C239" s="96">
        <v>233614</v>
      </c>
      <c r="D239" s="110"/>
      <c r="E239" s="110"/>
      <c r="F239" s="110"/>
      <c r="G239" s="110"/>
      <c r="H239" s="84"/>
      <c r="I239" s="111"/>
      <c r="J239" s="383">
        <f>SUM(C239:G239)-(H239+I239)</f>
        <v>233614</v>
      </c>
    </row>
    <row r="240" spans="1:10" x14ac:dyDescent="0.25">
      <c r="A240" s="381" t="s">
        <v>125</v>
      </c>
      <c r="B240" s="385" t="s">
        <v>131</v>
      </c>
      <c r="C240" s="96">
        <v>330169</v>
      </c>
      <c r="D240" s="381"/>
      <c r="E240" s="381"/>
      <c r="F240" s="381"/>
      <c r="G240" s="381"/>
      <c r="H240" s="381"/>
      <c r="I240" s="381"/>
      <c r="J240" s="383">
        <f>SUM(C240:G240)-(H240+I240)</f>
        <v>330169</v>
      </c>
    </row>
    <row r="241" spans="1:15" ht="15.75" x14ac:dyDescent="0.25">
      <c r="C241" s="60"/>
      <c r="I241" s="60"/>
      <c r="J241" s="193">
        <f>+SUM(J221:J240)</f>
        <v>14369131</v>
      </c>
    </row>
    <row r="242" spans="1:15" x14ac:dyDescent="0.25">
      <c r="C242" s="60"/>
      <c r="I242" s="60"/>
      <c r="J242" s="60"/>
    </row>
    <row r="243" spans="1:15" s="154" customFormat="1" x14ac:dyDescent="0.2">
      <c r="A243" s="152" t="s">
        <v>110</v>
      </c>
      <c r="B243" s="152"/>
      <c r="C243" s="152"/>
      <c r="D243" s="152"/>
      <c r="E243" s="152"/>
      <c r="F243" s="152"/>
      <c r="G243" s="152"/>
      <c r="H243" s="152"/>
      <c r="I243" s="152"/>
      <c r="J243" s="153"/>
      <c r="L243" s="155"/>
      <c r="M243" s="155"/>
      <c r="N243" s="155"/>
      <c r="O243" s="155"/>
    </row>
    <row r="244" spans="1:15" s="154" customFormat="1" x14ac:dyDescent="0.2">
      <c r="A244" s="156"/>
      <c r="B244" s="153"/>
      <c r="C244" s="157"/>
      <c r="D244" s="157"/>
      <c r="E244" s="157"/>
      <c r="F244" s="157"/>
      <c r="G244" s="157"/>
      <c r="H244" s="153"/>
      <c r="I244" s="153"/>
      <c r="J244" s="152"/>
      <c r="L244" s="155"/>
      <c r="M244" s="155"/>
      <c r="N244" s="155"/>
      <c r="O244" s="155"/>
    </row>
    <row r="245" spans="1:15" s="154" customFormat="1" x14ac:dyDescent="0.2">
      <c r="A245" s="510" t="s">
        <v>97</v>
      </c>
      <c r="B245" s="512" t="s">
        <v>98</v>
      </c>
      <c r="C245" s="514" t="s">
        <v>112</v>
      </c>
      <c r="D245" s="533" t="s">
        <v>99</v>
      </c>
      <c r="E245" s="534"/>
      <c r="F245" s="534"/>
      <c r="G245" s="535"/>
      <c r="H245" s="536" t="s">
        <v>100</v>
      </c>
      <c r="I245" s="538" t="s">
        <v>101</v>
      </c>
      <c r="J245" s="153"/>
      <c r="L245" s="155"/>
      <c r="M245" s="155"/>
      <c r="N245" s="155"/>
      <c r="O245" s="155"/>
    </row>
    <row r="246" spans="1:15" s="154" customFormat="1" x14ac:dyDescent="0.25">
      <c r="A246" s="511"/>
      <c r="B246" s="513"/>
      <c r="C246" s="515"/>
      <c r="D246" s="73" t="s">
        <v>58</v>
      </c>
      <c r="E246" s="73" t="s">
        <v>62</v>
      </c>
      <c r="F246" s="131" t="s">
        <v>114</v>
      </c>
      <c r="G246" s="73" t="s">
        <v>102</v>
      </c>
      <c r="H246" s="537"/>
      <c r="I246" s="539"/>
      <c r="J246" s="508" t="s">
        <v>113</v>
      </c>
      <c r="L246" s="155"/>
      <c r="M246" s="155"/>
      <c r="N246" s="155"/>
      <c r="O246" s="155"/>
    </row>
    <row r="247" spans="1:15" s="154" customFormat="1" x14ac:dyDescent="0.2">
      <c r="A247" s="158"/>
      <c r="B247" s="159" t="s">
        <v>103</v>
      </c>
      <c r="C247" s="160"/>
      <c r="D247" s="160"/>
      <c r="E247" s="160"/>
      <c r="F247" s="160"/>
      <c r="G247" s="160"/>
      <c r="H247" s="160"/>
      <c r="I247" s="161"/>
      <c r="J247" s="509"/>
      <c r="L247" s="155"/>
      <c r="M247" s="155"/>
      <c r="N247" s="155"/>
      <c r="O247" s="155"/>
    </row>
    <row r="248" spans="1:15" s="154" customFormat="1" ht="16.5" x14ac:dyDescent="0.3">
      <c r="A248" s="162" t="s">
        <v>111</v>
      </c>
      <c r="B248" s="59" t="s">
        <v>91</v>
      </c>
      <c r="C248" s="163">
        <v>40560</v>
      </c>
      <c r="D248" s="81"/>
      <c r="E248" s="81">
        <v>0</v>
      </c>
      <c r="F248" s="81"/>
      <c r="G248" s="81"/>
      <c r="H248" s="164"/>
      <c r="I248" s="165">
        <f>+SUM([15]COMPTA_CREPIN!$F$3050:$F$3066)</f>
        <v>21500</v>
      </c>
      <c r="J248" s="82">
        <f>+SUM(C248:G248)-(H248+I248)</f>
        <v>19060</v>
      </c>
      <c r="L248" s="155"/>
      <c r="M248" s="155"/>
      <c r="N248" s="155"/>
      <c r="O248" s="155"/>
    </row>
    <row r="249" spans="1:15" s="154" customFormat="1" ht="16.5" x14ac:dyDescent="0.3">
      <c r="A249" s="162" t="s">
        <v>111</v>
      </c>
      <c r="B249" s="59" t="s">
        <v>66</v>
      </c>
      <c r="C249" s="163">
        <v>227975</v>
      </c>
      <c r="D249" s="81"/>
      <c r="E249" s="81">
        <f>+'[16]Compta Dalia (2)'!$E$1908+'[16]Compta Dalia (2)'!$E$1909+'[16]Compta Dalia (2)'!$E$1911+'[16]Compta Dalia (2)'!$E$1917</f>
        <v>119600</v>
      </c>
      <c r="F249" s="81"/>
      <c r="G249" s="81"/>
      <c r="H249" s="164">
        <f>+'[16]Compta Dalia (2)'!$F$1919</f>
        <v>1635</v>
      </c>
      <c r="I249" s="165">
        <v>345940</v>
      </c>
      <c r="J249" s="82">
        <f t="shared" ref="J249:J256" si="37">+SUM(C249:G249)-(H249+I249)</f>
        <v>0</v>
      </c>
      <c r="L249" s="155"/>
      <c r="M249" s="155"/>
      <c r="N249" s="155"/>
      <c r="O249" s="155"/>
    </row>
    <row r="250" spans="1:15" s="154" customFormat="1" ht="16.5" x14ac:dyDescent="0.3">
      <c r="A250" s="162" t="s">
        <v>111</v>
      </c>
      <c r="B250" s="59" t="s">
        <v>69</v>
      </c>
      <c r="C250" s="163">
        <v>-605</v>
      </c>
      <c r="D250" s="81"/>
      <c r="E250" s="81">
        <f>+'[17]compta (3)'!$E$2556+'[17]compta (3)'!$E$2557+'[17]compta (3)'!$E$2558</f>
        <v>30000</v>
      </c>
      <c r="F250" s="81"/>
      <c r="G250" s="81"/>
      <c r="H250" s="166"/>
      <c r="I250" s="167">
        <f>'[17]compta (3)'!$F$2559</f>
        <v>21000</v>
      </c>
      <c r="J250" s="82">
        <f t="shared" si="37"/>
        <v>8395</v>
      </c>
      <c r="L250" s="155"/>
      <c r="M250" s="155"/>
      <c r="N250" s="155"/>
      <c r="O250" s="155"/>
    </row>
    <row r="251" spans="1:15" s="154" customFormat="1" ht="16.5" x14ac:dyDescent="0.3">
      <c r="A251" s="162" t="s">
        <v>111</v>
      </c>
      <c r="B251" s="185" t="s">
        <v>64</v>
      </c>
      <c r="C251" s="163">
        <v>264659</v>
      </c>
      <c r="D251" s="186"/>
      <c r="E251" s="186">
        <f>+'[18]compta (2)'!$E$2521+'[18]compta (2)'!$E$2525+'[18]compta (2)'!$E$2527+'[18]compta (2)'!$E$2529</f>
        <v>325000</v>
      </c>
      <c r="F251" s="186"/>
      <c r="G251" s="186"/>
      <c r="H251" s="84">
        <f>'[18]compta (2)'!$F$2528+60000</f>
        <v>75000</v>
      </c>
      <c r="I251" s="84">
        <f>'[18]compta (2)'!$F$2522+'[18]compta (2)'!$F$2523+'[18]compta (2)'!$F$2524+'[18]compta (2)'!$F$2526+'[18]compta (2)'!$F$2530+'[18]compta (2)'!$F$2532+'[18]compta (2)'!$F$2533+'[18]compta (2)'!$F$2534</f>
        <v>507100</v>
      </c>
      <c r="J251" s="187">
        <f t="shared" si="37"/>
        <v>7559</v>
      </c>
      <c r="L251" s="155"/>
      <c r="M251" s="155"/>
      <c r="N251" s="155"/>
      <c r="O251" s="155"/>
    </row>
    <row r="252" spans="1:15" s="154" customFormat="1" ht="16.5" x14ac:dyDescent="0.3">
      <c r="A252" s="162" t="s">
        <v>111</v>
      </c>
      <c r="B252" s="185" t="s">
        <v>92</v>
      </c>
      <c r="C252" s="163">
        <v>272500</v>
      </c>
      <c r="D252" s="186"/>
      <c r="E252" s="186">
        <f>+'[19]COMPTA_I23C (2)'!$E$4171+'[19]COMPTA_I23C (2)'!$E$4172+'[19]COMPTA_I23C (2)'!$E$4174+'[19]COMPTA_I23C (2)'!$E$4178+'[19]COMPTA_I23C (2)'!$E$4180+'[19]COMPTA_I23C (2)'!$E$4181</f>
        <v>695000</v>
      </c>
      <c r="F252" s="186"/>
      <c r="G252" s="186"/>
      <c r="H252" s="84"/>
      <c r="I252" s="163">
        <v>753500</v>
      </c>
      <c r="J252" s="187">
        <f t="shared" si="37"/>
        <v>214000</v>
      </c>
      <c r="L252" s="155"/>
      <c r="M252" s="155"/>
      <c r="N252" s="155"/>
      <c r="O252" s="155"/>
    </row>
    <row r="253" spans="1:15" s="154" customFormat="1" ht="16.5" x14ac:dyDescent="0.3">
      <c r="A253" s="162" t="s">
        <v>111</v>
      </c>
      <c r="B253" s="59" t="s">
        <v>77</v>
      </c>
      <c r="C253" s="163">
        <v>284595</v>
      </c>
      <c r="D253" s="81"/>
      <c r="E253" s="81">
        <f>+'[20]Feuil1 (2)'!$E$2684+'[20]Feuil1 (2)'!$E$2689+'[20]Feuil1 (2)'!$E$2691</f>
        <v>275000</v>
      </c>
      <c r="F253" s="81">
        <f>'[18]compta (2)'!$F$2531</f>
        <v>60000</v>
      </c>
      <c r="G253" s="81"/>
      <c r="H253" s="166"/>
      <c r="I253" s="165">
        <v>633400</v>
      </c>
      <c r="J253" s="82">
        <f t="shared" si="37"/>
        <v>-13805</v>
      </c>
      <c r="L253" s="155"/>
      <c r="M253" s="155"/>
      <c r="N253" s="155"/>
      <c r="O253" s="155"/>
    </row>
    <row r="254" spans="1:15" s="154" customFormat="1" ht="16.5" x14ac:dyDescent="0.3">
      <c r="A254" s="162" t="s">
        <v>111</v>
      </c>
      <c r="B254" s="59" t="s">
        <v>65</v>
      </c>
      <c r="C254" s="163">
        <v>-1750</v>
      </c>
      <c r="D254" s="81"/>
      <c r="E254" s="81">
        <f>+'[21]Compta Jospin (2)'!$E$1583+'[21]Compta Jospin (2)'!$E$1584+'[21]Compta Jospin (2)'!$E$1587</f>
        <v>96400</v>
      </c>
      <c r="F254" s="81"/>
      <c r="G254" s="81"/>
      <c r="H254" s="166">
        <f>+'[21]Compta Jospin (2)'!$F$1592</f>
        <v>950</v>
      </c>
      <c r="I254" s="165">
        <v>93700</v>
      </c>
      <c r="J254" s="82">
        <f t="shared" si="37"/>
        <v>0</v>
      </c>
      <c r="L254" s="155"/>
      <c r="M254" s="155"/>
      <c r="N254" s="155"/>
      <c r="O254" s="155"/>
    </row>
    <row r="255" spans="1:15" s="154" customFormat="1" ht="16.5" x14ac:dyDescent="0.3">
      <c r="A255" s="162" t="s">
        <v>111</v>
      </c>
      <c r="B255" s="59" t="s">
        <v>67</v>
      </c>
      <c r="C255" s="163">
        <v>265600</v>
      </c>
      <c r="D255" s="81"/>
      <c r="E255" s="81">
        <f>+'[22]COMPT-P29 (2)'!$E$190+'[22]COMPT-P29 (2)'!$E$191+'[22]COMPT-P29 (2)'!$E$196+'[22]COMPT-P29 (2)'!$E$201+'[22]COMPT-P29 (2)'!$E$202+'[22]COMPT-P29 (2)'!$E$204+'[22]COMPT-P29 (2)'!$E$207+'[22]COMPT-P29 (2)'!$E$215</f>
        <v>855600</v>
      </c>
      <c r="F255" s="81"/>
      <c r="G255" s="81"/>
      <c r="H255" s="166"/>
      <c r="I255" s="165">
        <v>1036850</v>
      </c>
      <c r="J255" s="82">
        <f t="shared" si="37"/>
        <v>84350</v>
      </c>
      <c r="L255" s="155"/>
      <c r="M255" s="155"/>
      <c r="N255" s="155"/>
      <c r="O255" s="155"/>
    </row>
    <row r="256" spans="1:15" s="154" customFormat="1" ht="16.5" x14ac:dyDescent="0.3">
      <c r="A256" s="162" t="s">
        <v>111</v>
      </c>
      <c r="B256" s="59" t="s">
        <v>93</v>
      </c>
      <c r="C256" s="163">
        <f t="shared" ref="C256" si="38">+C229</f>
        <v>-216251</v>
      </c>
      <c r="D256" s="81"/>
      <c r="E256" s="81">
        <v>0</v>
      </c>
      <c r="F256" s="81"/>
      <c r="G256" s="81"/>
      <c r="H256" s="166"/>
      <c r="I256" s="167">
        <v>0</v>
      </c>
      <c r="J256" s="82">
        <f t="shared" si="37"/>
        <v>-216251</v>
      </c>
      <c r="L256" s="155"/>
      <c r="M256" s="155"/>
      <c r="N256" s="155"/>
      <c r="O256" s="155"/>
    </row>
    <row r="257" spans="1:15" s="154" customFormat="1" ht="16.5" x14ac:dyDescent="0.3">
      <c r="A257" s="162" t="s">
        <v>111</v>
      </c>
      <c r="B257" s="59" t="s">
        <v>71</v>
      </c>
      <c r="C257" s="163">
        <v>1025</v>
      </c>
      <c r="D257" s="81"/>
      <c r="E257" s="81">
        <f>+'[23]compta shely'!$E$90+'[23]compta shely'!$E$97+'[23]compta shely'!$E$100</f>
        <v>25000</v>
      </c>
      <c r="F257" s="81"/>
      <c r="G257" s="81"/>
      <c r="H257" s="166"/>
      <c r="I257" s="165">
        <v>24000</v>
      </c>
      <c r="J257" s="82">
        <f>+SUM(C257:G257)-(H257+I257)</f>
        <v>2025</v>
      </c>
      <c r="L257" s="155"/>
      <c r="M257" s="155"/>
      <c r="N257" s="155"/>
      <c r="O257" s="155"/>
    </row>
    <row r="258" spans="1:15" s="154" customFormat="1" ht="16.5" x14ac:dyDescent="0.3">
      <c r="A258" s="83" t="s">
        <v>111</v>
      </c>
      <c r="B258" s="59" t="s">
        <v>70</v>
      </c>
      <c r="C258" s="163">
        <v>0</v>
      </c>
      <c r="D258" s="83"/>
      <c r="E258" s="83">
        <f>+'[24]compta ted'!$E$11</f>
        <v>10000</v>
      </c>
      <c r="F258" s="83"/>
      <c r="G258" s="83"/>
      <c r="H258" s="166"/>
      <c r="I258" s="165">
        <v>0</v>
      </c>
      <c r="J258" s="82">
        <f>+SUM(C258:G258)-(H258+I258)</f>
        <v>10000</v>
      </c>
      <c r="L258" s="155"/>
      <c r="M258" s="155"/>
      <c r="N258" s="155"/>
      <c r="O258" s="155"/>
    </row>
    <row r="259" spans="1:15" s="154" customFormat="1" x14ac:dyDescent="0.2">
      <c r="A259" s="168" t="s">
        <v>104</v>
      </c>
      <c r="B259" s="169"/>
      <c r="C259" s="169"/>
      <c r="D259" s="169"/>
      <c r="E259" s="169"/>
      <c r="F259" s="169"/>
      <c r="G259" s="169"/>
      <c r="H259" s="169"/>
      <c r="I259" s="169"/>
      <c r="J259" s="170"/>
      <c r="L259" s="155"/>
      <c r="M259" s="155"/>
      <c r="N259" s="155"/>
      <c r="O259" s="155"/>
    </row>
    <row r="260" spans="1:15" s="154" customFormat="1" x14ac:dyDescent="0.2">
      <c r="A260" s="83" t="s">
        <v>111</v>
      </c>
      <c r="B260" s="89" t="s">
        <v>105</v>
      </c>
      <c r="C260" s="90">
        <v>954796</v>
      </c>
      <c r="D260" s="81">
        <v>3000000</v>
      </c>
      <c r="E260" s="81"/>
      <c r="F260" s="81"/>
      <c r="G260" s="171">
        <v>17585</v>
      </c>
      <c r="H260" s="172">
        <v>2431600</v>
      </c>
      <c r="I260" s="173">
        <v>749106</v>
      </c>
      <c r="J260" s="174">
        <f>+SUM(C260:G260)-(H260+I260)</f>
        <v>791675</v>
      </c>
      <c r="L260" s="155"/>
      <c r="M260" s="155"/>
      <c r="N260" s="155"/>
      <c r="O260" s="155"/>
    </row>
    <row r="261" spans="1:15" s="154" customFormat="1" x14ac:dyDescent="0.2">
      <c r="A261" s="175" t="s">
        <v>106</v>
      </c>
      <c r="B261" s="159"/>
      <c r="C261" s="169"/>
      <c r="D261" s="159"/>
      <c r="E261" s="159"/>
      <c r="F261" s="159"/>
      <c r="G261" s="159"/>
      <c r="H261" s="159"/>
      <c r="I261" s="159"/>
      <c r="J261" s="170"/>
      <c r="L261" s="155"/>
      <c r="M261" s="155"/>
      <c r="N261" s="155"/>
      <c r="O261" s="155"/>
    </row>
    <row r="262" spans="1:15" s="154" customFormat="1" x14ac:dyDescent="0.25">
      <c r="A262" s="83" t="s">
        <v>111</v>
      </c>
      <c r="B262" s="89" t="s">
        <v>107</v>
      </c>
      <c r="C262" s="163">
        <v>705838</v>
      </c>
      <c r="D262" s="176">
        <v>10801800</v>
      </c>
      <c r="E262" s="177"/>
      <c r="F262" s="177"/>
      <c r="G262" s="177"/>
      <c r="H262" s="178">
        <v>3000000</v>
      </c>
      <c r="I262" s="179">
        <v>468365</v>
      </c>
      <c r="J262" s="82">
        <f>+SUM(C262:G262)-(H262+I262)</f>
        <v>8039273</v>
      </c>
      <c r="L262" s="155"/>
      <c r="M262" s="155"/>
      <c r="N262" s="155"/>
      <c r="O262" s="155"/>
    </row>
    <row r="263" spans="1:15" s="154" customFormat="1" x14ac:dyDescent="0.25">
      <c r="A263" s="83" t="s">
        <v>111</v>
      </c>
      <c r="B263" s="89" t="s">
        <v>108</v>
      </c>
      <c r="C263" s="163">
        <v>14874402</v>
      </c>
      <c r="D263" s="177">
        <v>3279785</v>
      </c>
      <c r="E263" s="180"/>
      <c r="F263" s="180"/>
      <c r="G263" s="180"/>
      <c r="H263" s="181"/>
      <c r="I263" s="182">
        <v>4870847</v>
      </c>
      <c r="J263" s="82">
        <f>SUM(C263:G263)-(H263+I263)</f>
        <v>13283340</v>
      </c>
      <c r="L263" s="155"/>
      <c r="M263" s="155"/>
      <c r="N263" s="155"/>
      <c r="O263" s="155"/>
    </row>
    <row r="264" spans="1:15" s="154" customFormat="1" x14ac:dyDescent="0.25">
      <c r="L264" s="155"/>
      <c r="M264" s="155"/>
      <c r="N264" s="155"/>
      <c r="O264" s="155"/>
    </row>
    <row r="265" spans="1:15" s="154" customFormat="1" x14ac:dyDescent="0.25">
      <c r="C265" s="183">
        <f>+SUM(C248:C263)</f>
        <v>17673344</v>
      </c>
      <c r="I265" s="183">
        <f>SUM(I248:I263)</f>
        <v>9525308</v>
      </c>
      <c r="J265" s="183">
        <f>+SUM(J248:J263)</f>
        <v>22229621</v>
      </c>
      <c r="L265" s="155"/>
      <c r="M265" s="155"/>
      <c r="N265" s="155"/>
      <c r="O265" s="155"/>
    </row>
    <row r="266" spans="1:15" x14ac:dyDescent="0.25">
      <c r="C266" s="60"/>
      <c r="I266" s="60"/>
      <c r="J266" s="60"/>
    </row>
    <row r="267" spans="1:15" x14ac:dyDescent="0.25">
      <c r="A267" s="123" t="s">
        <v>115</v>
      </c>
      <c r="B267" s="123"/>
    </row>
    <row r="268" spans="1:15" x14ac:dyDescent="0.25">
      <c r="A268" s="124" t="s">
        <v>116</v>
      </c>
      <c r="B268" s="124"/>
      <c r="C268" s="124"/>
      <c r="D268" s="124"/>
      <c r="E268" s="124"/>
      <c r="F268" s="124"/>
      <c r="G268" s="124"/>
      <c r="H268" s="124"/>
      <c r="I268" s="124"/>
      <c r="J268" s="124"/>
    </row>
    <row r="270" spans="1:15" x14ac:dyDescent="0.25">
      <c r="A270" s="521" t="s">
        <v>97</v>
      </c>
      <c r="B270" s="521" t="s">
        <v>98</v>
      </c>
      <c r="C270" s="532" t="s">
        <v>118</v>
      </c>
      <c r="D270" s="527" t="s">
        <v>99</v>
      </c>
      <c r="E270" s="527"/>
      <c r="F270" s="527"/>
      <c r="G270" s="527"/>
      <c r="H270" s="528" t="s">
        <v>100</v>
      </c>
      <c r="I270" s="530" t="s">
        <v>101</v>
      </c>
      <c r="J270" s="523" t="s">
        <v>119</v>
      </c>
      <c r="K270" s="524"/>
    </row>
    <row r="271" spans="1:15" ht="28.5" customHeight="1" x14ac:dyDescent="0.25">
      <c r="A271" s="522"/>
      <c r="B271" s="522"/>
      <c r="C271" s="522"/>
      <c r="D271" s="128" t="s">
        <v>58</v>
      </c>
      <c r="E271" s="125" t="s">
        <v>62</v>
      </c>
      <c r="F271" s="125" t="s">
        <v>65</v>
      </c>
      <c r="G271" s="125" t="s">
        <v>102</v>
      </c>
      <c r="H271" s="529"/>
      <c r="I271" s="531"/>
      <c r="J271" s="525"/>
      <c r="K271" s="526"/>
    </row>
    <row r="272" spans="1:15" x14ac:dyDescent="0.25">
      <c r="A272" s="106"/>
      <c r="B272" s="106" t="s">
        <v>103</v>
      </c>
      <c r="C272" s="108"/>
      <c r="D272" s="108"/>
      <c r="E272" s="108"/>
      <c r="F272" s="108"/>
      <c r="G272" s="108"/>
      <c r="H272" s="108"/>
      <c r="I272" s="108"/>
      <c r="J272" s="108"/>
      <c r="K272" s="106"/>
    </row>
    <row r="273" spans="1:11" x14ac:dyDescent="0.25">
      <c r="A273" s="106" t="s">
        <v>117</v>
      </c>
      <c r="B273" s="106" t="s">
        <v>91</v>
      </c>
      <c r="C273" s="108">
        <v>89360</v>
      </c>
      <c r="D273" s="108"/>
      <c r="E273" s="108">
        <v>13000</v>
      </c>
      <c r="F273" s="108"/>
      <c r="G273" s="108"/>
      <c r="H273" s="108"/>
      <c r="I273" s="108">
        <v>61800</v>
      </c>
      <c r="J273" s="108">
        <v>40560</v>
      </c>
      <c r="K273" s="106"/>
    </row>
    <row r="274" spans="1:11" x14ac:dyDescent="0.25">
      <c r="A274" s="106" t="s">
        <v>117</v>
      </c>
      <c r="B274" s="106" t="s">
        <v>66</v>
      </c>
      <c r="C274" s="108">
        <v>-1025</v>
      </c>
      <c r="D274" s="108"/>
      <c r="E274" s="108">
        <v>684500</v>
      </c>
      <c r="F274" s="108"/>
      <c r="G274" s="108"/>
      <c r="H274" s="108"/>
      <c r="I274" s="108">
        <v>455500</v>
      </c>
      <c r="J274" s="108">
        <v>227975</v>
      </c>
      <c r="K274" s="106"/>
    </row>
    <row r="275" spans="1:11" x14ac:dyDescent="0.25">
      <c r="A275" s="106" t="s">
        <v>117</v>
      </c>
      <c r="B275" s="106" t="s">
        <v>69</v>
      </c>
      <c r="C275" s="108">
        <v>14395</v>
      </c>
      <c r="D275" s="108"/>
      <c r="E275" s="108">
        <v>40000</v>
      </c>
      <c r="F275" s="108"/>
      <c r="G275" s="108"/>
      <c r="H275" s="108"/>
      <c r="I275" s="108">
        <v>55000</v>
      </c>
      <c r="J275" s="108">
        <v>-605</v>
      </c>
      <c r="K275" s="106"/>
    </row>
    <row r="276" spans="1:11" x14ac:dyDescent="0.25">
      <c r="A276" s="106" t="s">
        <v>117</v>
      </c>
      <c r="B276" s="106" t="s">
        <v>64</v>
      </c>
      <c r="C276" s="108">
        <v>8559</v>
      </c>
      <c r="D276" s="108"/>
      <c r="E276" s="108">
        <v>428750</v>
      </c>
      <c r="F276" s="108">
        <v>280200</v>
      </c>
      <c r="G276" s="108"/>
      <c r="H276" s="108"/>
      <c r="I276" s="108">
        <v>452850</v>
      </c>
      <c r="J276" s="108">
        <v>264659</v>
      </c>
      <c r="K276" s="106"/>
    </row>
    <row r="277" spans="1:11" x14ac:dyDescent="0.25">
      <c r="A277" s="106" t="s">
        <v>117</v>
      </c>
      <c r="B277" s="106" t="s">
        <v>92</v>
      </c>
      <c r="C277" s="108">
        <v>-5750</v>
      </c>
      <c r="D277" s="108"/>
      <c r="E277" s="108">
        <v>1161750</v>
      </c>
      <c r="F277" s="108"/>
      <c r="G277" s="108"/>
      <c r="H277" s="108">
        <v>124000</v>
      </c>
      <c r="I277" s="108">
        <v>759500</v>
      </c>
      <c r="J277" s="108">
        <v>272500</v>
      </c>
      <c r="K277" s="106"/>
    </row>
    <row r="278" spans="1:11" x14ac:dyDescent="0.25">
      <c r="A278" s="106" t="s">
        <v>117</v>
      </c>
      <c r="B278" s="106" t="s">
        <v>77</v>
      </c>
      <c r="C278" s="108">
        <v>12995</v>
      </c>
      <c r="D278" s="108"/>
      <c r="E278" s="108">
        <v>726000</v>
      </c>
      <c r="F278" s="108"/>
      <c r="G278" s="108"/>
      <c r="H278" s="108"/>
      <c r="I278" s="108">
        <v>454400</v>
      </c>
      <c r="J278" s="108">
        <v>284595</v>
      </c>
      <c r="K278" s="106"/>
    </row>
    <row r="279" spans="1:11" x14ac:dyDescent="0.25">
      <c r="A279" s="106" t="s">
        <v>117</v>
      </c>
      <c r="B279" s="106" t="s">
        <v>65</v>
      </c>
      <c r="C279" s="108">
        <v>6050</v>
      </c>
      <c r="D279" s="108"/>
      <c r="E279" s="108">
        <v>736300</v>
      </c>
      <c r="F279" s="108"/>
      <c r="G279" s="108"/>
      <c r="H279" s="108">
        <v>405200</v>
      </c>
      <c r="I279" s="108">
        <v>338900</v>
      </c>
      <c r="J279" s="108">
        <v>-1750</v>
      </c>
      <c r="K279" s="106"/>
    </row>
    <row r="280" spans="1:11" x14ac:dyDescent="0.25">
      <c r="A280" s="106" t="s">
        <v>117</v>
      </c>
      <c r="B280" s="106" t="s">
        <v>67</v>
      </c>
      <c r="C280" s="108">
        <v>142400</v>
      </c>
      <c r="D280" s="108"/>
      <c r="E280" s="108">
        <v>1014000</v>
      </c>
      <c r="F280" s="108"/>
      <c r="G280" s="108"/>
      <c r="H280" s="108">
        <v>100000</v>
      </c>
      <c r="I280" s="108">
        <v>790800</v>
      </c>
      <c r="J280" s="108">
        <v>265600</v>
      </c>
      <c r="K280" s="106"/>
    </row>
    <row r="281" spans="1:11" x14ac:dyDescent="0.25">
      <c r="A281" s="106" t="s">
        <v>117</v>
      </c>
      <c r="B281" s="106" t="s">
        <v>93</v>
      </c>
      <c r="C281" s="108">
        <v>-221251.00072999997</v>
      </c>
      <c r="D281" s="108"/>
      <c r="E281" s="108">
        <v>485000</v>
      </c>
      <c r="F281" s="108"/>
      <c r="G281" s="108"/>
      <c r="H281" s="108">
        <v>5000</v>
      </c>
      <c r="I281" s="108">
        <v>475000</v>
      </c>
      <c r="J281" s="108">
        <v>-216251.00072999997</v>
      </c>
      <c r="K281" s="106"/>
    </row>
    <row r="282" spans="1:11" x14ac:dyDescent="0.25">
      <c r="A282" s="106" t="s">
        <v>117</v>
      </c>
      <c r="B282" s="106" t="s">
        <v>71</v>
      </c>
      <c r="C282" s="108">
        <v>14225</v>
      </c>
      <c r="D282" s="108"/>
      <c r="E282" s="108">
        <v>30000</v>
      </c>
      <c r="F282" s="108"/>
      <c r="G282" s="108"/>
      <c r="H282" s="108"/>
      <c r="I282" s="108">
        <v>43200</v>
      </c>
      <c r="J282" s="108">
        <v>1025</v>
      </c>
      <c r="K282" s="106"/>
    </row>
    <row r="283" spans="1:11" x14ac:dyDescent="0.25">
      <c r="A283" s="126" t="s">
        <v>104</v>
      </c>
      <c r="B283" s="126"/>
      <c r="C283" s="127"/>
      <c r="D283" s="127"/>
      <c r="E283" s="127"/>
      <c r="F283" s="127"/>
      <c r="G283" s="127"/>
      <c r="H283" s="127"/>
      <c r="I283" s="127"/>
      <c r="J283" s="127"/>
      <c r="K283" s="126"/>
    </row>
    <row r="284" spans="1:11" x14ac:dyDescent="0.25">
      <c r="A284" s="106" t="s">
        <v>117</v>
      </c>
      <c r="B284" s="106" t="s">
        <v>105</v>
      </c>
      <c r="C284" s="108">
        <v>494738</v>
      </c>
      <c r="D284" s="108">
        <v>6000000</v>
      </c>
      <c r="E284" s="108"/>
      <c r="F284" s="108"/>
      <c r="G284" s="108">
        <v>105000</v>
      </c>
      <c r="H284" s="108">
        <v>5070300</v>
      </c>
      <c r="I284" s="108">
        <v>574642</v>
      </c>
      <c r="J284" s="108">
        <v>954796</v>
      </c>
      <c r="K284" s="106"/>
    </row>
    <row r="285" spans="1:11" x14ac:dyDescent="0.25">
      <c r="A285" s="126" t="s">
        <v>106</v>
      </c>
      <c r="B285" s="126"/>
      <c r="C285" s="127"/>
      <c r="D285" s="127"/>
      <c r="E285" s="127"/>
      <c r="F285" s="127"/>
      <c r="G285" s="127"/>
      <c r="H285" s="127"/>
      <c r="I285" s="127"/>
      <c r="J285" s="127"/>
      <c r="K285" s="126"/>
    </row>
    <row r="286" spans="1:11" x14ac:dyDescent="0.25">
      <c r="A286" s="106" t="s">
        <v>117</v>
      </c>
      <c r="B286" s="106" t="s">
        <v>107</v>
      </c>
      <c r="C286" s="108">
        <v>11363703</v>
      </c>
      <c r="D286" s="108"/>
      <c r="E286" s="108"/>
      <c r="F286" s="108"/>
      <c r="G286" s="108"/>
      <c r="H286" s="108">
        <v>10000000</v>
      </c>
      <c r="I286" s="108">
        <v>657865</v>
      </c>
      <c r="J286" s="108">
        <v>705838</v>
      </c>
      <c r="K286" s="106"/>
    </row>
    <row r="287" spans="1:11" x14ac:dyDescent="0.25">
      <c r="A287" s="106" t="s">
        <v>117</v>
      </c>
      <c r="B287" s="106" t="s">
        <v>108</v>
      </c>
      <c r="C287" s="108">
        <v>4902843</v>
      </c>
      <c r="D287" s="108">
        <v>17119140</v>
      </c>
      <c r="E287" s="108"/>
      <c r="F287" s="108"/>
      <c r="G287" s="108"/>
      <c r="H287" s="108"/>
      <c r="I287" s="108">
        <v>7147581</v>
      </c>
      <c r="J287" s="108">
        <v>14874402</v>
      </c>
      <c r="K287" s="106"/>
    </row>
    <row r="288" spans="1:11" x14ac:dyDescent="0.25">
      <c r="A288" s="106"/>
      <c r="B288" s="106"/>
      <c r="C288" s="108"/>
      <c r="D288" s="108"/>
      <c r="E288" s="108"/>
      <c r="F288" s="108"/>
      <c r="G288" s="108"/>
      <c r="H288" s="108"/>
      <c r="I288" s="108"/>
      <c r="J288" s="108"/>
      <c r="K288" s="106"/>
    </row>
    <row r="289" spans="1:11" x14ac:dyDescent="0.25">
      <c r="A289" s="106"/>
      <c r="B289" s="106"/>
      <c r="C289" s="108"/>
      <c r="D289" s="108"/>
      <c r="E289" s="108"/>
      <c r="F289" s="108"/>
      <c r="G289" s="108"/>
      <c r="H289" s="108"/>
      <c r="I289" s="108">
        <v>12267038</v>
      </c>
      <c r="J289" s="108">
        <v>17673343.99927</v>
      </c>
      <c r="K289" s="106" t="b">
        <v>1</v>
      </c>
    </row>
    <row r="290" spans="1:11" x14ac:dyDescent="0.25">
      <c r="J290" s="130" t="b">
        <f>J289=[25]TABLEAU!$I$16</f>
        <v>1</v>
      </c>
    </row>
  </sheetData>
  <mergeCells count="70">
    <mergeCell ref="I27:I28"/>
    <mergeCell ref="J28:J29"/>
    <mergeCell ref="A27:A28"/>
    <mergeCell ref="B27:B28"/>
    <mergeCell ref="C27:C28"/>
    <mergeCell ref="D27:G27"/>
    <mergeCell ref="H27:H28"/>
    <mergeCell ref="I138:I139"/>
    <mergeCell ref="J139:J140"/>
    <mergeCell ref="A138:A139"/>
    <mergeCell ref="B138:B139"/>
    <mergeCell ref="C138:C139"/>
    <mergeCell ref="D138:G138"/>
    <mergeCell ref="H138:H139"/>
    <mergeCell ref="I191:I192"/>
    <mergeCell ref="J192:J193"/>
    <mergeCell ref="A191:A192"/>
    <mergeCell ref="B191:B192"/>
    <mergeCell ref="C191:C192"/>
    <mergeCell ref="D191:G191"/>
    <mergeCell ref="H191:H192"/>
    <mergeCell ref="A245:A246"/>
    <mergeCell ref="D245:G245"/>
    <mergeCell ref="H245:H246"/>
    <mergeCell ref="J246:J247"/>
    <mergeCell ref="I245:I246"/>
    <mergeCell ref="A270:A271"/>
    <mergeCell ref="J219:J220"/>
    <mergeCell ref="A218:A219"/>
    <mergeCell ref="B218:B219"/>
    <mergeCell ref="C218:C219"/>
    <mergeCell ref="D218:G218"/>
    <mergeCell ref="H218:H219"/>
    <mergeCell ref="I218:I219"/>
    <mergeCell ref="B270:B271"/>
    <mergeCell ref="J270:K271"/>
    <mergeCell ref="D270:G270"/>
    <mergeCell ref="H270:H271"/>
    <mergeCell ref="I270:I271"/>
    <mergeCell ref="C270:C271"/>
    <mergeCell ref="B245:B246"/>
    <mergeCell ref="C245:C246"/>
    <mergeCell ref="I165:I166"/>
    <mergeCell ref="J166:J167"/>
    <mergeCell ref="A165:A166"/>
    <mergeCell ref="B165:B166"/>
    <mergeCell ref="C165:C166"/>
    <mergeCell ref="D165:G165"/>
    <mergeCell ref="H165:H166"/>
    <mergeCell ref="I110:I111"/>
    <mergeCell ref="J111:J112"/>
    <mergeCell ref="A110:A111"/>
    <mergeCell ref="B110:B111"/>
    <mergeCell ref="C110:C111"/>
    <mergeCell ref="D110:G110"/>
    <mergeCell ref="H110:H111"/>
    <mergeCell ref="I82:I83"/>
    <mergeCell ref="J83:J84"/>
    <mergeCell ref="A82:A83"/>
    <mergeCell ref="B82:B83"/>
    <mergeCell ref="C82:C83"/>
    <mergeCell ref="D82:G82"/>
    <mergeCell ref="H82:H83"/>
    <mergeCell ref="I55:I56"/>
    <mergeCell ref="J56:J57"/>
    <mergeCell ref="A55:A56"/>
    <mergeCell ref="B55:B56"/>
    <mergeCell ref="C55:C56"/>
    <mergeCell ref="D55:G55"/>
    <mergeCell ref="H55:H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3:B7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21" bestFit="1" customWidth="1"/>
    <col min="2" max="2" width="12.7109375" customWidth="1"/>
  </cols>
  <sheetData>
    <row r="3" spans="1:2" x14ac:dyDescent="0.25">
      <c r="A3" s="52" t="s">
        <v>438</v>
      </c>
      <c r="B3" t="s">
        <v>234</v>
      </c>
    </row>
    <row r="4" spans="1:2" x14ac:dyDescent="0.25">
      <c r="A4" s="53" t="s">
        <v>229</v>
      </c>
      <c r="B4" s="54">
        <v>200000</v>
      </c>
    </row>
    <row r="5" spans="1:2" x14ac:dyDescent="0.25">
      <c r="A5" s="53" t="s">
        <v>156</v>
      </c>
      <c r="B5" s="54">
        <v>7445319</v>
      </c>
    </row>
    <row r="6" spans="1:2" x14ac:dyDescent="0.25">
      <c r="A6" s="53" t="s">
        <v>213</v>
      </c>
      <c r="B6" s="54">
        <v>1942994</v>
      </c>
    </row>
    <row r="7" spans="1:2" x14ac:dyDescent="0.25">
      <c r="A7" s="53" t="s">
        <v>439</v>
      </c>
      <c r="B7" s="54">
        <v>9588313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3:AW24"/>
  <sheetViews>
    <sheetView topLeftCell="A4" workbookViewId="0">
      <pane xSplit="1" topLeftCell="AN1" activePane="topRight" state="frozen"/>
      <selection pane="topRight" activeCell="AS5" sqref="AS5:AW22"/>
    </sheetView>
  </sheetViews>
  <sheetFormatPr baseColWidth="10" defaultColWidth="9.140625" defaultRowHeight="15" x14ac:dyDescent="0.25"/>
  <cols>
    <col min="1" max="1" width="21" customWidth="1"/>
    <col min="2" max="2" width="23.85546875" customWidth="1"/>
    <col min="3" max="3" width="12.7109375" bestFit="1" customWidth="1"/>
    <col min="4" max="4" width="15.7109375" customWidth="1"/>
    <col min="5" max="5" width="12.7109375" bestFit="1" customWidth="1"/>
    <col min="6" max="6" width="15.7109375" customWidth="1"/>
    <col min="7" max="7" width="12.7109375" bestFit="1" customWidth="1"/>
    <col min="8" max="8" width="15.7109375" customWidth="1"/>
    <col min="9" max="9" width="12.7109375" bestFit="1" customWidth="1"/>
    <col min="10" max="10" width="15.7109375" customWidth="1"/>
    <col min="11" max="11" width="12.7109375" bestFit="1" customWidth="1"/>
    <col min="12" max="12" width="15.7109375" customWidth="1"/>
    <col min="13" max="13" width="12.7109375" bestFit="1" customWidth="1"/>
    <col min="14" max="14" width="15.7109375" customWidth="1"/>
    <col min="15" max="15" width="12.7109375" bestFit="1" customWidth="1"/>
    <col min="16" max="16" width="15.7109375" customWidth="1"/>
    <col min="17" max="17" width="12.7109375" bestFit="1" customWidth="1"/>
    <col min="18" max="18" width="15.7109375" customWidth="1"/>
    <col min="19" max="19" width="12.7109375" bestFit="1" customWidth="1"/>
    <col min="20" max="20" width="15.7109375" customWidth="1"/>
    <col min="21" max="21" width="12.7109375" bestFit="1" customWidth="1"/>
    <col min="22" max="22" width="15.7109375" customWidth="1"/>
    <col min="23" max="23" width="12.7109375" bestFit="1" customWidth="1"/>
    <col min="24" max="24" width="15.7109375" customWidth="1"/>
    <col min="25" max="25" width="12.7109375" bestFit="1" customWidth="1"/>
    <col min="26" max="26" width="15.7109375" customWidth="1"/>
    <col min="27" max="27" width="12.7109375" bestFit="1" customWidth="1"/>
    <col min="28" max="28" width="15.7109375" customWidth="1"/>
    <col min="29" max="29" width="12.7109375" bestFit="1" customWidth="1"/>
    <col min="30" max="30" width="15.7109375" customWidth="1"/>
    <col min="31" max="31" width="12.7109375" bestFit="1" customWidth="1"/>
    <col min="32" max="32" width="15.7109375" customWidth="1"/>
    <col min="33" max="33" width="12.7109375" bestFit="1" customWidth="1"/>
    <col min="34" max="34" width="17.5703125" customWidth="1"/>
    <col min="35" max="35" width="12.7109375" bestFit="1" customWidth="1"/>
    <col min="36" max="36" width="15.7109375" customWidth="1"/>
    <col min="37" max="37" width="12.7109375" bestFit="1" customWidth="1"/>
    <col min="38" max="38" width="15.7109375" customWidth="1"/>
    <col min="39" max="39" width="12.7109375" customWidth="1"/>
    <col min="40" max="40" width="15.7109375" customWidth="1"/>
    <col min="41" max="41" width="12.7109375" customWidth="1"/>
    <col min="42" max="42" width="20.7109375" customWidth="1"/>
    <col min="43" max="43" width="17.7109375" customWidth="1"/>
    <col min="44" max="44" width="4.7109375" customWidth="1"/>
    <col min="45" max="45" width="17.7109375" customWidth="1"/>
    <col min="46" max="46" width="12.85546875" customWidth="1"/>
    <col min="47" max="47" width="16" customWidth="1"/>
    <col min="48" max="49" width="10.85546875" customWidth="1"/>
  </cols>
  <sheetData>
    <row r="3" spans="1:49" x14ac:dyDescent="0.25">
      <c r="B3" s="52" t="s">
        <v>440</v>
      </c>
    </row>
    <row r="4" spans="1:49" x14ac:dyDescent="0.25">
      <c r="B4" t="s">
        <v>28</v>
      </c>
      <c r="D4" t="s">
        <v>26</v>
      </c>
      <c r="F4" t="s">
        <v>210</v>
      </c>
      <c r="H4" t="s">
        <v>165</v>
      </c>
      <c r="J4" t="s">
        <v>153</v>
      </c>
      <c r="L4" t="s">
        <v>73</v>
      </c>
      <c r="N4" t="s">
        <v>60</v>
      </c>
      <c r="P4" t="s">
        <v>74</v>
      </c>
      <c r="R4" t="s">
        <v>15</v>
      </c>
      <c r="T4" t="s">
        <v>17</v>
      </c>
      <c r="V4" t="s">
        <v>30</v>
      </c>
      <c r="X4" t="s">
        <v>20</v>
      </c>
      <c r="Z4" t="s">
        <v>63</v>
      </c>
      <c r="AB4" t="s">
        <v>72</v>
      </c>
      <c r="AD4" t="s">
        <v>367</v>
      </c>
      <c r="AF4" t="s">
        <v>364</v>
      </c>
      <c r="AH4" t="s">
        <v>327</v>
      </c>
      <c r="AJ4" t="s">
        <v>76</v>
      </c>
      <c r="AL4" t="s">
        <v>120</v>
      </c>
      <c r="AN4" t="s">
        <v>247</v>
      </c>
      <c r="AP4" t="s">
        <v>235</v>
      </c>
      <c r="AQ4" t="s">
        <v>237</v>
      </c>
    </row>
    <row r="5" spans="1:49" x14ac:dyDescent="0.25">
      <c r="A5" s="52" t="s">
        <v>438</v>
      </c>
      <c r="B5" t="s">
        <v>236</v>
      </c>
      <c r="C5" t="s">
        <v>234</v>
      </c>
      <c r="D5" t="s">
        <v>236</v>
      </c>
      <c r="E5" t="s">
        <v>234</v>
      </c>
      <c r="F5" t="s">
        <v>236</v>
      </c>
      <c r="G5" t="s">
        <v>234</v>
      </c>
      <c r="H5" t="s">
        <v>236</v>
      </c>
      <c r="I5" t="s">
        <v>234</v>
      </c>
      <c r="J5" t="s">
        <v>236</v>
      </c>
      <c r="K5" t="s">
        <v>234</v>
      </c>
      <c r="L5" t="s">
        <v>236</v>
      </c>
      <c r="M5" t="s">
        <v>234</v>
      </c>
      <c r="N5" t="s">
        <v>236</v>
      </c>
      <c r="O5" t="s">
        <v>234</v>
      </c>
      <c r="P5" t="s">
        <v>236</v>
      </c>
      <c r="Q5" t="s">
        <v>234</v>
      </c>
      <c r="R5" t="s">
        <v>236</v>
      </c>
      <c r="S5" t="s">
        <v>234</v>
      </c>
      <c r="T5" t="s">
        <v>236</v>
      </c>
      <c r="U5" t="s">
        <v>234</v>
      </c>
      <c r="V5" t="s">
        <v>236</v>
      </c>
      <c r="W5" t="s">
        <v>234</v>
      </c>
      <c r="X5" t="s">
        <v>236</v>
      </c>
      <c r="Y5" t="s">
        <v>234</v>
      </c>
      <c r="Z5" t="s">
        <v>236</v>
      </c>
      <c r="AA5" t="s">
        <v>234</v>
      </c>
      <c r="AB5" t="s">
        <v>236</v>
      </c>
      <c r="AC5" t="s">
        <v>234</v>
      </c>
      <c r="AD5" t="s">
        <v>236</v>
      </c>
      <c r="AE5" t="s">
        <v>234</v>
      </c>
      <c r="AF5" t="s">
        <v>236</v>
      </c>
      <c r="AG5" t="s">
        <v>234</v>
      </c>
      <c r="AH5" t="s">
        <v>236</v>
      </c>
      <c r="AI5" t="s">
        <v>234</v>
      </c>
      <c r="AJ5" t="s">
        <v>236</v>
      </c>
      <c r="AK5" t="s">
        <v>234</v>
      </c>
      <c r="AL5" t="s">
        <v>236</v>
      </c>
      <c r="AM5" t="s">
        <v>234</v>
      </c>
      <c r="AN5" t="s">
        <v>236</v>
      </c>
      <c r="AO5" t="s">
        <v>234</v>
      </c>
      <c r="AS5" s="106"/>
      <c r="AT5" s="106" t="s">
        <v>84</v>
      </c>
      <c r="AU5" s="106" t="s">
        <v>85</v>
      </c>
      <c r="AV5" s="106" t="s">
        <v>86</v>
      </c>
      <c r="AW5" s="106" t="s">
        <v>87</v>
      </c>
    </row>
    <row r="6" spans="1:49" x14ac:dyDescent="0.25">
      <c r="A6" s="53" t="s">
        <v>58</v>
      </c>
      <c r="B6" s="54"/>
      <c r="C6" s="54">
        <v>20404</v>
      </c>
      <c r="D6" s="54"/>
      <c r="E6" s="54"/>
      <c r="F6" s="54"/>
      <c r="G6" s="54"/>
      <c r="H6" s="54">
        <v>7828953</v>
      </c>
      <c r="I6" s="54"/>
      <c r="J6" s="54"/>
      <c r="K6" s="54"/>
      <c r="L6" s="54"/>
      <c r="M6" s="54"/>
      <c r="N6" s="54"/>
      <c r="O6" s="54">
        <v>100000</v>
      </c>
      <c r="P6" s="54"/>
      <c r="Q6" s="54"/>
      <c r="R6" s="54"/>
      <c r="S6" s="54"/>
      <c r="T6" s="54"/>
      <c r="U6" s="54"/>
      <c r="V6" s="54"/>
      <c r="W6" s="54">
        <v>260000</v>
      </c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>
        <v>3000000</v>
      </c>
      <c r="AN6" s="54"/>
      <c r="AO6" s="54"/>
      <c r="AP6" s="54">
        <v>7828953</v>
      </c>
      <c r="AQ6" s="54">
        <v>3380404</v>
      </c>
      <c r="AR6" s="54"/>
      <c r="AS6" s="106" t="s">
        <v>89</v>
      </c>
      <c r="AT6" s="108">
        <f>AL6</f>
        <v>0</v>
      </c>
      <c r="AU6" s="108">
        <f>+AM6</f>
        <v>3000000</v>
      </c>
      <c r="AV6" s="108">
        <f>+AQ6-AU6</f>
        <v>380404</v>
      </c>
      <c r="AW6" s="108">
        <f>+H6</f>
        <v>7828953</v>
      </c>
    </row>
    <row r="7" spans="1:49" x14ac:dyDescent="0.25">
      <c r="A7" s="53" t="s">
        <v>59</v>
      </c>
      <c r="B7" s="54"/>
      <c r="C7" s="54">
        <v>18476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>
        <v>500000</v>
      </c>
      <c r="P7" s="54"/>
      <c r="Q7" s="54"/>
      <c r="R7" s="54"/>
      <c r="S7" s="54">
        <v>3686963</v>
      </c>
      <c r="T7" s="54"/>
      <c r="U7" s="54">
        <v>500000</v>
      </c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>
        <v>341000</v>
      </c>
      <c r="AN7" s="54"/>
      <c r="AO7" s="54"/>
      <c r="AP7" s="54"/>
      <c r="AQ7" s="54">
        <v>5046439</v>
      </c>
      <c r="AR7" s="54"/>
      <c r="AS7" s="106" t="s">
        <v>90</v>
      </c>
      <c r="AT7" s="108">
        <f t="shared" ref="AT7:AT22" si="0">AL7</f>
        <v>0</v>
      </c>
      <c r="AU7" s="108">
        <f t="shared" ref="AU7:AU22" si="1">+AM7</f>
        <v>341000</v>
      </c>
      <c r="AV7" s="108">
        <f t="shared" ref="AV7:AV22" si="2">+AQ7-AU7</f>
        <v>4705439</v>
      </c>
      <c r="AW7" s="108">
        <f t="shared" ref="AW7:AW22" si="3">+H7</f>
        <v>0</v>
      </c>
    </row>
    <row r="8" spans="1:49" x14ac:dyDescent="0.25">
      <c r="A8" s="53" t="s">
        <v>62</v>
      </c>
      <c r="B8" s="54"/>
      <c r="C8" s="54"/>
      <c r="D8" s="54"/>
      <c r="E8" s="54">
        <v>482000</v>
      </c>
      <c r="F8" s="54"/>
      <c r="G8" s="54"/>
      <c r="H8" s="54"/>
      <c r="I8" s="54"/>
      <c r="J8" s="54"/>
      <c r="K8" s="54">
        <v>178350</v>
      </c>
      <c r="L8" s="54"/>
      <c r="M8" s="54">
        <v>30000</v>
      </c>
      <c r="N8" s="54"/>
      <c r="O8" s="54">
        <v>202000</v>
      </c>
      <c r="P8" s="54"/>
      <c r="Q8" s="54">
        <v>111250</v>
      </c>
      <c r="R8" s="54"/>
      <c r="S8" s="54"/>
      <c r="T8" s="54"/>
      <c r="U8" s="54">
        <v>50250</v>
      </c>
      <c r="V8" s="54"/>
      <c r="W8" s="54">
        <v>122000</v>
      </c>
      <c r="X8" s="54"/>
      <c r="Y8" s="54">
        <v>236000</v>
      </c>
      <c r="Z8" s="54"/>
      <c r="AA8" s="54">
        <v>44880</v>
      </c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>
        <v>3386000</v>
      </c>
      <c r="AM8" s="54">
        <v>2979300</v>
      </c>
      <c r="AN8" s="54"/>
      <c r="AO8" s="54">
        <v>155000</v>
      </c>
      <c r="AP8" s="54">
        <v>3386000</v>
      </c>
      <c r="AQ8" s="54">
        <v>4591030</v>
      </c>
      <c r="AR8" s="54"/>
      <c r="AS8" s="106" t="s">
        <v>62</v>
      </c>
      <c r="AT8" s="108">
        <f t="shared" si="0"/>
        <v>3386000</v>
      </c>
      <c r="AU8" s="108">
        <f t="shared" si="1"/>
        <v>2979300</v>
      </c>
      <c r="AV8" s="108">
        <f t="shared" si="2"/>
        <v>1611730</v>
      </c>
      <c r="AW8" s="108">
        <f t="shared" si="3"/>
        <v>0</v>
      </c>
    </row>
    <row r="9" spans="1:49" x14ac:dyDescent="0.25">
      <c r="A9" s="53" t="s">
        <v>122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>
        <v>16000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>
        <v>96500</v>
      </c>
      <c r="AD9" s="54"/>
      <c r="AE9" s="54"/>
      <c r="AF9" s="54"/>
      <c r="AG9" s="54"/>
      <c r="AH9" s="54"/>
      <c r="AI9" s="54">
        <v>70000</v>
      </c>
      <c r="AJ9" s="54"/>
      <c r="AK9" s="54"/>
      <c r="AL9" s="54">
        <v>223000</v>
      </c>
      <c r="AM9" s="54"/>
      <c r="AN9" s="54"/>
      <c r="AO9" s="54"/>
      <c r="AP9" s="54">
        <v>223000</v>
      </c>
      <c r="AQ9" s="54">
        <v>182500</v>
      </c>
      <c r="AR9" s="54"/>
      <c r="AS9" s="106" t="s">
        <v>122</v>
      </c>
      <c r="AT9" s="108">
        <f t="shared" si="0"/>
        <v>223000</v>
      </c>
      <c r="AU9" s="108">
        <f t="shared" si="1"/>
        <v>0</v>
      </c>
      <c r="AV9" s="108">
        <f t="shared" si="2"/>
        <v>182500</v>
      </c>
      <c r="AW9" s="108">
        <f t="shared" si="3"/>
        <v>0</v>
      </c>
    </row>
    <row r="10" spans="1:49" x14ac:dyDescent="0.25">
      <c r="A10" s="53" t="s">
        <v>91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>
        <v>18465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>
        <v>118200</v>
      </c>
      <c r="AD10" s="54"/>
      <c r="AE10" s="54"/>
      <c r="AF10" s="54"/>
      <c r="AG10" s="54"/>
      <c r="AH10" s="54"/>
      <c r="AI10" s="54">
        <v>140000</v>
      </c>
      <c r="AJ10" s="54"/>
      <c r="AK10" s="54"/>
      <c r="AL10" s="54">
        <v>303000</v>
      </c>
      <c r="AM10" s="54"/>
      <c r="AN10" s="54"/>
      <c r="AO10" s="54"/>
      <c r="AP10" s="54">
        <v>303000</v>
      </c>
      <c r="AQ10" s="54">
        <v>276665</v>
      </c>
      <c r="AR10" s="54"/>
      <c r="AS10" s="106" t="s">
        <v>91</v>
      </c>
      <c r="AT10" s="108">
        <f t="shared" si="0"/>
        <v>303000</v>
      </c>
      <c r="AU10" s="108">
        <f t="shared" si="1"/>
        <v>0</v>
      </c>
      <c r="AV10" s="108">
        <f t="shared" si="2"/>
        <v>276665</v>
      </c>
      <c r="AW10" s="108">
        <f t="shared" si="3"/>
        <v>0</v>
      </c>
    </row>
    <row r="11" spans="1:49" x14ac:dyDescent="0.25">
      <c r="A11" s="53" t="s">
        <v>69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>
        <v>36000</v>
      </c>
      <c r="AD11" s="54"/>
      <c r="AE11" s="54"/>
      <c r="AF11" s="54"/>
      <c r="AG11" s="54"/>
      <c r="AH11" s="54"/>
      <c r="AI11" s="54"/>
      <c r="AJ11" s="54"/>
      <c r="AK11" s="54"/>
      <c r="AL11" s="54">
        <v>40000</v>
      </c>
      <c r="AM11" s="54"/>
      <c r="AN11" s="54"/>
      <c r="AO11" s="54"/>
      <c r="AP11" s="54">
        <v>40000</v>
      </c>
      <c r="AQ11" s="54">
        <v>36000</v>
      </c>
      <c r="AR11" s="54"/>
      <c r="AS11" s="106" t="s">
        <v>69</v>
      </c>
      <c r="AT11" s="108">
        <f t="shared" si="0"/>
        <v>40000</v>
      </c>
      <c r="AU11" s="108">
        <f t="shared" si="1"/>
        <v>0</v>
      </c>
      <c r="AV11" s="108">
        <f t="shared" si="2"/>
        <v>36000</v>
      </c>
      <c r="AW11" s="108">
        <f t="shared" si="3"/>
        <v>0</v>
      </c>
    </row>
    <row r="12" spans="1:49" x14ac:dyDescent="0.25">
      <c r="A12" s="53" t="s">
        <v>123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>
        <v>8500</v>
      </c>
      <c r="AD12" s="54"/>
      <c r="AE12" s="54"/>
      <c r="AF12" s="54"/>
      <c r="AG12" s="54"/>
      <c r="AH12" s="54"/>
      <c r="AI12" s="54"/>
      <c r="AJ12" s="54"/>
      <c r="AK12" s="54"/>
      <c r="AL12" s="54"/>
      <c r="AM12" s="54">
        <v>25000</v>
      </c>
      <c r="AN12" s="54"/>
      <c r="AO12" s="54"/>
      <c r="AP12" s="54"/>
      <c r="AQ12" s="54">
        <v>33500</v>
      </c>
      <c r="AR12" s="54"/>
      <c r="AS12" s="106" t="s">
        <v>123</v>
      </c>
      <c r="AT12" s="108">
        <f t="shared" si="0"/>
        <v>0</v>
      </c>
      <c r="AU12" s="108">
        <f t="shared" si="1"/>
        <v>25000</v>
      </c>
      <c r="AV12" s="108">
        <f t="shared" si="2"/>
        <v>8500</v>
      </c>
      <c r="AW12" s="108">
        <f t="shared" si="3"/>
        <v>0</v>
      </c>
    </row>
    <row r="13" spans="1:49" x14ac:dyDescent="0.25">
      <c r="A13" s="53" t="s">
        <v>64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>
        <v>0</v>
      </c>
      <c r="AN13" s="54"/>
      <c r="AO13" s="54"/>
      <c r="AP13" s="54"/>
      <c r="AQ13" s="54">
        <v>0</v>
      </c>
      <c r="AR13" s="54"/>
      <c r="AS13" s="106" t="s">
        <v>64</v>
      </c>
      <c r="AT13" s="108">
        <f t="shared" si="0"/>
        <v>0</v>
      </c>
      <c r="AU13" s="108">
        <f t="shared" si="1"/>
        <v>0</v>
      </c>
      <c r="AV13" s="108">
        <f t="shared" si="2"/>
        <v>0</v>
      </c>
      <c r="AW13" s="108">
        <f t="shared" si="3"/>
        <v>0</v>
      </c>
    </row>
    <row r="14" spans="1:49" x14ac:dyDescent="0.25">
      <c r="A14" s="53" t="s">
        <v>68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>
        <v>125300</v>
      </c>
      <c r="AD14" s="54"/>
      <c r="AE14" s="54"/>
      <c r="AF14" s="54"/>
      <c r="AG14" s="54"/>
      <c r="AH14" s="54"/>
      <c r="AI14" s="54">
        <v>280000</v>
      </c>
      <c r="AJ14" s="54"/>
      <c r="AK14" s="54">
        <v>13500</v>
      </c>
      <c r="AL14" s="54">
        <v>523500</v>
      </c>
      <c r="AM14" s="54"/>
      <c r="AN14" s="54"/>
      <c r="AO14" s="54"/>
      <c r="AP14" s="54">
        <v>523500</v>
      </c>
      <c r="AQ14" s="54">
        <v>418800</v>
      </c>
      <c r="AR14" s="54"/>
      <c r="AS14" s="106" t="s">
        <v>68</v>
      </c>
      <c r="AT14" s="108">
        <f t="shared" si="0"/>
        <v>523500</v>
      </c>
      <c r="AU14" s="108">
        <f t="shared" si="1"/>
        <v>0</v>
      </c>
      <c r="AV14" s="108">
        <f t="shared" si="2"/>
        <v>418800</v>
      </c>
      <c r="AW14" s="108">
        <f t="shared" si="3"/>
        <v>0</v>
      </c>
    </row>
    <row r="15" spans="1:49" x14ac:dyDescent="0.25">
      <c r="A15" s="53" t="s">
        <v>130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>
        <v>0</v>
      </c>
      <c r="AN15" s="54"/>
      <c r="AO15" s="54"/>
      <c r="AP15" s="54"/>
      <c r="AQ15" s="54">
        <v>0</v>
      </c>
      <c r="AR15" s="54"/>
      <c r="AS15" s="106" t="s">
        <v>130</v>
      </c>
      <c r="AT15" s="108">
        <f t="shared" si="0"/>
        <v>0</v>
      </c>
      <c r="AU15" s="108">
        <f t="shared" si="1"/>
        <v>0</v>
      </c>
      <c r="AV15" s="108">
        <f t="shared" si="2"/>
        <v>0</v>
      </c>
      <c r="AW15" s="108">
        <f t="shared" si="3"/>
        <v>0</v>
      </c>
    </row>
    <row r="16" spans="1:49" x14ac:dyDescent="0.25">
      <c r="A16" s="53" t="s">
        <v>129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>
        <v>0</v>
      </c>
      <c r="AN16" s="54"/>
      <c r="AO16" s="54"/>
      <c r="AP16" s="54"/>
      <c r="AQ16" s="54">
        <v>0</v>
      </c>
      <c r="AR16" s="54"/>
      <c r="AS16" s="106" t="s">
        <v>129</v>
      </c>
      <c r="AT16" s="108">
        <f t="shared" si="0"/>
        <v>0</v>
      </c>
      <c r="AU16" s="108">
        <f t="shared" si="1"/>
        <v>0</v>
      </c>
      <c r="AV16" s="108">
        <f t="shared" si="2"/>
        <v>0</v>
      </c>
      <c r="AW16" s="108">
        <f t="shared" si="3"/>
        <v>0</v>
      </c>
    </row>
    <row r="17" spans="1:49" x14ac:dyDescent="0.25">
      <c r="A17" s="53" t="s">
        <v>77</v>
      </c>
      <c r="B17" s="54"/>
      <c r="C17" s="54"/>
      <c r="D17" s="54"/>
      <c r="E17" s="54"/>
      <c r="F17" s="54"/>
      <c r="G17" s="54">
        <v>42500</v>
      </c>
      <c r="H17" s="54"/>
      <c r="I17" s="54"/>
      <c r="J17" s="54"/>
      <c r="K17" s="54"/>
      <c r="L17" s="54"/>
      <c r="M17" s="54">
        <v>361175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>
        <v>223200</v>
      </c>
      <c r="AD17" s="54"/>
      <c r="AE17" s="54"/>
      <c r="AF17" s="54"/>
      <c r="AG17" s="54"/>
      <c r="AH17" s="54"/>
      <c r="AI17" s="54">
        <v>450000</v>
      </c>
      <c r="AJ17" s="54"/>
      <c r="AK17" s="54"/>
      <c r="AL17" s="54">
        <v>1056000</v>
      </c>
      <c r="AM17" s="54">
        <v>55000</v>
      </c>
      <c r="AN17" s="54"/>
      <c r="AO17" s="54"/>
      <c r="AP17" s="54">
        <v>1056000</v>
      </c>
      <c r="AQ17" s="54">
        <v>1131875</v>
      </c>
      <c r="AR17" s="54"/>
      <c r="AS17" s="106" t="s">
        <v>77</v>
      </c>
      <c r="AT17" s="108">
        <f t="shared" si="0"/>
        <v>1056000</v>
      </c>
      <c r="AU17" s="108">
        <f t="shared" si="1"/>
        <v>55000</v>
      </c>
      <c r="AV17" s="108">
        <f t="shared" si="2"/>
        <v>1076875</v>
      </c>
      <c r="AW17" s="108">
        <f t="shared" si="3"/>
        <v>0</v>
      </c>
    </row>
    <row r="18" spans="1:49" x14ac:dyDescent="0.25">
      <c r="A18" s="53" t="s">
        <v>142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>
        <v>21000</v>
      </c>
      <c r="AD18" s="54"/>
      <c r="AE18" s="54"/>
      <c r="AF18" s="54"/>
      <c r="AG18" s="54"/>
      <c r="AH18" s="54"/>
      <c r="AI18" s="54"/>
      <c r="AJ18" s="54"/>
      <c r="AK18" s="54"/>
      <c r="AL18" s="54">
        <v>20000</v>
      </c>
      <c r="AM18" s="54"/>
      <c r="AN18" s="54"/>
      <c r="AO18" s="54"/>
      <c r="AP18" s="54">
        <v>20000</v>
      </c>
      <c r="AQ18" s="54">
        <v>21000</v>
      </c>
      <c r="AR18" s="54"/>
      <c r="AS18" s="106" t="s">
        <v>142</v>
      </c>
      <c r="AT18" s="108">
        <f t="shared" si="0"/>
        <v>20000</v>
      </c>
      <c r="AU18" s="108">
        <f t="shared" si="1"/>
        <v>0</v>
      </c>
      <c r="AV18" s="108">
        <f t="shared" si="2"/>
        <v>21000</v>
      </c>
      <c r="AW18" s="108">
        <f t="shared" si="3"/>
        <v>0</v>
      </c>
    </row>
    <row r="19" spans="1:49" x14ac:dyDescent="0.25">
      <c r="A19" s="53" t="s">
        <v>67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>
        <v>178400</v>
      </c>
      <c r="AD19" s="54"/>
      <c r="AE19" s="54"/>
      <c r="AF19" s="54"/>
      <c r="AG19" s="54"/>
      <c r="AH19" s="54"/>
      <c r="AI19" s="54">
        <v>370000</v>
      </c>
      <c r="AJ19" s="54"/>
      <c r="AK19" s="54">
        <v>19500</v>
      </c>
      <c r="AL19" s="54">
        <v>473000</v>
      </c>
      <c r="AM19" s="54"/>
      <c r="AN19" s="54"/>
      <c r="AO19" s="54"/>
      <c r="AP19" s="54">
        <v>473000</v>
      </c>
      <c r="AQ19" s="54">
        <v>567900</v>
      </c>
      <c r="AR19" s="54"/>
      <c r="AS19" s="106" t="s">
        <v>67</v>
      </c>
      <c r="AT19" s="108">
        <f t="shared" si="0"/>
        <v>473000</v>
      </c>
      <c r="AU19" s="108">
        <f t="shared" si="1"/>
        <v>0</v>
      </c>
      <c r="AV19" s="108">
        <f t="shared" si="2"/>
        <v>567900</v>
      </c>
      <c r="AW19" s="108">
        <f t="shared" si="3"/>
        <v>0</v>
      </c>
    </row>
    <row r="20" spans="1:49" x14ac:dyDescent="0.25">
      <c r="A20" s="53" t="s">
        <v>70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>
        <v>8000</v>
      </c>
      <c r="AD20" s="54"/>
      <c r="AE20" s="54"/>
      <c r="AF20" s="54"/>
      <c r="AG20" s="54"/>
      <c r="AH20" s="54"/>
      <c r="AI20" s="54"/>
      <c r="AJ20" s="54"/>
      <c r="AK20" s="54"/>
      <c r="AL20" s="54">
        <v>10000</v>
      </c>
      <c r="AM20" s="54">
        <v>20000</v>
      </c>
      <c r="AN20" s="54"/>
      <c r="AO20" s="54"/>
      <c r="AP20" s="54">
        <v>10000</v>
      </c>
      <c r="AQ20" s="54">
        <v>28000</v>
      </c>
      <c r="AR20" s="54"/>
      <c r="AS20" s="106" t="s">
        <v>70</v>
      </c>
      <c r="AT20" s="108">
        <f t="shared" si="0"/>
        <v>10000</v>
      </c>
      <c r="AU20" s="108">
        <f t="shared" si="1"/>
        <v>20000</v>
      </c>
      <c r="AV20" s="108">
        <f t="shared" si="2"/>
        <v>8000</v>
      </c>
      <c r="AW20" s="108">
        <f t="shared" si="3"/>
        <v>0</v>
      </c>
    </row>
    <row r="21" spans="1:49" x14ac:dyDescent="0.25">
      <c r="A21" s="53" t="s">
        <v>175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>
        <v>16000</v>
      </c>
      <c r="AF21" s="54"/>
      <c r="AG21" s="54">
        <v>278500</v>
      </c>
      <c r="AH21" s="54"/>
      <c r="AI21" s="54"/>
      <c r="AJ21" s="54"/>
      <c r="AK21" s="54"/>
      <c r="AL21" s="54">
        <v>385800</v>
      </c>
      <c r="AM21" s="54"/>
      <c r="AN21" s="54"/>
      <c r="AO21" s="54"/>
      <c r="AP21" s="54">
        <v>385800</v>
      </c>
      <c r="AQ21" s="54">
        <v>294500</v>
      </c>
      <c r="AR21" s="54"/>
      <c r="AS21" s="106" t="s">
        <v>175</v>
      </c>
      <c r="AT21" s="108">
        <f t="shared" si="0"/>
        <v>385800</v>
      </c>
      <c r="AU21" s="108">
        <f t="shared" si="1"/>
        <v>0</v>
      </c>
      <c r="AV21" s="108">
        <f t="shared" si="2"/>
        <v>294500</v>
      </c>
      <c r="AW21" s="108">
        <f t="shared" si="3"/>
        <v>0</v>
      </c>
    </row>
    <row r="22" spans="1:49" x14ac:dyDescent="0.25">
      <c r="A22" s="53" t="s">
        <v>439</v>
      </c>
      <c r="B22" s="54"/>
      <c r="C22" s="54">
        <v>38880</v>
      </c>
      <c r="D22" s="54"/>
      <c r="E22" s="54">
        <v>482000</v>
      </c>
      <c r="F22" s="54"/>
      <c r="G22" s="54">
        <v>42500</v>
      </c>
      <c r="H22" s="54">
        <v>7828953</v>
      </c>
      <c r="I22" s="54"/>
      <c r="J22" s="54"/>
      <c r="K22" s="54">
        <v>178350</v>
      </c>
      <c r="L22" s="54"/>
      <c r="M22" s="54">
        <v>425640</v>
      </c>
      <c r="N22" s="54"/>
      <c r="O22" s="54">
        <v>802000</v>
      </c>
      <c r="P22" s="54"/>
      <c r="Q22" s="54">
        <v>111250</v>
      </c>
      <c r="R22" s="54"/>
      <c r="S22" s="54">
        <v>3686963</v>
      </c>
      <c r="T22" s="54"/>
      <c r="U22" s="54">
        <v>550250</v>
      </c>
      <c r="V22" s="54"/>
      <c r="W22" s="54">
        <v>382000</v>
      </c>
      <c r="X22" s="54"/>
      <c r="Y22" s="54">
        <v>236000</v>
      </c>
      <c r="Z22" s="54"/>
      <c r="AA22" s="54">
        <v>44880</v>
      </c>
      <c r="AB22" s="54"/>
      <c r="AC22" s="54">
        <v>815100</v>
      </c>
      <c r="AD22" s="54"/>
      <c r="AE22" s="54">
        <v>16000</v>
      </c>
      <c r="AF22" s="54"/>
      <c r="AG22" s="54">
        <v>278500</v>
      </c>
      <c r="AH22" s="54"/>
      <c r="AI22" s="54">
        <v>1310000</v>
      </c>
      <c r="AJ22" s="54"/>
      <c r="AK22" s="54">
        <v>33000</v>
      </c>
      <c r="AL22" s="54">
        <v>6420300</v>
      </c>
      <c r="AM22" s="54">
        <v>6420300</v>
      </c>
      <c r="AN22" s="54"/>
      <c r="AO22" s="54">
        <v>155000</v>
      </c>
      <c r="AP22" s="54">
        <v>14249253</v>
      </c>
      <c r="AQ22" s="54">
        <v>16008613</v>
      </c>
      <c r="AR22" s="54"/>
      <c r="AS22" s="56"/>
      <c r="AT22" s="108">
        <f t="shared" si="0"/>
        <v>6420300</v>
      </c>
      <c r="AU22" s="108">
        <f t="shared" si="1"/>
        <v>6420300</v>
      </c>
      <c r="AV22" s="108">
        <f t="shared" si="2"/>
        <v>9588313</v>
      </c>
      <c r="AW22" s="108">
        <f t="shared" si="3"/>
        <v>7828953</v>
      </c>
    </row>
    <row r="23" spans="1:49" x14ac:dyDescent="0.25">
      <c r="AO23" s="358"/>
      <c r="AP23" s="359"/>
    </row>
    <row r="24" spans="1:49" x14ac:dyDescent="0.25">
      <c r="AO24" s="357"/>
      <c r="AP24" s="359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rgb="FF7030A0"/>
  </sheetPr>
  <dimension ref="A1:BN279"/>
  <sheetViews>
    <sheetView zoomScale="73" zoomScaleNormal="73" workbookViewId="0">
      <selection activeCell="A193" sqref="A193:XFD193"/>
    </sheetView>
  </sheetViews>
  <sheetFormatPr baseColWidth="10" defaultColWidth="11.42578125" defaultRowHeight="15" x14ac:dyDescent="0.25"/>
  <cols>
    <col min="1" max="1" width="12.140625" style="47" customWidth="1"/>
    <col min="2" max="2" width="101.85546875" style="47" customWidth="1"/>
    <col min="3" max="3" width="18.85546875" style="47" customWidth="1"/>
    <col min="4" max="4" width="14" style="47" customWidth="1"/>
    <col min="5" max="5" width="13.5703125" style="213" customWidth="1"/>
    <col min="6" max="6" width="13.140625" style="343" customWidth="1"/>
    <col min="7" max="7" width="17.85546875" style="48" customWidth="1"/>
    <col min="8" max="8" width="16.28515625" style="47" customWidth="1"/>
    <col min="9" max="9" width="16.5703125" style="216" customWidth="1"/>
    <col min="10" max="10" width="14.7109375" style="47" customWidth="1"/>
    <col min="11" max="11" width="8.42578125" style="47" customWidth="1"/>
    <col min="12" max="12" width="10" style="47" customWidth="1"/>
    <col min="13" max="13" width="15.85546875" style="47" customWidth="1"/>
    <col min="14" max="14" width="11.42578125" style="47"/>
    <col min="15" max="15" width="12" style="47" customWidth="1"/>
    <col min="16" max="16384" width="11.42578125" style="47"/>
  </cols>
  <sheetData>
    <row r="1" spans="1:17" s="206" customFormat="1" ht="26.25" customHeight="1" x14ac:dyDescent="0.35">
      <c r="A1" s="540" t="s">
        <v>249</v>
      </c>
      <c r="B1" s="540"/>
      <c r="C1" s="540"/>
      <c r="D1" s="540"/>
      <c r="E1" s="540"/>
      <c r="F1" s="541"/>
      <c r="G1" s="540"/>
      <c r="H1" s="540"/>
      <c r="I1" s="540"/>
      <c r="J1" s="540"/>
      <c r="K1" s="540"/>
      <c r="L1" s="540"/>
      <c r="M1" s="540"/>
      <c r="N1" s="540"/>
      <c r="O1" s="540"/>
      <c r="P1" s="208"/>
    </row>
    <row r="2" spans="1:17" x14ac:dyDescent="0.25">
      <c r="B2" s="231" t="s">
        <v>572</v>
      </c>
      <c r="C2" s="232">
        <f>+'[2]DATA  MARS'!$G$414</f>
        <v>33471402.99927</v>
      </c>
    </row>
    <row r="4" spans="1:17" ht="15.75" x14ac:dyDescent="0.25">
      <c r="B4" s="212" t="s">
        <v>40</v>
      </c>
      <c r="C4" s="212" t="s">
        <v>41</v>
      </c>
    </row>
    <row r="5" spans="1:17" x14ac:dyDescent="0.25">
      <c r="B5" s="49" t="s">
        <v>42</v>
      </c>
      <c r="C5" s="50">
        <f>SUM(E13:E1127)</f>
        <v>14249253</v>
      </c>
      <c r="E5" s="213" t="s">
        <v>152</v>
      </c>
      <c r="H5" s="51"/>
      <c r="I5" s="275"/>
    </row>
    <row r="6" spans="1:17" ht="16.5" x14ac:dyDescent="0.3">
      <c r="B6" s="49" t="s">
        <v>43</v>
      </c>
      <c r="C6" s="50">
        <f>SUM(F13:F1128)</f>
        <v>16008613</v>
      </c>
      <c r="E6" s="260">
        <f>+C7-Récapitulatif!I19</f>
        <v>-7.3000043630599976E-4</v>
      </c>
      <c r="J6" s="51"/>
      <c r="K6" s="271"/>
      <c r="N6" s="129"/>
    </row>
    <row r="7" spans="1:17" ht="16.5" x14ac:dyDescent="0.3">
      <c r="B7" s="49" t="s">
        <v>44</v>
      </c>
      <c r="C7" s="50">
        <f>C2+C5-C6</f>
        <v>31712042.99927</v>
      </c>
      <c r="D7" s="376">
        <f>C7-Récapitulatif!I19</f>
        <v>-7.3000043630599976E-4</v>
      </c>
      <c r="K7" s="271"/>
      <c r="N7" s="129"/>
    </row>
    <row r="9" spans="1:17" ht="16.5" x14ac:dyDescent="0.3">
      <c r="B9" s="151"/>
    </row>
    <row r="11" spans="1:17" ht="15.75" x14ac:dyDescent="0.25">
      <c r="A11" s="203" t="s">
        <v>4</v>
      </c>
      <c r="B11" s="204" t="s">
        <v>45</v>
      </c>
      <c r="C11" s="204" t="s">
        <v>46</v>
      </c>
      <c r="D11" s="204" t="s">
        <v>47</v>
      </c>
      <c r="E11" s="215" t="s">
        <v>48</v>
      </c>
      <c r="F11" s="344" t="s">
        <v>49</v>
      </c>
      <c r="G11" s="205" t="s">
        <v>50</v>
      </c>
      <c r="H11" s="204" t="s">
        <v>51</v>
      </c>
      <c r="I11" s="217" t="s">
        <v>52</v>
      </c>
      <c r="J11" s="204" t="s">
        <v>53</v>
      </c>
      <c r="K11" s="204" t="s">
        <v>54</v>
      </c>
      <c r="L11" s="204" t="s">
        <v>55</v>
      </c>
      <c r="M11" s="204" t="s">
        <v>127</v>
      </c>
      <c r="N11" s="204" t="s">
        <v>57</v>
      </c>
      <c r="O11" s="204" t="s">
        <v>56</v>
      </c>
      <c r="P11" s="189"/>
      <c r="Q11" s="221" t="s">
        <v>140</v>
      </c>
    </row>
    <row r="12" spans="1:17" s="190" customFormat="1" ht="15.75" hidden="1" x14ac:dyDescent="0.25">
      <c r="A12" s="461">
        <v>44287</v>
      </c>
      <c r="B12" s="283" t="s">
        <v>248</v>
      </c>
      <c r="C12" s="283"/>
      <c r="D12" s="283"/>
      <c r="E12" s="350"/>
      <c r="F12" s="351"/>
      <c r="G12" s="352">
        <f>+C2</f>
        <v>33471402.99927</v>
      </c>
      <c r="H12" s="283"/>
      <c r="I12" s="286"/>
      <c r="J12" s="283"/>
      <c r="K12" s="283"/>
      <c r="L12" s="283"/>
      <c r="M12" s="283"/>
      <c r="N12" s="283"/>
      <c r="O12" s="283"/>
      <c r="P12" s="273"/>
      <c r="Q12" s="274"/>
    </row>
    <row r="13" spans="1:17" s="190" customFormat="1" ht="15.75" hidden="1" x14ac:dyDescent="0.25">
      <c r="A13" s="461">
        <v>44287</v>
      </c>
      <c r="B13" s="284" t="s">
        <v>271</v>
      </c>
      <c r="C13" s="284" t="s">
        <v>26</v>
      </c>
      <c r="D13" s="284" t="s">
        <v>31</v>
      </c>
      <c r="E13" s="419"/>
      <c r="F13" s="419">
        <v>140000</v>
      </c>
      <c r="G13" s="422">
        <f>G12+E13-F13</f>
        <v>33331402.99927</v>
      </c>
      <c r="H13" s="284" t="s">
        <v>62</v>
      </c>
      <c r="I13" s="284" t="s">
        <v>134</v>
      </c>
      <c r="J13" s="346" t="s">
        <v>229</v>
      </c>
      <c r="K13" s="282" t="s">
        <v>214</v>
      </c>
      <c r="L13" s="282" t="s">
        <v>223</v>
      </c>
      <c r="M13" s="286"/>
      <c r="N13" s="356"/>
      <c r="O13" s="283"/>
      <c r="P13" s="399"/>
    </row>
    <row r="14" spans="1:17" s="190" customFormat="1" ht="15" hidden="1" customHeight="1" x14ac:dyDescent="0.25">
      <c r="A14" s="461">
        <v>44287</v>
      </c>
      <c r="B14" s="284" t="s">
        <v>321</v>
      </c>
      <c r="C14" s="378" t="s">
        <v>120</v>
      </c>
      <c r="D14" s="378"/>
      <c r="E14" s="398">
        <v>30000</v>
      </c>
      <c r="F14" s="419"/>
      <c r="G14" s="422">
        <f t="shared" ref="G14:G77" si="0">G13+E14-F14</f>
        <v>33361402.99927</v>
      </c>
      <c r="H14" s="284" t="s">
        <v>122</v>
      </c>
      <c r="I14" s="284"/>
      <c r="J14" s="346"/>
      <c r="K14" s="282"/>
      <c r="L14" s="282"/>
      <c r="M14" s="283"/>
      <c r="N14" s="356"/>
      <c r="O14" s="286"/>
      <c r="P14" s="399"/>
    </row>
    <row r="15" spans="1:17" s="190" customFormat="1" ht="15" hidden="1" customHeight="1" x14ac:dyDescent="0.25">
      <c r="A15" s="461">
        <v>44287</v>
      </c>
      <c r="B15" s="284" t="s">
        <v>321</v>
      </c>
      <c r="C15" s="378" t="s">
        <v>120</v>
      </c>
      <c r="D15" s="378"/>
      <c r="E15" s="398">
        <v>25000</v>
      </c>
      <c r="F15" s="419"/>
      <c r="G15" s="422">
        <f t="shared" si="0"/>
        <v>33386402.99927</v>
      </c>
      <c r="H15" s="284" t="s">
        <v>122</v>
      </c>
      <c r="I15" s="284"/>
      <c r="J15" s="346"/>
      <c r="K15" s="282"/>
      <c r="L15" s="282"/>
      <c r="M15" s="283"/>
      <c r="N15" s="356"/>
      <c r="O15" s="283"/>
      <c r="P15" s="399"/>
    </row>
    <row r="16" spans="1:17" s="190" customFormat="1" ht="15" hidden="1" customHeight="1" x14ac:dyDescent="0.25">
      <c r="A16" s="461">
        <v>44287</v>
      </c>
      <c r="B16" s="284" t="s">
        <v>322</v>
      </c>
      <c r="C16" s="284" t="s">
        <v>73</v>
      </c>
      <c r="D16" s="423" t="s">
        <v>121</v>
      </c>
      <c r="E16" s="398"/>
      <c r="F16" s="419">
        <v>5000</v>
      </c>
      <c r="G16" s="422">
        <f t="shared" si="0"/>
        <v>33381402.99927</v>
      </c>
      <c r="H16" s="284" t="s">
        <v>122</v>
      </c>
      <c r="I16" s="284" t="s">
        <v>75</v>
      </c>
      <c r="J16" s="347" t="s">
        <v>213</v>
      </c>
      <c r="K16" s="282" t="s">
        <v>214</v>
      </c>
      <c r="L16" s="282" t="s">
        <v>223</v>
      </c>
      <c r="M16" s="286"/>
      <c r="N16" s="356"/>
      <c r="O16" s="283"/>
    </row>
    <row r="17" spans="1:16" s="190" customFormat="1" ht="15" hidden="1" customHeight="1" x14ac:dyDescent="0.25">
      <c r="A17" s="461">
        <v>44287</v>
      </c>
      <c r="B17" s="284" t="s">
        <v>323</v>
      </c>
      <c r="C17" s="378" t="s">
        <v>73</v>
      </c>
      <c r="D17" s="423" t="s">
        <v>121</v>
      </c>
      <c r="E17" s="398"/>
      <c r="F17" s="419">
        <v>5000</v>
      </c>
      <c r="G17" s="422">
        <f t="shared" si="0"/>
        <v>33376402.99927</v>
      </c>
      <c r="H17" s="284" t="s">
        <v>122</v>
      </c>
      <c r="I17" s="284" t="s">
        <v>75</v>
      </c>
      <c r="J17" s="347" t="s">
        <v>213</v>
      </c>
      <c r="K17" s="282" t="s">
        <v>214</v>
      </c>
      <c r="L17" s="282" t="s">
        <v>223</v>
      </c>
      <c r="M17" s="283"/>
      <c r="N17" s="356"/>
      <c r="O17" s="283"/>
    </row>
    <row r="18" spans="1:16" s="190" customFormat="1" ht="15" hidden="1" customHeight="1" x14ac:dyDescent="0.25">
      <c r="A18" s="461">
        <v>44287</v>
      </c>
      <c r="B18" s="378" t="s">
        <v>324</v>
      </c>
      <c r="C18" s="284" t="s">
        <v>73</v>
      </c>
      <c r="D18" s="424" t="s">
        <v>121</v>
      </c>
      <c r="E18" s="398"/>
      <c r="F18" s="398">
        <v>6000</v>
      </c>
      <c r="G18" s="422">
        <f t="shared" si="0"/>
        <v>33370402.99927</v>
      </c>
      <c r="H18" s="284" t="s">
        <v>122</v>
      </c>
      <c r="I18" s="378" t="s">
        <v>75</v>
      </c>
      <c r="J18" s="347" t="s">
        <v>213</v>
      </c>
      <c r="K18" s="282" t="s">
        <v>214</v>
      </c>
      <c r="L18" s="282" t="s">
        <v>223</v>
      </c>
      <c r="M18" s="283"/>
      <c r="N18" s="356"/>
      <c r="O18" s="283"/>
    </row>
    <row r="19" spans="1:16" s="190" customFormat="1" ht="15" hidden="1" customHeight="1" x14ac:dyDescent="0.25">
      <c r="A19" s="461">
        <v>44287</v>
      </c>
      <c r="B19" s="391" t="s">
        <v>347</v>
      </c>
      <c r="C19" s="441" t="s">
        <v>72</v>
      </c>
      <c r="D19" s="425" t="s">
        <v>31</v>
      </c>
      <c r="E19" s="493"/>
      <c r="F19" s="493">
        <v>10000</v>
      </c>
      <c r="G19" s="422">
        <f t="shared" si="0"/>
        <v>33360402.99927</v>
      </c>
      <c r="H19" s="282" t="s">
        <v>67</v>
      </c>
      <c r="I19" s="430" t="s">
        <v>303</v>
      </c>
      <c r="J19" s="347" t="s">
        <v>213</v>
      </c>
      <c r="K19" s="282" t="s">
        <v>214</v>
      </c>
      <c r="L19" s="282" t="s">
        <v>223</v>
      </c>
      <c r="M19" s="286"/>
      <c r="N19" s="356"/>
      <c r="O19" s="283"/>
    </row>
    <row r="20" spans="1:16" s="190" customFormat="1" ht="15" hidden="1" customHeight="1" x14ac:dyDescent="0.25">
      <c r="A20" s="461">
        <v>44287</v>
      </c>
      <c r="B20" s="284" t="s">
        <v>368</v>
      </c>
      <c r="C20" s="284" t="s">
        <v>120</v>
      </c>
      <c r="D20" s="284"/>
      <c r="E20" s="398"/>
      <c r="F20" s="398">
        <v>30000</v>
      </c>
      <c r="G20" s="422">
        <f t="shared" si="0"/>
        <v>33330402.99927</v>
      </c>
      <c r="H20" s="282" t="s">
        <v>77</v>
      </c>
      <c r="I20" s="378"/>
      <c r="J20" s="346"/>
      <c r="K20" s="282"/>
      <c r="L20" s="282"/>
      <c r="M20" s="283"/>
      <c r="N20" s="286"/>
      <c r="O20" s="283"/>
    </row>
    <row r="21" spans="1:16" s="190" customFormat="1" ht="15" hidden="1" customHeight="1" x14ac:dyDescent="0.25">
      <c r="A21" s="461">
        <v>44287</v>
      </c>
      <c r="B21" s="284" t="s">
        <v>368</v>
      </c>
      <c r="C21" s="284" t="s">
        <v>120</v>
      </c>
      <c r="D21" s="284"/>
      <c r="E21" s="398"/>
      <c r="F21" s="398">
        <v>25000</v>
      </c>
      <c r="G21" s="422">
        <f t="shared" si="0"/>
        <v>33305402.99927</v>
      </c>
      <c r="H21" s="282" t="s">
        <v>77</v>
      </c>
      <c r="I21" s="378"/>
      <c r="J21" s="346"/>
      <c r="K21" s="282"/>
      <c r="L21" s="282"/>
      <c r="M21" s="283"/>
      <c r="N21" s="286"/>
      <c r="O21" s="283"/>
    </row>
    <row r="22" spans="1:16" s="190" customFormat="1" ht="15" hidden="1" customHeight="1" x14ac:dyDescent="0.25">
      <c r="A22" s="461">
        <v>44288</v>
      </c>
      <c r="B22" s="284" t="s">
        <v>573</v>
      </c>
      <c r="C22" s="378" t="s">
        <v>30</v>
      </c>
      <c r="D22" s="378" t="s">
        <v>21</v>
      </c>
      <c r="E22" s="398"/>
      <c r="F22" s="398">
        <v>260000</v>
      </c>
      <c r="G22" s="422">
        <f t="shared" si="0"/>
        <v>33045402.99927</v>
      </c>
      <c r="H22" s="282" t="s">
        <v>58</v>
      </c>
      <c r="I22" s="286" t="s">
        <v>133</v>
      </c>
      <c r="J22" s="346" t="s">
        <v>213</v>
      </c>
      <c r="K22" s="282" t="s">
        <v>214</v>
      </c>
      <c r="L22" s="282" t="s">
        <v>223</v>
      </c>
      <c r="M22" s="282"/>
      <c r="N22" s="356"/>
      <c r="O22" s="283"/>
    </row>
    <row r="23" spans="1:16" s="190" customFormat="1" ht="15" hidden="1" customHeight="1" x14ac:dyDescent="0.25">
      <c r="A23" s="461">
        <v>44288</v>
      </c>
      <c r="B23" s="284" t="s">
        <v>272</v>
      </c>
      <c r="C23" s="378" t="s">
        <v>26</v>
      </c>
      <c r="D23" s="378" t="s">
        <v>121</v>
      </c>
      <c r="E23" s="398"/>
      <c r="F23" s="398">
        <v>60000</v>
      </c>
      <c r="G23" s="422">
        <f t="shared" si="0"/>
        <v>32985402.99927</v>
      </c>
      <c r="H23" s="284" t="s">
        <v>62</v>
      </c>
      <c r="I23" s="378" t="s">
        <v>134</v>
      </c>
      <c r="J23" s="346" t="s">
        <v>229</v>
      </c>
      <c r="K23" s="282" t="s">
        <v>214</v>
      </c>
      <c r="L23" s="282" t="s">
        <v>223</v>
      </c>
      <c r="M23" s="283"/>
      <c r="N23" s="356"/>
      <c r="O23" s="283"/>
    </row>
    <row r="24" spans="1:16" s="190" customFormat="1" ht="15" hidden="1" customHeight="1" x14ac:dyDescent="0.25">
      <c r="A24" s="461">
        <v>44288</v>
      </c>
      <c r="B24" s="284" t="s">
        <v>391</v>
      </c>
      <c r="C24" s="378" t="s">
        <v>153</v>
      </c>
      <c r="D24" s="378" t="s">
        <v>21</v>
      </c>
      <c r="E24" s="419"/>
      <c r="F24" s="398">
        <v>89175</v>
      </c>
      <c r="G24" s="422">
        <f t="shared" si="0"/>
        <v>32896227.99927</v>
      </c>
      <c r="H24" s="284" t="s">
        <v>62</v>
      </c>
      <c r="I24" s="378" t="s">
        <v>303</v>
      </c>
      <c r="J24" s="286" t="s">
        <v>156</v>
      </c>
      <c r="K24" s="282" t="s">
        <v>215</v>
      </c>
      <c r="L24" s="282" t="s">
        <v>223</v>
      </c>
      <c r="M24" s="286" t="s">
        <v>451</v>
      </c>
      <c r="N24" s="356" t="s">
        <v>226</v>
      </c>
      <c r="O24" s="283"/>
    </row>
    <row r="25" spans="1:16" s="190" customFormat="1" ht="15" hidden="1" customHeight="1" x14ac:dyDescent="0.25">
      <c r="A25" s="461">
        <v>44288</v>
      </c>
      <c r="B25" s="443" t="s">
        <v>68</v>
      </c>
      <c r="C25" s="284" t="s">
        <v>120</v>
      </c>
      <c r="D25" s="444"/>
      <c r="E25" s="439"/>
      <c r="F25" s="398">
        <v>36500</v>
      </c>
      <c r="G25" s="422">
        <f t="shared" si="0"/>
        <v>32859727.99927</v>
      </c>
      <c r="H25" s="284" t="s">
        <v>62</v>
      </c>
      <c r="I25" s="378"/>
      <c r="J25" s="346"/>
      <c r="K25" s="282"/>
      <c r="L25" s="282"/>
      <c r="M25" s="283"/>
      <c r="N25" s="356"/>
      <c r="O25" s="283"/>
    </row>
    <row r="26" spans="1:16" s="190" customFormat="1" ht="15" hidden="1" customHeight="1" x14ac:dyDescent="0.25">
      <c r="A26" s="461">
        <v>44288</v>
      </c>
      <c r="B26" s="282" t="s">
        <v>345</v>
      </c>
      <c r="C26" s="378" t="s">
        <v>120</v>
      </c>
      <c r="D26" s="427"/>
      <c r="E26" s="428">
        <v>36500</v>
      </c>
      <c r="F26" s="429"/>
      <c r="G26" s="422">
        <f t="shared" si="0"/>
        <v>32896227.99927</v>
      </c>
      <c r="H26" s="283" t="s">
        <v>68</v>
      </c>
      <c r="I26" s="430"/>
      <c r="J26" s="347"/>
      <c r="K26" s="282"/>
      <c r="L26" s="282"/>
      <c r="M26" s="283"/>
      <c r="N26" s="356"/>
      <c r="O26" s="283"/>
    </row>
    <row r="27" spans="1:16" s="190" customFormat="1" ht="15" hidden="1" customHeight="1" x14ac:dyDescent="0.25">
      <c r="A27" s="461">
        <v>44289</v>
      </c>
      <c r="B27" s="282" t="s">
        <v>441</v>
      </c>
      <c r="C27" s="282" t="s">
        <v>327</v>
      </c>
      <c r="D27" s="378" t="s">
        <v>31</v>
      </c>
      <c r="E27" s="428"/>
      <c r="F27" s="429">
        <v>30000</v>
      </c>
      <c r="G27" s="422">
        <f t="shared" si="0"/>
        <v>32866227.99927</v>
      </c>
      <c r="H27" s="282" t="s">
        <v>67</v>
      </c>
      <c r="I27" s="430" t="s">
        <v>303</v>
      </c>
      <c r="J27" s="346" t="s">
        <v>156</v>
      </c>
      <c r="K27" s="282" t="s">
        <v>215</v>
      </c>
      <c r="L27" s="282" t="s">
        <v>223</v>
      </c>
      <c r="M27" s="286" t="s">
        <v>452</v>
      </c>
      <c r="N27" s="356" t="s">
        <v>231</v>
      </c>
      <c r="O27" s="283"/>
      <c r="P27" s="399"/>
    </row>
    <row r="28" spans="1:16" s="190" customFormat="1" ht="15" hidden="1" customHeight="1" x14ac:dyDescent="0.25">
      <c r="A28" s="461">
        <v>44289</v>
      </c>
      <c r="B28" s="282" t="s">
        <v>348</v>
      </c>
      <c r="C28" s="430" t="s">
        <v>72</v>
      </c>
      <c r="D28" s="284" t="s">
        <v>31</v>
      </c>
      <c r="E28" s="428"/>
      <c r="F28" s="429">
        <v>10000</v>
      </c>
      <c r="G28" s="422">
        <f t="shared" si="0"/>
        <v>32856227.99927</v>
      </c>
      <c r="H28" s="282" t="s">
        <v>67</v>
      </c>
      <c r="I28" s="430" t="s">
        <v>303</v>
      </c>
      <c r="J28" s="347" t="s">
        <v>213</v>
      </c>
      <c r="K28" s="282" t="s">
        <v>214</v>
      </c>
      <c r="L28" s="282" t="s">
        <v>223</v>
      </c>
      <c r="M28" s="283"/>
      <c r="N28" s="356"/>
      <c r="O28" s="283"/>
    </row>
    <row r="29" spans="1:16" s="190" customFormat="1" ht="15" hidden="1" customHeight="1" x14ac:dyDescent="0.25">
      <c r="A29" s="461">
        <v>44289</v>
      </c>
      <c r="B29" s="282" t="s">
        <v>349</v>
      </c>
      <c r="C29" s="430" t="s">
        <v>72</v>
      </c>
      <c r="D29" s="378" t="s">
        <v>31</v>
      </c>
      <c r="E29" s="428"/>
      <c r="F29" s="429">
        <v>10000</v>
      </c>
      <c r="G29" s="422">
        <f t="shared" si="0"/>
        <v>32846227.99927</v>
      </c>
      <c r="H29" s="282" t="s">
        <v>67</v>
      </c>
      <c r="I29" s="430" t="s">
        <v>303</v>
      </c>
      <c r="J29" s="347" t="s">
        <v>213</v>
      </c>
      <c r="K29" s="282" t="s">
        <v>214</v>
      </c>
      <c r="L29" s="282" t="s">
        <v>223</v>
      </c>
      <c r="M29" s="286"/>
      <c r="N29" s="356"/>
      <c r="O29" s="282"/>
    </row>
    <row r="30" spans="1:16" s="190" customFormat="1" ht="15" hidden="1" customHeight="1" x14ac:dyDescent="0.25">
      <c r="A30" s="461">
        <v>44289</v>
      </c>
      <c r="B30" s="282" t="s">
        <v>350</v>
      </c>
      <c r="C30" s="430" t="s">
        <v>72</v>
      </c>
      <c r="D30" s="378" t="s">
        <v>31</v>
      </c>
      <c r="E30" s="428"/>
      <c r="F30" s="429">
        <v>10000</v>
      </c>
      <c r="G30" s="422">
        <f t="shared" si="0"/>
        <v>32836227.99927</v>
      </c>
      <c r="H30" s="282" t="s">
        <v>67</v>
      </c>
      <c r="I30" s="430" t="s">
        <v>303</v>
      </c>
      <c r="J30" s="347" t="s">
        <v>213</v>
      </c>
      <c r="K30" s="282" t="s">
        <v>214</v>
      </c>
      <c r="L30" s="282" t="s">
        <v>223</v>
      </c>
      <c r="M30" s="283"/>
      <c r="N30" s="356"/>
      <c r="O30" s="283"/>
    </row>
    <row r="31" spans="1:16" s="190" customFormat="1" ht="15" hidden="1" customHeight="1" x14ac:dyDescent="0.25">
      <c r="A31" s="461">
        <v>44290</v>
      </c>
      <c r="B31" s="443" t="s">
        <v>445</v>
      </c>
      <c r="C31" s="423" t="s">
        <v>74</v>
      </c>
      <c r="D31" s="424" t="s">
        <v>21</v>
      </c>
      <c r="E31" s="419"/>
      <c r="F31" s="398">
        <v>7400</v>
      </c>
      <c r="G31" s="422">
        <f t="shared" si="0"/>
        <v>32828827.99927</v>
      </c>
      <c r="H31" s="284" t="s">
        <v>62</v>
      </c>
      <c r="I31" s="378" t="s">
        <v>303</v>
      </c>
      <c r="J31" s="286" t="s">
        <v>156</v>
      </c>
      <c r="K31" s="282" t="s">
        <v>215</v>
      </c>
      <c r="L31" s="282" t="s">
        <v>223</v>
      </c>
      <c r="M31" s="286" t="s">
        <v>453</v>
      </c>
      <c r="N31" s="356" t="s">
        <v>227</v>
      </c>
      <c r="O31" s="283"/>
    </row>
    <row r="32" spans="1:16" s="190" customFormat="1" ht="15" hidden="1" customHeight="1" x14ac:dyDescent="0.25">
      <c r="A32" s="461">
        <v>44290</v>
      </c>
      <c r="B32" s="430" t="s">
        <v>351</v>
      </c>
      <c r="C32" s="430" t="s">
        <v>72</v>
      </c>
      <c r="D32" s="284" t="s">
        <v>31</v>
      </c>
      <c r="E32" s="428"/>
      <c r="F32" s="429">
        <v>12000</v>
      </c>
      <c r="G32" s="422">
        <f t="shared" si="0"/>
        <v>32816827.99927</v>
      </c>
      <c r="H32" s="282" t="s">
        <v>67</v>
      </c>
      <c r="I32" s="430" t="s">
        <v>303</v>
      </c>
      <c r="J32" s="347" t="s">
        <v>156</v>
      </c>
      <c r="K32" s="282" t="s">
        <v>215</v>
      </c>
      <c r="L32" s="282" t="s">
        <v>223</v>
      </c>
      <c r="M32" s="286" t="s">
        <v>454</v>
      </c>
      <c r="N32" s="356" t="s">
        <v>230</v>
      </c>
      <c r="O32" s="283"/>
    </row>
    <row r="33" spans="1:16" s="190" customFormat="1" ht="15.75" hidden="1" x14ac:dyDescent="0.25">
      <c r="A33" s="461">
        <v>44291</v>
      </c>
      <c r="B33" s="430" t="s">
        <v>442</v>
      </c>
      <c r="C33" s="430" t="s">
        <v>327</v>
      </c>
      <c r="D33" s="284" t="s">
        <v>31</v>
      </c>
      <c r="E33" s="428"/>
      <c r="F33" s="429">
        <v>75000</v>
      </c>
      <c r="G33" s="422">
        <f t="shared" si="0"/>
        <v>32741827.99927</v>
      </c>
      <c r="H33" s="282" t="s">
        <v>67</v>
      </c>
      <c r="I33" s="430" t="s">
        <v>303</v>
      </c>
      <c r="J33" s="346" t="s">
        <v>156</v>
      </c>
      <c r="K33" s="282" t="s">
        <v>215</v>
      </c>
      <c r="L33" s="282" t="s">
        <v>223</v>
      </c>
      <c r="M33" s="286" t="s">
        <v>455</v>
      </c>
      <c r="N33" s="356" t="s">
        <v>231</v>
      </c>
      <c r="O33" s="283"/>
    </row>
    <row r="34" spans="1:16" s="190" customFormat="1" ht="15" hidden="1" customHeight="1" x14ac:dyDescent="0.25">
      <c r="A34" s="461">
        <v>44292</v>
      </c>
      <c r="B34" s="284" t="s">
        <v>274</v>
      </c>
      <c r="C34" s="424" t="s">
        <v>74</v>
      </c>
      <c r="D34" s="424" t="s">
        <v>21</v>
      </c>
      <c r="E34" s="419"/>
      <c r="F34" s="398">
        <v>8000</v>
      </c>
      <c r="G34" s="422">
        <f t="shared" si="0"/>
        <v>32733827.99927</v>
      </c>
      <c r="H34" s="284" t="s">
        <v>62</v>
      </c>
      <c r="I34" s="378" t="s">
        <v>303</v>
      </c>
      <c r="J34" s="286" t="s">
        <v>213</v>
      </c>
      <c r="K34" s="282" t="s">
        <v>214</v>
      </c>
      <c r="L34" s="282" t="s">
        <v>223</v>
      </c>
      <c r="M34" s="286"/>
      <c r="N34" s="356"/>
      <c r="O34" s="283"/>
      <c r="P34" s="399"/>
    </row>
    <row r="35" spans="1:16" s="190" customFormat="1" ht="15.75" hidden="1" x14ac:dyDescent="0.25">
      <c r="A35" s="461">
        <v>44292</v>
      </c>
      <c r="B35" s="284" t="s">
        <v>69</v>
      </c>
      <c r="C35" s="284" t="s">
        <v>120</v>
      </c>
      <c r="D35" s="284"/>
      <c r="E35" s="419"/>
      <c r="F35" s="398">
        <v>10000</v>
      </c>
      <c r="G35" s="422">
        <f t="shared" si="0"/>
        <v>32723827.99927</v>
      </c>
      <c r="H35" s="284" t="s">
        <v>62</v>
      </c>
      <c r="I35" s="378"/>
      <c r="J35" s="346"/>
      <c r="K35" s="282"/>
      <c r="L35" s="282"/>
      <c r="M35" s="283"/>
      <c r="N35" s="356"/>
      <c r="O35" s="283"/>
    </row>
    <row r="36" spans="1:16" s="190" customFormat="1" ht="15.75" hidden="1" x14ac:dyDescent="0.25">
      <c r="A36" s="461">
        <v>44292</v>
      </c>
      <c r="B36" s="494" t="s">
        <v>275</v>
      </c>
      <c r="C36" s="416" t="s">
        <v>120</v>
      </c>
      <c r="D36" s="416"/>
      <c r="E36" s="420"/>
      <c r="F36" s="420">
        <v>107000</v>
      </c>
      <c r="G36" s="422">
        <f t="shared" si="0"/>
        <v>32616827.99927</v>
      </c>
      <c r="H36" s="416" t="s">
        <v>62</v>
      </c>
      <c r="I36" s="416"/>
      <c r="J36" s="346"/>
      <c r="K36" s="282"/>
      <c r="L36" s="282"/>
      <c r="M36" s="283"/>
      <c r="N36" s="356"/>
      <c r="O36" s="283"/>
    </row>
    <row r="37" spans="1:16" s="190" customFormat="1" ht="15.75" hidden="1" x14ac:dyDescent="0.25">
      <c r="A37" s="461">
        <v>44292</v>
      </c>
      <c r="B37" s="284" t="s">
        <v>332</v>
      </c>
      <c r="C37" s="284" t="s">
        <v>120</v>
      </c>
      <c r="D37" s="284"/>
      <c r="E37" s="398">
        <v>10000</v>
      </c>
      <c r="F37" s="398"/>
      <c r="G37" s="422">
        <f t="shared" si="0"/>
        <v>32626827.99927</v>
      </c>
      <c r="H37" s="284" t="s">
        <v>69</v>
      </c>
      <c r="I37" s="286"/>
      <c r="J37" s="346"/>
      <c r="K37" s="431"/>
      <c r="L37" s="282"/>
      <c r="M37" s="286"/>
      <c r="N37" s="356"/>
      <c r="O37" s="283"/>
    </row>
    <row r="38" spans="1:16" s="190" customFormat="1" ht="15.75" hidden="1" x14ac:dyDescent="0.25">
      <c r="A38" s="461">
        <v>44292</v>
      </c>
      <c r="B38" s="284" t="s">
        <v>369</v>
      </c>
      <c r="C38" s="284" t="s">
        <v>120</v>
      </c>
      <c r="D38" s="284"/>
      <c r="E38" s="398">
        <v>107000</v>
      </c>
      <c r="F38" s="398"/>
      <c r="G38" s="422">
        <f t="shared" si="0"/>
        <v>32733827.99927</v>
      </c>
      <c r="H38" s="282" t="s">
        <v>77</v>
      </c>
      <c r="I38" s="284"/>
      <c r="J38" s="346"/>
      <c r="K38" s="431"/>
      <c r="L38" s="282"/>
      <c r="M38" s="286"/>
      <c r="N38" s="356"/>
      <c r="O38" s="283"/>
    </row>
    <row r="39" spans="1:16" s="190" customFormat="1" ht="15.75" hidden="1" x14ac:dyDescent="0.25">
      <c r="A39" s="461">
        <v>44293</v>
      </c>
      <c r="B39" s="284" t="s">
        <v>307</v>
      </c>
      <c r="C39" s="284" t="s">
        <v>26</v>
      </c>
      <c r="D39" s="284" t="s">
        <v>61</v>
      </c>
      <c r="E39" s="398"/>
      <c r="F39" s="398">
        <v>89000</v>
      </c>
      <c r="G39" s="422">
        <f t="shared" si="0"/>
        <v>32644827.99927</v>
      </c>
      <c r="H39" s="284" t="s">
        <v>62</v>
      </c>
      <c r="I39" s="284" t="s">
        <v>134</v>
      </c>
      <c r="J39" s="346" t="s">
        <v>213</v>
      </c>
      <c r="K39" s="282" t="s">
        <v>214</v>
      </c>
      <c r="L39" s="282" t="s">
        <v>223</v>
      </c>
      <c r="M39" s="286"/>
      <c r="N39" s="356"/>
      <c r="O39" s="283"/>
    </row>
    <row r="40" spans="1:16" s="190" customFormat="1" ht="15.75" hidden="1" x14ac:dyDescent="0.25">
      <c r="A40" s="461">
        <v>44293</v>
      </c>
      <c r="B40" s="378" t="s">
        <v>370</v>
      </c>
      <c r="C40" s="284" t="s">
        <v>72</v>
      </c>
      <c r="D40" s="284" t="s">
        <v>121</v>
      </c>
      <c r="E40" s="419"/>
      <c r="F40" s="398">
        <v>15000</v>
      </c>
      <c r="G40" s="422">
        <f t="shared" si="0"/>
        <v>32629827.99927</v>
      </c>
      <c r="H40" s="282" t="s">
        <v>77</v>
      </c>
      <c r="I40" s="282" t="s">
        <v>303</v>
      </c>
      <c r="J40" s="347" t="s">
        <v>156</v>
      </c>
      <c r="K40" s="282" t="s">
        <v>215</v>
      </c>
      <c r="L40" s="282" t="s">
        <v>223</v>
      </c>
      <c r="M40" s="286" t="s">
        <v>456</v>
      </c>
      <c r="N40" s="356" t="s">
        <v>230</v>
      </c>
      <c r="O40" s="283"/>
    </row>
    <row r="41" spans="1:16" s="190" customFormat="1" ht="15.75" hidden="1" x14ac:dyDescent="0.25">
      <c r="A41" s="461">
        <v>44293</v>
      </c>
      <c r="B41" s="378" t="s">
        <v>444</v>
      </c>
      <c r="C41" s="284" t="s">
        <v>155</v>
      </c>
      <c r="D41" s="378" t="s">
        <v>121</v>
      </c>
      <c r="E41" s="398"/>
      <c r="F41" s="398">
        <v>30000</v>
      </c>
      <c r="G41" s="422">
        <f t="shared" si="0"/>
        <v>32599827.99927</v>
      </c>
      <c r="H41" s="282" t="s">
        <v>77</v>
      </c>
      <c r="I41" s="284" t="s">
        <v>134</v>
      </c>
      <c r="J41" s="346" t="s">
        <v>156</v>
      </c>
      <c r="K41" s="282" t="s">
        <v>215</v>
      </c>
      <c r="L41" s="282" t="s">
        <v>223</v>
      </c>
      <c r="M41" s="286" t="s">
        <v>457</v>
      </c>
      <c r="N41" s="356" t="s">
        <v>231</v>
      </c>
      <c r="O41" s="283"/>
    </row>
    <row r="42" spans="1:16" s="190" customFormat="1" ht="15.75" hidden="1" x14ac:dyDescent="0.25">
      <c r="A42" s="461">
        <v>44294</v>
      </c>
      <c r="B42" s="284" t="s">
        <v>175</v>
      </c>
      <c r="C42" s="284" t="s">
        <v>120</v>
      </c>
      <c r="D42" s="378"/>
      <c r="E42" s="398"/>
      <c r="F42" s="398">
        <v>55800</v>
      </c>
      <c r="G42" s="422">
        <f t="shared" si="0"/>
        <v>32544027.99927</v>
      </c>
      <c r="H42" s="284" t="s">
        <v>62</v>
      </c>
      <c r="I42" s="284"/>
      <c r="J42" s="286"/>
      <c r="K42" s="282"/>
      <c r="L42" s="282"/>
      <c r="M42" s="286"/>
      <c r="N42" s="356"/>
      <c r="O42" s="283"/>
    </row>
    <row r="43" spans="1:16" s="190" customFormat="1" ht="15" hidden="1" customHeight="1" x14ac:dyDescent="0.25">
      <c r="A43" s="461">
        <v>44294</v>
      </c>
      <c r="B43" s="284" t="s">
        <v>175</v>
      </c>
      <c r="C43" s="284" t="s">
        <v>120</v>
      </c>
      <c r="D43" s="284"/>
      <c r="E43" s="398"/>
      <c r="F43" s="398">
        <v>20000</v>
      </c>
      <c r="G43" s="422">
        <f t="shared" si="0"/>
        <v>32524027.99927</v>
      </c>
      <c r="H43" s="284" t="s">
        <v>62</v>
      </c>
      <c r="I43" s="284"/>
      <c r="J43" s="286"/>
      <c r="K43" s="282"/>
      <c r="L43" s="282"/>
      <c r="M43" s="286"/>
      <c r="N43" s="356"/>
      <c r="O43" s="282"/>
    </row>
    <row r="44" spans="1:16" s="190" customFormat="1" ht="15" hidden="1" customHeight="1" x14ac:dyDescent="0.25">
      <c r="A44" s="461">
        <v>44294</v>
      </c>
      <c r="B44" s="284" t="s">
        <v>309</v>
      </c>
      <c r="C44" s="424" t="s">
        <v>74</v>
      </c>
      <c r="D44" s="424" t="s">
        <v>21</v>
      </c>
      <c r="E44" s="398"/>
      <c r="F44" s="398">
        <v>7400</v>
      </c>
      <c r="G44" s="422">
        <f t="shared" si="0"/>
        <v>32516627.99927</v>
      </c>
      <c r="H44" s="284" t="s">
        <v>62</v>
      </c>
      <c r="I44" s="284" t="s">
        <v>303</v>
      </c>
      <c r="J44" s="286" t="s">
        <v>156</v>
      </c>
      <c r="K44" s="282" t="s">
        <v>215</v>
      </c>
      <c r="L44" s="282" t="s">
        <v>223</v>
      </c>
      <c r="M44" s="286" t="s">
        <v>458</v>
      </c>
      <c r="N44" s="356" t="s">
        <v>227</v>
      </c>
      <c r="O44" s="283"/>
    </row>
    <row r="45" spans="1:16" s="190" customFormat="1" ht="15" hidden="1" customHeight="1" x14ac:dyDescent="0.25">
      <c r="A45" s="461">
        <v>44294</v>
      </c>
      <c r="B45" s="495" t="s">
        <v>212</v>
      </c>
      <c r="C45" s="490" t="s">
        <v>120</v>
      </c>
      <c r="D45" s="486"/>
      <c r="E45" s="488">
        <v>55800</v>
      </c>
      <c r="F45" s="488"/>
      <c r="G45" s="422">
        <f t="shared" si="0"/>
        <v>32572427.99927</v>
      </c>
      <c r="H45" s="432" t="s">
        <v>175</v>
      </c>
      <c r="I45" s="432"/>
      <c r="J45" s="347"/>
      <c r="K45" s="282"/>
      <c r="L45" s="282"/>
      <c r="M45" s="283"/>
      <c r="N45" s="356"/>
      <c r="O45" s="283"/>
    </row>
    <row r="46" spans="1:16" s="190" customFormat="1" ht="15" hidden="1" customHeight="1" x14ac:dyDescent="0.25">
      <c r="A46" s="461">
        <v>44294</v>
      </c>
      <c r="B46" s="495" t="s">
        <v>212</v>
      </c>
      <c r="C46" s="490" t="s">
        <v>120</v>
      </c>
      <c r="D46" s="486"/>
      <c r="E46" s="496">
        <v>20000</v>
      </c>
      <c r="F46" s="488"/>
      <c r="G46" s="422">
        <f t="shared" si="0"/>
        <v>32592427.99927</v>
      </c>
      <c r="H46" s="432" t="s">
        <v>175</v>
      </c>
      <c r="I46" s="432"/>
      <c r="J46" s="346"/>
      <c r="K46" s="282"/>
      <c r="L46" s="282"/>
      <c r="M46" s="286"/>
      <c r="N46" s="356"/>
      <c r="O46" s="283"/>
    </row>
    <row r="47" spans="1:16" s="190" customFormat="1" ht="15" hidden="1" customHeight="1" x14ac:dyDescent="0.25">
      <c r="A47" s="461">
        <v>44294</v>
      </c>
      <c r="B47" s="484" t="s">
        <v>363</v>
      </c>
      <c r="C47" s="485" t="s">
        <v>575</v>
      </c>
      <c r="D47" s="486" t="s">
        <v>19</v>
      </c>
      <c r="E47" s="487"/>
      <c r="F47" s="488">
        <v>55600</v>
      </c>
      <c r="G47" s="422">
        <f t="shared" si="0"/>
        <v>32536827.99927</v>
      </c>
      <c r="H47" s="432" t="s">
        <v>175</v>
      </c>
      <c r="I47" s="282" t="s">
        <v>303</v>
      </c>
      <c r="J47" s="347" t="s">
        <v>213</v>
      </c>
      <c r="K47" s="282" t="s">
        <v>214</v>
      </c>
      <c r="L47" s="282" t="s">
        <v>223</v>
      </c>
      <c r="M47" s="283"/>
      <c r="N47" s="356"/>
      <c r="O47" s="283"/>
    </row>
    <row r="48" spans="1:16" s="190" customFormat="1" ht="15" hidden="1" customHeight="1" x14ac:dyDescent="0.25">
      <c r="A48" s="461">
        <v>44295</v>
      </c>
      <c r="B48" s="284" t="s">
        <v>275</v>
      </c>
      <c r="C48" s="284" t="s">
        <v>120</v>
      </c>
      <c r="D48" s="284"/>
      <c r="E48" s="398"/>
      <c r="F48" s="398">
        <v>30000</v>
      </c>
      <c r="G48" s="422">
        <f t="shared" si="0"/>
        <v>32506827.99927</v>
      </c>
      <c r="H48" s="284" t="s">
        <v>62</v>
      </c>
      <c r="I48" s="284"/>
      <c r="J48" s="286"/>
      <c r="K48" s="282"/>
      <c r="L48" s="282"/>
      <c r="M48" s="286"/>
      <c r="N48" s="356"/>
      <c r="O48" s="283"/>
    </row>
    <row r="49" spans="1:15" s="190" customFormat="1" ht="15" hidden="1" customHeight="1" x14ac:dyDescent="0.25">
      <c r="A49" s="461">
        <v>44295</v>
      </c>
      <c r="B49" s="284" t="s">
        <v>313</v>
      </c>
      <c r="C49" s="424" t="s">
        <v>63</v>
      </c>
      <c r="D49" s="424" t="s">
        <v>21</v>
      </c>
      <c r="E49" s="398"/>
      <c r="F49" s="398">
        <v>900</v>
      </c>
      <c r="G49" s="422">
        <f t="shared" si="0"/>
        <v>32505927.99927</v>
      </c>
      <c r="H49" s="284" t="s">
        <v>62</v>
      </c>
      <c r="I49" s="284" t="s">
        <v>303</v>
      </c>
      <c r="J49" s="346" t="s">
        <v>156</v>
      </c>
      <c r="K49" s="431" t="s">
        <v>215</v>
      </c>
      <c r="L49" s="282" t="s">
        <v>223</v>
      </c>
      <c r="M49" s="286" t="s">
        <v>459</v>
      </c>
      <c r="N49" s="356" t="s">
        <v>216</v>
      </c>
      <c r="O49" s="283"/>
    </row>
    <row r="50" spans="1:15" s="190" customFormat="1" ht="15" hidden="1" customHeight="1" x14ac:dyDescent="0.25">
      <c r="A50" s="461">
        <v>44295</v>
      </c>
      <c r="B50" s="284" t="s">
        <v>308</v>
      </c>
      <c r="C50" s="284" t="s">
        <v>73</v>
      </c>
      <c r="D50" s="424" t="s">
        <v>121</v>
      </c>
      <c r="E50" s="398"/>
      <c r="F50" s="398">
        <v>30000</v>
      </c>
      <c r="G50" s="422">
        <f t="shared" si="0"/>
        <v>32475927.99927</v>
      </c>
      <c r="H50" s="284" t="s">
        <v>62</v>
      </c>
      <c r="I50" s="286" t="s">
        <v>75</v>
      </c>
      <c r="J50" s="346" t="s">
        <v>213</v>
      </c>
      <c r="K50" s="282" t="s">
        <v>214</v>
      </c>
      <c r="L50" s="282" t="s">
        <v>223</v>
      </c>
      <c r="M50" s="286"/>
      <c r="N50" s="356"/>
      <c r="O50" s="282"/>
    </row>
    <row r="51" spans="1:15" s="190" customFormat="1" ht="15" hidden="1" customHeight="1" x14ac:dyDescent="0.25">
      <c r="A51" s="461">
        <v>44295</v>
      </c>
      <c r="B51" s="284" t="s">
        <v>68</v>
      </c>
      <c r="C51" s="284" t="s">
        <v>120</v>
      </c>
      <c r="D51" s="284"/>
      <c r="E51" s="398"/>
      <c r="F51" s="398">
        <v>80000</v>
      </c>
      <c r="G51" s="422">
        <f t="shared" si="0"/>
        <v>32395927.99927</v>
      </c>
      <c r="H51" s="284" t="s">
        <v>62</v>
      </c>
      <c r="I51" s="284"/>
      <c r="J51" s="346"/>
      <c r="K51" s="282"/>
      <c r="L51" s="282"/>
      <c r="M51" s="283"/>
      <c r="N51" s="356"/>
      <c r="O51" s="283"/>
    </row>
    <row r="52" spans="1:15" s="190" customFormat="1" ht="15" hidden="1" customHeight="1" x14ac:dyDescent="0.25">
      <c r="A52" s="461">
        <v>44295</v>
      </c>
      <c r="B52" s="284" t="s">
        <v>67</v>
      </c>
      <c r="C52" s="284" t="s">
        <v>120</v>
      </c>
      <c r="D52" s="284"/>
      <c r="E52" s="398"/>
      <c r="F52" s="398">
        <v>80000</v>
      </c>
      <c r="G52" s="422">
        <f t="shared" si="0"/>
        <v>32315927.99927</v>
      </c>
      <c r="H52" s="284" t="s">
        <v>62</v>
      </c>
      <c r="I52" s="284"/>
      <c r="J52" s="346"/>
      <c r="K52" s="282"/>
      <c r="L52" s="282"/>
      <c r="M52" s="283"/>
      <c r="N52" s="356"/>
      <c r="O52" s="283"/>
    </row>
    <row r="53" spans="1:15" s="190" customFormat="1" ht="15" hidden="1" customHeight="1" x14ac:dyDescent="0.25">
      <c r="A53" s="461">
        <v>44295</v>
      </c>
      <c r="B53" s="284" t="s">
        <v>67</v>
      </c>
      <c r="C53" s="284" t="s">
        <v>120</v>
      </c>
      <c r="D53" s="284"/>
      <c r="E53" s="398"/>
      <c r="F53" s="398">
        <v>15000</v>
      </c>
      <c r="G53" s="422">
        <f t="shared" si="0"/>
        <v>32300927.99927</v>
      </c>
      <c r="H53" s="284" t="s">
        <v>62</v>
      </c>
      <c r="I53" s="284"/>
      <c r="J53" s="346"/>
      <c r="K53" s="282"/>
      <c r="L53" s="282"/>
      <c r="M53" s="283"/>
      <c r="N53" s="356"/>
      <c r="O53" s="283"/>
    </row>
    <row r="54" spans="1:15" s="190" customFormat="1" ht="15" hidden="1" customHeight="1" x14ac:dyDescent="0.25">
      <c r="A54" s="461">
        <v>44295</v>
      </c>
      <c r="B54" s="282" t="s">
        <v>345</v>
      </c>
      <c r="C54" s="284" t="s">
        <v>120</v>
      </c>
      <c r="D54" s="433"/>
      <c r="E54" s="429">
        <v>80000</v>
      </c>
      <c r="F54" s="429"/>
      <c r="G54" s="422">
        <f t="shared" si="0"/>
        <v>32380927.99927</v>
      </c>
      <c r="H54" s="283" t="s">
        <v>68</v>
      </c>
      <c r="I54" s="282"/>
      <c r="J54" s="347"/>
      <c r="K54" s="282"/>
      <c r="L54" s="282"/>
      <c r="M54" s="283"/>
      <c r="N54" s="356"/>
      <c r="O54" s="283"/>
    </row>
    <row r="55" spans="1:15" s="190" customFormat="1" ht="15" hidden="1" customHeight="1" x14ac:dyDescent="0.25">
      <c r="A55" s="461">
        <v>44295</v>
      </c>
      <c r="B55" s="282" t="s">
        <v>241</v>
      </c>
      <c r="C55" s="282" t="s">
        <v>72</v>
      </c>
      <c r="D55" s="284" t="s">
        <v>31</v>
      </c>
      <c r="E55" s="429"/>
      <c r="F55" s="429">
        <v>10000</v>
      </c>
      <c r="G55" s="422">
        <f t="shared" si="0"/>
        <v>32370927.99927</v>
      </c>
      <c r="H55" s="283" t="s">
        <v>68</v>
      </c>
      <c r="I55" s="282" t="s">
        <v>303</v>
      </c>
      <c r="J55" s="346" t="s">
        <v>156</v>
      </c>
      <c r="K55" s="282" t="s">
        <v>215</v>
      </c>
      <c r="L55" s="282" t="s">
        <v>223</v>
      </c>
      <c r="M55" s="286" t="s">
        <v>460</v>
      </c>
      <c r="N55" s="356" t="s">
        <v>230</v>
      </c>
      <c r="O55" s="282"/>
    </row>
    <row r="56" spans="1:15" s="190" customFormat="1" ht="15" hidden="1" customHeight="1" x14ac:dyDescent="0.25">
      <c r="A56" s="461">
        <v>44295</v>
      </c>
      <c r="B56" s="282" t="s">
        <v>233</v>
      </c>
      <c r="C56" s="284" t="s">
        <v>120</v>
      </c>
      <c r="D56" s="284"/>
      <c r="E56" s="429">
        <v>95000</v>
      </c>
      <c r="F56" s="429"/>
      <c r="G56" s="422">
        <f t="shared" si="0"/>
        <v>32465927.99927</v>
      </c>
      <c r="H56" s="282" t="s">
        <v>67</v>
      </c>
      <c r="I56" s="282"/>
      <c r="J56" s="346"/>
      <c r="K56" s="282"/>
      <c r="L56" s="282"/>
      <c r="M56" s="283"/>
      <c r="N56" s="286"/>
      <c r="O56" s="282"/>
    </row>
    <row r="57" spans="1:15" s="190" customFormat="1" ht="15" hidden="1" customHeight="1" x14ac:dyDescent="0.25">
      <c r="A57" s="461">
        <v>44295</v>
      </c>
      <c r="B57" s="284" t="s">
        <v>369</v>
      </c>
      <c r="C57" s="284" t="s">
        <v>120</v>
      </c>
      <c r="D57" s="284"/>
      <c r="E57" s="398">
        <v>30000</v>
      </c>
      <c r="F57" s="398"/>
      <c r="G57" s="422">
        <f t="shared" si="0"/>
        <v>32495927.99927</v>
      </c>
      <c r="H57" s="282" t="s">
        <v>77</v>
      </c>
      <c r="I57" s="284"/>
      <c r="J57" s="346"/>
      <c r="K57" s="282"/>
      <c r="L57" s="282"/>
      <c r="M57" s="286"/>
      <c r="N57" s="356"/>
      <c r="O57" s="283"/>
    </row>
    <row r="58" spans="1:15" s="190" customFormat="1" ht="15" hidden="1" customHeight="1" x14ac:dyDescent="0.25">
      <c r="A58" s="461">
        <v>44295</v>
      </c>
      <c r="B58" s="284" t="s">
        <v>564</v>
      </c>
      <c r="C58" s="284" t="s">
        <v>155</v>
      </c>
      <c r="D58" s="284" t="s">
        <v>121</v>
      </c>
      <c r="E58" s="398"/>
      <c r="F58" s="398">
        <v>45000</v>
      </c>
      <c r="G58" s="422">
        <f t="shared" si="0"/>
        <v>32450927.99927</v>
      </c>
      <c r="H58" s="282" t="s">
        <v>77</v>
      </c>
      <c r="I58" s="282" t="s">
        <v>303</v>
      </c>
      <c r="J58" s="346" t="s">
        <v>156</v>
      </c>
      <c r="K58" s="282" t="s">
        <v>215</v>
      </c>
      <c r="L58" s="282" t="s">
        <v>223</v>
      </c>
      <c r="M58" s="286" t="s">
        <v>461</v>
      </c>
      <c r="N58" s="356" t="s">
        <v>231</v>
      </c>
      <c r="O58" s="286"/>
    </row>
    <row r="59" spans="1:15" s="190" customFormat="1" ht="15" hidden="1" customHeight="1" x14ac:dyDescent="0.25">
      <c r="A59" s="461">
        <v>44296</v>
      </c>
      <c r="B59" s="282" t="s">
        <v>394</v>
      </c>
      <c r="C59" s="282" t="s">
        <v>72</v>
      </c>
      <c r="D59" s="284" t="s">
        <v>31</v>
      </c>
      <c r="E59" s="429"/>
      <c r="F59" s="429">
        <v>9000</v>
      </c>
      <c r="G59" s="422">
        <f t="shared" si="0"/>
        <v>32441927.99927</v>
      </c>
      <c r="H59" s="282" t="s">
        <v>67</v>
      </c>
      <c r="I59" s="282" t="s">
        <v>303</v>
      </c>
      <c r="J59" s="347" t="s">
        <v>156</v>
      </c>
      <c r="K59" s="282" t="s">
        <v>215</v>
      </c>
      <c r="L59" s="282" t="s">
        <v>223</v>
      </c>
      <c r="M59" s="286" t="s">
        <v>462</v>
      </c>
      <c r="N59" s="356" t="s">
        <v>230</v>
      </c>
      <c r="O59" s="283"/>
    </row>
    <row r="60" spans="1:15" s="190" customFormat="1" ht="15" hidden="1" customHeight="1" x14ac:dyDescent="0.25">
      <c r="A60" s="461">
        <v>44296</v>
      </c>
      <c r="B60" s="284" t="s">
        <v>371</v>
      </c>
      <c r="C60" s="284" t="s">
        <v>72</v>
      </c>
      <c r="D60" s="284" t="s">
        <v>121</v>
      </c>
      <c r="E60" s="398"/>
      <c r="F60" s="398">
        <v>15000</v>
      </c>
      <c r="G60" s="422">
        <f t="shared" si="0"/>
        <v>32426927.99927</v>
      </c>
      <c r="H60" s="282" t="s">
        <v>77</v>
      </c>
      <c r="I60" s="282" t="s">
        <v>303</v>
      </c>
      <c r="J60" s="347" t="s">
        <v>156</v>
      </c>
      <c r="K60" s="282" t="s">
        <v>215</v>
      </c>
      <c r="L60" s="282" t="s">
        <v>223</v>
      </c>
      <c r="M60" s="286" t="s">
        <v>463</v>
      </c>
      <c r="N60" s="356" t="s">
        <v>230</v>
      </c>
      <c r="O60" s="283"/>
    </row>
    <row r="61" spans="1:15" s="190" customFormat="1" ht="15" hidden="1" customHeight="1" x14ac:dyDescent="0.25">
      <c r="A61" s="461">
        <v>44298</v>
      </c>
      <c r="B61" s="284" t="s">
        <v>275</v>
      </c>
      <c r="C61" s="284" t="s">
        <v>120</v>
      </c>
      <c r="D61" s="284"/>
      <c r="E61" s="398"/>
      <c r="F61" s="398">
        <v>125000</v>
      </c>
      <c r="G61" s="422">
        <f t="shared" si="0"/>
        <v>32301927.99927</v>
      </c>
      <c r="H61" s="284" t="s">
        <v>62</v>
      </c>
      <c r="I61" s="284"/>
      <c r="J61" s="346"/>
      <c r="K61" s="282"/>
      <c r="L61" s="282"/>
      <c r="M61" s="283"/>
      <c r="N61" s="356"/>
      <c r="O61" s="283"/>
    </row>
    <row r="62" spans="1:15" s="190" customFormat="1" ht="15" hidden="1" customHeight="1" x14ac:dyDescent="0.25">
      <c r="A62" s="461">
        <v>44298</v>
      </c>
      <c r="B62" s="284" t="s">
        <v>91</v>
      </c>
      <c r="C62" s="284" t="s">
        <v>120</v>
      </c>
      <c r="D62" s="284"/>
      <c r="E62" s="398"/>
      <c r="F62" s="398">
        <v>84000</v>
      </c>
      <c r="G62" s="422">
        <f t="shared" si="0"/>
        <v>32217927.99927</v>
      </c>
      <c r="H62" s="284" t="s">
        <v>62</v>
      </c>
      <c r="I62" s="284"/>
      <c r="J62" s="346"/>
      <c r="K62" s="282"/>
      <c r="L62" s="282"/>
      <c r="M62" s="283"/>
      <c r="N62" s="356"/>
      <c r="O62" s="283"/>
    </row>
    <row r="63" spans="1:15" s="190" customFormat="1" ht="15" hidden="1" customHeight="1" x14ac:dyDescent="0.25">
      <c r="A63" s="461">
        <v>44298</v>
      </c>
      <c r="B63" s="284" t="s">
        <v>276</v>
      </c>
      <c r="C63" s="284" t="s">
        <v>60</v>
      </c>
      <c r="D63" s="284" t="s">
        <v>121</v>
      </c>
      <c r="E63" s="398"/>
      <c r="F63" s="398">
        <v>76000</v>
      </c>
      <c r="G63" s="422">
        <f t="shared" si="0"/>
        <v>32141927.99927</v>
      </c>
      <c r="H63" s="284" t="s">
        <v>62</v>
      </c>
      <c r="I63" s="284" t="s">
        <v>303</v>
      </c>
      <c r="J63" s="286" t="s">
        <v>156</v>
      </c>
      <c r="K63" s="282" t="s">
        <v>215</v>
      </c>
      <c r="L63" s="282" t="s">
        <v>223</v>
      </c>
      <c r="M63" s="286" t="s">
        <v>464</v>
      </c>
      <c r="N63" s="356" t="s">
        <v>224</v>
      </c>
      <c r="O63" s="283"/>
    </row>
    <row r="64" spans="1:15" s="190" customFormat="1" ht="15" hidden="1" customHeight="1" x14ac:dyDescent="0.25">
      <c r="A64" s="461">
        <v>44298</v>
      </c>
      <c r="B64" s="284" t="s">
        <v>69</v>
      </c>
      <c r="C64" s="378" t="s">
        <v>120</v>
      </c>
      <c r="D64" s="284"/>
      <c r="E64" s="398"/>
      <c r="F64" s="398">
        <v>10000</v>
      </c>
      <c r="G64" s="422">
        <f t="shared" si="0"/>
        <v>32131927.99927</v>
      </c>
      <c r="H64" s="284" t="s">
        <v>62</v>
      </c>
      <c r="I64" s="284"/>
      <c r="J64" s="349"/>
      <c r="K64" s="282"/>
      <c r="L64" s="282"/>
      <c r="M64" s="283"/>
      <c r="N64" s="356"/>
      <c r="O64" s="283"/>
    </row>
    <row r="65" spans="1:15" s="190" customFormat="1" ht="15" hidden="1" customHeight="1" x14ac:dyDescent="0.25">
      <c r="A65" s="461">
        <v>44298</v>
      </c>
      <c r="B65" s="284" t="s">
        <v>275</v>
      </c>
      <c r="C65" s="284" t="s">
        <v>120</v>
      </c>
      <c r="D65" s="284"/>
      <c r="E65" s="398"/>
      <c r="F65" s="398">
        <v>40000</v>
      </c>
      <c r="G65" s="422">
        <f t="shared" si="0"/>
        <v>32091927.99927</v>
      </c>
      <c r="H65" s="284" t="s">
        <v>62</v>
      </c>
      <c r="I65" s="284"/>
      <c r="J65" s="346"/>
      <c r="K65" s="282"/>
      <c r="L65" s="282"/>
      <c r="M65" s="283"/>
      <c r="N65" s="356"/>
      <c r="O65" s="283"/>
    </row>
    <row r="66" spans="1:15" s="190" customFormat="1" ht="15" hidden="1" customHeight="1" x14ac:dyDescent="0.25">
      <c r="A66" s="461">
        <v>44298</v>
      </c>
      <c r="B66" s="284" t="s">
        <v>277</v>
      </c>
      <c r="C66" s="284" t="s">
        <v>30</v>
      </c>
      <c r="D66" s="284" t="s">
        <v>21</v>
      </c>
      <c r="E66" s="398"/>
      <c r="F66" s="398">
        <v>12000</v>
      </c>
      <c r="G66" s="422">
        <f t="shared" si="0"/>
        <v>32079927.99927</v>
      </c>
      <c r="H66" s="284" t="s">
        <v>62</v>
      </c>
      <c r="I66" s="284" t="s">
        <v>303</v>
      </c>
      <c r="J66" s="286" t="s">
        <v>213</v>
      </c>
      <c r="K66" s="282" t="s">
        <v>214</v>
      </c>
      <c r="L66" s="282" t="s">
        <v>223</v>
      </c>
      <c r="M66" s="283"/>
      <c r="N66" s="286"/>
      <c r="O66" s="283"/>
    </row>
    <row r="67" spans="1:15" s="190" customFormat="1" ht="15" hidden="1" customHeight="1" x14ac:dyDescent="0.25">
      <c r="A67" s="461">
        <v>44298</v>
      </c>
      <c r="B67" s="282" t="s">
        <v>174</v>
      </c>
      <c r="C67" s="284" t="s">
        <v>120</v>
      </c>
      <c r="D67" s="282"/>
      <c r="E67" s="429">
        <v>84000</v>
      </c>
      <c r="F67" s="429"/>
      <c r="G67" s="422">
        <f t="shared" si="0"/>
        <v>32163927.99927</v>
      </c>
      <c r="H67" s="282" t="s">
        <v>91</v>
      </c>
      <c r="I67" s="282"/>
      <c r="J67" s="346"/>
      <c r="K67" s="282"/>
      <c r="L67" s="282"/>
      <c r="M67" s="283"/>
      <c r="N67" s="356"/>
      <c r="O67" s="283"/>
    </row>
    <row r="68" spans="1:15" s="190" customFormat="1" ht="15" hidden="1" customHeight="1" x14ac:dyDescent="0.25">
      <c r="A68" s="461">
        <v>44298</v>
      </c>
      <c r="B68" s="282" t="s">
        <v>325</v>
      </c>
      <c r="C68" s="282" t="s">
        <v>72</v>
      </c>
      <c r="D68" s="282" t="s">
        <v>19</v>
      </c>
      <c r="E68" s="429"/>
      <c r="F68" s="429">
        <v>10000</v>
      </c>
      <c r="G68" s="422">
        <f t="shared" si="0"/>
        <v>32153927.99927</v>
      </c>
      <c r="H68" s="282" t="s">
        <v>91</v>
      </c>
      <c r="I68" s="282" t="s">
        <v>303</v>
      </c>
      <c r="J68" s="346" t="s">
        <v>156</v>
      </c>
      <c r="K68" s="282" t="s">
        <v>215</v>
      </c>
      <c r="L68" s="282" t="s">
        <v>223</v>
      </c>
      <c r="M68" s="286" t="s">
        <v>465</v>
      </c>
      <c r="N68" s="356" t="s">
        <v>230</v>
      </c>
      <c r="O68" s="283"/>
    </row>
    <row r="69" spans="1:15" s="190" customFormat="1" ht="15" hidden="1" customHeight="1" x14ac:dyDescent="0.25">
      <c r="A69" s="461">
        <v>44298</v>
      </c>
      <c r="B69" s="284" t="s">
        <v>332</v>
      </c>
      <c r="C69" s="284" t="s">
        <v>120</v>
      </c>
      <c r="D69" s="284"/>
      <c r="E69" s="398">
        <v>10000</v>
      </c>
      <c r="F69" s="398"/>
      <c r="G69" s="422">
        <f t="shared" si="0"/>
        <v>32163927.99927</v>
      </c>
      <c r="H69" s="284" t="s">
        <v>69</v>
      </c>
      <c r="I69" s="286"/>
      <c r="J69" s="346"/>
      <c r="K69" s="282"/>
      <c r="L69" s="282"/>
      <c r="M69" s="283"/>
      <c r="N69" s="356"/>
      <c r="O69" s="283"/>
    </row>
    <row r="70" spans="1:15" s="190" customFormat="1" ht="15" hidden="1" customHeight="1" x14ac:dyDescent="0.25">
      <c r="A70" s="461">
        <v>44298</v>
      </c>
      <c r="B70" s="282" t="s">
        <v>443</v>
      </c>
      <c r="C70" s="430" t="s">
        <v>327</v>
      </c>
      <c r="D70" s="284" t="s">
        <v>31</v>
      </c>
      <c r="E70" s="429"/>
      <c r="F70" s="429">
        <v>70000</v>
      </c>
      <c r="G70" s="422">
        <f t="shared" si="0"/>
        <v>32093927.99927</v>
      </c>
      <c r="H70" s="283" t="s">
        <v>68</v>
      </c>
      <c r="I70" s="282" t="s">
        <v>134</v>
      </c>
      <c r="J70" s="346" t="s">
        <v>156</v>
      </c>
      <c r="K70" s="434" t="s">
        <v>215</v>
      </c>
      <c r="L70" s="282" t="s">
        <v>223</v>
      </c>
      <c r="M70" s="286" t="s">
        <v>466</v>
      </c>
      <c r="N70" s="435" t="s">
        <v>231</v>
      </c>
      <c r="O70" s="283"/>
    </row>
    <row r="71" spans="1:15" s="190" customFormat="1" ht="15" hidden="1" customHeight="1" x14ac:dyDescent="0.25">
      <c r="A71" s="461">
        <v>44298</v>
      </c>
      <c r="B71" s="282" t="s">
        <v>559</v>
      </c>
      <c r="C71" s="282" t="s">
        <v>327</v>
      </c>
      <c r="D71" s="284" t="s">
        <v>31</v>
      </c>
      <c r="E71" s="429"/>
      <c r="F71" s="429">
        <v>70000</v>
      </c>
      <c r="G71" s="422">
        <f t="shared" si="0"/>
        <v>32023927.99927</v>
      </c>
      <c r="H71" s="282" t="s">
        <v>67</v>
      </c>
      <c r="I71" s="282" t="s">
        <v>320</v>
      </c>
      <c r="J71" s="346" t="s">
        <v>156</v>
      </c>
      <c r="K71" s="282" t="s">
        <v>215</v>
      </c>
      <c r="L71" s="282" t="s">
        <v>223</v>
      </c>
      <c r="M71" s="286" t="s">
        <v>467</v>
      </c>
      <c r="N71" s="356" t="s">
        <v>231</v>
      </c>
      <c r="O71" s="283"/>
    </row>
    <row r="72" spans="1:15" s="190" customFormat="1" ht="15" hidden="1" customHeight="1" x14ac:dyDescent="0.25">
      <c r="A72" s="461">
        <v>44298</v>
      </c>
      <c r="B72" s="282" t="s">
        <v>211</v>
      </c>
      <c r="C72" s="282" t="s">
        <v>72</v>
      </c>
      <c r="D72" s="284" t="s">
        <v>31</v>
      </c>
      <c r="E72" s="429"/>
      <c r="F72" s="429">
        <v>4000</v>
      </c>
      <c r="G72" s="422">
        <f t="shared" si="0"/>
        <v>32019927.99927</v>
      </c>
      <c r="H72" s="282" t="s">
        <v>67</v>
      </c>
      <c r="I72" s="282" t="s">
        <v>303</v>
      </c>
      <c r="J72" s="347" t="s">
        <v>213</v>
      </c>
      <c r="K72" s="282" t="s">
        <v>214</v>
      </c>
      <c r="L72" s="282" t="s">
        <v>223</v>
      </c>
      <c r="M72" s="286"/>
      <c r="N72" s="356"/>
      <c r="O72" s="283"/>
    </row>
    <row r="73" spans="1:15" s="190" customFormat="1" ht="15" hidden="1" customHeight="1" x14ac:dyDescent="0.25">
      <c r="A73" s="461">
        <v>44298</v>
      </c>
      <c r="B73" s="284" t="s">
        <v>369</v>
      </c>
      <c r="C73" s="284" t="s">
        <v>120</v>
      </c>
      <c r="D73" s="284"/>
      <c r="E73" s="398">
        <v>125000</v>
      </c>
      <c r="F73" s="398"/>
      <c r="G73" s="422">
        <f t="shared" si="0"/>
        <v>32144927.99927</v>
      </c>
      <c r="H73" s="282" t="s">
        <v>77</v>
      </c>
      <c r="I73" s="284"/>
      <c r="J73" s="346"/>
      <c r="K73" s="282"/>
      <c r="L73" s="282"/>
      <c r="M73" s="283"/>
      <c r="N73" s="356"/>
      <c r="O73" s="283"/>
    </row>
    <row r="74" spans="1:15" s="190" customFormat="1" ht="15" hidden="1" customHeight="1" x14ac:dyDescent="0.25">
      <c r="A74" s="461">
        <v>44298</v>
      </c>
      <c r="B74" s="284" t="s">
        <v>369</v>
      </c>
      <c r="C74" s="284" t="s">
        <v>120</v>
      </c>
      <c r="D74" s="284"/>
      <c r="E74" s="398">
        <v>40000</v>
      </c>
      <c r="F74" s="398"/>
      <c r="G74" s="422">
        <f t="shared" si="0"/>
        <v>32184927.99927</v>
      </c>
      <c r="H74" s="282" t="s">
        <v>77</v>
      </c>
      <c r="I74" s="284"/>
      <c r="J74" s="346"/>
      <c r="K74" s="282"/>
      <c r="L74" s="282"/>
      <c r="M74" s="283"/>
      <c r="N74" s="356"/>
      <c r="O74" s="283"/>
    </row>
    <row r="75" spans="1:15" s="397" customFormat="1" ht="15" hidden="1" customHeight="1" x14ac:dyDescent="0.25">
      <c r="A75" s="461">
        <v>44298</v>
      </c>
      <c r="B75" s="284" t="s">
        <v>372</v>
      </c>
      <c r="C75" s="284" t="s">
        <v>72</v>
      </c>
      <c r="D75" s="284" t="s">
        <v>121</v>
      </c>
      <c r="E75" s="398"/>
      <c r="F75" s="398">
        <v>20000</v>
      </c>
      <c r="G75" s="422">
        <f t="shared" si="0"/>
        <v>32164927.99927</v>
      </c>
      <c r="H75" s="282" t="s">
        <v>77</v>
      </c>
      <c r="I75" s="282" t="s">
        <v>303</v>
      </c>
      <c r="J75" s="347" t="s">
        <v>156</v>
      </c>
      <c r="K75" s="282" t="s">
        <v>215</v>
      </c>
      <c r="L75" s="282" t="s">
        <v>223</v>
      </c>
      <c r="M75" s="286" t="s">
        <v>468</v>
      </c>
      <c r="N75" s="436" t="s">
        <v>230</v>
      </c>
      <c r="O75" s="283"/>
    </row>
    <row r="76" spans="1:15" s="190" customFormat="1" ht="15" hidden="1" customHeight="1" x14ac:dyDescent="0.25">
      <c r="A76" s="461">
        <v>44299</v>
      </c>
      <c r="B76" s="282" t="s">
        <v>549</v>
      </c>
      <c r="C76" s="282" t="s">
        <v>327</v>
      </c>
      <c r="D76" s="282" t="s">
        <v>19</v>
      </c>
      <c r="E76" s="429"/>
      <c r="F76" s="429">
        <v>40000</v>
      </c>
      <c r="G76" s="422">
        <f t="shared" si="0"/>
        <v>32124927.99927</v>
      </c>
      <c r="H76" s="282" t="s">
        <v>91</v>
      </c>
      <c r="I76" s="282" t="s">
        <v>134</v>
      </c>
      <c r="J76" s="346" t="s">
        <v>156</v>
      </c>
      <c r="K76" s="282" t="s">
        <v>215</v>
      </c>
      <c r="L76" s="282" t="s">
        <v>223</v>
      </c>
      <c r="M76" s="286" t="s">
        <v>469</v>
      </c>
      <c r="N76" s="356" t="s">
        <v>231</v>
      </c>
      <c r="O76" s="283"/>
    </row>
    <row r="77" spans="1:15" s="190" customFormat="1" ht="15" hidden="1" customHeight="1" x14ac:dyDescent="0.25">
      <c r="A77" s="461">
        <v>44299</v>
      </c>
      <c r="B77" s="282" t="s">
        <v>352</v>
      </c>
      <c r="C77" s="282" t="s">
        <v>72</v>
      </c>
      <c r="D77" s="284" t="s">
        <v>31</v>
      </c>
      <c r="E77" s="429"/>
      <c r="F77" s="429">
        <v>10000</v>
      </c>
      <c r="G77" s="422">
        <f t="shared" si="0"/>
        <v>32114927.99927</v>
      </c>
      <c r="H77" s="282" t="s">
        <v>67</v>
      </c>
      <c r="I77" s="282" t="s">
        <v>303</v>
      </c>
      <c r="J77" s="347" t="s">
        <v>213</v>
      </c>
      <c r="K77" s="282" t="s">
        <v>214</v>
      </c>
      <c r="L77" s="282" t="s">
        <v>223</v>
      </c>
      <c r="M77" s="283"/>
      <c r="N77" s="356"/>
      <c r="O77" s="283"/>
    </row>
    <row r="78" spans="1:15" s="190" customFormat="1" ht="15" hidden="1" customHeight="1" x14ac:dyDescent="0.25">
      <c r="A78" s="461">
        <v>44299</v>
      </c>
      <c r="B78" s="284" t="s">
        <v>558</v>
      </c>
      <c r="C78" s="378" t="s">
        <v>155</v>
      </c>
      <c r="D78" s="284" t="s">
        <v>121</v>
      </c>
      <c r="E78" s="398"/>
      <c r="F78" s="398">
        <f>120000+10000+20000</f>
        <v>150000</v>
      </c>
      <c r="G78" s="422">
        <f t="shared" ref="G78:G141" si="1">G77+E78-F78</f>
        <v>31964927.99927</v>
      </c>
      <c r="H78" s="282" t="s">
        <v>77</v>
      </c>
      <c r="I78" s="284" t="s">
        <v>134</v>
      </c>
      <c r="J78" s="346" t="s">
        <v>156</v>
      </c>
      <c r="K78" s="282" t="s">
        <v>215</v>
      </c>
      <c r="L78" s="282" t="s">
        <v>223</v>
      </c>
      <c r="M78" s="286" t="s">
        <v>470</v>
      </c>
      <c r="N78" s="356" t="s">
        <v>231</v>
      </c>
      <c r="O78" s="283"/>
    </row>
    <row r="79" spans="1:15" s="190" customFormat="1" ht="15" hidden="1" customHeight="1" x14ac:dyDescent="0.25">
      <c r="A79" s="461">
        <v>44300</v>
      </c>
      <c r="B79" s="284" t="s">
        <v>251</v>
      </c>
      <c r="C79" s="378" t="s">
        <v>120</v>
      </c>
      <c r="D79" s="284"/>
      <c r="E79" s="437"/>
      <c r="F79" s="398">
        <v>1000000</v>
      </c>
      <c r="G79" s="422">
        <f t="shared" si="1"/>
        <v>30964927.99927</v>
      </c>
      <c r="H79" s="282" t="s">
        <v>58</v>
      </c>
      <c r="I79" s="286">
        <v>3654439</v>
      </c>
      <c r="J79" s="346"/>
      <c r="K79" s="282"/>
      <c r="L79" s="282"/>
      <c r="M79" s="283"/>
      <c r="N79" s="356"/>
      <c r="O79" s="283"/>
    </row>
    <row r="80" spans="1:15" s="190" customFormat="1" ht="15" hidden="1" customHeight="1" x14ac:dyDescent="0.25">
      <c r="A80" s="461">
        <v>44300</v>
      </c>
      <c r="B80" s="284" t="s">
        <v>58</v>
      </c>
      <c r="C80" s="284" t="s">
        <v>120</v>
      </c>
      <c r="D80" s="284"/>
      <c r="E80" s="419">
        <v>1000000</v>
      </c>
      <c r="F80" s="398"/>
      <c r="G80" s="422">
        <f t="shared" si="1"/>
        <v>31964927.99927</v>
      </c>
      <c r="H80" s="284" t="s">
        <v>62</v>
      </c>
      <c r="I80" s="284"/>
      <c r="J80" s="346"/>
      <c r="K80" s="282"/>
      <c r="L80" s="282"/>
      <c r="M80" s="283"/>
      <c r="N80" s="356"/>
      <c r="O80" s="283"/>
    </row>
    <row r="81" spans="1:15" s="190" customFormat="1" ht="15" hidden="1" customHeight="1" x14ac:dyDescent="0.25">
      <c r="A81" s="461">
        <v>44300</v>
      </c>
      <c r="B81" s="284" t="s">
        <v>67</v>
      </c>
      <c r="C81" s="378" t="s">
        <v>120</v>
      </c>
      <c r="D81" s="284"/>
      <c r="E81" s="419"/>
      <c r="F81" s="398">
        <v>171000</v>
      </c>
      <c r="G81" s="422">
        <f t="shared" si="1"/>
        <v>31793927.99927</v>
      </c>
      <c r="H81" s="284" t="s">
        <v>62</v>
      </c>
      <c r="I81" s="284"/>
      <c r="J81" s="346"/>
      <c r="K81" s="282"/>
      <c r="L81" s="282"/>
      <c r="M81" s="283"/>
      <c r="N81" s="356"/>
      <c r="O81" s="283"/>
    </row>
    <row r="82" spans="1:15" s="190" customFormat="1" ht="15" hidden="1" customHeight="1" x14ac:dyDescent="0.25">
      <c r="A82" s="461">
        <v>44300</v>
      </c>
      <c r="B82" s="284" t="s">
        <v>68</v>
      </c>
      <c r="C82" s="284" t="s">
        <v>120</v>
      </c>
      <c r="D82" s="284"/>
      <c r="E82" s="419"/>
      <c r="F82" s="398">
        <v>169000</v>
      </c>
      <c r="G82" s="422">
        <f t="shared" si="1"/>
        <v>31624927.99927</v>
      </c>
      <c r="H82" s="284" t="s">
        <v>62</v>
      </c>
      <c r="I82" s="284"/>
      <c r="J82" s="346"/>
      <c r="K82" s="282"/>
      <c r="L82" s="282"/>
      <c r="M82" s="283"/>
      <c r="N82" s="356"/>
      <c r="O82" s="283"/>
    </row>
    <row r="83" spans="1:15" s="190" customFormat="1" ht="15" hidden="1" customHeight="1" x14ac:dyDescent="0.25">
      <c r="A83" s="461">
        <v>44300</v>
      </c>
      <c r="B83" s="284" t="s">
        <v>278</v>
      </c>
      <c r="C83" s="424" t="s">
        <v>63</v>
      </c>
      <c r="D83" s="424" t="s">
        <v>21</v>
      </c>
      <c r="E83" s="419"/>
      <c r="F83" s="398">
        <v>10200</v>
      </c>
      <c r="G83" s="422">
        <f t="shared" si="1"/>
        <v>31614727.99927</v>
      </c>
      <c r="H83" s="284" t="s">
        <v>62</v>
      </c>
      <c r="I83" s="284" t="s">
        <v>303</v>
      </c>
      <c r="J83" s="346" t="s">
        <v>156</v>
      </c>
      <c r="K83" s="431" t="s">
        <v>215</v>
      </c>
      <c r="L83" s="282" t="s">
        <v>223</v>
      </c>
      <c r="M83" s="286" t="s">
        <v>471</v>
      </c>
      <c r="N83" s="356" t="s">
        <v>216</v>
      </c>
      <c r="O83" s="283"/>
    </row>
    <row r="84" spans="1:15" s="190" customFormat="1" ht="15" hidden="1" customHeight="1" x14ac:dyDescent="0.25">
      <c r="A84" s="461">
        <v>44300</v>
      </c>
      <c r="B84" s="282" t="s">
        <v>326</v>
      </c>
      <c r="C84" s="284" t="s">
        <v>73</v>
      </c>
      <c r="D84" s="424" t="s">
        <v>121</v>
      </c>
      <c r="E84" s="428"/>
      <c r="F84" s="429">
        <v>3465</v>
      </c>
      <c r="G84" s="422">
        <f t="shared" si="1"/>
        <v>31611262.99927</v>
      </c>
      <c r="H84" s="282" t="s">
        <v>91</v>
      </c>
      <c r="I84" s="282" t="s">
        <v>303</v>
      </c>
      <c r="J84" s="347" t="s">
        <v>213</v>
      </c>
      <c r="K84" s="282" t="s">
        <v>214</v>
      </c>
      <c r="L84" s="282" t="s">
        <v>223</v>
      </c>
      <c r="M84" s="283"/>
      <c r="N84" s="356"/>
      <c r="O84" s="283"/>
    </row>
    <row r="85" spans="1:15" s="397" customFormat="1" ht="15" hidden="1" customHeight="1" x14ac:dyDescent="0.25">
      <c r="A85" s="461">
        <v>44300</v>
      </c>
      <c r="B85" s="282" t="s">
        <v>336</v>
      </c>
      <c r="C85" s="282" t="s">
        <v>72</v>
      </c>
      <c r="D85" s="284" t="s">
        <v>31</v>
      </c>
      <c r="E85" s="428"/>
      <c r="F85" s="429">
        <v>6000</v>
      </c>
      <c r="G85" s="422">
        <f t="shared" si="1"/>
        <v>31605262.99927</v>
      </c>
      <c r="H85" s="283" t="s">
        <v>68</v>
      </c>
      <c r="I85" s="282" t="s">
        <v>134</v>
      </c>
      <c r="J85" s="347" t="s">
        <v>213</v>
      </c>
      <c r="K85" s="282" t="s">
        <v>214</v>
      </c>
      <c r="L85" s="282" t="s">
        <v>223</v>
      </c>
      <c r="M85" s="286"/>
      <c r="N85" s="356"/>
      <c r="O85" s="283"/>
    </row>
    <row r="86" spans="1:15" s="190" customFormat="1" ht="15" hidden="1" customHeight="1" x14ac:dyDescent="0.25">
      <c r="A86" s="461">
        <v>44300</v>
      </c>
      <c r="B86" s="282" t="s">
        <v>233</v>
      </c>
      <c r="C86" s="284" t="s">
        <v>120</v>
      </c>
      <c r="D86" s="284"/>
      <c r="E86" s="428">
        <v>171000</v>
      </c>
      <c r="F86" s="429"/>
      <c r="G86" s="422">
        <f t="shared" si="1"/>
        <v>31776262.99927</v>
      </c>
      <c r="H86" s="282" t="s">
        <v>67</v>
      </c>
      <c r="I86" s="282"/>
      <c r="J86" s="347"/>
      <c r="K86" s="282"/>
      <c r="L86" s="282"/>
      <c r="M86" s="283"/>
      <c r="N86" s="356"/>
      <c r="O86" s="283"/>
    </row>
    <row r="87" spans="1:15" s="190" customFormat="1" ht="15" hidden="1" customHeight="1" x14ac:dyDescent="0.25">
      <c r="A87" s="461">
        <v>44300</v>
      </c>
      <c r="B87" s="284" t="s">
        <v>390</v>
      </c>
      <c r="C87" s="283" t="s">
        <v>210</v>
      </c>
      <c r="D87" s="378" t="s">
        <v>121</v>
      </c>
      <c r="E87" s="398"/>
      <c r="F87" s="398">
        <v>40000</v>
      </c>
      <c r="G87" s="422">
        <f t="shared" si="1"/>
        <v>31736262.99927</v>
      </c>
      <c r="H87" s="282" t="s">
        <v>77</v>
      </c>
      <c r="I87" s="284" t="s">
        <v>303</v>
      </c>
      <c r="J87" s="347" t="s">
        <v>213</v>
      </c>
      <c r="K87" s="282" t="s">
        <v>214</v>
      </c>
      <c r="L87" s="282" t="s">
        <v>223</v>
      </c>
      <c r="M87" s="283"/>
      <c r="N87" s="438"/>
      <c r="O87" s="283"/>
    </row>
    <row r="88" spans="1:15" s="190" customFormat="1" ht="15" hidden="1" customHeight="1" x14ac:dyDescent="0.25">
      <c r="A88" s="461">
        <v>44300</v>
      </c>
      <c r="B88" s="284" t="s">
        <v>373</v>
      </c>
      <c r="C88" s="284" t="s">
        <v>72</v>
      </c>
      <c r="D88" s="284" t="s">
        <v>121</v>
      </c>
      <c r="E88" s="419"/>
      <c r="F88" s="398">
        <v>10000</v>
      </c>
      <c r="G88" s="422">
        <f t="shared" si="1"/>
        <v>31726262.99927</v>
      </c>
      <c r="H88" s="282" t="s">
        <v>77</v>
      </c>
      <c r="I88" s="282" t="s">
        <v>303</v>
      </c>
      <c r="J88" s="347" t="s">
        <v>156</v>
      </c>
      <c r="K88" s="282" t="s">
        <v>215</v>
      </c>
      <c r="L88" s="282" t="s">
        <v>223</v>
      </c>
      <c r="M88" s="286" t="s">
        <v>472</v>
      </c>
      <c r="N88" s="356" t="s">
        <v>230</v>
      </c>
      <c r="O88" s="283"/>
    </row>
    <row r="89" spans="1:15" s="190" customFormat="1" ht="15" hidden="1" customHeight="1" x14ac:dyDescent="0.25">
      <c r="A89" s="461">
        <v>44301</v>
      </c>
      <c r="B89" s="284" t="s">
        <v>311</v>
      </c>
      <c r="C89" s="284" t="s">
        <v>17</v>
      </c>
      <c r="D89" s="424" t="s">
        <v>21</v>
      </c>
      <c r="E89" s="419"/>
      <c r="F89" s="398">
        <v>24000</v>
      </c>
      <c r="G89" s="422">
        <f t="shared" si="1"/>
        <v>31702262.99927</v>
      </c>
      <c r="H89" s="284" t="s">
        <v>62</v>
      </c>
      <c r="I89" s="284" t="s">
        <v>303</v>
      </c>
      <c r="J89" s="286" t="s">
        <v>156</v>
      </c>
      <c r="K89" s="282" t="s">
        <v>215</v>
      </c>
      <c r="L89" s="282" t="s">
        <v>223</v>
      </c>
      <c r="M89" s="286" t="s">
        <v>473</v>
      </c>
      <c r="N89" s="356" t="s">
        <v>228</v>
      </c>
      <c r="O89" s="282"/>
    </row>
    <row r="90" spans="1:15" s="397" customFormat="1" ht="15" hidden="1" customHeight="1" x14ac:dyDescent="0.25">
      <c r="A90" s="461">
        <v>44301</v>
      </c>
      <c r="B90" s="284" t="s">
        <v>279</v>
      </c>
      <c r="C90" s="424" t="s">
        <v>74</v>
      </c>
      <c r="D90" s="424" t="s">
        <v>21</v>
      </c>
      <c r="E90" s="419"/>
      <c r="F90" s="398">
        <v>24450</v>
      </c>
      <c r="G90" s="422">
        <f t="shared" si="1"/>
        <v>31677812.99927</v>
      </c>
      <c r="H90" s="284" t="s">
        <v>62</v>
      </c>
      <c r="I90" s="284" t="s">
        <v>303</v>
      </c>
      <c r="J90" s="286" t="s">
        <v>213</v>
      </c>
      <c r="K90" s="282" t="s">
        <v>214</v>
      </c>
      <c r="L90" s="282" t="s">
        <v>223</v>
      </c>
      <c r="M90" s="283"/>
      <c r="N90" s="356"/>
      <c r="O90" s="283"/>
    </row>
    <row r="91" spans="1:15" s="190" customFormat="1" ht="15" hidden="1" customHeight="1" x14ac:dyDescent="0.25">
      <c r="A91" s="461">
        <v>44301</v>
      </c>
      <c r="B91" s="284" t="s">
        <v>280</v>
      </c>
      <c r="C91" s="284" t="s">
        <v>60</v>
      </c>
      <c r="D91" s="284" t="s">
        <v>121</v>
      </c>
      <c r="E91" s="419"/>
      <c r="F91" s="398">
        <v>45000</v>
      </c>
      <c r="G91" s="422">
        <f t="shared" si="1"/>
        <v>31632812.99927</v>
      </c>
      <c r="H91" s="284" t="s">
        <v>62</v>
      </c>
      <c r="I91" s="284" t="s">
        <v>303</v>
      </c>
      <c r="J91" s="286" t="s">
        <v>156</v>
      </c>
      <c r="K91" s="282" t="s">
        <v>215</v>
      </c>
      <c r="L91" s="282" t="s">
        <v>223</v>
      </c>
      <c r="M91" s="286" t="s">
        <v>474</v>
      </c>
      <c r="N91" s="356" t="s">
        <v>224</v>
      </c>
      <c r="O91" s="283"/>
    </row>
    <row r="92" spans="1:15" s="190" customFormat="1" ht="15" hidden="1" customHeight="1" x14ac:dyDescent="0.25">
      <c r="A92" s="461">
        <v>44301</v>
      </c>
      <c r="B92" s="284" t="s">
        <v>91</v>
      </c>
      <c r="C92" s="284" t="s">
        <v>120</v>
      </c>
      <c r="D92" s="284"/>
      <c r="E92" s="419"/>
      <c r="F92" s="398">
        <v>57000</v>
      </c>
      <c r="G92" s="422">
        <f t="shared" si="1"/>
        <v>31575812.99927</v>
      </c>
      <c r="H92" s="284" t="s">
        <v>62</v>
      </c>
      <c r="I92" s="284"/>
      <c r="J92" s="286"/>
      <c r="K92" s="282"/>
      <c r="L92" s="282"/>
      <c r="M92" s="283"/>
      <c r="N92" s="356"/>
      <c r="O92" s="283"/>
    </row>
    <row r="93" spans="1:15" s="190" customFormat="1" ht="15" hidden="1" customHeight="1" x14ac:dyDescent="0.25">
      <c r="A93" s="461">
        <v>44301</v>
      </c>
      <c r="B93" s="284" t="s">
        <v>281</v>
      </c>
      <c r="C93" s="424" t="s">
        <v>63</v>
      </c>
      <c r="D93" s="424" t="s">
        <v>21</v>
      </c>
      <c r="E93" s="419"/>
      <c r="F93" s="398">
        <v>1710</v>
      </c>
      <c r="G93" s="422">
        <f t="shared" si="1"/>
        <v>31574102.99927</v>
      </c>
      <c r="H93" s="284" t="s">
        <v>62</v>
      </c>
      <c r="I93" s="284" t="s">
        <v>303</v>
      </c>
      <c r="J93" s="346" t="s">
        <v>156</v>
      </c>
      <c r="K93" s="431" t="s">
        <v>215</v>
      </c>
      <c r="L93" s="282" t="s">
        <v>223</v>
      </c>
      <c r="M93" s="286" t="s">
        <v>475</v>
      </c>
      <c r="N93" s="356" t="s">
        <v>216</v>
      </c>
      <c r="O93" s="283"/>
    </row>
    <row r="94" spans="1:15" s="190" customFormat="1" ht="15" hidden="1" customHeight="1" x14ac:dyDescent="0.25">
      <c r="A94" s="461">
        <v>44301</v>
      </c>
      <c r="B94" s="284" t="s">
        <v>312</v>
      </c>
      <c r="C94" s="284" t="s">
        <v>17</v>
      </c>
      <c r="D94" s="424" t="s">
        <v>21</v>
      </c>
      <c r="E94" s="419"/>
      <c r="F94" s="398">
        <v>13500</v>
      </c>
      <c r="G94" s="422">
        <f t="shared" si="1"/>
        <v>31560602.99927</v>
      </c>
      <c r="H94" s="284" t="s">
        <v>62</v>
      </c>
      <c r="I94" s="284" t="s">
        <v>303</v>
      </c>
      <c r="J94" s="346" t="s">
        <v>213</v>
      </c>
      <c r="K94" s="282" t="s">
        <v>214</v>
      </c>
      <c r="L94" s="282" t="s">
        <v>223</v>
      </c>
      <c r="M94" s="283"/>
      <c r="N94" s="356"/>
      <c r="O94" s="283"/>
    </row>
    <row r="95" spans="1:15" s="190" customFormat="1" ht="15" hidden="1" customHeight="1" x14ac:dyDescent="0.25">
      <c r="A95" s="461">
        <v>44301</v>
      </c>
      <c r="B95" s="284" t="s">
        <v>142</v>
      </c>
      <c r="C95" s="284" t="s">
        <v>120</v>
      </c>
      <c r="D95" s="284"/>
      <c r="E95" s="419"/>
      <c r="F95" s="398">
        <v>10000</v>
      </c>
      <c r="G95" s="422">
        <f t="shared" si="1"/>
        <v>31550602.99927</v>
      </c>
      <c r="H95" s="284" t="s">
        <v>62</v>
      </c>
      <c r="I95" s="284"/>
      <c r="J95" s="346"/>
      <c r="K95" s="282"/>
      <c r="L95" s="282"/>
      <c r="M95" s="283"/>
      <c r="N95" s="356"/>
      <c r="O95" s="283"/>
    </row>
    <row r="96" spans="1:15" s="190" customFormat="1" ht="15" hidden="1" customHeight="1" x14ac:dyDescent="0.25">
      <c r="A96" s="461">
        <v>44301</v>
      </c>
      <c r="B96" s="282" t="s">
        <v>174</v>
      </c>
      <c r="C96" s="284" t="s">
        <v>120</v>
      </c>
      <c r="D96" s="282"/>
      <c r="E96" s="428">
        <v>57000</v>
      </c>
      <c r="F96" s="429"/>
      <c r="G96" s="422">
        <f t="shared" si="1"/>
        <v>31607602.99927</v>
      </c>
      <c r="H96" s="282" t="s">
        <v>91</v>
      </c>
      <c r="I96" s="282"/>
      <c r="J96" s="346"/>
      <c r="K96" s="282"/>
      <c r="L96" s="282"/>
      <c r="M96" s="283"/>
      <c r="N96" s="356"/>
      <c r="O96" s="283"/>
    </row>
    <row r="97" spans="1:15" s="190" customFormat="1" ht="15" hidden="1" customHeight="1" x14ac:dyDescent="0.25">
      <c r="A97" s="461">
        <v>44301</v>
      </c>
      <c r="B97" s="282" t="s">
        <v>550</v>
      </c>
      <c r="C97" s="282" t="s">
        <v>327</v>
      </c>
      <c r="D97" s="430" t="s">
        <v>19</v>
      </c>
      <c r="E97" s="429"/>
      <c r="F97" s="429">
        <v>45000</v>
      </c>
      <c r="G97" s="422">
        <f t="shared" si="1"/>
        <v>31562602.99927</v>
      </c>
      <c r="H97" s="282" t="s">
        <v>91</v>
      </c>
      <c r="I97" s="282" t="s">
        <v>303</v>
      </c>
      <c r="J97" s="346" t="s">
        <v>156</v>
      </c>
      <c r="K97" s="282" t="s">
        <v>215</v>
      </c>
      <c r="L97" s="282" t="s">
        <v>223</v>
      </c>
      <c r="M97" s="286" t="s">
        <v>476</v>
      </c>
      <c r="N97" s="356" t="s">
        <v>231</v>
      </c>
      <c r="O97" s="283"/>
    </row>
    <row r="98" spans="1:15" s="190" customFormat="1" ht="15" hidden="1" customHeight="1" x14ac:dyDescent="0.25">
      <c r="A98" s="461">
        <v>44301</v>
      </c>
      <c r="B98" s="282" t="s">
        <v>331</v>
      </c>
      <c r="C98" s="284" t="s">
        <v>73</v>
      </c>
      <c r="D98" s="424" t="s">
        <v>121</v>
      </c>
      <c r="E98" s="428"/>
      <c r="F98" s="429">
        <v>15000</v>
      </c>
      <c r="G98" s="422">
        <f t="shared" si="1"/>
        <v>31547602.99927</v>
      </c>
      <c r="H98" s="282" t="s">
        <v>91</v>
      </c>
      <c r="I98" s="282" t="s">
        <v>134</v>
      </c>
      <c r="J98" s="347" t="s">
        <v>213</v>
      </c>
      <c r="K98" s="282" t="s">
        <v>214</v>
      </c>
      <c r="L98" s="282" t="s">
        <v>223</v>
      </c>
      <c r="M98" s="283"/>
      <c r="N98" s="356"/>
      <c r="O98" s="286"/>
    </row>
    <row r="99" spans="1:15" s="190" customFormat="1" ht="15" hidden="1" customHeight="1" x14ac:dyDescent="0.25">
      <c r="A99" s="461">
        <v>44301</v>
      </c>
      <c r="B99" s="282" t="s">
        <v>337</v>
      </c>
      <c r="C99" s="282" t="s">
        <v>72</v>
      </c>
      <c r="D99" s="284" t="s">
        <v>31</v>
      </c>
      <c r="E99" s="428"/>
      <c r="F99" s="429">
        <v>12000</v>
      </c>
      <c r="G99" s="422">
        <f t="shared" si="1"/>
        <v>31535602.99927</v>
      </c>
      <c r="H99" s="283" t="s">
        <v>68</v>
      </c>
      <c r="I99" s="282" t="s">
        <v>134</v>
      </c>
      <c r="J99" s="347" t="s">
        <v>213</v>
      </c>
      <c r="K99" s="282" t="s">
        <v>214</v>
      </c>
      <c r="L99" s="282" t="s">
        <v>223</v>
      </c>
      <c r="M99" s="283"/>
      <c r="N99" s="356"/>
      <c r="O99" s="283"/>
    </row>
    <row r="100" spans="1:15" s="190" customFormat="1" ht="15" hidden="1" customHeight="1" x14ac:dyDescent="0.25">
      <c r="A100" s="461">
        <v>44301</v>
      </c>
      <c r="B100" s="282" t="s">
        <v>345</v>
      </c>
      <c r="C100" s="284" t="s">
        <v>120</v>
      </c>
      <c r="D100" s="433"/>
      <c r="E100" s="428">
        <v>169000</v>
      </c>
      <c r="F100" s="429"/>
      <c r="G100" s="422">
        <f t="shared" si="1"/>
        <v>31704602.99927</v>
      </c>
      <c r="H100" s="283" t="s">
        <v>68</v>
      </c>
      <c r="I100" s="282"/>
      <c r="J100" s="286"/>
      <c r="K100" s="282"/>
      <c r="L100" s="282"/>
      <c r="M100" s="283"/>
      <c r="N100" s="356"/>
      <c r="O100" s="283"/>
    </row>
    <row r="101" spans="1:15" s="190" customFormat="1" ht="15" hidden="1" customHeight="1" x14ac:dyDescent="0.25">
      <c r="A101" s="461">
        <v>44301</v>
      </c>
      <c r="B101" s="284" t="s">
        <v>232</v>
      </c>
      <c r="C101" s="284" t="s">
        <v>120</v>
      </c>
      <c r="D101" s="284"/>
      <c r="E101" s="398">
        <v>10000</v>
      </c>
      <c r="F101" s="398"/>
      <c r="G101" s="422">
        <f t="shared" si="1"/>
        <v>31714602.99927</v>
      </c>
      <c r="H101" s="283" t="s">
        <v>142</v>
      </c>
      <c r="I101" s="286"/>
      <c r="J101" s="346"/>
      <c r="K101" s="282"/>
      <c r="L101" s="282"/>
      <c r="M101" s="283"/>
      <c r="N101" s="356"/>
      <c r="O101" s="283"/>
    </row>
    <row r="102" spans="1:15" s="190" customFormat="1" ht="15" hidden="1" customHeight="1" x14ac:dyDescent="0.25">
      <c r="A102" s="461">
        <v>44301</v>
      </c>
      <c r="B102" s="284" t="s">
        <v>560</v>
      </c>
      <c r="C102" s="284" t="s">
        <v>155</v>
      </c>
      <c r="D102" s="284" t="s">
        <v>121</v>
      </c>
      <c r="E102" s="419"/>
      <c r="F102" s="398">
        <v>30000</v>
      </c>
      <c r="G102" s="422">
        <f t="shared" si="1"/>
        <v>31684602.99927</v>
      </c>
      <c r="H102" s="282" t="s">
        <v>77</v>
      </c>
      <c r="I102" s="282" t="s">
        <v>303</v>
      </c>
      <c r="J102" s="348" t="s">
        <v>156</v>
      </c>
      <c r="K102" s="434" t="s">
        <v>215</v>
      </c>
      <c r="L102" s="282" t="s">
        <v>223</v>
      </c>
      <c r="M102" s="286" t="s">
        <v>477</v>
      </c>
      <c r="N102" s="435" t="s">
        <v>231</v>
      </c>
      <c r="O102" s="283"/>
    </row>
    <row r="103" spans="1:15" s="190" customFormat="1" ht="15" hidden="1" customHeight="1" x14ac:dyDescent="0.25">
      <c r="A103" s="461">
        <v>44301</v>
      </c>
      <c r="B103" s="284" t="s">
        <v>561</v>
      </c>
      <c r="C103" s="284" t="s">
        <v>155</v>
      </c>
      <c r="D103" s="284" t="s">
        <v>121</v>
      </c>
      <c r="E103" s="419"/>
      <c r="F103" s="398">
        <v>15000</v>
      </c>
      <c r="G103" s="422">
        <f t="shared" si="1"/>
        <v>31669602.99927</v>
      </c>
      <c r="H103" s="282" t="s">
        <v>77</v>
      </c>
      <c r="I103" s="284" t="s">
        <v>303</v>
      </c>
      <c r="J103" s="346" t="s">
        <v>156</v>
      </c>
      <c r="K103" s="282" t="s">
        <v>215</v>
      </c>
      <c r="L103" s="282" t="s">
        <v>223</v>
      </c>
      <c r="M103" s="286" t="s">
        <v>478</v>
      </c>
      <c r="N103" s="356" t="s">
        <v>231</v>
      </c>
      <c r="O103" s="283"/>
    </row>
    <row r="104" spans="1:15" s="190" customFormat="1" ht="15" hidden="1" customHeight="1" x14ac:dyDescent="0.25">
      <c r="A104" s="461">
        <v>44302</v>
      </c>
      <c r="B104" s="284" t="s">
        <v>91</v>
      </c>
      <c r="C104" s="284" t="s">
        <v>120</v>
      </c>
      <c r="D104" s="284"/>
      <c r="E104" s="419"/>
      <c r="F104" s="398">
        <v>30000</v>
      </c>
      <c r="G104" s="422">
        <f t="shared" si="1"/>
        <v>31639602.99927</v>
      </c>
      <c r="H104" s="284" t="s">
        <v>62</v>
      </c>
      <c r="I104" s="284"/>
      <c r="J104" s="346"/>
      <c r="K104" s="282"/>
      <c r="L104" s="282"/>
      <c r="M104" s="283"/>
      <c r="N104" s="356"/>
      <c r="O104" s="283"/>
    </row>
    <row r="105" spans="1:15" s="190" customFormat="1" ht="15" hidden="1" customHeight="1" x14ac:dyDescent="0.25">
      <c r="A105" s="461">
        <v>44302</v>
      </c>
      <c r="B105" s="284" t="s">
        <v>281</v>
      </c>
      <c r="C105" s="424" t="s">
        <v>63</v>
      </c>
      <c r="D105" s="424" t="s">
        <v>21</v>
      </c>
      <c r="E105" s="419"/>
      <c r="F105" s="398">
        <v>900</v>
      </c>
      <c r="G105" s="422">
        <f t="shared" si="1"/>
        <v>31638702.99927</v>
      </c>
      <c r="H105" s="284" t="s">
        <v>62</v>
      </c>
      <c r="I105" s="284" t="s">
        <v>303</v>
      </c>
      <c r="J105" s="346" t="s">
        <v>156</v>
      </c>
      <c r="K105" s="431" t="s">
        <v>215</v>
      </c>
      <c r="L105" s="282" t="s">
        <v>223</v>
      </c>
      <c r="M105" s="286" t="s">
        <v>479</v>
      </c>
      <c r="N105" s="356" t="s">
        <v>216</v>
      </c>
      <c r="O105" s="283"/>
    </row>
    <row r="106" spans="1:15" s="190" customFormat="1" ht="15" hidden="1" customHeight="1" x14ac:dyDescent="0.25">
      <c r="A106" s="461">
        <v>44302</v>
      </c>
      <c r="B106" s="284" t="s">
        <v>282</v>
      </c>
      <c r="C106" s="284" t="s">
        <v>26</v>
      </c>
      <c r="D106" s="284" t="s">
        <v>61</v>
      </c>
      <c r="E106" s="419"/>
      <c r="F106" s="398">
        <v>20000</v>
      </c>
      <c r="G106" s="422">
        <f t="shared" si="1"/>
        <v>31618702.99927</v>
      </c>
      <c r="H106" s="284" t="s">
        <v>62</v>
      </c>
      <c r="I106" s="284" t="s">
        <v>134</v>
      </c>
      <c r="J106" s="346" t="s">
        <v>213</v>
      </c>
      <c r="K106" s="282" t="s">
        <v>214</v>
      </c>
      <c r="L106" s="282" t="s">
        <v>223</v>
      </c>
      <c r="M106" s="283"/>
      <c r="N106" s="356"/>
      <c r="O106" s="283"/>
    </row>
    <row r="107" spans="1:15" s="190" customFormat="1" ht="15" hidden="1" customHeight="1" x14ac:dyDescent="0.25">
      <c r="A107" s="461">
        <v>44302</v>
      </c>
      <c r="B107" s="284" t="s">
        <v>283</v>
      </c>
      <c r="C107" s="284" t="s">
        <v>26</v>
      </c>
      <c r="D107" s="284" t="s">
        <v>121</v>
      </c>
      <c r="E107" s="419"/>
      <c r="F107" s="398">
        <v>5000</v>
      </c>
      <c r="G107" s="422">
        <f t="shared" si="1"/>
        <v>31613702.99927</v>
      </c>
      <c r="H107" s="284" t="s">
        <v>62</v>
      </c>
      <c r="I107" s="284" t="s">
        <v>134</v>
      </c>
      <c r="J107" s="346" t="s">
        <v>213</v>
      </c>
      <c r="K107" s="282" t="s">
        <v>214</v>
      </c>
      <c r="L107" s="282" t="s">
        <v>223</v>
      </c>
      <c r="M107" s="286"/>
      <c r="N107" s="356"/>
      <c r="O107" s="283"/>
    </row>
    <row r="108" spans="1:15" s="190" customFormat="1" ht="15" hidden="1" customHeight="1" x14ac:dyDescent="0.25">
      <c r="A108" s="461">
        <v>44302</v>
      </c>
      <c r="B108" s="284" t="s">
        <v>275</v>
      </c>
      <c r="C108" s="284" t="s">
        <v>120</v>
      </c>
      <c r="D108" s="284"/>
      <c r="E108" s="419"/>
      <c r="F108" s="419">
        <v>214000</v>
      </c>
      <c r="G108" s="422">
        <f t="shared" si="1"/>
        <v>31399702.99927</v>
      </c>
      <c r="H108" s="284" t="s">
        <v>62</v>
      </c>
      <c r="I108" s="284"/>
      <c r="J108" s="346"/>
      <c r="K108" s="282"/>
      <c r="L108" s="282"/>
      <c r="M108" s="283"/>
      <c r="N108" s="356"/>
      <c r="O108" s="282"/>
    </row>
    <row r="109" spans="1:15" s="190" customFormat="1" ht="15" hidden="1" customHeight="1" x14ac:dyDescent="0.25">
      <c r="A109" s="461">
        <v>44302</v>
      </c>
      <c r="B109" s="284" t="s">
        <v>284</v>
      </c>
      <c r="C109" s="424" t="s">
        <v>63</v>
      </c>
      <c r="D109" s="424" t="s">
        <v>21</v>
      </c>
      <c r="E109" s="398"/>
      <c r="F109" s="398">
        <v>6420</v>
      </c>
      <c r="G109" s="422">
        <f t="shared" si="1"/>
        <v>31393282.99927</v>
      </c>
      <c r="H109" s="284" t="s">
        <v>62</v>
      </c>
      <c r="I109" s="284" t="s">
        <v>303</v>
      </c>
      <c r="J109" s="346" t="s">
        <v>156</v>
      </c>
      <c r="K109" s="431" t="s">
        <v>215</v>
      </c>
      <c r="L109" s="282" t="s">
        <v>223</v>
      </c>
      <c r="M109" s="286" t="s">
        <v>480</v>
      </c>
      <c r="N109" s="356" t="s">
        <v>216</v>
      </c>
      <c r="O109" s="283"/>
    </row>
    <row r="110" spans="1:15" s="190" customFormat="1" ht="15" hidden="1" customHeight="1" x14ac:dyDescent="0.25">
      <c r="A110" s="461">
        <v>44302</v>
      </c>
      <c r="B110" s="282" t="s">
        <v>174</v>
      </c>
      <c r="C110" s="284" t="s">
        <v>120</v>
      </c>
      <c r="D110" s="282"/>
      <c r="E110" s="429">
        <v>30000</v>
      </c>
      <c r="F110" s="429"/>
      <c r="G110" s="422">
        <f t="shared" si="1"/>
        <v>31423282.99927</v>
      </c>
      <c r="H110" s="282" t="s">
        <v>91</v>
      </c>
      <c r="I110" s="282"/>
      <c r="J110" s="349"/>
      <c r="K110" s="282"/>
      <c r="L110" s="282"/>
      <c r="M110" s="283"/>
      <c r="N110" s="356"/>
      <c r="O110" s="282"/>
    </row>
    <row r="111" spans="1:15" s="190" customFormat="1" ht="15" hidden="1" customHeight="1" x14ac:dyDescent="0.25">
      <c r="A111" s="461">
        <v>44302</v>
      </c>
      <c r="B111" s="282" t="s">
        <v>328</v>
      </c>
      <c r="C111" s="282" t="s">
        <v>72</v>
      </c>
      <c r="D111" s="282" t="s">
        <v>19</v>
      </c>
      <c r="E111" s="429"/>
      <c r="F111" s="429">
        <v>5000</v>
      </c>
      <c r="G111" s="422">
        <f t="shared" si="1"/>
        <v>31418282.99927</v>
      </c>
      <c r="H111" s="282" t="s">
        <v>91</v>
      </c>
      <c r="I111" s="282" t="s">
        <v>303</v>
      </c>
      <c r="J111" s="346" t="s">
        <v>156</v>
      </c>
      <c r="K111" s="282" t="s">
        <v>215</v>
      </c>
      <c r="L111" s="282" t="s">
        <v>223</v>
      </c>
      <c r="M111" s="286" t="s">
        <v>481</v>
      </c>
      <c r="N111" s="356" t="s">
        <v>230</v>
      </c>
      <c r="O111" s="283"/>
    </row>
    <row r="112" spans="1:15" s="190" customFormat="1" ht="15" hidden="1" customHeight="1" x14ac:dyDescent="0.25">
      <c r="A112" s="461">
        <v>44302</v>
      </c>
      <c r="B112" s="282" t="s">
        <v>329</v>
      </c>
      <c r="C112" s="282" t="s">
        <v>72</v>
      </c>
      <c r="D112" s="282" t="s">
        <v>19</v>
      </c>
      <c r="E112" s="429"/>
      <c r="F112" s="429">
        <v>8000</v>
      </c>
      <c r="G112" s="422">
        <f t="shared" si="1"/>
        <v>31410282.99927</v>
      </c>
      <c r="H112" s="282" t="s">
        <v>91</v>
      </c>
      <c r="I112" s="282" t="s">
        <v>303</v>
      </c>
      <c r="J112" s="346" t="s">
        <v>156</v>
      </c>
      <c r="K112" s="282" t="s">
        <v>215</v>
      </c>
      <c r="L112" s="282" t="s">
        <v>223</v>
      </c>
      <c r="M112" s="286" t="s">
        <v>482</v>
      </c>
      <c r="N112" s="356" t="s">
        <v>230</v>
      </c>
      <c r="O112" s="283"/>
    </row>
    <row r="113" spans="1:66" s="190" customFormat="1" ht="15" hidden="1" customHeight="1" x14ac:dyDescent="0.25">
      <c r="A113" s="461">
        <v>44302</v>
      </c>
      <c r="B113" s="282" t="s">
        <v>563</v>
      </c>
      <c r="C113" s="282" t="s">
        <v>327</v>
      </c>
      <c r="D113" s="284" t="s">
        <v>31</v>
      </c>
      <c r="E113" s="429"/>
      <c r="F113" s="429">
        <v>60000</v>
      </c>
      <c r="G113" s="422">
        <f t="shared" si="1"/>
        <v>31350282.99927</v>
      </c>
      <c r="H113" s="283" t="s">
        <v>68</v>
      </c>
      <c r="I113" s="282" t="s">
        <v>75</v>
      </c>
      <c r="J113" s="346" t="s">
        <v>156</v>
      </c>
      <c r="K113" s="282" t="s">
        <v>215</v>
      </c>
      <c r="L113" s="282" t="s">
        <v>223</v>
      </c>
      <c r="M113" s="286" t="s">
        <v>483</v>
      </c>
      <c r="N113" s="356" t="s">
        <v>231</v>
      </c>
      <c r="O113" s="283"/>
    </row>
    <row r="114" spans="1:66" s="190" customFormat="1" ht="15" hidden="1" customHeight="1" x14ac:dyDescent="0.25">
      <c r="A114" s="461">
        <v>44302</v>
      </c>
      <c r="B114" s="282" t="s">
        <v>338</v>
      </c>
      <c r="C114" s="282" t="s">
        <v>72</v>
      </c>
      <c r="D114" s="284" t="s">
        <v>31</v>
      </c>
      <c r="E114" s="429"/>
      <c r="F114" s="429">
        <v>8000</v>
      </c>
      <c r="G114" s="422">
        <f t="shared" si="1"/>
        <v>31342282.99927</v>
      </c>
      <c r="H114" s="283" t="s">
        <v>68</v>
      </c>
      <c r="I114" s="282" t="s">
        <v>75</v>
      </c>
      <c r="J114" s="347" t="s">
        <v>213</v>
      </c>
      <c r="K114" s="282" t="s">
        <v>214</v>
      </c>
      <c r="L114" s="282" t="s">
        <v>223</v>
      </c>
      <c r="M114" s="286"/>
      <c r="N114" s="356"/>
      <c r="O114" s="283"/>
    </row>
    <row r="115" spans="1:66" s="190" customFormat="1" ht="15" hidden="1" customHeight="1" x14ac:dyDescent="0.25">
      <c r="A115" s="461">
        <v>44302</v>
      </c>
      <c r="B115" s="284" t="s">
        <v>374</v>
      </c>
      <c r="C115" s="284" t="s">
        <v>72</v>
      </c>
      <c r="D115" s="284" t="s">
        <v>121</v>
      </c>
      <c r="E115" s="398"/>
      <c r="F115" s="398">
        <v>5000</v>
      </c>
      <c r="G115" s="422">
        <f t="shared" si="1"/>
        <v>31337282.99927</v>
      </c>
      <c r="H115" s="282" t="s">
        <v>77</v>
      </c>
      <c r="I115" s="284" t="s">
        <v>134</v>
      </c>
      <c r="J115" s="347" t="s">
        <v>213</v>
      </c>
      <c r="K115" s="282" t="s">
        <v>214</v>
      </c>
      <c r="L115" s="282" t="s">
        <v>223</v>
      </c>
      <c r="M115" s="286"/>
      <c r="N115" s="286"/>
      <c r="O115" s="283"/>
    </row>
    <row r="116" spans="1:66" s="190" customFormat="1" ht="15" hidden="1" customHeight="1" x14ac:dyDescent="0.25">
      <c r="A116" s="461">
        <v>44303</v>
      </c>
      <c r="B116" s="282" t="s">
        <v>551</v>
      </c>
      <c r="C116" s="282" t="s">
        <v>327</v>
      </c>
      <c r="D116" s="282" t="s">
        <v>19</v>
      </c>
      <c r="E116" s="429"/>
      <c r="F116" s="429">
        <v>15000</v>
      </c>
      <c r="G116" s="422">
        <f t="shared" si="1"/>
        <v>31322282.99927</v>
      </c>
      <c r="H116" s="282" t="s">
        <v>91</v>
      </c>
      <c r="I116" s="282" t="s">
        <v>303</v>
      </c>
      <c r="J116" s="348" t="s">
        <v>156</v>
      </c>
      <c r="K116" s="434" t="s">
        <v>215</v>
      </c>
      <c r="L116" s="282" t="s">
        <v>223</v>
      </c>
      <c r="M116" s="286" t="s">
        <v>484</v>
      </c>
      <c r="N116" s="435" t="s">
        <v>231</v>
      </c>
      <c r="O116" s="283"/>
    </row>
    <row r="117" spans="1:66" s="190" customFormat="1" ht="15" hidden="1" customHeight="1" x14ac:dyDescent="0.25">
      <c r="A117" s="461">
        <v>44303</v>
      </c>
      <c r="B117" s="282" t="s">
        <v>353</v>
      </c>
      <c r="C117" s="282" t="s">
        <v>72</v>
      </c>
      <c r="D117" s="284" t="s">
        <v>31</v>
      </c>
      <c r="E117" s="429"/>
      <c r="F117" s="429">
        <v>10000</v>
      </c>
      <c r="G117" s="422">
        <f t="shared" si="1"/>
        <v>31312282.99927</v>
      </c>
      <c r="H117" s="282" t="s">
        <v>67</v>
      </c>
      <c r="I117" s="282" t="s">
        <v>303</v>
      </c>
      <c r="J117" s="347" t="s">
        <v>213</v>
      </c>
      <c r="K117" s="282" t="s">
        <v>214</v>
      </c>
      <c r="L117" s="282" t="s">
        <v>223</v>
      </c>
      <c r="M117" s="283"/>
      <c r="N117" s="356"/>
      <c r="O117" s="283"/>
    </row>
    <row r="118" spans="1:66" s="190" customFormat="1" ht="15" hidden="1" customHeight="1" x14ac:dyDescent="0.25">
      <c r="A118" s="461">
        <v>44303</v>
      </c>
      <c r="B118" s="282" t="s">
        <v>562</v>
      </c>
      <c r="C118" s="282" t="s">
        <v>327</v>
      </c>
      <c r="D118" s="425" t="s">
        <v>31</v>
      </c>
      <c r="E118" s="429"/>
      <c r="F118" s="429">
        <v>60000</v>
      </c>
      <c r="G118" s="422">
        <f t="shared" si="1"/>
        <v>31252282.99927</v>
      </c>
      <c r="H118" s="282" t="s">
        <v>67</v>
      </c>
      <c r="I118" s="282" t="s">
        <v>303</v>
      </c>
      <c r="J118" s="346" t="s">
        <v>156</v>
      </c>
      <c r="K118" s="282" t="s">
        <v>215</v>
      </c>
      <c r="L118" s="282" t="s">
        <v>223</v>
      </c>
      <c r="M118" s="286" t="s">
        <v>485</v>
      </c>
      <c r="N118" s="356" t="s">
        <v>231</v>
      </c>
      <c r="O118" s="283"/>
    </row>
    <row r="119" spans="1:66" s="190" customFormat="1" ht="15" hidden="1" customHeight="1" x14ac:dyDescent="0.25">
      <c r="A119" s="461">
        <v>44303</v>
      </c>
      <c r="B119" s="284" t="s">
        <v>369</v>
      </c>
      <c r="C119" s="284" t="s">
        <v>120</v>
      </c>
      <c r="D119" s="284"/>
      <c r="E119" s="398">
        <v>214000</v>
      </c>
      <c r="F119" s="398"/>
      <c r="G119" s="422">
        <f t="shared" si="1"/>
        <v>31466282.99927</v>
      </c>
      <c r="H119" s="282" t="s">
        <v>77</v>
      </c>
      <c r="I119" s="284"/>
      <c r="J119" s="346"/>
      <c r="K119" s="282"/>
      <c r="L119" s="282"/>
      <c r="M119" s="283"/>
      <c r="N119" s="356"/>
      <c r="O119" s="283"/>
    </row>
    <row r="120" spans="1:66" s="190" customFormat="1" ht="15" hidden="1" customHeight="1" x14ac:dyDescent="0.25">
      <c r="A120" s="461">
        <v>44305</v>
      </c>
      <c r="B120" s="284" t="s">
        <v>252</v>
      </c>
      <c r="C120" s="284" t="s">
        <v>120</v>
      </c>
      <c r="D120" s="378"/>
      <c r="E120" s="439"/>
      <c r="F120" s="398">
        <v>1000000</v>
      </c>
      <c r="G120" s="422">
        <f t="shared" si="1"/>
        <v>30466282.99927</v>
      </c>
      <c r="H120" s="282" t="s">
        <v>58</v>
      </c>
      <c r="I120" s="286">
        <v>3654440</v>
      </c>
      <c r="J120" s="286"/>
      <c r="K120" s="282"/>
      <c r="L120" s="282"/>
      <c r="M120" s="286"/>
      <c r="N120" s="356"/>
      <c r="O120" s="283"/>
    </row>
    <row r="121" spans="1:66" s="190" customFormat="1" ht="15" customHeight="1" x14ac:dyDescent="0.25">
      <c r="A121" s="461">
        <v>44305</v>
      </c>
      <c r="B121" s="443" t="s">
        <v>256</v>
      </c>
      <c r="C121" s="284" t="s">
        <v>60</v>
      </c>
      <c r="D121" s="444" t="s">
        <v>121</v>
      </c>
      <c r="E121" s="429"/>
      <c r="F121" s="398">
        <v>200000</v>
      </c>
      <c r="G121" s="422">
        <f t="shared" si="1"/>
        <v>30266282.99927</v>
      </c>
      <c r="H121" s="282" t="s">
        <v>59</v>
      </c>
      <c r="I121" s="286">
        <v>3643442</v>
      </c>
      <c r="J121" s="286" t="s">
        <v>156</v>
      </c>
      <c r="K121" s="282" t="s">
        <v>215</v>
      </c>
      <c r="L121" s="282" t="s">
        <v>223</v>
      </c>
      <c r="M121" s="286" t="s">
        <v>486</v>
      </c>
      <c r="N121" s="356" t="s">
        <v>224</v>
      </c>
      <c r="O121" s="283"/>
    </row>
    <row r="122" spans="1:66" s="190" customFormat="1" ht="15" hidden="1" customHeight="1" x14ac:dyDescent="0.25">
      <c r="A122" s="461">
        <v>44305</v>
      </c>
      <c r="B122" s="284" t="s">
        <v>576</v>
      </c>
      <c r="C122" s="424" t="s">
        <v>247</v>
      </c>
      <c r="D122" s="426" t="s">
        <v>21</v>
      </c>
      <c r="E122" s="398"/>
      <c r="F122" s="398">
        <v>75000</v>
      </c>
      <c r="G122" s="422">
        <f t="shared" si="1"/>
        <v>30191282.99927</v>
      </c>
      <c r="H122" s="284" t="s">
        <v>62</v>
      </c>
      <c r="I122" s="284" t="s">
        <v>578</v>
      </c>
      <c r="J122" s="286" t="s">
        <v>156</v>
      </c>
      <c r="K122" s="282" t="s">
        <v>215</v>
      </c>
      <c r="L122" s="282" t="s">
        <v>223</v>
      </c>
      <c r="M122" s="286" t="s">
        <v>487</v>
      </c>
      <c r="N122" s="356" t="s">
        <v>447</v>
      </c>
      <c r="O122" s="282"/>
    </row>
    <row r="123" spans="1:66" s="190" customFormat="1" ht="15" hidden="1" customHeight="1" x14ac:dyDescent="0.25">
      <c r="A123" s="461">
        <v>44305</v>
      </c>
      <c r="B123" s="284" t="s">
        <v>577</v>
      </c>
      <c r="C123" s="424" t="s">
        <v>247</v>
      </c>
      <c r="D123" s="426" t="s">
        <v>21</v>
      </c>
      <c r="E123" s="398"/>
      <c r="F123" s="398">
        <v>80000</v>
      </c>
      <c r="G123" s="422">
        <f t="shared" si="1"/>
        <v>30111282.99927</v>
      </c>
      <c r="H123" s="284" t="s">
        <v>62</v>
      </c>
      <c r="I123" s="284" t="s">
        <v>579</v>
      </c>
      <c r="J123" s="286" t="s">
        <v>213</v>
      </c>
      <c r="K123" s="282" t="s">
        <v>214</v>
      </c>
      <c r="L123" s="282" t="s">
        <v>223</v>
      </c>
      <c r="M123" s="286"/>
      <c r="N123" s="356"/>
      <c r="O123" s="283"/>
    </row>
    <row r="124" spans="1:66" s="190" customFormat="1" ht="15" hidden="1" customHeight="1" x14ac:dyDescent="0.25">
      <c r="A124" s="461">
        <v>44305</v>
      </c>
      <c r="B124" s="284" t="s">
        <v>287</v>
      </c>
      <c r="C124" s="284" t="s">
        <v>26</v>
      </c>
      <c r="D124" s="378" t="s">
        <v>121</v>
      </c>
      <c r="E124" s="398"/>
      <c r="F124" s="398">
        <v>45000</v>
      </c>
      <c r="G124" s="422">
        <f t="shared" si="1"/>
        <v>30066282.99927</v>
      </c>
      <c r="H124" s="284" t="s">
        <v>62</v>
      </c>
      <c r="I124" s="284" t="s">
        <v>134</v>
      </c>
      <c r="J124" s="346" t="s">
        <v>213</v>
      </c>
      <c r="K124" s="282" t="s">
        <v>214</v>
      </c>
      <c r="L124" s="282" t="s">
        <v>223</v>
      </c>
      <c r="M124" s="283"/>
      <c r="N124" s="356"/>
      <c r="O124" s="283"/>
    </row>
    <row r="125" spans="1:66" s="497" customFormat="1" ht="15" hidden="1" customHeight="1" x14ac:dyDescent="0.25">
      <c r="A125" s="461">
        <v>44305</v>
      </c>
      <c r="B125" s="284" t="s">
        <v>310</v>
      </c>
      <c r="C125" s="284" t="s">
        <v>17</v>
      </c>
      <c r="D125" s="424" t="s">
        <v>21</v>
      </c>
      <c r="E125" s="398"/>
      <c r="F125" s="398">
        <v>12750</v>
      </c>
      <c r="G125" s="422">
        <f t="shared" si="1"/>
        <v>30053532.99927</v>
      </c>
      <c r="H125" s="284" t="s">
        <v>62</v>
      </c>
      <c r="I125" s="284" t="s">
        <v>303</v>
      </c>
      <c r="J125" s="286" t="s">
        <v>156</v>
      </c>
      <c r="K125" s="431" t="s">
        <v>215</v>
      </c>
      <c r="L125" s="282" t="s">
        <v>223</v>
      </c>
      <c r="M125" s="286" t="s">
        <v>488</v>
      </c>
      <c r="N125" s="356" t="s">
        <v>228</v>
      </c>
      <c r="O125" s="283"/>
      <c r="P125" s="190"/>
      <c r="Q125" s="190"/>
      <c r="R125" s="190"/>
      <c r="S125" s="190"/>
      <c r="T125" s="190"/>
      <c r="U125" s="190"/>
      <c r="V125" s="190"/>
      <c r="W125" s="190"/>
      <c r="X125" s="190"/>
      <c r="Y125" s="190"/>
      <c r="Z125" s="190"/>
      <c r="AA125" s="190"/>
      <c r="AB125" s="190"/>
      <c r="AC125" s="190"/>
      <c r="AD125" s="190"/>
      <c r="AE125" s="190"/>
      <c r="AF125" s="190"/>
      <c r="AG125" s="190"/>
      <c r="AH125" s="190"/>
      <c r="AI125" s="190"/>
      <c r="AJ125" s="190"/>
      <c r="AK125" s="190"/>
      <c r="AL125" s="190"/>
      <c r="AM125" s="190"/>
      <c r="AN125" s="190"/>
      <c r="AO125" s="190"/>
      <c r="AP125" s="190"/>
      <c r="AQ125" s="190"/>
      <c r="AR125" s="190"/>
      <c r="AS125" s="190"/>
      <c r="AT125" s="190"/>
      <c r="AU125" s="190"/>
      <c r="AV125" s="190"/>
      <c r="AW125" s="190"/>
      <c r="AX125" s="190"/>
      <c r="AY125" s="190"/>
      <c r="AZ125" s="190"/>
      <c r="BA125" s="190"/>
      <c r="BB125" s="190"/>
      <c r="BC125" s="190"/>
      <c r="BD125" s="190"/>
      <c r="BE125" s="190"/>
      <c r="BF125" s="190"/>
      <c r="BG125" s="190"/>
      <c r="BH125" s="190"/>
      <c r="BI125" s="190"/>
      <c r="BJ125" s="190"/>
      <c r="BK125" s="190"/>
      <c r="BL125" s="190"/>
      <c r="BM125" s="190"/>
      <c r="BN125" s="190"/>
    </row>
    <row r="126" spans="1:66" s="190" customFormat="1" ht="15" hidden="1" customHeight="1" x14ac:dyDescent="0.25">
      <c r="A126" s="461">
        <v>44305</v>
      </c>
      <c r="B126" s="282" t="s">
        <v>565</v>
      </c>
      <c r="C126" s="282" t="s">
        <v>327</v>
      </c>
      <c r="D126" s="284" t="s">
        <v>31</v>
      </c>
      <c r="E126" s="429"/>
      <c r="F126" s="429">
        <v>45000</v>
      </c>
      <c r="G126" s="422">
        <f t="shared" si="1"/>
        <v>30008532.99927</v>
      </c>
      <c r="H126" s="283" t="s">
        <v>68</v>
      </c>
      <c r="I126" s="282" t="s">
        <v>75</v>
      </c>
      <c r="J126" s="346" t="s">
        <v>156</v>
      </c>
      <c r="K126" s="282" t="s">
        <v>215</v>
      </c>
      <c r="L126" s="282" t="s">
        <v>223</v>
      </c>
      <c r="M126" s="286" t="s">
        <v>489</v>
      </c>
      <c r="N126" s="356" t="s">
        <v>231</v>
      </c>
      <c r="O126" s="283"/>
    </row>
    <row r="127" spans="1:66" s="190" customFormat="1" ht="15" hidden="1" customHeight="1" x14ac:dyDescent="0.25">
      <c r="A127" s="461">
        <v>44305</v>
      </c>
      <c r="B127" s="282" t="s">
        <v>339</v>
      </c>
      <c r="C127" s="282" t="s">
        <v>72</v>
      </c>
      <c r="D127" s="284" t="s">
        <v>31</v>
      </c>
      <c r="E127" s="429"/>
      <c r="F127" s="429">
        <v>8000</v>
      </c>
      <c r="G127" s="422">
        <f t="shared" si="1"/>
        <v>30000532.99927</v>
      </c>
      <c r="H127" s="283" t="s">
        <v>68</v>
      </c>
      <c r="I127" s="282" t="s">
        <v>75</v>
      </c>
      <c r="J127" s="346" t="s">
        <v>156</v>
      </c>
      <c r="K127" s="282" t="s">
        <v>215</v>
      </c>
      <c r="L127" s="282" t="s">
        <v>223</v>
      </c>
      <c r="M127" s="286" t="s">
        <v>490</v>
      </c>
      <c r="N127" s="356" t="s">
        <v>230</v>
      </c>
      <c r="O127" s="286"/>
    </row>
    <row r="128" spans="1:66" s="397" customFormat="1" ht="15" hidden="1" customHeight="1" x14ac:dyDescent="0.25">
      <c r="A128" s="461">
        <v>44305</v>
      </c>
      <c r="B128" s="282" t="s">
        <v>566</v>
      </c>
      <c r="C128" s="282" t="s">
        <v>327</v>
      </c>
      <c r="D128" s="284" t="s">
        <v>31</v>
      </c>
      <c r="E128" s="429"/>
      <c r="F128" s="429">
        <v>45000</v>
      </c>
      <c r="G128" s="422">
        <f t="shared" si="1"/>
        <v>29955532.99927</v>
      </c>
      <c r="H128" s="282" t="s">
        <v>67</v>
      </c>
      <c r="I128" s="282" t="s">
        <v>303</v>
      </c>
      <c r="J128" s="346" t="s">
        <v>156</v>
      </c>
      <c r="K128" s="282" t="s">
        <v>215</v>
      </c>
      <c r="L128" s="282" t="s">
        <v>223</v>
      </c>
      <c r="M128" s="286" t="s">
        <v>491</v>
      </c>
      <c r="N128" s="356" t="s">
        <v>231</v>
      </c>
      <c r="O128" s="283"/>
    </row>
    <row r="129" spans="1:66" s="190" customFormat="1" ht="15" hidden="1" customHeight="1" x14ac:dyDescent="0.25">
      <c r="A129" s="461">
        <v>44305</v>
      </c>
      <c r="B129" s="498" t="s">
        <v>354</v>
      </c>
      <c r="C129" s="282" t="s">
        <v>72</v>
      </c>
      <c r="D129" s="284" t="s">
        <v>31</v>
      </c>
      <c r="E129" s="429"/>
      <c r="F129" s="429">
        <v>10000</v>
      </c>
      <c r="G129" s="422">
        <f t="shared" si="1"/>
        <v>29945532.99927</v>
      </c>
      <c r="H129" s="282" t="s">
        <v>67</v>
      </c>
      <c r="I129" s="282" t="s">
        <v>303</v>
      </c>
      <c r="J129" s="347" t="s">
        <v>213</v>
      </c>
      <c r="K129" s="282" t="s">
        <v>214</v>
      </c>
      <c r="L129" s="282" t="s">
        <v>223</v>
      </c>
      <c r="M129" s="283"/>
      <c r="N129" s="356"/>
      <c r="O129" s="283"/>
    </row>
    <row r="130" spans="1:66" s="190" customFormat="1" ht="15" hidden="1" customHeight="1" x14ac:dyDescent="0.25">
      <c r="A130" s="461">
        <v>44305</v>
      </c>
      <c r="B130" s="498" t="s">
        <v>355</v>
      </c>
      <c r="C130" s="282" t="s">
        <v>72</v>
      </c>
      <c r="D130" s="284" t="s">
        <v>31</v>
      </c>
      <c r="E130" s="429"/>
      <c r="F130" s="429">
        <v>4000</v>
      </c>
      <c r="G130" s="422">
        <f t="shared" si="1"/>
        <v>29941532.99927</v>
      </c>
      <c r="H130" s="282" t="s">
        <v>67</v>
      </c>
      <c r="I130" s="282" t="s">
        <v>303</v>
      </c>
      <c r="J130" s="347" t="s">
        <v>213</v>
      </c>
      <c r="K130" s="282" t="s">
        <v>214</v>
      </c>
      <c r="L130" s="282" t="s">
        <v>223</v>
      </c>
      <c r="M130" s="283"/>
      <c r="N130" s="356"/>
      <c r="O130" s="283"/>
    </row>
    <row r="131" spans="1:66" s="190" customFormat="1" ht="15" hidden="1" customHeight="1" x14ac:dyDescent="0.25">
      <c r="A131" s="461">
        <v>44305</v>
      </c>
      <c r="B131" s="417" t="s">
        <v>375</v>
      </c>
      <c r="C131" s="284" t="s">
        <v>73</v>
      </c>
      <c r="D131" s="424" t="s">
        <v>121</v>
      </c>
      <c r="E131" s="398"/>
      <c r="F131" s="398">
        <f>3000+500+17500+38800+500</f>
        <v>60300</v>
      </c>
      <c r="G131" s="422">
        <f t="shared" si="1"/>
        <v>29881232.99927</v>
      </c>
      <c r="H131" s="282" t="s">
        <v>77</v>
      </c>
      <c r="I131" s="282" t="s">
        <v>303</v>
      </c>
      <c r="J131" s="347" t="s">
        <v>213</v>
      </c>
      <c r="K131" s="282" t="s">
        <v>214</v>
      </c>
      <c r="L131" s="282" t="s">
        <v>223</v>
      </c>
      <c r="M131" s="283"/>
      <c r="N131" s="436"/>
      <c r="O131" s="283"/>
    </row>
    <row r="132" spans="1:66" s="190" customFormat="1" ht="15" hidden="1" customHeight="1" x14ac:dyDescent="0.25">
      <c r="A132" s="461">
        <v>44306</v>
      </c>
      <c r="B132" s="417" t="s">
        <v>253</v>
      </c>
      <c r="C132" s="284" t="s">
        <v>165</v>
      </c>
      <c r="D132" s="284"/>
      <c r="E132" s="398">
        <v>7828953</v>
      </c>
      <c r="F132" s="398"/>
      <c r="G132" s="422">
        <f t="shared" si="1"/>
        <v>37710185.99927</v>
      </c>
      <c r="H132" s="282" t="s">
        <v>58</v>
      </c>
      <c r="I132" s="286" t="s">
        <v>29</v>
      </c>
      <c r="J132" s="346" t="s">
        <v>213</v>
      </c>
      <c r="K132" s="282" t="s">
        <v>214</v>
      </c>
      <c r="L132" s="282" t="s">
        <v>223</v>
      </c>
      <c r="M132" s="286"/>
      <c r="N132" s="356"/>
      <c r="O132" s="283"/>
    </row>
    <row r="133" spans="1:66" s="190" customFormat="1" ht="15" hidden="1" customHeight="1" x14ac:dyDescent="0.25">
      <c r="A133" s="461">
        <v>44306</v>
      </c>
      <c r="B133" s="417" t="s">
        <v>275</v>
      </c>
      <c r="C133" s="284" t="s">
        <v>120</v>
      </c>
      <c r="D133" s="284"/>
      <c r="E133" s="398"/>
      <c r="F133" s="398">
        <v>195000</v>
      </c>
      <c r="G133" s="422">
        <f t="shared" si="1"/>
        <v>37515185.99927</v>
      </c>
      <c r="H133" s="284" t="s">
        <v>62</v>
      </c>
      <c r="I133" s="284"/>
      <c r="J133" s="346"/>
      <c r="K133" s="282"/>
      <c r="L133" s="282"/>
      <c r="M133" s="286"/>
      <c r="N133" s="440"/>
      <c r="O133" s="283"/>
    </row>
    <row r="134" spans="1:66" s="190" customFormat="1" ht="15" hidden="1" customHeight="1" x14ac:dyDescent="0.25">
      <c r="A134" s="461">
        <v>44306</v>
      </c>
      <c r="B134" s="417" t="s">
        <v>284</v>
      </c>
      <c r="C134" s="424" t="s">
        <v>63</v>
      </c>
      <c r="D134" s="424" t="s">
        <v>21</v>
      </c>
      <c r="E134" s="398"/>
      <c r="F134" s="398">
        <v>5850</v>
      </c>
      <c r="G134" s="422">
        <f t="shared" si="1"/>
        <v>37509335.99927</v>
      </c>
      <c r="H134" s="284" t="s">
        <v>62</v>
      </c>
      <c r="I134" s="284" t="s">
        <v>303</v>
      </c>
      <c r="J134" s="346" t="s">
        <v>156</v>
      </c>
      <c r="K134" s="431" t="s">
        <v>215</v>
      </c>
      <c r="L134" s="282" t="s">
        <v>223</v>
      </c>
      <c r="M134" s="286" t="s">
        <v>492</v>
      </c>
      <c r="N134" s="356" t="s">
        <v>216</v>
      </c>
      <c r="O134" s="283"/>
    </row>
    <row r="135" spans="1:66" s="190" customFormat="1" ht="15" hidden="1" customHeight="1" x14ac:dyDescent="0.25">
      <c r="A135" s="461">
        <v>44306</v>
      </c>
      <c r="B135" s="417" t="s">
        <v>122</v>
      </c>
      <c r="C135" s="284" t="s">
        <v>120</v>
      </c>
      <c r="D135" s="378"/>
      <c r="E135" s="398"/>
      <c r="F135" s="398">
        <v>84000</v>
      </c>
      <c r="G135" s="422">
        <f t="shared" si="1"/>
        <v>37425335.99927</v>
      </c>
      <c r="H135" s="284" t="s">
        <v>62</v>
      </c>
      <c r="I135" s="284"/>
      <c r="J135" s="355"/>
      <c r="K135" s="430"/>
      <c r="L135" s="282"/>
      <c r="M135" s="286"/>
      <c r="N135" s="440"/>
      <c r="O135" s="283"/>
    </row>
    <row r="136" spans="1:66" s="190" customFormat="1" ht="15" hidden="1" customHeight="1" x14ac:dyDescent="0.25">
      <c r="A136" s="461">
        <v>44306</v>
      </c>
      <c r="B136" s="417" t="s">
        <v>58</v>
      </c>
      <c r="C136" s="284" t="s">
        <v>120</v>
      </c>
      <c r="D136" s="378"/>
      <c r="E136" s="398">
        <v>1000000</v>
      </c>
      <c r="F136" s="398"/>
      <c r="G136" s="422">
        <f t="shared" si="1"/>
        <v>38425335.99927</v>
      </c>
      <c r="H136" s="284" t="s">
        <v>62</v>
      </c>
      <c r="I136" s="284"/>
      <c r="J136" s="286"/>
      <c r="K136" s="282"/>
      <c r="L136" s="282"/>
      <c r="M136" s="286"/>
      <c r="N136" s="356"/>
      <c r="O136" s="283"/>
    </row>
    <row r="137" spans="1:66" s="190" customFormat="1" ht="15" hidden="1" customHeight="1" x14ac:dyDescent="0.25">
      <c r="A137" s="461">
        <v>44306</v>
      </c>
      <c r="B137" s="417" t="s">
        <v>288</v>
      </c>
      <c r="C137" s="284" t="s">
        <v>26</v>
      </c>
      <c r="D137" s="378" t="s">
        <v>31</v>
      </c>
      <c r="E137" s="398"/>
      <c r="F137" s="398">
        <v>50000</v>
      </c>
      <c r="G137" s="422">
        <f t="shared" si="1"/>
        <v>38375335.99927</v>
      </c>
      <c r="H137" s="284" t="s">
        <v>62</v>
      </c>
      <c r="I137" s="284" t="s">
        <v>134</v>
      </c>
      <c r="J137" s="346" t="s">
        <v>213</v>
      </c>
      <c r="K137" s="282" t="s">
        <v>214</v>
      </c>
      <c r="L137" s="282" t="s">
        <v>223</v>
      </c>
      <c r="M137" s="283"/>
      <c r="N137" s="356"/>
      <c r="O137" s="283"/>
    </row>
    <row r="138" spans="1:66" s="190" customFormat="1" ht="15" hidden="1" customHeight="1" x14ac:dyDescent="0.25">
      <c r="A138" s="461">
        <v>44306</v>
      </c>
      <c r="B138" s="417" t="s">
        <v>446</v>
      </c>
      <c r="C138" s="424" t="s">
        <v>74</v>
      </c>
      <c r="D138" s="423" t="s">
        <v>21</v>
      </c>
      <c r="E138" s="398"/>
      <c r="F138" s="398">
        <v>17000</v>
      </c>
      <c r="G138" s="422">
        <f t="shared" si="1"/>
        <v>38358335.99927</v>
      </c>
      <c r="H138" s="284" t="s">
        <v>62</v>
      </c>
      <c r="I138" s="284" t="s">
        <v>303</v>
      </c>
      <c r="J138" s="346" t="s">
        <v>213</v>
      </c>
      <c r="K138" s="282" t="s">
        <v>214</v>
      </c>
      <c r="L138" s="282" t="s">
        <v>223</v>
      </c>
      <c r="M138" s="286"/>
      <c r="N138" s="356"/>
      <c r="O138" s="283"/>
    </row>
    <row r="139" spans="1:66" s="190" customFormat="1" ht="15" hidden="1" customHeight="1" x14ac:dyDescent="0.25">
      <c r="A139" s="461">
        <v>44306</v>
      </c>
      <c r="B139" s="417" t="s">
        <v>389</v>
      </c>
      <c r="C139" s="283" t="s">
        <v>210</v>
      </c>
      <c r="D139" s="378" t="s">
        <v>121</v>
      </c>
      <c r="E139" s="398"/>
      <c r="F139" s="398">
        <v>2500</v>
      </c>
      <c r="G139" s="422">
        <f t="shared" si="1"/>
        <v>38355835.99927</v>
      </c>
      <c r="H139" s="282" t="s">
        <v>77</v>
      </c>
      <c r="I139" s="284" t="s">
        <v>303</v>
      </c>
      <c r="J139" s="347" t="s">
        <v>213</v>
      </c>
      <c r="K139" s="282" t="s">
        <v>214</v>
      </c>
      <c r="L139" s="282" t="s">
        <v>223</v>
      </c>
      <c r="M139" s="286"/>
      <c r="N139" s="440"/>
      <c r="O139" s="283"/>
      <c r="P139" s="397"/>
      <c r="Q139" s="397"/>
      <c r="R139" s="397"/>
      <c r="S139" s="397"/>
      <c r="T139" s="397"/>
      <c r="U139" s="397"/>
      <c r="V139" s="397"/>
      <c r="W139" s="397"/>
      <c r="X139" s="397"/>
      <c r="Y139" s="397"/>
      <c r="Z139" s="397"/>
      <c r="AA139" s="397"/>
      <c r="AB139" s="397"/>
      <c r="AC139" s="397"/>
      <c r="AD139" s="397"/>
      <c r="AE139" s="397"/>
      <c r="AF139" s="397"/>
      <c r="AG139" s="397"/>
      <c r="AH139" s="397"/>
      <c r="AI139" s="397"/>
      <c r="AJ139" s="397"/>
      <c r="AK139" s="397"/>
      <c r="AL139" s="397"/>
      <c r="AM139" s="397"/>
      <c r="AN139" s="397"/>
      <c r="AO139" s="397"/>
      <c r="AP139" s="397"/>
      <c r="AQ139" s="397"/>
      <c r="AR139" s="397"/>
      <c r="AS139" s="397"/>
      <c r="AT139" s="397"/>
      <c r="AU139" s="397"/>
      <c r="AV139" s="397"/>
      <c r="AW139" s="397"/>
      <c r="AX139" s="397"/>
      <c r="AY139" s="397"/>
      <c r="AZ139" s="397"/>
      <c r="BA139" s="397"/>
      <c r="BB139" s="397"/>
      <c r="BC139" s="397"/>
      <c r="BD139" s="397"/>
      <c r="BE139" s="397"/>
      <c r="BF139" s="397"/>
      <c r="BG139" s="397"/>
      <c r="BH139" s="397"/>
      <c r="BI139" s="397"/>
      <c r="BJ139" s="397"/>
      <c r="BK139" s="397"/>
      <c r="BL139" s="397"/>
      <c r="BM139" s="397"/>
      <c r="BN139" s="397"/>
    </row>
    <row r="140" spans="1:66" s="190" customFormat="1" ht="15" hidden="1" customHeight="1" x14ac:dyDescent="0.25">
      <c r="A140" s="461">
        <v>44306</v>
      </c>
      <c r="B140" s="417" t="s">
        <v>376</v>
      </c>
      <c r="C140" s="284" t="s">
        <v>73</v>
      </c>
      <c r="D140" s="423" t="s">
        <v>121</v>
      </c>
      <c r="E140" s="398"/>
      <c r="F140" s="398">
        <v>10550</v>
      </c>
      <c r="G140" s="422">
        <f t="shared" si="1"/>
        <v>38345285.99927</v>
      </c>
      <c r="H140" s="282" t="s">
        <v>77</v>
      </c>
      <c r="I140" s="282" t="s">
        <v>303</v>
      </c>
      <c r="J140" s="394" t="s">
        <v>213</v>
      </c>
      <c r="K140" s="430" t="s">
        <v>214</v>
      </c>
      <c r="L140" s="282" t="s">
        <v>223</v>
      </c>
      <c r="M140" s="286"/>
      <c r="N140" s="440"/>
      <c r="O140" s="283"/>
    </row>
    <row r="141" spans="1:66" s="190" customFormat="1" ht="15" hidden="1" customHeight="1" x14ac:dyDescent="0.25">
      <c r="A141" s="461">
        <v>44306</v>
      </c>
      <c r="B141" s="417" t="s">
        <v>369</v>
      </c>
      <c r="C141" s="284" t="s">
        <v>120</v>
      </c>
      <c r="D141" s="284"/>
      <c r="E141" s="398">
        <v>195000</v>
      </c>
      <c r="F141" s="398"/>
      <c r="G141" s="422">
        <f t="shared" si="1"/>
        <v>38540285.99927</v>
      </c>
      <c r="H141" s="282" t="s">
        <v>77</v>
      </c>
      <c r="I141" s="284"/>
      <c r="J141" s="346"/>
      <c r="K141" s="282"/>
      <c r="L141" s="282"/>
      <c r="M141" s="283"/>
      <c r="N141" s="356"/>
      <c r="O141" s="283"/>
    </row>
    <row r="142" spans="1:66" s="190" customFormat="1" ht="15" hidden="1" customHeight="1" x14ac:dyDescent="0.25">
      <c r="A142" s="461">
        <v>44306</v>
      </c>
      <c r="B142" s="417" t="s">
        <v>377</v>
      </c>
      <c r="C142" s="284" t="s">
        <v>73</v>
      </c>
      <c r="D142" s="423" t="s">
        <v>121</v>
      </c>
      <c r="E142" s="398"/>
      <c r="F142" s="398">
        <v>10000</v>
      </c>
      <c r="G142" s="422">
        <f t="shared" ref="G142:G205" si="2">G141+E142-F142</f>
        <v>38530285.99927</v>
      </c>
      <c r="H142" s="282" t="s">
        <v>77</v>
      </c>
      <c r="I142" s="282" t="s">
        <v>303</v>
      </c>
      <c r="J142" s="394" t="s">
        <v>213</v>
      </c>
      <c r="K142" s="430" t="s">
        <v>214</v>
      </c>
      <c r="L142" s="282" t="s">
        <v>223</v>
      </c>
      <c r="M142" s="283"/>
      <c r="N142" s="440"/>
      <c r="O142" s="283"/>
    </row>
    <row r="143" spans="1:66" s="190" customFormat="1" ht="15" hidden="1" customHeight="1" x14ac:dyDescent="0.25">
      <c r="A143" s="461">
        <v>44306</v>
      </c>
      <c r="B143" s="417" t="s">
        <v>376</v>
      </c>
      <c r="C143" s="284" t="s">
        <v>73</v>
      </c>
      <c r="D143" s="423" t="s">
        <v>121</v>
      </c>
      <c r="E143" s="398"/>
      <c r="F143" s="398">
        <v>2900</v>
      </c>
      <c r="G143" s="422">
        <f t="shared" si="2"/>
        <v>38527385.99927</v>
      </c>
      <c r="H143" s="282" t="s">
        <v>77</v>
      </c>
      <c r="I143" s="282" t="s">
        <v>303</v>
      </c>
      <c r="J143" s="347" t="s">
        <v>213</v>
      </c>
      <c r="K143" s="282" t="s">
        <v>214</v>
      </c>
      <c r="L143" s="282" t="s">
        <v>223</v>
      </c>
      <c r="M143" s="283"/>
      <c r="N143" s="286"/>
      <c r="O143" s="283"/>
    </row>
    <row r="144" spans="1:66" s="190" customFormat="1" ht="15" hidden="1" customHeight="1" x14ac:dyDescent="0.25">
      <c r="A144" s="461">
        <v>44307</v>
      </c>
      <c r="B144" s="417" t="s">
        <v>166</v>
      </c>
      <c r="C144" s="284" t="s">
        <v>120</v>
      </c>
      <c r="D144" s="378"/>
      <c r="E144" s="398">
        <v>84000</v>
      </c>
      <c r="F144" s="398"/>
      <c r="G144" s="422">
        <f t="shared" si="2"/>
        <v>38611385.99927</v>
      </c>
      <c r="H144" s="284" t="s">
        <v>122</v>
      </c>
      <c r="I144" s="284"/>
      <c r="J144" s="346"/>
      <c r="K144" s="282"/>
      <c r="L144" s="282"/>
      <c r="M144" s="283"/>
      <c r="N144" s="356"/>
      <c r="O144" s="283"/>
    </row>
    <row r="145" spans="1:15" s="190" customFormat="1" ht="15" hidden="1" customHeight="1" x14ac:dyDescent="0.25">
      <c r="A145" s="461">
        <v>44307</v>
      </c>
      <c r="B145" s="417" t="s">
        <v>290</v>
      </c>
      <c r="C145" s="284" t="s">
        <v>60</v>
      </c>
      <c r="D145" s="378" t="s">
        <v>121</v>
      </c>
      <c r="E145" s="398"/>
      <c r="F145" s="398">
        <v>81000</v>
      </c>
      <c r="G145" s="422">
        <f t="shared" si="2"/>
        <v>38530385.99927</v>
      </c>
      <c r="H145" s="284" t="s">
        <v>62</v>
      </c>
      <c r="I145" s="284" t="s">
        <v>303</v>
      </c>
      <c r="J145" s="489" t="s">
        <v>213</v>
      </c>
      <c r="K145" s="430" t="s">
        <v>214</v>
      </c>
      <c r="L145" s="282" t="s">
        <v>223</v>
      </c>
      <c r="M145" s="286"/>
      <c r="N145" s="286"/>
      <c r="O145" s="283"/>
    </row>
    <row r="146" spans="1:15" s="190" customFormat="1" ht="15" hidden="1" customHeight="1" x14ac:dyDescent="0.25">
      <c r="A146" s="461">
        <v>44307</v>
      </c>
      <c r="B146" s="284" t="s">
        <v>91</v>
      </c>
      <c r="C146" s="284" t="s">
        <v>120</v>
      </c>
      <c r="D146" s="284"/>
      <c r="E146" s="398"/>
      <c r="F146" s="398">
        <v>30000</v>
      </c>
      <c r="G146" s="422">
        <f t="shared" si="2"/>
        <v>38500385.99927</v>
      </c>
      <c r="H146" s="284" t="s">
        <v>62</v>
      </c>
      <c r="I146" s="284"/>
      <c r="J146" s="438"/>
      <c r="K146" s="282"/>
      <c r="L146" s="282"/>
      <c r="M146" s="286"/>
      <c r="N146" s="356"/>
      <c r="O146" s="283"/>
    </row>
    <row r="147" spans="1:15" s="190" customFormat="1" ht="15" hidden="1" customHeight="1" x14ac:dyDescent="0.25">
      <c r="A147" s="461">
        <v>44307</v>
      </c>
      <c r="B147" s="284" t="s">
        <v>91</v>
      </c>
      <c r="C147" s="284" t="s">
        <v>120</v>
      </c>
      <c r="D147" s="284"/>
      <c r="E147" s="398"/>
      <c r="F147" s="398">
        <v>92000</v>
      </c>
      <c r="G147" s="422">
        <f t="shared" si="2"/>
        <v>38408385.99927</v>
      </c>
      <c r="H147" s="284" t="s">
        <v>62</v>
      </c>
      <c r="I147" s="284"/>
      <c r="J147" s="355"/>
      <c r="K147" s="430"/>
      <c r="L147" s="282"/>
      <c r="M147" s="283"/>
      <c r="N147" s="440"/>
      <c r="O147" s="283"/>
    </row>
    <row r="148" spans="1:15" s="190" customFormat="1" ht="15" hidden="1" customHeight="1" x14ac:dyDescent="0.25">
      <c r="A148" s="461">
        <v>44307</v>
      </c>
      <c r="B148" s="284" t="s">
        <v>306</v>
      </c>
      <c r="C148" s="284" t="s">
        <v>26</v>
      </c>
      <c r="D148" s="284" t="s">
        <v>31</v>
      </c>
      <c r="E148" s="398"/>
      <c r="F148" s="398">
        <v>20000</v>
      </c>
      <c r="G148" s="422">
        <f t="shared" si="2"/>
        <v>38388385.99927</v>
      </c>
      <c r="H148" s="284" t="s">
        <v>62</v>
      </c>
      <c r="I148" s="284" t="s">
        <v>134</v>
      </c>
      <c r="J148" s="346" t="s">
        <v>213</v>
      </c>
      <c r="K148" s="282" t="s">
        <v>214</v>
      </c>
      <c r="L148" s="282" t="s">
        <v>223</v>
      </c>
      <c r="M148" s="283"/>
      <c r="N148" s="356"/>
      <c r="O148" s="283"/>
    </row>
    <row r="149" spans="1:15" s="190" customFormat="1" ht="15" hidden="1" customHeight="1" x14ac:dyDescent="0.25">
      <c r="A149" s="461">
        <v>44307</v>
      </c>
      <c r="B149" s="284" t="s">
        <v>69</v>
      </c>
      <c r="C149" s="284" t="s">
        <v>120</v>
      </c>
      <c r="D149" s="284"/>
      <c r="E149" s="398"/>
      <c r="F149" s="398">
        <v>10000</v>
      </c>
      <c r="G149" s="422">
        <f t="shared" si="2"/>
        <v>38378385.99927</v>
      </c>
      <c r="H149" s="284" t="s">
        <v>62</v>
      </c>
      <c r="I149" s="284"/>
      <c r="J149" s="395"/>
      <c r="K149" s="441"/>
      <c r="L149" s="282"/>
      <c r="M149" s="286"/>
      <c r="N149" s="436"/>
      <c r="O149" s="283"/>
    </row>
    <row r="150" spans="1:15" s="190" customFormat="1" ht="15" hidden="1" customHeight="1" x14ac:dyDescent="0.25">
      <c r="A150" s="461">
        <v>44307</v>
      </c>
      <c r="B150" s="284" t="s">
        <v>91</v>
      </c>
      <c r="C150" s="284" t="s">
        <v>120</v>
      </c>
      <c r="D150" s="284"/>
      <c r="E150" s="398"/>
      <c r="F150" s="398">
        <v>10000</v>
      </c>
      <c r="G150" s="422">
        <f t="shared" si="2"/>
        <v>38368385.99927</v>
      </c>
      <c r="H150" s="284" t="s">
        <v>62</v>
      </c>
      <c r="I150" s="284"/>
      <c r="J150" s="346"/>
      <c r="K150" s="282"/>
      <c r="L150" s="282"/>
      <c r="M150" s="286"/>
      <c r="N150" s="356"/>
      <c r="O150" s="283"/>
    </row>
    <row r="151" spans="1:15" s="190" customFormat="1" ht="15" hidden="1" customHeight="1" x14ac:dyDescent="0.25">
      <c r="A151" s="461">
        <v>44307</v>
      </c>
      <c r="B151" s="284" t="s">
        <v>314</v>
      </c>
      <c r="C151" s="284" t="s">
        <v>72</v>
      </c>
      <c r="D151" s="424" t="s">
        <v>121</v>
      </c>
      <c r="E151" s="398"/>
      <c r="F151" s="398">
        <v>10000</v>
      </c>
      <c r="G151" s="422">
        <f t="shared" si="2"/>
        <v>38358385.99927</v>
      </c>
      <c r="H151" s="284" t="s">
        <v>122</v>
      </c>
      <c r="I151" s="284" t="s">
        <v>75</v>
      </c>
      <c r="J151" s="396" t="s">
        <v>156</v>
      </c>
      <c r="K151" s="430" t="s">
        <v>215</v>
      </c>
      <c r="L151" s="282" t="s">
        <v>223</v>
      </c>
      <c r="M151" s="286" t="s">
        <v>493</v>
      </c>
      <c r="N151" s="440" t="s">
        <v>230</v>
      </c>
      <c r="O151" s="283"/>
    </row>
    <row r="152" spans="1:15" s="190" customFormat="1" ht="15" hidden="1" customHeight="1" x14ac:dyDescent="0.25">
      <c r="A152" s="461">
        <v>44307</v>
      </c>
      <c r="B152" s="282" t="s">
        <v>174</v>
      </c>
      <c r="C152" s="284" t="s">
        <v>120</v>
      </c>
      <c r="D152" s="282"/>
      <c r="E152" s="429">
        <v>10000</v>
      </c>
      <c r="F152" s="429"/>
      <c r="G152" s="422">
        <f t="shared" si="2"/>
        <v>38368385.99927</v>
      </c>
      <c r="H152" s="282" t="s">
        <v>91</v>
      </c>
      <c r="I152" s="282"/>
      <c r="J152" s="346"/>
      <c r="K152" s="282"/>
      <c r="L152" s="282"/>
      <c r="M152" s="283"/>
      <c r="N152" s="356"/>
      <c r="O152" s="283"/>
    </row>
    <row r="153" spans="1:15" s="190" customFormat="1" ht="15" hidden="1" customHeight="1" x14ac:dyDescent="0.25">
      <c r="A153" s="461">
        <v>44307</v>
      </c>
      <c r="B153" s="282" t="s">
        <v>174</v>
      </c>
      <c r="C153" s="284" t="s">
        <v>120</v>
      </c>
      <c r="D153" s="282"/>
      <c r="E153" s="429">
        <v>92000</v>
      </c>
      <c r="F153" s="429"/>
      <c r="G153" s="422">
        <f t="shared" si="2"/>
        <v>38460385.99927</v>
      </c>
      <c r="H153" s="282" t="s">
        <v>91</v>
      </c>
      <c r="I153" s="282"/>
      <c r="J153" s="355"/>
      <c r="K153" s="430"/>
      <c r="L153" s="282"/>
      <c r="M153" s="286"/>
      <c r="N153" s="440"/>
      <c r="O153" s="283"/>
    </row>
    <row r="154" spans="1:15" s="190" customFormat="1" ht="15" hidden="1" customHeight="1" x14ac:dyDescent="0.25">
      <c r="A154" s="461">
        <v>44307</v>
      </c>
      <c r="B154" s="282" t="s">
        <v>174</v>
      </c>
      <c r="C154" s="284" t="s">
        <v>120</v>
      </c>
      <c r="D154" s="282"/>
      <c r="E154" s="429">
        <v>30000</v>
      </c>
      <c r="F154" s="429"/>
      <c r="G154" s="422">
        <f t="shared" si="2"/>
        <v>38490385.99927</v>
      </c>
      <c r="H154" s="282" t="s">
        <v>91</v>
      </c>
      <c r="I154" s="282"/>
      <c r="J154" s="346"/>
      <c r="K154" s="282"/>
      <c r="L154" s="282"/>
      <c r="M154" s="286"/>
      <c r="N154" s="356"/>
      <c r="O154" s="283"/>
    </row>
    <row r="155" spans="1:15" s="190" customFormat="1" ht="15" hidden="1" customHeight="1" x14ac:dyDescent="0.25">
      <c r="A155" s="461">
        <v>44307</v>
      </c>
      <c r="B155" s="282" t="s">
        <v>208</v>
      </c>
      <c r="C155" s="282" t="s">
        <v>72</v>
      </c>
      <c r="D155" s="282" t="s">
        <v>19</v>
      </c>
      <c r="E155" s="429"/>
      <c r="F155" s="429">
        <v>15000</v>
      </c>
      <c r="G155" s="422">
        <f t="shared" si="2"/>
        <v>38475385.99927</v>
      </c>
      <c r="H155" s="282" t="s">
        <v>91</v>
      </c>
      <c r="I155" s="282" t="s">
        <v>303</v>
      </c>
      <c r="J155" s="346" t="s">
        <v>156</v>
      </c>
      <c r="K155" s="282" t="s">
        <v>215</v>
      </c>
      <c r="L155" s="282" t="s">
        <v>223</v>
      </c>
      <c r="M155" s="286" t="s">
        <v>494</v>
      </c>
      <c r="N155" s="356" t="s">
        <v>230</v>
      </c>
      <c r="O155" s="283"/>
    </row>
    <row r="156" spans="1:15" s="190" customFormat="1" ht="15" hidden="1" customHeight="1" x14ac:dyDescent="0.25">
      <c r="A156" s="461">
        <v>44307</v>
      </c>
      <c r="B156" s="284" t="s">
        <v>332</v>
      </c>
      <c r="C156" s="284" t="s">
        <v>120</v>
      </c>
      <c r="D156" s="284"/>
      <c r="E156" s="398">
        <v>10000</v>
      </c>
      <c r="F156" s="398"/>
      <c r="G156" s="422">
        <f t="shared" si="2"/>
        <v>38485385.99927</v>
      </c>
      <c r="H156" s="284" t="s">
        <v>69</v>
      </c>
      <c r="I156" s="286"/>
      <c r="J156" s="286"/>
      <c r="K156" s="282"/>
      <c r="L156" s="282"/>
      <c r="M156" s="286"/>
      <c r="N156" s="356"/>
      <c r="O156" s="282"/>
    </row>
    <row r="157" spans="1:15" s="190" customFormat="1" ht="15" hidden="1" customHeight="1" x14ac:dyDescent="0.25">
      <c r="A157" s="461">
        <v>44307</v>
      </c>
      <c r="B157" s="284" t="s">
        <v>376</v>
      </c>
      <c r="C157" s="284" t="s">
        <v>73</v>
      </c>
      <c r="D157" s="424" t="s">
        <v>121</v>
      </c>
      <c r="E157" s="398"/>
      <c r="F157" s="398">
        <f>17250+1000</f>
        <v>18250</v>
      </c>
      <c r="G157" s="422">
        <f t="shared" si="2"/>
        <v>38467135.99927</v>
      </c>
      <c r="H157" s="282" t="s">
        <v>77</v>
      </c>
      <c r="I157" s="282" t="s">
        <v>303</v>
      </c>
      <c r="J157" s="347" t="s">
        <v>213</v>
      </c>
      <c r="K157" s="282" t="s">
        <v>214</v>
      </c>
      <c r="L157" s="282" t="s">
        <v>223</v>
      </c>
      <c r="M157" s="283"/>
      <c r="N157" s="356"/>
      <c r="O157" s="283"/>
    </row>
    <row r="158" spans="1:15" s="190" customFormat="1" ht="15" hidden="1" customHeight="1" x14ac:dyDescent="0.25">
      <c r="A158" s="461">
        <v>44307</v>
      </c>
      <c r="B158" s="284" t="s">
        <v>378</v>
      </c>
      <c r="C158" s="284" t="s">
        <v>73</v>
      </c>
      <c r="D158" s="424" t="s">
        <v>121</v>
      </c>
      <c r="E158" s="398"/>
      <c r="F158" s="398">
        <v>8400</v>
      </c>
      <c r="G158" s="422">
        <f t="shared" si="2"/>
        <v>38458735.99927</v>
      </c>
      <c r="H158" s="282" t="s">
        <v>77</v>
      </c>
      <c r="I158" s="282" t="s">
        <v>303</v>
      </c>
      <c r="J158" s="394" t="s">
        <v>213</v>
      </c>
      <c r="K158" s="430" t="s">
        <v>214</v>
      </c>
      <c r="L158" s="430" t="s">
        <v>223</v>
      </c>
      <c r="M158" s="286"/>
      <c r="N158" s="440"/>
      <c r="O158" s="283"/>
    </row>
    <row r="159" spans="1:15" s="190" customFormat="1" ht="15" hidden="1" customHeight="1" x14ac:dyDescent="0.25">
      <c r="A159" s="461">
        <v>44307</v>
      </c>
      <c r="B159" s="284" t="s">
        <v>379</v>
      </c>
      <c r="C159" s="284" t="s">
        <v>73</v>
      </c>
      <c r="D159" s="424" t="s">
        <v>121</v>
      </c>
      <c r="E159" s="398"/>
      <c r="F159" s="398">
        <v>5600</v>
      </c>
      <c r="G159" s="422">
        <f t="shared" si="2"/>
        <v>38453135.99927</v>
      </c>
      <c r="H159" s="282" t="s">
        <v>77</v>
      </c>
      <c r="I159" s="282" t="s">
        <v>303</v>
      </c>
      <c r="J159" s="394" t="s">
        <v>213</v>
      </c>
      <c r="K159" s="430" t="s">
        <v>214</v>
      </c>
      <c r="L159" s="430" t="s">
        <v>223</v>
      </c>
      <c r="M159" s="283"/>
      <c r="N159" s="440"/>
      <c r="O159" s="283"/>
    </row>
    <row r="160" spans="1:15" s="190" customFormat="1" ht="15" hidden="1" customHeight="1" x14ac:dyDescent="0.25">
      <c r="A160" s="461">
        <v>44307</v>
      </c>
      <c r="B160" s="284" t="s">
        <v>380</v>
      </c>
      <c r="C160" s="284" t="s">
        <v>73</v>
      </c>
      <c r="D160" s="424" t="s">
        <v>121</v>
      </c>
      <c r="E160" s="398"/>
      <c r="F160" s="398">
        <v>28450</v>
      </c>
      <c r="G160" s="422">
        <f t="shared" si="2"/>
        <v>38424685.99927</v>
      </c>
      <c r="H160" s="282" t="s">
        <v>77</v>
      </c>
      <c r="I160" s="282" t="s">
        <v>303</v>
      </c>
      <c r="J160" s="394" t="s">
        <v>213</v>
      </c>
      <c r="K160" s="430" t="s">
        <v>214</v>
      </c>
      <c r="L160" s="282" t="s">
        <v>223</v>
      </c>
      <c r="M160" s="286"/>
      <c r="N160" s="440"/>
      <c r="O160" s="286"/>
    </row>
    <row r="161" spans="1:15" s="190" customFormat="1" ht="15" hidden="1" customHeight="1" x14ac:dyDescent="0.25">
      <c r="A161" s="461">
        <v>44308</v>
      </c>
      <c r="B161" s="284" t="s">
        <v>275</v>
      </c>
      <c r="C161" s="284" t="s">
        <v>120</v>
      </c>
      <c r="D161" s="284"/>
      <c r="E161" s="398"/>
      <c r="F161" s="398">
        <v>310000</v>
      </c>
      <c r="G161" s="422">
        <f t="shared" si="2"/>
        <v>38114685.99927</v>
      </c>
      <c r="H161" s="284" t="s">
        <v>62</v>
      </c>
      <c r="I161" s="284"/>
      <c r="J161" s="346"/>
      <c r="K161" s="282"/>
      <c r="L161" s="282"/>
      <c r="M161" s="286"/>
      <c r="N161" s="356"/>
      <c r="O161" s="283"/>
    </row>
    <row r="162" spans="1:15" s="190" customFormat="1" ht="15" hidden="1" customHeight="1" x14ac:dyDescent="0.25">
      <c r="A162" s="461">
        <v>44308</v>
      </c>
      <c r="B162" s="284" t="s">
        <v>284</v>
      </c>
      <c r="C162" s="424" t="s">
        <v>63</v>
      </c>
      <c r="D162" s="424" t="s">
        <v>21</v>
      </c>
      <c r="E162" s="398"/>
      <c r="F162" s="398">
        <v>9300</v>
      </c>
      <c r="G162" s="422">
        <f t="shared" si="2"/>
        <v>38105385.99927</v>
      </c>
      <c r="H162" s="284" t="s">
        <v>62</v>
      </c>
      <c r="I162" s="284" t="s">
        <v>303</v>
      </c>
      <c r="J162" s="346" t="s">
        <v>156</v>
      </c>
      <c r="K162" s="431" t="s">
        <v>215</v>
      </c>
      <c r="L162" s="282" t="s">
        <v>223</v>
      </c>
      <c r="M162" s="286" t="s">
        <v>495</v>
      </c>
      <c r="N162" s="356" t="s">
        <v>216</v>
      </c>
      <c r="O162" s="283"/>
    </row>
    <row r="163" spans="1:15" s="190" customFormat="1" ht="15" hidden="1" customHeight="1" x14ac:dyDescent="0.25">
      <c r="A163" s="461">
        <v>44308</v>
      </c>
      <c r="B163" s="284" t="s">
        <v>305</v>
      </c>
      <c r="C163" s="284" t="s">
        <v>26</v>
      </c>
      <c r="D163" s="284" t="s">
        <v>121</v>
      </c>
      <c r="E163" s="398"/>
      <c r="F163" s="398">
        <v>20000</v>
      </c>
      <c r="G163" s="422">
        <f t="shared" si="2"/>
        <v>38085385.99927</v>
      </c>
      <c r="H163" s="284" t="s">
        <v>62</v>
      </c>
      <c r="I163" s="284" t="s">
        <v>134</v>
      </c>
      <c r="J163" s="355" t="s">
        <v>213</v>
      </c>
      <c r="K163" s="430" t="s">
        <v>214</v>
      </c>
      <c r="L163" s="282" t="s">
        <v>223</v>
      </c>
      <c r="M163" s="286"/>
      <c r="N163" s="440"/>
      <c r="O163" s="283"/>
    </row>
    <row r="164" spans="1:15" s="190" customFormat="1" ht="15" hidden="1" customHeight="1" x14ac:dyDescent="0.25">
      <c r="A164" s="461">
        <v>44308</v>
      </c>
      <c r="B164" s="284" t="s">
        <v>291</v>
      </c>
      <c r="C164" s="424" t="s">
        <v>74</v>
      </c>
      <c r="D164" s="424" t="s">
        <v>21</v>
      </c>
      <c r="E164" s="398"/>
      <c r="F164" s="398">
        <v>26000</v>
      </c>
      <c r="G164" s="422">
        <f t="shared" si="2"/>
        <v>38059385.99927</v>
      </c>
      <c r="H164" s="284" t="s">
        <v>62</v>
      </c>
      <c r="I164" s="284" t="s">
        <v>302</v>
      </c>
      <c r="J164" s="286" t="s">
        <v>156</v>
      </c>
      <c r="K164" s="282" t="s">
        <v>215</v>
      </c>
      <c r="L164" s="282" t="s">
        <v>223</v>
      </c>
      <c r="M164" s="286" t="s">
        <v>496</v>
      </c>
      <c r="N164" s="356" t="s">
        <v>227</v>
      </c>
      <c r="O164" s="283"/>
    </row>
    <row r="165" spans="1:15" s="190" customFormat="1" ht="15" hidden="1" customHeight="1" x14ac:dyDescent="0.25">
      <c r="A165" s="461">
        <v>44308</v>
      </c>
      <c r="B165" s="284" t="s">
        <v>315</v>
      </c>
      <c r="C165" s="284" t="s">
        <v>72</v>
      </c>
      <c r="D165" s="424" t="s">
        <v>121</v>
      </c>
      <c r="E165" s="398"/>
      <c r="F165" s="398">
        <v>4000</v>
      </c>
      <c r="G165" s="422">
        <f t="shared" si="2"/>
        <v>38055385.99927</v>
      </c>
      <c r="H165" s="284" t="s">
        <v>122</v>
      </c>
      <c r="I165" s="284" t="s">
        <v>75</v>
      </c>
      <c r="J165" s="396" t="s">
        <v>156</v>
      </c>
      <c r="K165" s="430" t="s">
        <v>215</v>
      </c>
      <c r="L165" s="282" t="s">
        <v>223</v>
      </c>
      <c r="M165" s="286" t="s">
        <v>497</v>
      </c>
      <c r="N165" s="440" t="s">
        <v>230</v>
      </c>
      <c r="O165" s="283"/>
    </row>
    <row r="166" spans="1:15" s="190" customFormat="1" ht="15" hidden="1" customHeight="1" x14ac:dyDescent="0.25">
      <c r="A166" s="461">
        <v>44308</v>
      </c>
      <c r="B166" s="284" t="s">
        <v>557</v>
      </c>
      <c r="C166" s="284" t="s">
        <v>155</v>
      </c>
      <c r="D166" s="424" t="s">
        <v>121</v>
      </c>
      <c r="E166" s="398"/>
      <c r="F166" s="398">
        <v>20000</v>
      </c>
      <c r="G166" s="422">
        <f t="shared" si="2"/>
        <v>38035385.99927</v>
      </c>
      <c r="H166" s="284" t="s">
        <v>122</v>
      </c>
      <c r="I166" s="378" t="s">
        <v>320</v>
      </c>
      <c r="J166" s="346" t="s">
        <v>156</v>
      </c>
      <c r="K166" s="282" t="s">
        <v>215</v>
      </c>
      <c r="L166" s="282" t="s">
        <v>223</v>
      </c>
      <c r="M166" s="286" t="s">
        <v>498</v>
      </c>
      <c r="N166" s="356" t="s">
        <v>231</v>
      </c>
      <c r="O166" s="283"/>
    </row>
    <row r="167" spans="1:15" s="190" customFormat="1" ht="15" hidden="1" customHeight="1" x14ac:dyDescent="0.25">
      <c r="A167" s="461">
        <v>44308</v>
      </c>
      <c r="B167" s="282" t="s">
        <v>552</v>
      </c>
      <c r="C167" s="282" t="s">
        <v>327</v>
      </c>
      <c r="D167" s="282" t="s">
        <v>19</v>
      </c>
      <c r="E167" s="429"/>
      <c r="F167" s="429">
        <v>20000</v>
      </c>
      <c r="G167" s="422">
        <f t="shared" si="2"/>
        <v>38015385.99927</v>
      </c>
      <c r="H167" s="282" t="s">
        <v>91</v>
      </c>
      <c r="I167" s="282" t="s">
        <v>134</v>
      </c>
      <c r="J167" s="346" t="s">
        <v>156</v>
      </c>
      <c r="K167" s="282" t="s">
        <v>215</v>
      </c>
      <c r="L167" s="282" t="s">
        <v>223</v>
      </c>
      <c r="M167" s="286" t="s">
        <v>499</v>
      </c>
      <c r="N167" s="356" t="s">
        <v>231</v>
      </c>
      <c r="O167" s="283"/>
    </row>
    <row r="168" spans="1:15" s="190" customFormat="1" ht="15" hidden="1" customHeight="1" x14ac:dyDescent="0.25">
      <c r="A168" s="461">
        <v>44308</v>
      </c>
      <c r="B168" s="284" t="s">
        <v>335</v>
      </c>
      <c r="C168" s="284" t="s">
        <v>72</v>
      </c>
      <c r="D168" s="424" t="s">
        <v>121</v>
      </c>
      <c r="E168" s="398"/>
      <c r="F168" s="398">
        <v>8500</v>
      </c>
      <c r="G168" s="422">
        <f t="shared" si="2"/>
        <v>38006885.99927</v>
      </c>
      <c r="H168" s="284" t="s">
        <v>123</v>
      </c>
      <c r="I168" s="286" t="s">
        <v>134</v>
      </c>
      <c r="J168" s="346" t="s">
        <v>156</v>
      </c>
      <c r="K168" s="282" t="s">
        <v>215</v>
      </c>
      <c r="L168" s="282" t="s">
        <v>223</v>
      </c>
      <c r="M168" s="286" t="s">
        <v>500</v>
      </c>
      <c r="N168" s="356" t="s">
        <v>230</v>
      </c>
      <c r="O168" s="283"/>
    </row>
    <row r="169" spans="1:15" s="190" customFormat="1" ht="15" hidden="1" customHeight="1" x14ac:dyDescent="0.25">
      <c r="A169" s="461">
        <v>44308</v>
      </c>
      <c r="B169" s="284" t="s">
        <v>381</v>
      </c>
      <c r="C169" s="284" t="s">
        <v>73</v>
      </c>
      <c r="D169" s="424" t="s">
        <v>121</v>
      </c>
      <c r="E169" s="398"/>
      <c r="F169" s="398">
        <v>15000</v>
      </c>
      <c r="G169" s="422">
        <f t="shared" si="2"/>
        <v>37991885.99927</v>
      </c>
      <c r="H169" s="282" t="s">
        <v>77</v>
      </c>
      <c r="I169" s="282" t="s">
        <v>134</v>
      </c>
      <c r="J169" s="347" t="s">
        <v>213</v>
      </c>
      <c r="K169" s="282" t="s">
        <v>214</v>
      </c>
      <c r="L169" s="282" t="s">
        <v>223</v>
      </c>
      <c r="M169" s="286"/>
      <c r="N169" s="356"/>
      <c r="O169" s="283"/>
    </row>
    <row r="170" spans="1:15" s="190" customFormat="1" ht="14.25" hidden="1" customHeight="1" x14ac:dyDescent="0.25">
      <c r="A170" s="461">
        <v>44308</v>
      </c>
      <c r="B170" s="284" t="s">
        <v>376</v>
      </c>
      <c r="C170" s="284" t="s">
        <v>73</v>
      </c>
      <c r="D170" s="424" t="s">
        <v>121</v>
      </c>
      <c r="E170" s="398"/>
      <c r="F170" s="398">
        <f>14850+11000</f>
        <v>25850</v>
      </c>
      <c r="G170" s="422">
        <f t="shared" si="2"/>
        <v>37966035.99927</v>
      </c>
      <c r="H170" s="282" t="s">
        <v>77</v>
      </c>
      <c r="I170" s="282" t="s">
        <v>303</v>
      </c>
      <c r="J170" s="347" t="s">
        <v>213</v>
      </c>
      <c r="K170" s="282" t="s">
        <v>214</v>
      </c>
      <c r="L170" s="282" t="s">
        <v>223</v>
      </c>
      <c r="M170" s="283"/>
      <c r="N170" s="356"/>
      <c r="O170" s="283"/>
    </row>
    <row r="171" spans="1:15" s="190" customFormat="1" ht="15" hidden="1" customHeight="1" x14ac:dyDescent="0.25">
      <c r="A171" s="461">
        <v>44308</v>
      </c>
      <c r="B171" s="284" t="s">
        <v>369</v>
      </c>
      <c r="C171" s="284" t="s">
        <v>120</v>
      </c>
      <c r="D171" s="284"/>
      <c r="E171" s="398">
        <v>310000</v>
      </c>
      <c r="F171" s="398"/>
      <c r="G171" s="422">
        <f t="shared" si="2"/>
        <v>38276035.99927</v>
      </c>
      <c r="H171" s="282" t="s">
        <v>77</v>
      </c>
      <c r="I171" s="284"/>
      <c r="J171" s="346"/>
      <c r="K171" s="282"/>
      <c r="L171" s="282"/>
      <c r="M171" s="283"/>
      <c r="N171" s="356"/>
      <c r="O171" s="283"/>
    </row>
    <row r="172" spans="1:15" s="190" customFormat="1" ht="15" hidden="1" customHeight="1" x14ac:dyDescent="0.25">
      <c r="A172" s="461">
        <v>44308</v>
      </c>
      <c r="B172" s="284" t="s">
        <v>382</v>
      </c>
      <c r="C172" s="284" t="s">
        <v>73</v>
      </c>
      <c r="D172" s="424" t="s">
        <v>121</v>
      </c>
      <c r="E172" s="398"/>
      <c r="F172" s="398">
        <v>2800</v>
      </c>
      <c r="G172" s="422">
        <f t="shared" si="2"/>
        <v>38273235.99927</v>
      </c>
      <c r="H172" s="282" t="s">
        <v>77</v>
      </c>
      <c r="I172" s="282" t="s">
        <v>303</v>
      </c>
      <c r="J172" s="347" t="s">
        <v>213</v>
      </c>
      <c r="K172" s="282" t="s">
        <v>214</v>
      </c>
      <c r="L172" s="282" t="s">
        <v>223</v>
      </c>
      <c r="M172" s="283"/>
      <c r="N172" s="356"/>
      <c r="O172" s="283"/>
    </row>
    <row r="173" spans="1:15" s="397" customFormat="1" ht="15" hidden="1" customHeight="1" x14ac:dyDescent="0.25">
      <c r="A173" s="461">
        <v>44309</v>
      </c>
      <c r="B173" s="284" t="s">
        <v>304</v>
      </c>
      <c r="C173" s="284" t="s">
        <v>26</v>
      </c>
      <c r="D173" s="284" t="s">
        <v>61</v>
      </c>
      <c r="E173" s="398"/>
      <c r="F173" s="398">
        <v>33000</v>
      </c>
      <c r="G173" s="422">
        <f t="shared" si="2"/>
        <v>38240235.99927</v>
      </c>
      <c r="H173" s="284" t="s">
        <v>62</v>
      </c>
      <c r="I173" s="284" t="s">
        <v>134</v>
      </c>
      <c r="J173" s="346" t="s">
        <v>213</v>
      </c>
      <c r="K173" s="282" t="s">
        <v>214</v>
      </c>
      <c r="L173" s="282" t="s">
        <v>223</v>
      </c>
      <c r="M173" s="286"/>
      <c r="N173" s="356"/>
      <c r="O173" s="283"/>
    </row>
    <row r="174" spans="1:15" s="190" customFormat="1" ht="15" hidden="1" customHeight="1" x14ac:dyDescent="0.25">
      <c r="A174" s="461">
        <v>44309</v>
      </c>
      <c r="B174" s="284" t="s">
        <v>70</v>
      </c>
      <c r="C174" s="284" t="s">
        <v>120</v>
      </c>
      <c r="D174" s="284"/>
      <c r="E174" s="398"/>
      <c r="F174" s="398">
        <v>10000</v>
      </c>
      <c r="G174" s="422">
        <f t="shared" si="2"/>
        <v>38230235.99927</v>
      </c>
      <c r="H174" s="284" t="s">
        <v>62</v>
      </c>
      <c r="I174" s="284"/>
      <c r="J174" s="346"/>
      <c r="K174" s="282"/>
      <c r="L174" s="282"/>
      <c r="M174" s="283"/>
      <c r="N174" s="356"/>
      <c r="O174" s="283"/>
    </row>
    <row r="175" spans="1:15" s="190" customFormat="1" ht="15" hidden="1" customHeight="1" x14ac:dyDescent="0.25">
      <c r="A175" s="461">
        <v>44309</v>
      </c>
      <c r="B175" s="282" t="s">
        <v>209</v>
      </c>
      <c r="C175" s="282" t="s">
        <v>72</v>
      </c>
      <c r="D175" s="282" t="s">
        <v>19</v>
      </c>
      <c r="E175" s="429"/>
      <c r="F175" s="429">
        <v>15000</v>
      </c>
      <c r="G175" s="422">
        <f t="shared" si="2"/>
        <v>38215235.99927</v>
      </c>
      <c r="H175" s="282" t="s">
        <v>91</v>
      </c>
      <c r="I175" s="282" t="s">
        <v>303</v>
      </c>
      <c r="J175" s="346" t="s">
        <v>156</v>
      </c>
      <c r="K175" s="282" t="s">
        <v>215</v>
      </c>
      <c r="L175" s="282" t="s">
        <v>223</v>
      </c>
      <c r="M175" s="286" t="s">
        <v>501</v>
      </c>
      <c r="N175" s="356" t="s">
        <v>230</v>
      </c>
      <c r="O175" s="283"/>
    </row>
    <row r="176" spans="1:15" s="190" customFormat="1" ht="15" hidden="1" customHeight="1" x14ac:dyDescent="0.25">
      <c r="A176" s="461">
        <v>44309</v>
      </c>
      <c r="B176" s="282" t="s">
        <v>553</v>
      </c>
      <c r="C176" s="282" t="s">
        <v>327</v>
      </c>
      <c r="D176" s="282" t="s">
        <v>19</v>
      </c>
      <c r="E176" s="429"/>
      <c r="F176" s="429">
        <v>20000</v>
      </c>
      <c r="G176" s="422">
        <f t="shared" si="2"/>
        <v>38195235.99927</v>
      </c>
      <c r="H176" s="282" t="s">
        <v>91</v>
      </c>
      <c r="I176" s="282" t="s">
        <v>134</v>
      </c>
      <c r="J176" s="346" t="s">
        <v>156</v>
      </c>
      <c r="K176" s="282" t="s">
        <v>215</v>
      </c>
      <c r="L176" s="282" t="s">
        <v>223</v>
      </c>
      <c r="M176" s="286" t="s">
        <v>502</v>
      </c>
      <c r="N176" s="356" t="s">
        <v>231</v>
      </c>
      <c r="O176" s="283"/>
    </row>
    <row r="177" spans="1:15" s="190" customFormat="1" ht="15" hidden="1" customHeight="1" x14ac:dyDescent="0.25">
      <c r="A177" s="461">
        <v>44309</v>
      </c>
      <c r="B177" s="284" t="s">
        <v>176</v>
      </c>
      <c r="C177" s="284" t="s">
        <v>120</v>
      </c>
      <c r="D177" s="284"/>
      <c r="E177" s="398">
        <v>10000</v>
      </c>
      <c r="F177" s="398"/>
      <c r="G177" s="422">
        <f t="shared" si="2"/>
        <v>38205235.99927</v>
      </c>
      <c r="H177" s="283" t="s">
        <v>70</v>
      </c>
      <c r="I177" s="286"/>
      <c r="J177" s="346"/>
      <c r="K177" s="282"/>
      <c r="L177" s="282"/>
      <c r="M177" s="283"/>
      <c r="N177" s="436"/>
      <c r="O177" s="283"/>
    </row>
    <row r="178" spans="1:15" s="190" customFormat="1" ht="15" hidden="1" customHeight="1" x14ac:dyDescent="0.25">
      <c r="A178" s="461">
        <v>44309</v>
      </c>
      <c r="B178" s="284" t="s">
        <v>376</v>
      </c>
      <c r="C178" s="284" t="s">
        <v>73</v>
      </c>
      <c r="D178" s="424" t="s">
        <v>121</v>
      </c>
      <c r="E178" s="398"/>
      <c r="F178" s="398">
        <f>19900+2800</f>
        <v>22700</v>
      </c>
      <c r="G178" s="422">
        <f t="shared" si="2"/>
        <v>38182535.99927</v>
      </c>
      <c r="H178" s="282" t="s">
        <v>77</v>
      </c>
      <c r="I178" s="282" t="s">
        <v>303</v>
      </c>
      <c r="J178" s="347" t="s">
        <v>213</v>
      </c>
      <c r="K178" s="282" t="s">
        <v>214</v>
      </c>
      <c r="L178" s="282" t="s">
        <v>223</v>
      </c>
      <c r="M178" s="286"/>
      <c r="N178" s="356"/>
      <c r="O178" s="283"/>
    </row>
    <row r="179" spans="1:15" s="190" customFormat="1" ht="15" hidden="1" customHeight="1" x14ac:dyDescent="0.25">
      <c r="A179" s="461">
        <v>44310</v>
      </c>
      <c r="B179" s="284" t="s">
        <v>556</v>
      </c>
      <c r="C179" s="284" t="s">
        <v>155</v>
      </c>
      <c r="D179" s="424" t="s">
        <v>121</v>
      </c>
      <c r="E179" s="398"/>
      <c r="F179" s="398">
        <v>30000</v>
      </c>
      <c r="G179" s="422">
        <f t="shared" si="2"/>
        <v>38152535.99927</v>
      </c>
      <c r="H179" s="284" t="s">
        <v>122</v>
      </c>
      <c r="I179" s="284" t="s">
        <v>75</v>
      </c>
      <c r="J179" s="346" t="s">
        <v>156</v>
      </c>
      <c r="K179" s="282" t="s">
        <v>215</v>
      </c>
      <c r="L179" s="282" t="s">
        <v>223</v>
      </c>
      <c r="M179" s="286" t="s">
        <v>503</v>
      </c>
      <c r="N179" s="356" t="s">
        <v>231</v>
      </c>
      <c r="O179" s="283"/>
    </row>
    <row r="180" spans="1:15" s="190" customFormat="1" ht="15" hidden="1" customHeight="1" x14ac:dyDescent="0.25">
      <c r="A180" s="461">
        <v>44310</v>
      </c>
      <c r="B180" s="284" t="s">
        <v>316</v>
      </c>
      <c r="C180" s="284" t="s">
        <v>72</v>
      </c>
      <c r="D180" s="424" t="s">
        <v>121</v>
      </c>
      <c r="E180" s="398"/>
      <c r="F180" s="398">
        <v>6000</v>
      </c>
      <c r="G180" s="422">
        <f t="shared" si="2"/>
        <v>38146535.99927</v>
      </c>
      <c r="H180" s="284" t="s">
        <v>122</v>
      </c>
      <c r="I180" s="284" t="s">
        <v>75</v>
      </c>
      <c r="J180" s="396" t="s">
        <v>156</v>
      </c>
      <c r="K180" s="430" t="s">
        <v>215</v>
      </c>
      <c r="L180" s="282" t="s">
        <v>223</v>
      </c>
      <c r="M180" s="286" t="s">
        <v>504</v>
      </c>
      <c r="N180" s="440" t="s">
        <v>230</v>
      </c>
      <c r="O180" s="283"/>
    </row>
    <row r="181" spans="1:15" s="190" customFormat="1" ht="15" hidden="1" customHeight="1" x14ac:dyDescent="0.25">
      <c r="A181" s="461">
        <v>44310</v>
      </c>
      <c r="B181" s="284" t="s">
        <v>317</v>
      </c>
      <c r="C181" s="284" t="s">
        <v>72</v>
      </c>
      <c r="D181" s="424" t="s">
        <v>121</v>
      </c>
      <c r="E181" s="398"/>
      <c r="F181" s="398">
        <v>8000</v>
      </c>
      <c r="G181" s="422">
        <f t="shared" si="2"/>
        <v>38138535.99927</v>
      </c>
      <c r="H181" s="284" t="s">
        <v>122</v>
      </c>
      <c r="I181" s="284" t="s">
        <v>75</v>
      </c>
      <c r="J181" s="346" t="s">
        <v>156</v>
      </c>
      <c r="K181" s="282" t="s">
        <v>215</v>
      </c>
      <c r="L181" s="282" t="s">
        <v>223</v>
      </c>
      <c r="M181" s="286" t="s">
        <v>505</v>
      </c>
      <c r="N181" s="356" t="s">
        <v>230</v>
      </c>
      <c r="O181" s="283"/>
    </row>
    <row r="182" spans="1:15" s="190" customFormat="1" ht="15" hidden="1" customHeight="1" x14ac:dyDescent="0.25">
      <c r="A182" s="461">
        <v>44310</v>
      </c>
      <c r="B182" s="282" t="s">
        <v>330</v>
      </c>
      <c r="C182" s="282" t="s">
        <v>72</v>
      </c>
      <c r="D182" s="282" t="s">
        <v>19</v>
      </c>
      <c r="E182" s="429"/>
      <c r="F182" s="429">
        <v>65200</v>
      </c>
      <c r="G182" s="422">
        <f t="shared" si="2"/>
        <v>38073335.99927</v>
      </c>
      <c r="H182" s="282" t="s">
        <v>91</v>
      </c>
      <c r="I182" s="282" t="s">
        <v>134</v>
      </c>
      <c r="J182" s="346" t="s">
        <v>156</v>
      </c>
      <c r="K182" s="282" t="s">
        <v>215</v>
      </c>
      <c r="L182" s="282" t="s">
        <v>223</v>
      </c>
      <c r="M182" s="286" t="s">
        <v>506</v>
      </c>
      <c r="N182" s="356" t="s">
        <v>230</v>
      </c>
      <c r="O182" s="283"/>
    </row>
    <row r="183" spans="1:15" s="190" customFormat="1" ht="15" hidden="1" customHeight="1" x14ac:dyDescent="0.25">
      <c r="A183" s="461">
        <v>44310</v>
      </c>
      <c r="B183" s="284" t="s">
        <v>376</v>
      </c>
      <c r="C183" s="284" t="s">
        <v>73</v>
      </c>
      <c r="D183" s="424" t="s">
        <v>121</v>
      </c>
      <c r="E183" s="398"/>
      <c r="F183" s="398">
        <f>15750+8800</f>
        <v>24550</v>
      </c>
      <c r="G183" s="422">
        <f t="shared" si="2"/>
        <v>38048785.99927</v>
      </c>
      <c r="H183" s="282" t="s">
        <v>77</v>
      </c>
      <c r="I183" s="282" t="s">
        <v>303</v>
      </c>
      <c r="J183" s="347" t="s">
        <v>213</v>
      </c>
      <c r="K183" s="282" t="s">
        <v>214</v>
      </c>
      <c r="L183" s="282" t="s">
        <v>223</v>
      </c>
      <c r="M183" s="286"/>
      <c r="N183" s="356"/>
      <c r="O183" s="283"/>
    </row>
    <row r="184" spans="1:15" s="190" customFormat="1" ht="15" hidden="1" customHeight="1" x14ac:dyDescent="0.25">
      <c r="A184" s="461">
        <v>44312</v>
      </c>
      <c r="B184" s="284" t="s">
        <v>254</v>
      </c>
      <c r="C184" s="284" t="s">
        <v>120</v>
      </c>
      <c r="D184" s="284"/>
      <c r="E184" s="439"/>
      <c r="F184" s="398">
        <v>1000000</v>
      </c>
      <c r="G184" s="422">
        <f t="shared" si="2"/>
        <v>37048785.99927</v>
      </c>
      <c r="H184" s="282" t="s">
        <v>58</v>
      </c>
      <c r="I184" s="286">
        <v>3654441</v>
      </c>
      <c r="J184" s="355"/>
      <c r="K184" s="442"/>
      <c r="L184" s="282"/>
      <c r="M184" s="286"/>
      <c r="N184" s="440"/>
      <c r="O184" s="283"/>
    </row>
    <row r="185" spans="1:15" s="190" customFormat="1" ht="15" customHeight="1" x14ac:dyDescent="0.25">
      <c r="A185" s="461">
        <v>44312</v>
      </c>
      <c r="B185" s="443" t="s">
        <v>257</v>
      </c>
      <c r="C185" s="284" t="s">
        <v>60</v>
      </c>
      <c r="D185" s="444" t="s">
        <v>121</v>
      </c>
      <c r="E185" s="429"/>
      <c r="F185" s="398">
        <v>300000</v>
      </c>
      <c r="G185" s="422">
        <f t="shared" si="2"/>
        <v>36748785.99927</v>
      </c>
      <c r="H185" s="282" t="s">
        <v>59</v>
      </c>
      <c r="I185" s="286">
        <v>3643456</v>
      </c>
      <c r="J185" s="286" t="s">
        <v>156</v>
      </c>
      <c r="K185" s="282" t="s">
        <v>215</v>
      </c>
      <c r="L185" s="282" t="s">
        <v>223</v>
      </c>
      <c r="M185" s="286" t="s">
        <v>448</v>
      </c>
      <c r="N185" s="356" t="s">
        <v>224</v>
      </c>
      <c r="O185" s="283"/>
    </row>
    <row r="186" spans="1:15" s="190" customFormat="1" ht="15" customHeight="1" x14ac:dyDescent="0.25">
      <c r="A186" s="461">
        <v>44312</v>
      </c>
      <c r="B186" s="443" t="s">
        <v>258</v>
      </c>
      <c r="C186" s="445" t="s">
        <v>17</v>
      </c>
      <c r="D186" s="444" t="s">
        <v>21</v>
      </c>
      <c r="E186" s="429"/>
      <c r="F186" s="398">
        <v>500000</v>
      </c>
      <c r="G186" s="422">
        <f t="shared" si="2"/>
        <v>36248785.99927</v>
      </c>
      <c r="H186" s="282" t="s">
        <v>59</v>
      </c>
      <c r="I186" s="286" t="s">
        <v>133</v>
      </c>
      <c r="J186" s="346" t="s">
        <v>156</v>
      </c>
      <c r="K186" s="282" t="s">
        <v>215</v>
      </c>
      <c r="L186" s="282" t="s">
        <v>223</v>
      </c>
      <c r="M186" s="286" t="s">
        <v>507</v>
      </c>
      <c r="N186" s="356" t="s">
        <v>222</v>
      </c>
      <c r="O186" s="283"/>
    </row>
    <row r="187" spans="1:15" s="190" customFormat="1" ht="15" customHeight="1" x14ac:dyDescent="0.25">
      <c r="A187" s="461">
        <v>44312</v>
      </c>
      <c r="B187" s="443" t="s">
        <v>259</v>
      </c>
      <c r="C187" s="445" t="s">
        <v>120</v>
      </c>
      <c r="D187" s="444"/>
      <c r="E187" s="429"/>
      <c r="F187" s="398">
        <v>174000</v>
      </c>
      <c r="G187" s="422">
        <f t="shared" si="2"/>
        <v>36074785.99927</v>
      </c>
      <c r="H187" s="282" t="s">
        <v>59</v>
      </c>
      <c r="I187" s="286">
        <v>3643454</v>
      </c>
      <c r="J187" s="346"/>
      <c r="K187" s="431"/>
      <c r="L187" s="282"/>
      <c r="M187" s="286"/>
      <c r="N187" s="356"/>
      <c r="O187" s="283"/>
    </row>
    <row r="188" spans="1:15" s="190" customFormat="1" ht="15" customHeight="1" x14ac:dyDescent="0.25">
      <c r="A188" s="461">
        <v>44312</v>
      </c>
      <c r="B188" s="443" t="s">
        <v>260</v>
      </c>
      <c r="C188" s="445" t="s">
        <v>120</v>
      </c>
      <c r="D188" s="444"/>
      <c r="E188" s="429"/>
      <c r="F188" s="398">
        <v>167000</v>
      </c>
      <c r="G188" s="422">
        <f t="shared" si="2"/>
        <v>35907785.99927</v>
      </c>
      <c r="H188" s="282" t="s">
        <v>59</v>
      </c>
      <c r="I188" s="286">
        <v>3643455</v>
      </c>
      <c r="J188" s="346"/>
      <c r="K188" s="431"/>
      <c r="L188" s="282"/>
      <c r="M188" s="286"/>
      <c r="N188" s="356"/>
      <c r="O188" s="283"/>
    </row>
    <row r="189" spans="1:15" s="190" customFormat="1" ht="15.75" x14ac:dyDescent="0.25">
      <c r="A189" s="461">
        <v>44312</v>
      </c>
      <c r="B189" s="443" t="s">
        <v>393</v>
      </c>
      <c r="C189" s="445" t="s">
        <v>15</v>
      </c>
      <c r="D189" s="424" t="s">
        <v>121</v>
      </c>
      <c r="E189" s="446"/>
      <c r="F189" s="447">
        <v>308000</v>
      </c>
      <c r="G189" s="422">
        <f t="shared" si="2"/>
        <v>35599785.99927</v>
      </c>
      <c r="H189" s="282" t="s">
        <v>59</v>
      </c>
      <c r="I189" s="286">
        <v>3643446</v>
      </c>
      <c r="J189" s="346" t="s">
        <v>156</v>
      </c>
      <c r="K189" s="282" t="s">
        <v>215</v>
      </c>
      <c r="L189" s="282" t="s">
        <v>223</v>
      </c>
      <c r="M189" s="286" t="s">
        <v>449</v>
      </c>
      <c r="N189" s="356" t="s">
        <v>219</v>
      </c>
      <c r="O189" s="283"/>
    </row>
    <row r="190" spans="1:15" s="190" customFormat="1" ht="15.75" x14ac:dyDescent="0.25">
      <c r="A190" s="461">
        <v>44312</v>
      </c>
      <c r="B190" s="443" t="s">
        <v>261</v>
      </c>
      <c r="C190" s="445" t="s">
        <v>15</v>
      </c>
      <c r="D190" s="444" t="s">
        <v>19</v>
      </c>
      <c r="E190" s="429"/>
      <c r="F190" s="398">
        <v>400000</v>
      </c>
      <c r="G190" s="422">
        <f t="shared" si="2"/>
        <v>35199785.99927</v>
      </c>
      <c r="H190" s="282" t="s">
        <v>59</v>
      </c>
      <c r="I190" s="286">
        <v>3643447</v>
      </c>
      <c r="J190" s="346" t="s">
        <v>156</v>
      </c>
      <c r="K190" s="282" t="s">
        <v>215</v>
      </c>
      <c r="L190" s="282" t="s">
        <v>223</v>
      </c>
      <c r="M190" s="286" t="s">
        <v>508</v>
      </c>
      <c r="N190" s="356" t="s">
        <v>218</v>
      </c>
      <c r="O190" s="283"/>
    </row>
    <row r="191" spans="1:15" s="190" customFormat="1" ht="15.75" x14ac:dyDescent="0.25">
      <c r="A191" s="461">
        <v>44312</v>
      </c>
      <c r="B191" s="443" t="s">
        <v>262</v>
      </c>
      <c r="C191" s="445" t="s">
        <v>15</v>
      </c>
      <c r="D191" s="445" t="s">
        <v>31</v>
      </c>
      <c r="E191" s="429"/>
      <c r="F191" s="398">
        <v>400000</v>
      </c>
      <c r="G191" s="422">
        <f t="shared" si="2"/>
        <v>34799785.99927</v>
      </c>
      <c r="H191" s="282" t="s">
        <v>59</v>
      </c>
      <c r="I191" s="286">
        <v>3643453</v>
      </c>
      <c r="J191" s="346" t="s">
        <v>156</v>
      </c>
      <c r="K191" s="282" t="s">
        <v>215</v>
      </c>
      <c r="L191" s="282" t="s">
        <v>223</v>
      </c>
      <c r="M191" s="286" t="s">
        <v>509</v>
      </c>
      <c r="N191" s="356" t="s">
        <v>221</v>
      </c>
      <c r="O191" s="283"/>
    </row>
    <row r="192" spans="1:15" s="190" customFormat="1" ht="16.5" customHeight="1" x14ac:dyDescent="0.25">
      <c r="A192" s="461">
        <v>44312</v>
      </c>
      <c r="B192" s="443" t="s">
        <v>263</v>
      </c>
      <c r="C192" s="445" t="s">
        <v>15</v>
      </c>
      <c r="D192" s="444" t="s">
        <v>121</v>
      </c>
      <c r="E192" s="429"/>
      <c r="F192" s="398">
        <v>356500</v>
      </c>
      <c r="G192" s="422">
        <f t="shared" si="2"/>
        <v>34443285.99927</v>
      </c>
      <c r="H192" s="282" t="s">
        <v>59</v>
      </c>
      <c r="I192" s="286">
        <v>3643452</v>
      </c>
      <c r="J192" s="346" t="s">
        <v>156</v>
      </c>
      <c r="K192" s="282" t="s">
        <v>215</v>
      </c>
      <c r="L192" s="282" t="s">
        <v>223</v>
      </c>
      <c r="M192" s="286" t="s">
        <v>510</v>
      </c>
      <c r="N192" s="356" t="s">
        <v>219</v>
      </c>
      <c r="O192" s="283"/>
    </row>
    <row r="193" spans="1:16" s="190" customFormat="1" ht="15.75" x14ac:dyDescent="0.25">
      <c r="A193" s="461">
        <v>44312</v>
      </c>
      <c r="B193" s="443" t="s">
        <v>270</v>
      </c>
      <c r="C193" s="445" t="s">
        <v>15</v>
      </c>
      <c r="D193" s="444" t="s">
        <v>31</v>
      </c>
      <c r="E193" s="429"/>
      <c r="F193" s="398">
        <v>191000</v>
      </c>
      <c r="G193" s="422">
        <f t="shared" si="2"/>
        <v>34252285.99927</v>
      </c>
      <c r="H193" s="391" t="s">
        <v>59</v>
      </c>
      <c r="I193" s="286">
        <v>3643443</v>
      </c>
      <c r="J193" s="346" t="s">
        <v>156</v>
      </c>
      <c r="K193" s="282" t="s">
        <v>215</v>
      </c>
      <c r="L193" s="282" t="s">
        <v>223</v>
      </c>
      <c r="M193" s="286" t="s">
        <v>511</v>
      </c>
      <c r="N193" s="356" t="s">
        <v>221</v>
      </c>
      <c r="O193" s="283"/>
    </row>
    <row r="194" spans="1:16" s="190" customFormat="1" ht="15.75" x14ac:dyDescent="0.25">
      <c r="A194" s="461">
        <v>44312</v>
      </c>
      <c r="B194" s="443" t="s">
        <v>264</v>
      </c>
      <c r="C194" s="445" t="s">
        <v>15</v>
      </c>
      <c r="D194" s="444" t="s">
        <v>19</v>
      </c>
      <c r="E194" s="429"/>
      <c r="F194" s="398">
        <v>813263</v>
      </c>
      <c r="G194" s="422">
        <f t="shared" si="2"/>
        <v>33439022.99927</v>
      </c>
      <c r="H194" s="391" t="s">
        <v>59</v>
      </c>
      <c r="I194" s="286">
        <v>3643449</v>
      </c>
      <c r="J194" s="346" t="s">
        <v>156</v>
      </c>
      <c r="K194" s="282" t="s">
        <v>215</v>
      </c>
      <c r="L194" s="282" t="s">
        <v>223</v>
      </c>
      <c r="M194" s="286" t="s">
        <v>450</v>
      </c>
      <c r="N194" s="356" t="s">
        <v>217</v>
      </c>
      <c r="O194" s="283"/>
    </row>
    <row r="195" spans="1:16" s="190" customFormat="1" ht="15" customHeight="1" x14ac:dyDescent="0.25">
      <c r="A195" s="461">
        <v>44312</v>
      </c>
      <c r="B195" s="443" t="s">
        <v>265</v>
      </c>
      <c r="C195" s="445" t="s">
        <v>15</v>
      </c>
      <c r="D195" s="444" t="s">
        <v>19</v>
      </c>
      <c r="E195" s="429"/>
      <c r="F195" s="398">
        <v>275000</v>
      </c>
      <c r="G195" s="422">
        <f t="shared" si="2"/>
        <v>33164022.99927</v>
      </c>
      <c r="H195" s="391" t="s">
        <v>59</v>
      </c>
      <c r="I195" s="286">
        <v>3643452</v>
      </c>
      <c r="J195" s="346" t="s">
        <v>156</v>
      </c>
      <c r="K195" s="282" t="s">
        <v>215</v>
      </c>
      <c r="L195" s="282" t="s">
        <v>223</v>
      </c>
      <c r="M195" s="286" t="s">
        <v>512</v>
      </c>
      <c r="N195" s="356" t="s">
        <v>218</v>
      </c>
      <c r="O195" s="283"/>
    </row>
    <row r="196" spans="1:16" s="190" customFormat="1" ht="15" customHeight="1" x14ac:dyDescent="0.25">
      <c r="A196" s="461">
        <v>44312</v>
      </c>
      <c r="B196" s="443" t="s">
        <v>266</v>
      </c>
      <c r="C196" s="445" t="s">
        <v>15</v>
      </c>
      <c r="D196" s="444" t="s">
        <v>121</v>
      </c>
      <c r="E196" s="429"/>
      <c r="F196" s="398">
        <v>193600</v>
      </c>
      <c r="G196" s="422">
        <f t="shared" si="2"/>
        <v>32970422.99927</v>
      </c>
      <c r="H196" s="282" t="s">
        <v>59</v>
      </c>
      <c r="I196" s="286">
        <v>3643445</v>
      </c>
      <c r="J196" s="346" t="s">
        <v>156</v>
      </c>
      <c r="K196" s="282" t="s">
        <v>215</v>
      </c>
      <c r="L196" s="282" t="s">
        <v>223</v>
      </c>
      <c r="M196" s="286" t="s">
        <v>513</v>
      </c>
      <c r="N196" s="356" t="s">
        <v>219</v>
      </c>
      <c r="O196" s="283"/>
    </row>
    <row r="197" spans="1:16" s="190" customFormat="1" ht="15" customHeight="1" x14ac:dyDescent="0.25">
      <c r="A197" s="461">
        <v>44312</v>
      </c>
      <c r="B197" s="443" t="s">
        <v>267</v>
      </c>
      <c r="C197" s="445" t="s">
        <v>15</v>
      </c>
      <c r="D197" s="444" t="s">
        <v>121</v>
      </c>
      <c r="E197" s="429"/>
      <c r="F197" s="398">
        <v>193600</v>
      </c>
      <c r="G197" s="422">
        <f t="shared" si="2"/>
        <v>32776822.99927</v>
      </c>
      <c r="H197" s="282" t="s">
        <v>59</v>
      </c>
      <c r="I197" s="286">
        <v>3643444</v>
      </c>
      <c r="J197" s="346" t="s">
        <v>156</v>
      </c>
      <c r="K197" s="282" t="s">
        <v>215</v>
      </c>
      <c r="L197" s="282" t="s">
        <v>223</v>
      </c>
      <c r="M197" s="286" t="s">
        <v>514</v>
      </c>
      <c r="N197" s="356" t="s">
        <v>219</v>
      </c>
      <c r="O197" s="283"/>
      <c r="P197" s="499"/>
    </row>
    <row r="198" spans="1:16" s="397" customFormat="1" ht="15" customHeight="1" x14ac:dyDescent="0.25">
      <c r="A198" s="461">
        <v>44312</v>
      </c>
      <c r="B198" s="443" t="s">
        <v>268</v>
      </c>
      <c r="C198" s="445" t="s">
        <v>15</v>
      </c>
      <c r="D198" s="444" t="s">
        <v>121</v>
      </c>
      <c r="E198" s="429"/>
      <c r="F198" s="398">
        <v>326000</v>
      </c>
      <c r="G198" s="422">
        <f t="shared" si="2"/>
        <v>32450822.99927</v>
      </c>
      <c r="H198" s="282" t="s">
        <v>59</v>
      </c>
      <c r="I198" s="286" t="s">
        <v>133</v>
      </c>
      <c r="J198" s="346" t="s">
        <v>156</v>
      </c>
      <c r="K198" s="282" t="s">
        <v>215</v>
      </c>
      <c r="L198" s="282" t="s">
        <v>223</v>
      </c>
      <c r="M198" s="286" t="s">
        <v>515</v>
      </c>
      <c r="N198" s="356" t="s">
        <v>219</v>
      </c>
      <c r="O198" s="283"/>
    </row>
    <row r="199" spans="1:16" s="190" customFormat="1" ht="15" customHeight="1" x14ac:dyDescent="0.25">
      <c r="A199" s="461">
        <v>44312</v>
      </c>
      <c r="B199" s="443" t="s">
        <v>269</v>
      </c>
      <c r="C199" s="445" t="s">
        <v>15</v>
      </c>
      <c r="D199" s="445" t="s">
        <v>61</v>
      </c>
      <c r="E199" s="429"/>
      <c r="F199" s="398">
        <v>230000</v>
      </c>
      <c r="G199" s="422">
        <f t="shared" si="2"/>
        <v>32220822.99927</v>
      </c>
      <c r="H199" s="282" t="s">
        <v>59</v>
      </c>
      <c r="I199" s="286" t="s">
        <v>133</v>
      </c>
      <c r="J199" s="346" t="s">
        <v>156</v>
      </c>
      <c r="K199" s="282" t="s">
        <v>215</v>
      </c>
      <c r="L199" s="282" t="s">
        <v>223</v>
      </c>
      <c r="M199" s="286" t="s">
        <v>516</v>
      </c>
      <c r="N199" s="356" t="s">
        <v>220</v>
      </c>
      <c r="O199" s="283"/>
    </row>
    <row r="200" spans="1:16" s="190" customFormat="1" ht="15" hidden="1" customHeight="1" x14ac:dyDescent="0.25">
      <c r="A200" s="461">
        <v>44312</v>
      </c>
      <c r="B200" s="284" t="s">
        <v>69</v>
      </c>
      <c r="C200" s="284" t="s">
        <v>120</v>
      </c>
      <c r="D200" s="284"/>
      <c r="E200" s="398"/>
      <c r="F200" s="398">
        <v>10000</v>
      </c>
      <c r="G200" s="422">
        <f t="shared" si="2"/>
        <v>32210822.99927</v>
      </c>
      <c r="H200" s="284" t="s">
        <v>62</v>
      </c>
      <c r="I200" s="284"/>
      <c r="J200" s="346"/>
      <c r="K200" s="282"/>
      <c r="L200" s="282"/>
      <c r="M200" s="283"/>
      <c r="N200" s="356"/>
      <c r="O200" s="283"/>
    </row>
    <row r="201" spans="1:16" s="190" customFormat="1" ht="15" hidden="1" customHeight="1" x14ac:dyDescent="0.25">
      <c r="A201" s="461">
        <v>44312</v>
      </c>
      <c r="B201" s="284" t="s">
        <v>292</v>
      </c>
      <c r="C201" s="284" t="s">
        <v>30</v>
      </c>
      <c r="D201" s="284" t="s">
        <v>21</v>
      </c>
      <c r="E201" s="398"/>
      <c r="F201" s="398">
        <v>110000</v>
      </c>
      <c r="G201" s="422">
        <f t="shared" si="2"/>
        <v>32100822.99927</v>
      </c>
      <c r="H201" s="284" t="s">
        <v>62</v>
      </c>
      <c r="I201" s="284" t="s">
        <v>75</v>
      </c>
      <c r="J201" s="286" t="s">
        <v>213</v>
      </c>
      <c r="K201" s="282" t="s">
        <v>214</v>
      </c>
      <c r="L201" s="282" t="s">
        <v>223</v>
      </c>
      <c r="M201" s="283"/>
      <c r="N201" s="356"/>
      <c r="O201" s="283"/>
    </row>
    <row r="202" spans="1:16" s="190" customFormat="1" ht="15" hidden="1" customHeight="1" x14ac:dyDescent="0.25">
      <c r="A202" s="461">
        <v>44312</v>
      </c>
      <c r="B202" s="284" t="s">
        <v>275</v>
      </c>
      <c r="C202" s="284" t="s">
        <v>120</v>
      </c>
      <c r="D202" s="284"/>
      <c r="E202" s="398"/>
      <c r="F202" s="398">
        <v>35000</v>
      </c>
      <c r="G202" s="422">
        <f t="shared" si="2"/>
        <v>32065822.99927</v>
      </c>
      <c r="H202" s="284" t="s">
        <v>62</v>
      </c>
      <c r="I202" s="284"/>
      <c r="J202" s="346"/>
      <c r="K202" s="282"/>
      <c r="L202" s="282"/>
      <c r="M202" s="283"/>
      <c r="N202" s="356"/>
      <c r="O202" s="283"/>
    </row>
    <row r="203" spans="1:16" s="190" customFormat="1" ht="15" hidden="1" customHeight="1" x14ac:dyDescent="0.25">
      <c r="A203" s="461">
        <v>44312</v>
      </c>
      <c r="B203" s="284" t="s">
        <v>284</v>
      </c>
      <c r="C203" s="424" t="s">
        <v>63</v>
      </c>
      <c r="D203" s="424" t="s">
        <v>21</v>
      </c>
      <c r="E203" s="398"/>
      <c r="F203" s="398">
        <v>1050</v>
      </c>
      <c r="G203" s="422">
        <f t="shared" si="2"/>
        <v>32064772.99927</v>
      </c>
      <c r="H203" s="284" t="s">
        <v>62</v>
      </c>
      <c r="I203" s="284" t="s">
        <v>303</v>
      </c>
      <c r="J203" s="346" t="s">
        <v>156</v>
      </c>
      <c r="K203" s="431" t="s">
        <v>215</v>
      </c>
      <c r="L203" s="282" t="s">
        <v>223</v>
      </c>
      <c r="M203" s="286" t="s">
        <v>517</v>
      </c>
      <c r="N203" s="356" t="s">
        <v>216</v>
      </c>
      <c r="O203" s="283"/>
    </row>
    <row r="204" spans="1:16" s="190" customFormat="1" ht="15" hidden="1" customHeight="1" x14ac:dyDescent="0.25">
      <c r="A204" s="461">
        <v>44312</v>
      </c>
      <c r="B204" s="284" t="s">
        <v>67</v>
      </c>
      <c r="C204" s="284" t="s">
        <v>120</v>
      </c>
      <c r="D204" s="284"/>
      <c r="E204" s="398"/>
      <c r="F204" s="398">
        <v>70000</v>
      </c>
      <c r="G204" s="422">
        <f t="shared" si="2"/>
        <v>31994772.99927</v>
      </c>
      <c r="H204" s="284" t="s">
        <v>62</v>
      </c>
      <c r="I204" s="284"/>
      <c r="J204" s="346"/>
      <c r="K204" s="282"/>
      <c r="L204" s="282"/>
      <c r="M204" s="283"/>
      <c r="N204" s="356"/>
      <c r="O204" s="283"/>
    </row>
    <row r="205" spans="1:16" s="190" customFormat="1" ht="15" hidden="1" customHeight="1" x14ac:dyDescent="0.25">
      <c r="A205" s="461">
        <v>44312</v>
      </c>
      <c r="B205" s="284" t="s">
        <v>68</v>
      </c>
      <c r="C205" s="284" t="s">
        <v>120</v>
      </c>
      <c r="D205" s="284"/>
      <c r="E205" s="398"/>
      <c r="F205" s="398">
        <v>70000</v>
      </c>
      <c r="G205" s="422">
        <f t="shared" si="2"/>
        <v>31924772.99927</v>
      </c>
      <c r="H205" s="284" t="s">
        <v>62</v>
      </c>
      <c r="I205" s="284"/>
      <c r="J205" s="347"/>
      <c r="K205" s="282"/>
      <c r="L205" s="282"/>
      <c r="M205" s="283"/>
      <c r="N205" s="356"/>
      <c r="O205" s="283"/>
    </row>
    <row r="206" spans="1:16" s="190" customFormat="1" ht="15" hidden="1" customHeight="1" x14ac:dyDescent="0.25">
      <c r="A206" s="461">
        <v>44312</v>
      </c>
      <c r="B206" s="284" t="s">
        <v>58</v>
      </c>
      <c r="C206" s="284" t="s">
        <v>120</v>
      </c>
      <c r="D206" s="284"/>
      <c r="E206" s="398">
        <v>1000000</v>
      </c>
      <c r="F206" s="398"/>
      <c r="G206" s="422">
        <f t="shared" ref="G206:G269" si="3">G205+E206-F206</f>
        <v>32924772.99927</v>
      </c>
      <c r="H206" s="284" t="s">
        <v>62</v>
      </c>
      <c r="I206" s="284"/>
      <c r="J206" s="347"/>
      <c r="K206" s="282"/>
      <c r="L206" s="282"/>
      <c r="M206" s="283"/>
      <c r="N206" s="356"/>
      <c r="O206" s="283"/>
    </row>
    <row r="207" spans="1:16" s="190" customFormat="1" ht="15" hidden="1" customHeight="1" x14ac:dyDescent="0.25">
      <c r="A207" s="461">
        <v>44312</v>
      </c>
      <c r="B207" s="284" t="s">
        <v>142</v>
      </c>
      <c r="C207" s="284" t="s">
        <v>120</v>
      </c>
      <c r="D207" s="284"/>
      <c r="E207" s="398"/>
      <c r="F207" s="398">
        <v>10000</v>
      </c>
      <c r="G207" s="422">
        <f t="shared" si="3"/>
        <v>32914772.99927</v>
      </c>
      <c r="H207" s="284" t="s">
        <v>62</v>
      </c>
      <c r="I207" s="284"/>
      <c r="J207" s="346"/>
      <c r="K207" s="282"/>
      <c r="L207" s="282"/>
      <c r="M207" s="283"/>
      <c r="N207" s="356"/>
      <c r="O207" s="283"/>
    </row>
    <row r="208" spans="1:16" s="190" customFormat="1" ht="15" hidden="1" customHeight="1" x14ac:dyDescent="0.25">
      <c r="A208" s="461">
        <v>44312</v>
      </c>
      <c r="B208" s="284" t="s">
        <v>68</v>
      </c>
      <c r="C208" s="284" t="s">
        <v>120</v>
      </c>
      <c r="D208" s="284"/>
      <c r="E208" s="398"/>
      <c r="F208" s="398">
        <v>20000</v>
      </c>
      <c r="G208" s="422">
        <f t="shared" si="3"/>
        <v>32894772.99927</v>
      </c>
      <c r="H208" s="284" t="s">
        <v>62</v>
      </c>
      <c r="I208" s="284"/>
      <c r="J208" s="349"/>
      <c r="K208" s="282"/>
      <c r="L208" s="282"/>
      <c r="M208" s="286"/>
      <c r="N208" s="356"/>
      <c r="O208" s="283"/>
    </row>
    <row r="209" spans="1:66" s="190" customFormat="1" ht="15" hidden="1" customHeight="1" x14ac:dyDescent="0.25">
      <c r="A209" s="461">
        <v>44312</v>
      </c>
      <c r="B209" s="284" t="s">
        <v>58</v>
      </c>
      <c r="C209" s="284" t="s">
        <v>120</v>
      </c>
      <c r="D209" s="284"/>
      <c r="E209" s="398">
        <v>174000</v>
      </c>
      <c r="F209" s="398"/>
      <c r="G209" s="422">
        <f t="shared" si="3"/>
        <v>33068772.99927</v>
      </c>
      <c r="H209" s="284" t="s">
        <v>62</v>
      </c>
      <c r="I209" s="284"/>
      <c r="J209" s="346"/>
      <c r="K209" s="282"/>
      <c r="L209" s="282"/>
      <c r="M209" s="283"/>
      <c r="N209" s="356"/>
      <c r="O209" s="283"/>
    </row>
    <row r="210" spans="1:66" s="190" customFormat="1" ht="15" hidden="1" customHeight="1" x14ac:dyDescent="0.25">
      <c r="A210" s="461">
        <v>44312</v>
      </c>
      <c r="B210" s="284" t="s">
        <v>58</v>
      </c>
      <c r="C210" s="284" t="s">
        <v>120</v>
      </c>
      <c r="D210" s="284"/>
      <c r="E210" s="398">
        <v>167000</v>
      </c>
      <c r="F210" s="398"/>
      <c r="G210" s="422">
        <f t="shared" si="3"/>
        <v>33235772.99927</v>
      </c>
      <c r="H210" s="284" t="s">
        <v>62</v>
      </c>
      <c r="I210" s="284"/>
      <c r="J210" s="346"/>
      <c r="K210" s="284"/>
      <c r="L210" s="282"/>
      <c r="M210" s="283"/>
      <c r="N210" s="356"/>
      <c r="O210" s="283"/>
    </row>
    <row r="211" spans="1:66" s="190" customFormat="1" ht="15" hidden="1" customHeight="1" x14ac:dyDescent="0.25">
      <c r="A211" s="461">
        <v>44312</v>
      </c>
      <c r="B211" s="284" t="s">
        <v>70</v>
      </c>
      <c r="C211" s="284" t="s">
        <v>120</v>
      </c>
      <c r="D211" s="284"/>
      <c r="E211" s="398">
        <v>20000</v>
      </c>
      <c r="F211" s="398"/>
      <c r="G211" s="422">
        <f t="shared" si="3"/>
        <v>33255772.99927</v>
      </c>
      <c r="H211" s="284" t="s">
        <v>62</v>
      </c>
      <c r="I211" s="284"/>
      <c r="J211" s="346"/>
      <c r="K211" s="282"/>
      <c r="L211" s="282"/>
      <c r="M211" s="283"/>
      <c r="N211" s="356"/>
      <c r="O211" s="282"/>
    </row>
    <row r="212" spans="1:66" s="190" customFormat="1" ht="15" hidden="1" customHeight="1" x14ac:dyDescent="0.25">
      <c r="A212" s="461">
        <v>44312</v>
      </c>
      <c r="B212" s="284" t="s">
        <v>332</v>
      </c>
      <c r="C212" s="284" t="s">
        <v>120</v>
      </c>
      <c r="D212" s="284"/>
      <c r="E212" s="398">
        <v>10000</v>
      </c>
      <c r="F212" s="398"/>
      <c r="G212" s="422">
        <f t="shared" si="3"/>
        <v>33265772.99927</v>
      </c>
      <c r="H212" s="284" t="s">
        <v>69</v>
      </c>
      <c r="I212" s="286"/>
      <c r="J212" s="346"/>
      <c r="K212" s="282"/>
      <c r="L212" s="282"/>
      <c r="M212" s="283"/>
      <c r="N212" s="356"/>
      <c r="O212" s="283"/>
    </row>
    <row r="213" spans="1:66" s="190" customFormat="1" ht="16.5" hidden="1" customHeight="1" x14ac:dyDescent="0.25">
      <c r="A213" s="461">
        <v>44312</v>
      </c>
      <c r="B213" s="282" t="s">
        <v>345</v>
      </c>
      <c r="C213" s="284" t="s">
        <v>120</v>
      </c>
      <c r="D213" s="433"/>
      <c r="E213" s="429">
        <v>20000</v>
      </c>
      <c r="F213" s="429"/>
      <c r="G213" s="422">
        <f t="shared" si="3"/>
        <v>33285772.99927</v>
      </c>
      <c r="H213" s="283" t="s">
        <v>68</v>
      </c>
      <c r="I213" s="282"/>
      <c r="J213" s="346"/>
      <c r="K213" s="282"/>
      <c r="L213" s="282"/>
      <c r="M213" s="286"/>
      <c r="N213" s="356"/>
      <c r="O213" s="283"/>
    </row>
    <row r="214" spans="1:66" s="190" customFormat="1" ht="15" hidden="1" customHeight="1" x14ac:dyDescent="0.25">
      <c r="A214" s="461">
        <v>44312</v>
      </c>
      <c r="B214" s="282" t="s">
        <v>345</v>
      </c>
      <c r="C214" s="284" t="s">
        <v>120</v>
      </c>
      <c r="D214" s="433"/>
      <c r="E214" s="429">
        <v>70000</v>
      </c>
      <c r="F214" s="429"/>
      <c r="G214" s="422">
        <f t="shared" si="3"/>
        <v>33355772.99927</v>
      </c>
      <c r="H214" s="283" t="s">
        <v>68</v>
      </c>
      <c r="I214" s="282"/>
      <c r="J214" s="347"/>
      <c r="K214" s="282"/>
      <c r="L214" s="282"/>
      <c r="M214" s="283"/>
      <c r="N214" s="356"/>
      <c r="O214" s="283"/>
    </row>
    <row r="215" spans="1:66" s="190" customFormat="1" ht="15" hidden="1" customHeight="1" x14ac:dyDescent="0.25">
      <c r="A215" s="461">
        <v>44312</v>
      </c>
      <c r="B215" s="284" t="s">
        <v>232</v>
      </c>
      <c r="C215" s="284" t="s">
        <v>120</v>
      </c>
      <c r="D215" s="284"/>
      <c r="E215" s="398">
        <v>10000</v>
      </c>
      <c r="F215" s="398"/>
      <c r="G215" s="422">
        <f t="shared" si="3"/>
        <v>33365772.99927</v>
      </c>
      <c r="H215" s="283" t="s">
        <v>142</v>
      </c>
      <c r="I215" s="346"/>
      <c r="J215" s="346"/>
      <c r="K215" s="282"/>
      <c r="L215" s="282"/>
      <c r="M215" s="283"/>
      <c r="N215" s="356"/>
      <c r="O215" s="283"/>
    </row>
    <row r="216" spans="1:66" s="397" customFormat="1" ht="15" hidden="1" customHeight="1" x14ac:dyDescent="0.25">
      <c r="A216" s="461">
        <v>44312</v>
      </c>
      <c r="B216" s="282" t="s">
        <v>233</v>
      </c>
      <c r="C216" s="284" t="s">
        <v>120</v>
      </c>
      <c r="D216" s="284"/>
      <c r="E216" s="429">
        <v>70000</v>
      </c>
      <c r="F216" s="429"/>
      <c r="G216" s="422">
        <f t="shared" si="3"/>
        <v>33435772.99927</v>
      </c>
      <c r="H216" s="282" t="s">
        <v>67</v>
      </c>
      <c r="I216" s="282"/>
      <c r="J216" s="346"/>
      <c r="K216" s="282"/>
      <c r="L216" s="282"/>
      <c r="M216" s="283"/>
      <c r="N216" s="356"/>
      <c r="O216" s="283"/>
    </row>
    <row r="217" spans="1:66" s="190" customFormat="1" ht="15" hidden="1" customHeight="1" x14ac:dyDescent="0.25">
      <c r="A217" s="461">
        <v>44312</v>
      </c>
      <c r="B217" s="284" t="s">
        <v>361</v>
      </c>
      <c r="C217" s="284" t="s">
        <v>120</v>
      </c>
      <c r="D217" s="284"/>
      <c r="E217" s="398"/>
      <c r="F217" s="398">
        <v>20000</v>
      </c>
      <c r="G217" s="422">
        <f t="shared" si="3"/>
        <v>33415772.99927</v>
      </c>
      <c r="H217" s="283" t="s">
        <v>70</v>
      </c>
      <c r="I217" s="282"/>
      <c r="J217" s="347"/>
      <c r="K217" s="282"/>
      <c r="L217" s="282"/>
      <c r="M217" s="283"/>
      <c r="N217" s="356"/>
      <c r="O217" s="283"/>
    </row>
    <row r="218" spans="1:66" s="190" customFormat="1" ht="15" hidden="1" customHeight="1" x14ac:dyDescent="0.25">
      <c r="A218" s="461">
        <v>44312</v>
      </c>
      <c r="B218" s="284" t="s">
        <v>383</v>
      </c>
      <c r="C218" s="284" t="s">
        <v>73</v>
      </c>
      <c r="D218" s="424" t="s">
        <v>121</v>
      </c>
      <c r="E218" s="398"/>
      <c r="F218" s="398">
        <f>8700+3850+5000+7825</f>
        <v>25375</v>
      </c>
      <c r="G218" s="422">
        <f t="shared" si="3"/>
        <v>33390397.99927</v>
      </c>
      <c r="H218" s="282" t="s">
        <v>77</v>
      </c>
      <c r="I218" s="282" t="s">
        <v>303</v>
      </c>
      <c r="J218" s="347" t="s">
        <v>213</v>
      </c>
      <c r="K218" s="282" t="s">
        <v>214</v>
      </c>
      <c r="L218" s="282" t="s">
        <v>223</v>
      </c>
      <c r="M218" s="286"/>
      <c r="N218" s="356"/>
      <c r="O218" s="283"/>
    </row>
    <row r="219" spans="1:66" s="190" customFormat="1" ht="15" hidden="1" customHeight="1" x14ac:dyDescent="0.25">
      <c r="A219" s="461">
        <v>44312</v>
      </c>
      <c r="B219" s="284" t="s">
        <v>376</v>
      </c>
      <c r="C219" s="284" t="s">
        <v>73</v>
      </c>
      <c r="D219" s="424" t="s">
        <v>121</v>
      </c>
      <c r="E219" s="398"/>
      <c r="F219" s="398">
        <f>7450+4000</f>
        <v>11450</v>
      </c>
      <c r="G219" s="422">
        <f t="shared" si="3"/>
        <v>33378947.99927</v>
      </c>
      <c r="H219" s="282" t="s">
        <v>77</v>
      </c>
      <c r="I219" s="282" t="s">
        <v>303</v>
      </c>
      <c r="J219" s="347" t="s">
        <v>213</v>
      </c>
      <c r="K219" s="282" t="s">
        <v>214</v>
      </c>
      <c r="L219" s="282" t="s">
        <v>223</v>
      </c>
      <c r="M219" s="283"/>
      <c r="N219" s="356"/>
      <c r="O219" s="283"/>
    </row>
    <row r="220" spans="1:66" s="190" customFormat="1" ht="15" hidden="1" customHeight="1" x14ac:dyDescent="0.25">
      <c r="A220" s="461">
        <v>44312</v>
      </c>
      <c r="B220" s="284" t="s">
        <v>384</v>
      </c>
      <c r="C220" s="284" t="s">
        <v>73</v>
      </c>
      <c r="D220" s="424" t="s">
        <v>121</v>
      </c>
      <c r="E220" s="398"/>
      <c r="F220" s="398">
        <v>35000</v>
      </c>
      <c r="G220" s="422">
        <f t="shared" si="3"/>
        <v>33343947.99927</v>
      </c>
      <c r="H220" s="282" t="s">
        <v>77</v>
      </c>
      <c r="I220" s="282" t="s">
        <v>303</v>
      </c>
      <c r="J220" s="347" t="s">
        <v>213</v>
      </c>
      <c r="K220" s="282" t="s">
        <v>214</v>
      </c>
      <c r="L220" s="282" t="s">
        <v>223</v>
      </c>
      <c r="M220" s="283"/>
      <c r="N220" s="356"/>
      <c r="O220" s="283"/>
      <c r="P220" s="500"/>
    </row>
    <row r="221" spans="1:66" s="397" customFormat="1" ht="15" hidden="1" customHeight="1" x14ac:dyDescent="0.25">
      <c r="A221" s="461">
        <v>44312</v>
      </c>
      <c r="B221" s="284" t="s">
        <v>385</v>
      </c>
      <c r="C221" s="284" t="s">
        <v>73</v>
      </c>
      <c r="D221" s="424" t="s">
        <v>121</v>
      </c>
      <c r="E221" s="398"/>
      <c r="F221" s="398">
        <v>25000</v>
      </c>
      <c r="G221" s="422">
        <f t="shared" si="3"/>
        <v>33318947.99927</v>
      </c>
      <c r="H221" s="282" t="s">
        <v>77</v>
      </c>
      <c r="I221" s="282" t="s">
        <v>134</v>
      </c>
      <c r="J221" s="347" t="s">
        <v>213</v>
      </c>
      <c r="K221" s="282" t="s">
        <v>214</v>
      </c>
      <c r="L221" s="282" t="s">
        <v>223</v>
      </c>
      <c r="M221" s="283"/>
      <c r="N221" s="356"/>
      <c r="O221" s="283"/>
      <c r="P221" s="190"/>
      <c r="Q221" s="190"/>
      <c r="R221" s="190"/>
      <c r="S221" s="190"/>
      <c r="T221" s="190"/>
      <c r="U221" s="190"/>
      <c r="V221" s="190"/>
      <c r="W221" s="190"/>
      <c r="X221" s="190"/>
      <c r="Y221" s="190"/>
      <c r="Z221" s="190"/>
      <c r="AA221" s="190"/>
      <c r="AB221" s="190"/>
      <c r="AC221" s="190"/>
      <c r="AD221" s="190"/>
      <c r="AE221" s="190"/>
      <c r="AF221" s="190"/>
      <c r="AG221" s="190"/>
      <c r="AH221" s="190"/>
      <c r="AI221" s="190"/>
      <c r="AJ221" s="190"/>
      <c r="AK221" s="190"/>
      <c r="AL221" s="190"/>
      <c r="AM221" s="190"/>
      <c r="AN221" s="190"/>
      <c r="AO221" s="190"/>
      <c r="AP221" s="190"/>
      <c r="AQ221" s="190"/>
      <c r="AR221" s="190"/>
      <c r="AS221" s="190"/>
      <c r="AT221" s="190"/>
      <c r="AU221" s="190"/>
      <c r="AV221" s="190"/>
      <c r="AW221" s="190"/>
      <c r="AX221" s="190"/>
      <c r="AY221" s="190"/>
      <c r="AZ221" s="190"/>
      <c r="BA221" s="190"/>
      <c r="BB221" s="190"/>
      <c r="BC221" s="190"/>
      <c r="BD221" s="190"/>
      <c r="BE221" s="190"/>
      <c r="BF221" s="190"/>
      <c r="BG221" s="190"/>
      <c r="BH221" s="190"/>
      <c r="BI221" s="190"/>
      <c r="BJ221" s="190"/>
      <c r="BK221" s="190"/>
      <c r="BL221" s="190"/>
      <c r="BM221" s="190"/>
      <c r="BN221" s="190"/>
    </row>
    <row r="222" spans="1:66" s="397" customFormat="1" ht="15" hidden="1" customHeight="1" x14ac:dyDescent="0.25">
      <c r="A222" s="461">
        <v>44312</v>
      </c>
      <c r="B222" s="284" t="s">
        <v>567</v>
      </c>
      <c r="C222" s="284" t="s">
        <v>155</v>
      </c>
      <c r="D222" s="284" t="s">
        <v>121</v>
      </c>
      <c r="E222" s="398"/>
      <c r="F222" s="398">
        <f>180000-15000</f>
        <v>165000</v>
      </c>
      <c r="G222" s="422">
        <f t="shared" si="3"/>
        <v>33153947.99927</v>
      </c>
      <c r="H222" s="282" t="s">
        <v>77</v>
      </c>
      <c r="I222" s="282" t="s">
        <v>303</v>
      </c>
      <c r="J222" s="346" t="s">
        <v>156</v>
      </c>
      <c r="K222" s="282" t="s">
        <v>215</v>
      </c>
      <c r="L222" s="282" t="s">
        <v>223</v>
      </c>
      <c r="M222" s="286" t="s">
        <v>518</v>
      </c>
      <c r="N222" s="356" t="s">
        <v>231</v>
      </c>
      <c r="O222" s="283"/>
      <c r="Q222" s="190"/>
    </row>
    <row r="223" spans="1:66" s="190" customFormat="1" ht="15" hidden="1" customHeight="1" x14ac:dyDescent="0.25">
      <c r="A223" s="461">
        <v>44313</v>
      </c>
      <c r="B223" s="282" t="s">
        <v>340</v>
      </c>
      <c r="C223" s="282" t="s">
        <v>72</v>
      </c>
      <c r="D223" s="284" t="s">
        <v>31</v>
      </c>
      <c r="E223" s="429"/>
      <c r="F223" s="429">
        <v>15000</v>
      </c>
      <c r="G223" s="422">
        <f t="shared" si="3"/>
        <v>33138947.99927</v>
      </c>
      <c r="H223" s="283" t="s">
        <v>68</v>
      </c>
      <c r="I223" s="282" t="s">
        <v>75</v>
      </c>
      <c r="J223" s="349" t="s">
        <v>156</v>
      </c>
      <c r="K223" s="282" t="s">
        <v>215</v>
      </c>
      <c r="L223" s="282" t="s">
        <v>223</v>
      </c>
      <c r="M223" s="286" t="s">
        <v>519</v>
      </c>
      <c r="N223" s="356" t="s">
        <v>230</v>
      </c>
      <c r="O223" s="283"/>
    </row>
    <row r="224" spans="1:66" s="190" customFormat="1" ht="15" hidden="1" customHeight="1" x14ac:dyDescent="0.25">
      <c r="A224" s="461">
        <v>44313</v>
      </c>
      <c r="B224" s="282" t="s">
        <v>568</v>
      </c>
      <c r="C224" s="282" t="s">
        <v>327</v>
      </c>
      <c r="D224" s="284" t="s">
        <v>31</v>
      </c>
      <c r="E224" s="429"/>
      <c r="F224" s="429">
        <v>60000</v>
      </c>
      <c r="G224" s="422">
        <f t="shared" si="3"/>
        <v>33078947.99927</v>
      </c>
      <c r="H224" s="283" t="s">
        <v>68</v>
      </c>
      <c r="I224" s="282" t="s">
        <v>134</v>
      </c>
      <c r="J224" s="346" t="s">
        <v>156</v>
      </c>
      <c r="K224" s="282" t="s">
        <v>215</v>
      </c>
      <c r="L224" s="282" t="s">
        <v>223</v>
      </c>
      <c r="M224" s="286" t="s">
        <v>520</v>
      </c>
      <c r="N224" s="356" t="s">
        <v>231</v>
      </c>
      <c r="O224" s="283"/>
    </row>
    <row r="225" spans="1:16" s="190" customFormat="1" ht="15" hidden="1" customHeight="1" x14ac:dyDescent="0.25">
      <c r="A225" s="461">
        <v>44313</v>
      </c>
      <c r="B225" s="391" t="s">
        <v>569</v>
      </c>
      <c r="C225" s="391" t="s">
        <v>327</v>
      </c>
      <c r="D225" s="416" t="s">
        <v>31</v>
      </c>
      <c r="E225" s="493"/>
      <c r="F225" s="493">
        <v>60000</v>
      </c>
      <c r="G225" s="422">
        <f t="shared" si="3"/>
        <v>33018947.99927</v>
      </c>
      <c r="H225" s="282" t="s">
        <v>67</v>
      </c>
      <c r="I225" s="391" t="s">
        <v>320</v>
      </c>
      <c r="J225" s="346" t="s">
        <v>156</v>
      </c>
      <c r="K225" s="282" t="s">
        <v>215</v>
      </c>
      <c r="L225" s="282" t="s">
        <v>223</v>
      </c>
      <c r="M225" s="286" t="s">
        <v>521</v>
      </c>
      <c r="N225" s="356" t="s">
        <v>231</v>
      </c>
      <c r="O225" s="283"/>
    </row>
    <row r="226" spans="1:16" s="190" customFormat="1" ht="15" hidden="1" customHeight="1" x14ac:dyDescent="0.25">
      <c r="A226" s="461">
        <v>44313</v>
      </c>
      <c r="B226" s="391" t="s">
        <v>356</v>
      </c>
      <c r="C226" s="391" t="s">
        <v>72</v>
      </c>
      <c r="D226" s="416" t="s">
        <v>31</v>
      </c>
      <c r="E226" s="493"/>
      <c r="F226" s="493">
        <v>12000</v>
      </c>
      <c r="G226" s="422">
        <f t="shared" si="3"/>
        <v>33006947.99927</v>
      </c>
      <c r="H226" s="282" t="s">
        <v>67</v>
      </c>
      <c r="I226" s="391" t="s">
        <v>303</v>
      </c>
      <c r="J226" s="347" t="s">
        <v>213</v>
      </c>
      <c r="K226" s="282" t="s">
        <v>214</v>
      </c>
      <c r="L226" s="282" t="s">
        <v>223</v>
      </c>
      <c r="M226" s="283"/>
      <c r="N226" s="356"/>
      <c r="O226" s="283"/>
    </row>
    <row r="227" spans="1:16" s="190" customFormat="1" ht="15" hidden="1" customHeight="1" x14ac:dyDescent="0.25">
      <c r="A227" s="461">
        <v>44313</v>
      </c>
      <c r="B227" s="416" t="s">
        <v>369</v>
      </c>
      <c r="C227" s="416" t="s">
        <v>120</v>
      </c>
      <c r="D227" s="416"/>
      <c r="E227" s="420">
        <v>35000</v>
      </c>
      <c r="F227" s="420"/>
      <c r="G227" s="422">
        <f t="shared" si="3"/>
        <v>33041947.99927</v>
      </c>
      <c r="H227" s="282" t="s">
        <v>77</v>
      </c>
      <c r="I227" s="284"/>
      <c r="J227" s="347"/>
      <c r="K227" s="282"/>
      <c r="L227" s="282"/>
      <c r="M227" s="283"/>
      <c r="N227" s="356"/>
      <c r="O227" s="283"/>
      <c r="P227" s="500"/>
    </row>
    <row r="228" spans="1:16" s="190" customFormat="1" ht="15" hidden="1" customHeight="1" x14ac:dyDescent="0.25">
      <c r="A228" s="461">
        <v>44313</v>
      </c>
      <c r="B228" s="416" t="s">
        <v>386</v>
      </c>
      <c r="C228" s="416" t="s">
        <v>72</v>
      </c>
      <c r="D228" s="416" t="s">
        <v>121</v>
      </c>
      <c r="E228" s="420"/>
      <c r="F228" s="420">
        <v>10000</v>
      </c>
      <c r="G228" s="422">
        <f t="shared" si="3"/>
        <v>33031947.99927</v>
      </c>
      <c r="H228" s="282" t="s">
        <v>77</v>
      </c>
      <c r="I228" s="391" t="s">
        <v>303</v>
      </c>
      <c r="J228" s="347" t="s">
        <v>156</v>
      </c>
      <c r="K228" s="282" t="s">
        <v>215</v>
      </c>
      <c r="L228" s="282" t="s">
        <v>223</v>
      </c>
      <c r="M228" s="286" t="s">
        <v>522</v>
      </c>
      <c r="N228" s="356" t="s">
        <v>230</v>
      </c>
      <c r="O228" s="283"/>
    </row>
    <row r="229" spans="1:16" s="190" customFormat="1" ht="15" hidden="1" customHeight="1" x14ac:dyDescent="0.25">
      <c r="A229" s="461">
        <v>44313</v>
      </c>
      <c r="B229" s="416" t="s">
        <v>570</v>
      </c>
      <c r="C229" s="416" t="s">
        <v>155</v>
      </c>
      <c r="D229" s="416" t="s">
        <v>121</v>
      </c>
      <c r="E229" s="421"/>
      <c r="F229" s="420">
        <v>15000</v>
      </c>
      <c r="G229" s="422">
        <f t="shared" si="3"/>
        <v>33016947.99927</v>
      </c>
      <c r="H229" s="282" t="s">
        <v>77</v>
      </c>
      <c r="I229" s="391" t="s">
        <v>303</v>
      </c>
      <c r="J229" s="346" t="s">
        <v>156</v>
      </c>
      <c r="K229" s="282" t="s">
        <v>215</v>
      </c>
      <c r="L229" s="282" t="s">
        <v>223</v>
      </c>
      <c r="M229" s="286" t="s">
        <v>523</v>
      </c>
      <c r="N229" s="356" t="s">
        <v>231</v>
      </c>
      <c r="O229" s="283"/>
    </row>
    <row r="230" spans="1:16" s="190" customFormat="1" ht="15" hidden="1" customHeight="1" x14ac:dyDescent="0.25">
      <c r="A230" s="461">
        <v>44314</v>
      </c>
      <c r="B230" s="501" t="s">
        <v>255</v>
      </c>
      <c r="C230" s="416" t="s">
        <v>60</v>
      </c>
      <c r="D230" s="502" t="s">
        <v>121</v>
      </c>
      <c r="E230" s="429"/>
      <c r="F230" s="448">
        <v>100000</v>
      </c>
      <c r="G230" s="422">
        <f t="shared" si="3"/>
        <v>32916947.99927</v>
      </c>
      <c r="H230" s="282" t="s">
        <v>58</v>
      </c>
      <c r="I230" s="286">
        <v>3654443</v>
      </c>
      <c r="J230" s="346" t="s">
        <v>213</v>
      </c>
      <c r="K230" s="282" t="s">
        <v>214</v>
      </c>
      <c r="L230" s="282" t="s">
        <v>223</v>
      </c>
      <c r="M230" s="286"/>
      <c r="N230" s="356"/>
      <c r="O230" s="283"/>
    </row>
    <row r="231" spans="1:16" s="190" customFormat="1" ht="15" hidden="1" customHeight="1" x14ac:dyDescent="0.25">
      <c r="A231" s="461">
        <v>44314</v>
      </c>
      <c r="B231" s="416" t="s">
        <v>293</v>
      </c>
      <c r="C231" s="449" t="s">
        <v>74</v>
      </c>
      <c r="D231" s="449" t="s">
        <v>21</v>
      </c>
      <c r="E231" s="450"/>
      <c r="F231" s="448">
        <v>21000</v>
      </c>
      <c r="G231" s="422">
        <f t="shared" si="3"/>
        <v>32895947.99927</v>
      </c>
      <c r="H231" s="284" t="s">
        <v>62</v>
      </c>
      <c r="I231" s="416" t="s">
        <v>302</v>
      </c>
      <c r="J231" s="286" t="s">
        <v>213</v>
      </c>
      <c r="K231" s="282" t="s">
        <v>214</v>
      </c>
      <c r="L231" s="282" t="s">
        <v>223</v>
      </c>
      <c r="M231" s="283"/>
      <c r="N231" s="356"/>
      <c r="O231" s="283"/>
    </row>
    <row r="232" spans="1:16" s="190" customFormat="1" ht="15" hidden="1" customHeight="1" x14ac:dyDescent="0.25">
      <c r="A232" s="461">
        <v>44314</v>
      </c>
      <c r="B232" s="284" t="s">
        <v>68</v>
      </c>
      <c r="C232" s="284" t="s">
        <v>120</v>
      </c>
      <c r="D232" s="284"/>
      <c r="E232" s="398"/>
      <c r="F232" s="398">
        <v>148000</v>
      </c>
      <c r="G232" s="422">
        <f t="shared" si="3"/>
        <v>32747947.99927</v>
      </c>
      <c r="H232" s="284" t="s">
        <v>62</v>
      </c>
      <c r="I232" s="284"/>
      <c r="J232" s="346"/>
      <c r="K232" s="282"/>
      <c r="L232" s="282"/>
      <c r="M232" s="286"/>
      <c r="N232" s="356"/>
      <c r="O232" s="283"/>
      <c r="P232" s="499"/>
    </row>
    <row r="233" spans="1:16" s="190" customFormat="1" ht="15" hidden="1" customHeight="1" x14ac:dyDescent="0.25">
      <c r="A233" s="461">
        <v>44314</v>
      </c>
      <c r="B233" s="284" t="s">
        <v>67</v>
      </c>
      <c r="C233" s="284" t="s">
        <v>120</v>
      </c>
      <c r="D233" s="284"/>
      <c r="E233" s="398"/>
      <c r="F233" s="398">
        <v>137000</v>
      </c>
      <c r="G233" s="422">
        <f t="shared" si="3"/>
        <v>32610947.99927</v>
      </c>
      <c r="H233" s="284" t="s">
        <v>62</v>
      </c>
      <c r="I233" s="284"/>
      <c r="J233" s="346"/>
      <c r="K233" s="282"/>
      <c r="L233" s="282"/>
      <c r="M233" s="283"/>
      <c r="N233" s="356"/>
      <c r="O233" s="283"/>
    </row>
    <row r="234" spans="1:16" s="190" customFormat="1" ht="15" hidden="1" customHeight="1" x14ac:dyDescent="0.25">
      <c r="A234" s="461">
        <v>44314</v>
      </c>
      <c r="B234" s="284" t="s">
        <v>278</v>
      </c>
      <c r="C234" s="424" t="s">
        <v>63</v>
      </c>
      <c r="D234" s="424" t="s">
        <v>21</v>
      </c>
      <c r="E234" s="398"/>
      <c r="F234" s="398">
        <v>8550</v>
      </c>
      <c r="G234" s="422">
        <f t="shared" si="3"/>
        <v>32602397.99927</v>
      </c>
      <c r="H234" s="284" t="s">
        <v>62</v>
      </c>
      <c r="I234" s="284" t="s">
        <v>303</v>
      </c>
      <c r="J234" s="346" t="s">
        <v>156</v>
      </c>
      <c r="K234" s="431" t="s">
        <v>215</v>
      </c>
      <c r="L234" s="282" t="s">
        <v>223</v>
      </c>
      <c r="M234" s="286" t="s">
        <v>524</v>
      </c>
      <c r="N234" s="356" t="s">
        <v>216</v>
      </c>
      <c r="O234" s="283"/>
    </row>
    <row r="235" spans="1:16" s="190" customFormat="1" ht="15" hidden="1" customHeight="1" x14ac:dyDescent="0.25">
      <c r="A235" s="461">
        <v>44314</v>
      </c>
      <c r="B235" s="284" t="s">
        <v>122</v>
      </c>
      <c r="C235" s="284" t="s">
        <v>120</v>
      </c>
      <c r="D235" s="284"/>
      <c r="E235" s="398"/>
      <c r="F235" s="398">
        <v>84000</v>
      </c>
      <c r="G235" s="422">
        <f t="shared" si="3"/>
        <v>32518397.99927</v>
      </c>
      <c r="H235" s="284" t="s">
        <v>62</v>
      </c>
      <c r="I235" s="284"/>
      <c r="J235" s="346"/>
      <c r="K235" s="282"/>
      <c r="L235" s="282"/>
      <c r="M235" s="286"/>
      <c r="N235" s="356"/>
      <c r="O235" s="283"/>
    </row>
    <row r="236" spans="1:16" s="190" customFormat="1" ht="15" hidden="1" customHeight="1" x14ac:dyDescent="0.25">
      <c r="A236" s="461">
        <v>44314</v>
      </c>
      <c r="B236" s="284" t="s">
        <v>175</v>
      </c>
      <c r="C236" s="284" t="s">
        <v>120</v>
      </c>
      <c r="D236" s="284"/>
      <c r="E236" s="398"/>
      <c r="F236" s="398">
        <v>10000</v>
      </c>
      <c r="G236" s="422">
        <f t="shared" si="3"/>
        <v>32508397.99927</v>
      </c>
      <c r="H236" s="284" t="s">
        <v>62</v>
      </c>
      <c r="I236" s="284"/>
      <c r="J236" s="349"/>
      <c r="K236" s="282"/>
      <c r="L236" s="282"/>
      <c r="M236" s="283"/>
      <c r="N236" s="356"/>
      <c r="O236" s="283"/>
    </row>
    <row r="237" spans="1:16" s="190" customFormat="1" ht="15" hidden="1" customHeight="1" x14ac:dyDescent="0.25">
      <c r="A237" s="461">
        <v>44314</v>
      </c>
      <c r="B237" s="284" t="s">
        <v>294</v>
      </c>
      <c r="C237" s="451" t="s">
        <v>20</v>
      </c>
      <c r="D237" s="284" t="s">
        <v>19</v>
      </c>
      <c r="E237" s="398"/>
      <c r="F237" s="398">
        <f>21000+5000+10000</f>
        <v>36000</v>
      </c>
      <c r="G237" s="422">
        <f t="shared" si="3"/>
        <v>32472397.99927</v>
      </c>
      <c r="H237" s="284" t="s">
        <v>62</v>
      </c>
      <c r="I237" s="284" t="s">
        <v>303</v>
      </c>
      <c r="J237" s="346" t="s">
        <v>156</v>
      </c>
      <c r="K237" s="431" t="s">
        <v>215</v>
      </c>
      <c r="L237" s="282" t="s">
        <v>223</v>
      </c>
      <c r="M237" s="286" t="s">
        <v>525</v>
      </c>
      <c r="N237" s="356" t="s">
        <v>225</v>
      </c>
      <c r="O237" s="283"/>
    </row>
    <row r="238" spans="1:16" s="190" customFormat="1" ht="15" hidden="1" customHeight="1" x14ac:dyDescent="0.25">
      <c r="A238" s="461">
        <v>44314</v>
      </c>
      <c r="B238" s="284" t="s">
        <v>295</v>
      </c>
      <c r="C238" s="451" t="s">
        <v>20</v>
      </c>
      <c r="D238" s="424" t="s">
        <v>121</v>
      </c>
      <c r="E238" s="398"/>
      <c r="F238" s="398">
        <f>16000+5000+5000+5000</f>
        <v>31000</v>
      </c>
      <c r="G238" s="422">
        <f t="shared" si="3"/>
        <v>32441397.99927</v>
      </c>
      <c r="H238" s="284" t="s">
        <v>62</v>
      </c>
      <c r="I238" s="284" t="s">
        <v>303</v>
      </c>
      <c r="J238" s="346" t="s">
        <v>156</v>
      </c>
      <c r="K238" s="431" t="s">
        <v>215</v>
      </c>
      <c r="L238" s="282" t="s">
        <v>223</v>
      </c>
      <c r="M238" s="286" t="s">
        <v>526</v>
      </c>
      <c r="N238" s="356" t="s">
        <v>225</v>
      </c>
      <c r="O238" s="283"/>
      <c r="P238" s="499"/>
    </row>
    <row r="239" spans="1:16" s="190" customFormat="1" ht="15" hidden="1" customHeight="1" x14ac:dyDescent="0.25">
      <c r="A239" s="461">
        <v>44314</v>
      </c>
      <c r="B239" s="284" t="s">
        <v>296</v>
      </c>
      <c r="C239" s="451" t="s">
        <v>20</v>
      </c>
      <c r="D239" s="284" t="s">
        <v>31</v>
      </c>
      <c r="E239" s="398"/>
      <c r="F239" s="398">
        <f>15000+10000</f>
        <v>25000</v>
      </c>
      <c r="G239" s="422">
        <f t="shared" si="3"/>
        <v>32416397.99927</v>
      </c>
      <c r="H239" s="284" t="s">
        <v>62</v>
      </c>
      <c r="I239" s="284" t="s">
        <v>303</v>
      </c>
      <c r="J239" s="346" t="s">
        <v>156</v>
      </c>
      <c r="K239" s="431" t="s">
        <v>215</v>
      </c>
      <c r="L239" s="282" t="s">
        <v>223</v>
      </c>
      <c r="M239" s="286" t="s">
        <v>527</v>
      </c>
      <c r="N239" s="356" t="s">
        <v>225</v>
      </c>
      <c r="O239" s="283"/>
    </row>
    <row r="240" spans="1:16" s="190" customFormat="1" ht="15" hidden="1" customHeight="1" x14ac:dyDescent="0.25">
      <c r="A240" s="461">
        <v>44314</v>
      </c>
      <c r="B240" s="284" t="s">
        <v>297</v>
      </c>
      <c r="C240" s="451" t="s">
        <v>20</v>
      </c>
      <c r="D240" s="284" t="s">
        <v>61</v>
      </c>
      <c r="E240" s="398"/>
      <c r="F240" s="398">
        <v>5000</v>
      </c>
      <c r="G240" s="422">
        <f t="shared" si="3"/>
        <v>32411397.99927</v>
      </c>
      <c r="H240" s="284" t="s">
        <v>62</v>
      </c>
      <c r="I240" s="284" t="s">
        <v>303</v>
      </c>
      <c r="J240" s="346" t="s">
        <v>156</v>
      </c>
      <c r="K240" s="431" t="s">
        <v>215</v>
      </c>
      <c r="L240" s="282" t="s">
        <v>223</v>
      </c>
      <c r="M240" s="286" t="s">
        <v>528</v>
      </c>
      <c r="N240" s="356" t="s">
        <v>225</v>
      </c>
      <c r="O240" s="283"/>
    </row>
    <row r="241" spans="1:17" s="190" customFormat="1" ht="15" hidden="1" customHeight="1" x14ac:dyDescent="0.25">
      <c r="A241" s="461">
        <v>44314</v>
      </c>
      <c r="B241" s="284" t="s">
        <v>166</v>
      </c>
      <c r="C241" s="284" t="s">
        <v>120</v>
      </c>
      <c r="D241" s="284"/>
      <c r="E241" s="398">
        <v>84000</v>
      </c>
      <c r="F241" s="398"/>
      <c r="G241" s="422">
        <f t="shared" si="3"/>
        <v>32495397.99927</v>
      </c>
      <c r="H241" s="284" t="s">
        <v>122</v>
      </c>
      <c r="I241" s="284"/>
      <c r="J241" s="346"/>
      <c r="K241" s="282"/>
      <c r="L241" s="282"/>
      <c r="M241" s="283"/>
      <c r="N241" s="356"/>
      <c r="O241" s="283"/>
    </row>
    <row r="242" spans="1:17" s="190" customFormat="1" ht="15" hidden="1" customHeight="1" x14ac:dyDescent="0.25">
      <c r="A242" s="461">
        <v>44314</v>
      </c>
      <c r="B242" s="284" t="s">
        <v>318</v>
      </c>
      <c r="C242" s="284" t="s">
        <v>72</v>
      </c>
      <c r="D242" s="424" t="s">
        <v>121</v>
      </c>
      <c r="E242" s="398"/>
      <c r="F242" s="398">
        <v>10000</v>
      </c>
      <c r="G242" s="422">
        <f t="shared" si="3"/>
        <v>32485397.99927</v>
      </c>
      <c r="H242" s="284" t="s">
        <v>122</v>
      </c>
      <c r="I242" s="284" t="s">
        <v>75</v>
      </c>
      <c r="J242" s="346" t="s">
        <v>156</v>
      </c>
      <c r="K242" s="282" t="s">
        <v>215</v>
      </c>
      <c r="L242" s="282" t="s">
        <v>223</v>
      </c>
      <c r="M242" s="286" t="s">
        <v>529</v>
      </c>
      <c r="N242" s="356" t="s">
        <v>230</v>
      </c>
      <c r="O242" s="283"/>
    </row>
    <row r="243" spans="1:17" s="190" customFormat="1" ht="15" hidden="1" customHeight="1" x14ac:dyDescent="0.25">
      <c r="A243" s="461">
        <v>44314</v>
      </c>
      <c r="B243" s="282" t="s">
        <v>345</v>
      </c>
      <c r="C243" s="418" t="s">
        <v>120</v>
      </c>
      <c r="D243" s="452"/>
      <c r="E243" s="429">
        <v>148000</v>
      </c>
      <c r="F243" s="429"/>
      <c r="G243" s="422">
        <f t="shared" si="3"/>
        <v>32633397.99927</v>
      </c>
      <c r="H243" s="283" t="s">
        <v>68</v>
      </c>
      <c r="I243" s="282"/>
      <c r="J243" s="347"/>
      <c r="K243" s="282"/>
      <c r="L243" s="282"/>
      <c r="M243" s="286"/>
      <c r="N243" s="356"/>
      <c r="O243" s="283"/>
    </row>
    <row r="244" spans="1:17" s="190" customFormat="1" ht="15" hidden="1" customHeight="1" x14ac:dyDescent="0.25">
      <c r="A244" s="461">
        <v>44314</v>
      </c>
      <c r="B244" s="282" t="s">
        <v>233</v>
      </c>
      <c r="C244" s="284" t="s">
        <v>120</v>
      </c>
      <c r="D244" s="284"/>
      <c r="E244" s="429">
        <v>137000</v>
      </c>
      <c r="F244" s="429"/>
      <c r="G244" s="422">
        <f t="shared" si="3"/>
        <v>32770397.99927</v>
      </c>
      <c r="H244" s="282" t="s">
        <v>67</v>
      </c>
      <c r="I244" s="282"/>
      <c r="J244" s="346"/>
      <c r="K244" s="282"/>
      <c r="L244" s="282"/>
      <c r="M244" s="283"/>
      <c r="N244" s="356"/>
      <c r="O244" s="283"/>
      <c r="P244" s="503"/>
    </row>
    <row r="245" spans="1:17" s="190" customFormat="1" ht="15" hidden="1" customHeight="1" x14ac:dyDescent="0.25">
      <c r="A245" s="461">
        <v>44314</v>
      </c>
      <c r="B245" s="495" t="s">
        <v>212</v>
      </c>
      <c r="C245" s="490" t="s">
        <v>120</v>
      </c>
      <c r="D245" s="486"/>
      <c r="E245" s="488">
        <v>10000</v>
      </c>
      <c r="F245" s="488"/>
      <c r="G245" s="422">
        <f t="shared" si="3"/>
        <v>32780397.99927</v>
      </c>
      <c r="H245" s="432" t="s">
        <v>175</v>
      </c>
      <c r="I245" s="432"/>
      <c r="J245" s="346"/>
      <c r="K245" s="282"/>
      <c r="L245" s="282"/>
      <c r="M245" s="286"/>
      <c r="N245" s="356"/>
      <c r="O245" s="283"/>
      <c r="P245" s="500"/>
    </row>
    <row r="246" spans="1:17" s="190" customFormat="1" ht="15" hidden="1" customHeight="1" x14ac:dyDescent="0.25">
      <c r="A246" s="461">
        <v>44314</v>
      </c>
      <c r="B246" s="284" t="s">
        <v>387</v>
      </c>
      <c r="C246" s="284" t="s">
        <v>72</v>
      </c>
      <c r="D246" s="284" t="s">
        <v>121</v>
      </c>
      <c r="E246" s="398"/>
      <c r="F246" s="398">
        <v>148200</v>
      </c>
      <c r="G246" s="422">
        <f t="shared" si="3"/>
        <v>32632197.99927</v>
      </c>
      <c r="H246" s="391" t="s">
        <v>77</v>
      </c>
      <c r="I246" s="282" t="s">
        <v>134</v>
      </c>
      <c r="J246" s="347" t="s">
        <v>156</v>
      </c>
      <c r="K246" s="282" t="s">
        <v>215</v>
      </c>
      <c r="L246" s="282" t="s">
        <v>223</v>
      </c>
      <c r="M246" s="286" t="s">
        <v>530</v>
      </c>
      <c r="N246" s="356" t="s">
        <v>230</v>
      </c>
      <c r="O246" s="283"/>
      <c r="P246" s="235"/>
      <c r="Q246" s="235"/>
    </row>
    <row r="247" spans="1:17" s="190" customFormat="1" ht="15" hidden="1" customHeight="1" x14ac:dyDescent="0.25">
      <c r="A247" s="461">
        <v>44314</v>
      </c>
      <c r="B247" s="284" t="s">
        <v>388</v>
      </c>
      <c r="C247" s="284" t="s">
        <v>73</v>
      </c>
      <c r="D247" s="424" t="s">
        <v>121</v>
      </c>
      <c r="E247" s="398"/>
      <c r="F247" s="398">
        <v>29000</v>
      </c>
      <c r="G247" s="422">
        <f t="shared" si="3"/>
        <v>32603197.99927</v>
      </c>
      <c r="H247" s="391" t="s">
        <v>77</v>
      </c>
      <c r="I247" s="282" t="s">
        <v>134</v>
      </c>
      <c r="J247" s="347" t="s">
        <v>213</v>
      </c>
      <c r="K247" s="282" t="s">
        <v>214</v>
      </c>
      <c r="L247" s="282" t="s">
        <v>223</v>
      </c>
      <c r="M247" s="286"/>
      <c r="N247" s="356"/>
      <c r="O247" s="283"/>
      <c r="P247" s="500"/>
    </row>
    <row r="248" spans="1:17" s="190" customFormat="1" ht="15" hidden="1" customHeight="1" x14ac:dyDescent="0.25">
      <c r="A248" s="461">
        <v>44315</v>
      </c>
      <c r="B248" s="284" t="s">
        <v>123</v>
      </c>
      <c r="C248" s="284" t="s">
        <v>120</v>
      </c>
      <c r="D248" s="284"/>
      <c r="E248" s="398">
        <v>25000</v>
      </c>
      <c r="F248" s="398"/>
      <c r="G248" s="422">
        <f t="shared" si="3"/>
        <v>32628197.99927</v>
      </c>
      <c r="H248" s="284" t="s">
        <v>62</v>
      </c>
      <c r="I248" s="284"/>
      <c r="J248" s="346"/>
      <c r="K248" s="282"/>
      <c r="L248" s="282"/>
      <c r="M248" s="286"/>
      <c r="N248" s="356"/>
      <c r="O248" s="453"/>
      <c r="P248" s="500"/>
    </row>
    <row r="249" spans="1:17" s="190" customFormat="1" ht="15" hidden="1" customHeight="1" x14ac:dyDescent="0.25">
      <c r="A249" s="461">
        <v>44315</v>
      </c>
      <c r="B249" s="284" t="s">
        <v>298</v>
      </c>
      <c r="C249" s="454" t="s">
        <v>20</v>
      </c>
      <c r="D249" s="284" t="s">
        <v>19</v>
      </c>
      <c r="E249" s="398"/>
      <c r="F249" s="398">
        <f>21000+11000+11000</f>
        <v>43000</v>
      </c>
      <c r="G249" s="422">
        <f t="shared" si="3"/>
        <v>32585197.99927</v>
      </c>
      <c r="H249" s="284" t="s">
        <v>62</v>
      </c>
      <c r="I249" s="284" t="s">
        <v>303</v>
      </c>
      <c r="J249" s="346" t="s">
        <v>156</v>
      </c>
      <c r="K249" s="431" t="s">
        <v>215</v>
      </c>
      <c r="L249" s="282" t="s">
        <v>223</v>
      </c>
      <c r="M249" s="286" t="s">
        <v>531</v>
      </c>
      <c r="N249" s="440" t="s">
        <v>225</v>
      </c>
      <c r="O249" s="453"/>
    </row>
    <row r="250" spans="1:17" s="190" customFormat="1" ht="15" hidden="1" customHeight="1" x14ac:dyDescent="0.25">
      <c r="A250" s="461">
        <v>44315</v>
      </c>
      <c r="B250" s="284" t="s">
        <v>299</v>
      </c>
      <c r="C250" s="451" t="s">
        <v>20</v>
      </c>
      <c r="D250" s="424" t="s">
        <v>121</v>
      </c>
      <c r="E250" s="398"/>
      <c r="F250" s="398">
        <f>5000+16000+16000+16000</f>
        <v>53000</v>
      </c>
      <c r="G250" s="422">
        <f t="shared" si="3"/>
        <v>32532197.99927</v>
      </c>
      <c r="H250" s="284" t="s">
        <v>62</v>
      </c>
      <c r="I250" s="284" t="s">
        <v>303</v>
      </c>
      <c r="J250" s="346" t="s">
        <v>156</v>
      </c>
      <c r="K250" s="431" t="s">
        <v>215</v>
      </c>
      <c r="L250" s="282" t="s">
        <v>223</v>
      </c>
      <c r="M250" s="286" t="s">
        <v>532</v>
      </c>
      <c r="N250" s="356" t="s">
        <v>225</v>
      </c>
      <c r="O250" s="283"/>
    </row>
    <row r="251" spans="1:17" s="190" customFormat="1" ht="15" hidden="1" customHeight="1" x14ac:dyDescent="0.25">
      <c r="A251" s="461">
        <v>44315</v>
      </c>
      <c r="B251" s="284" t="s">
        <v>300</v>
      </c>
      <c r="C251" s="455" t="s">
        <v>20</v>
      </c>
      <c r="D251" s="418" t="s">
        <v>31</v>
      </c>
      <c r="E251" s="398"/>
      <c r="F251" s="398">
        <f>16000+16000</f>
        <v>32000</v>
      </c>
      <c r="G251" s="422">
        <f t="shared" si="3"/>
        <v>32500197.99927</v>
      </c>
      <c r="H251" s="284" t="s">
        <v>62</v>
      </c>
      <c r="I251" s="284" t="s">
        <v>303</v>
      </c>
      <c r="J251" s="346" t="s">
        <v>156</v>
      </c>
      <c r="K251" s="431" t="s">
        <v>215</v>
      </c>
      <c r="L251" s="282" t="s">
        <v>223</v>
      </c>
      <c r="M251" s="286" t="s">
        <v>533</v>
      </c>
      <c r="N251" s="356" t="s">
        <v>225</v>
      </c>
      <c r="O251" s="283"/>
    </row>
    <row r="252" spans="1:17" s="190" customFormat="1" ht="15" hidden="1" customHeight="1" x14ac:dyDescent="0.25">
      <c r="A252" s="461">
        <v>44315</v>
      </c>
      <c r="B252" s="284" t="s">
        <v>301</v>
      </c>
      <c r="C252" s="451" t="s">
        <v>20</v>
      </c>
      <c r="D252" s="284" t="s">
        <v>61</v>
      </c>
      <c r="E252" s="398"/>
      <c r="F252" s="398">
        <v>11000</v>
      </c>
      <c r="G252" s="422">
        <f t="shared" si="3"/>
        <v>32489197.99927</v>
      </c>
      <c r="H252" s="284" t="s">
        <v>62</v>
      </c>
      <c r="I252" s="284" t="s">
        <v>303</v>
      </c>
      <c r="J252" s="346" t="s">
        <v>156</v>
      </c>
      <c r="K252" s="431" t="s">
        <v>215</v>
      </c>
      <c r="L252" s="282" t="s">
        <v>223</v>
      </c>
      <c r="M252" s="286" t="s">
        <v>534</v>
      </c>
      <c r="N252" s="356" t="s">
        <v>225</v>
      </c>
      <c r="O252" s="283"/>
    </row>
    <row r="253" spans="1:17" s="397" customFormat="1" ht="15" hidden="1" customHeight="1" x14ac:dyDescent="0.25">
      <c r="A253" s="461">
        <v>44315</v>
      </c>
      <c r="B253" s="284" t="s">
        <v>392</v>
      </c>
      <c r="C253" s="456" t="s">
        <v>153</v>
      </c>
      <c r="D253" s="284" t="s">
        <v>21</v>
      </c>
      <c r="E253" s="398"/>
      <c r="F253" s="398">
        <v>89175</v>
      </c>
      <c r="G253" s="422">
        <f t="shared" si="3"/>
        <v>32400022.99927</v>
      </c>
      <c r="H253" s="284" t="s">
        <v>62</v>
      </c>
      <c r="I253" s="284" t="s">
        <v>303</v>
      </c>
      <c r="J253" s="286" t="s">
        <v>156</v>
      </c>
      <c r="K253" s="282" t="s">
        <v>215</v>
      </c>
      <c r="L253" s="282" t="s">
        <v>223</v>
      </c>
      <c r="M253" s="286" t="s">
        <v>535</v>
      </c>
      <c r="N253" s="356" t="s">
        <v>226</v>
      </c>
      <c r="O253" s="283"/>
      <c r="Q253" s="190"/>
    </row>
    <row r="254" spans="1:17" s="397" customFormat="1" ht="15" hidden="1" customHeight="1" x14ac:dyDescent="0.25">
      <c r="A254" s="461">
        <v>44315</v>
      </c>
      <c r="B254" s="284" t="s">
        <v>315</v>
      </c>
      <c r="C254" s="284" t="s">
        <v>72</v>
      </c>
      <c r="D254" s="424" t="s">
        <v>121</v>
      </c>
      <c r="E254" s="398"/>
      <c r="F254" s="398">
        <v>4000</v>
      </c>
      <c r="G254" s="422">
        <f t="shared" si="3"/>
        <v>32396022.99927</v>
      </c>
      <c r="H254" s="284" t="s">
        <v>122</v>
      </c>
      <c r="I254" s="284" t="s">
        <v>75</v>
      </c>
      <c r="J254" s="396" t="s">
        <v>156</v>
      </c>
      <c r="K254" s="430" t="s">
        <v>215</v>
      </c>
      <c r="L254" s="282" t="s">
        <v>223</v>
      </c>
      <c r="M254" s="286" t="s">
        <v>536</v>
      </c>
      <c r="N254" s="440" t="s">
        <v>230</v>
      </c>
      <c r="O254" s="283"/>
      <c r="Q254" s="190"/>
    </row>
    <row r="255" spans="1:17" s="190" customFormat="1" ht="15" hidden="1" customHeight="1" x14ac:dyDescent="0.25">
      <c r="A255" s="461">
        <v>44315</v>
      </c>
      <c r="B255" s="284" t="s">
        <v>554</v>
      </c>
      <c r="C255" s="284" t="s">
        <v>155</v>
      </c>
      <c r="D255" s="424" t="s">
        <v>121</v>
      </c>
      <c r="E255" s="398"/>
      <c r="F255" s="398">
        <v>20000</v>
      </c>
      <c r="G255" s="422">
        <f t="shared" si="3"/>
        <v>32376022.99927</v>
      </c>
      <c r="H255" s="284" t="s">
        <v>122</v>
      </c>
      <c r="I255" s="284" t="s">
        <v>320</v>
      </c>
      <c r="J255" s="346" t="s">
        <v>156</v>
      </c>
      <c r="K255" s="282" t="s">
        <v>215</v>
      </c>
      <c r="L255" s="282" t="s">
        <v>223</v>
      </c>
      <c r="M255" s="286" t="s">
        <v>537</v>
      </c>
      <c r="N255" s="356" t="s">
        <v>231</v>
      </c>
      <c r="O255" s="283"/>
    </row>
    <row r="256" spans="1:17" s="190" customFormat="1" ht="15" hidden="1" customHeight="1" x14ac:dyDescent="0.25">
      <c r="A256" s="461">
        <v>44315</v>
      </c>
      <c r="B256" s="284" t="s">
        <v>334</v>
      </c>
      <c r="C256" s="284" t="s">
        <v>120</v>
      </c>
      <c r="D256" s="424"/>
      <c r="E256" s="398"/>
      <c r="F256" s="398">
        <v>25000</v>
      </c>
      <c r="G256" s="422">
        <f t="shared" si="3"/>
        <v>32351022.99927</v>
      </c>
      <c r="H256" s="284" t="s">
        <v>123</v>
      </c>
      <c r="I256" s="284"/>
      <c r="J256" s="286"/>
      <c r="K256" s="282"/>
      <c r="L256" s="282"/>
      <c r="M256" s="283"/>
      <c r="N256" s="356"/>
      <c r="O256" s="283"/>
    </row>
    <row r="257" spans="1:66" s="190" customFormat="1" ht="15" hidden="1" customHeight="1" x14ac:dyDescent="0.25">
      <c r="A257" s="461">
        <v>44315</v>
      </c>
      <c r="B257" s="282" t="s">
        <v>341</v>
      </c>
      <c r="C257" s="282" t="s">
        <v>72</v>
      </c>
      <c r="D257" s="284" t="s">
        <v>31</v>
      </c>
      <c r="E257" s="429"/>
      <c r="F257" s="429">
        <v>6000</v>
      </c>
      <c r="G257" s="422">
        <f t="shared" si="3"/>
        <v>32345022.99927</v>
      </c>
      <c r="H257" s="283" t="s">
        <v>68</v>
      </c>
      <c r="I257" s="282" t="s">
        <v>134</v>
      </c>
      <c r="J257" s="347" t="s">
        <v>213</v>
      </c>
      <c r="K257" s="282" t="s">
        <v>214</v>
      </c>
      <c r="L257" s="282" t="s">
        <v>223</v>
      </c>
      <c r="M257" s="283"/>
      <c r="N257" s="356"/>
      <c r="O257" s="283"/>
      <c r="P257" s="397"/>
      <c r="R257" s="397"/>
      <c r="S257" s="397"/>
      <c r="T257" s="397"/>
      <c r="U257" s="397"/>
      <c r="V257" s="397"/>
      <c r="W257" s="397"/>
      <c r="X257" s="397"/>
      <c r="Y257" s="397"/>
      <c r="Z257" s="397"/>
      <c r="AA257" s="397"/>
      <c r="AB257" s="397"/>
      <c r="AC257" s="397"/>
      <c r="AD257" s="397"/>
      <c r="AE257" s="397"/>
      <c r="AF257" s="397"/>
      <c r="AG257" s="397"/>
      <c r="AH257" s="397"/>
      <c r="AI257" s="397"/>
      <c r="AJ257" s="397"/>
      <c r="AK257" s="397"/>
      <c r="AL257" s="397"/>
      <c r="AM257" s="397"/>
      <c r="AN257" s="397"/>
      <c r="AO257" s="397"/>
      <c r="AP257" s="397"/>
      <c r="AQ257" s="397"/>
      <c r="AR257" s="397"/>
      <c r="AS257" s="397"/>
      <c r="AT257" s="397"/>
      <c r="AU257" s="397"/>
      <c r="AV257" s="397"/>
      <c r="AW257" s="397"/>
      <c r="AX257" s="397"/>
      <c r="AY257" s="397"/>
      <c r="AZ257" s="397"/>
      <c r="BA257" s="397"/>
      <c r="BB257" s="397"/>
      <c r="BC257" s="397"/>
      <c r="BD257" s="397"/>
      <c r="BE257" s="397"/>
      <c r="BF257" s="397"/>
      <c r="BG257" s="397"/>
      <c r="BH257" s="397"/>
      <c r="BI257" s="397"/>
      <c r="BJ257" s="397"/>
      <c r="BK257" s="397"/>
      <c r="BL257" s="397"/>
      <c r="BM257" s="397"/>
      <c r="BN257" s="397"/>
    </row>
    <row r="258" spans="1:66" s="190" customFormat="1" ht="15" hidden="1" customHeight="1" x14ac:dyDescent="0.25">
      <c r="A258" s="461">
        <v>44315</v>
      </c>
      <c r="B258" s="284" t="s">
        <v>346</v>
      </c>
      <c r="C258" s="284" t="s">
        <v>72</v>
      </c>
      <c r="D258" s="284" t="s">
        <v>19</v>
      </c>
      <c r="E258" s="398"/>
      <c r="F258" s="398">
        <v>21000</v>
      </c>
      <c r="G258" s="422">
        <f t="shared" si="3"/>
        <v>32324022.99927</v>
      </c>
      <c r="H258" s="283" t="s">
        <v>142</v>
      </c>
      <c r="I258" s="286" t="s">
        <v>134</v>
      </c>
      <c r="J258" s="347" t="s">
        <v>156</v>
      </c>
      <c r="K258" s="282" t="s">
        <v>215</v>
      </c>
      <c r="L258" s="282" t="s">
        <v>223</v>
      </c>
      <c r="M258" s="286" t="s">
        <v>538</v>
      </c>
      <c r="N258" s="356" t="s">
        <v>230</v>
      </c>
      <c r="O258" s="283"/>
    </row>
    <row r="259" spans="1:66" s="190" customFormat="1" ht="15" hidden="1" customHeight="1" x14ac:dyDescent="0.25">
      <c r="A259" s="461">
        <v>44315</v>
      </c>
      <c r="B259" s="282" t="s">
        <v>357</v>
      </c>
      <c r="C259" s="282" t="s">
        <v>72</v>
      </c>
      <c r="D259" s="284" t="s">
        <v>31</v>
      </c>
      <c r="E259" s="429"/>
      <c r="F259" s="429">
        <v>7000</v>
      </c>
      <c r="G259" s="422">
        <f t="shared" si="3"/>
        <v>32317022.99927</v>
      </c>
      <c r="H259" s="282" t="s">
        <v>67</v>
      </c>
      <c r="I259" s="282" t="s">
        <v>303</v>
      </c>
      <c r="J259" s="347" t="s">
        <v>213</v>
      </c>
      <c r="K259" s="282" t="s">
        <v>214</v>
      </c>
      <c r="L259" s="282" t="s">
        <v>223</v>
      </c>
      <c r="M259" s="283"/>
      <c r="N259" s="356"/>
      <c r="O259" s="283"/>
    </row>
    <row r="260" spans="1:66" s="190" customFormat="1" ht="15" hidden="1" customHeight="1" x14ac:dyDescent="0.25">
      <c r="A260" s="461">
        <v>44315</v>
      </c>
      <c r="B260" s="282" t="s">
        <v>555</v>
      </c>
      <c r="C260" s="282" t="s">
        <v>327</v>
      </c>
      <c r="D260" s="284" t="s">
        <v>31</v>
      </c>
      <c r="E260" s="429"/>
      <c r="F260" s="429">
        <v>30000</v>
      </c>
      <c r="G260" s="422">
        <f t="shared" si="3"/>
        <v>32287022.99927</v>
      </c>
      <c r="H260" s="282" t="s">
        <v>67</v>
      </c>
      <c r="I260" s="282" t="s">
        <v>303</v>
      </c>
      <c r="J260" s="346" t="s">
        <v>156</v>
      </c>
      <c r="K260" s="282" t="s">
        <v>215</v>
      </c>
      <c r="L260" s="282" t="s">
        <v>223</v>
      </c>
      <c r="M260" s="286" t="s">
        <v>539</v>
      </c>
      <c r="N260" s="356" t="s">
        <v>231</v>
      </c>
      <c r="O260" s="283"/>
    </row>
    <row r="261" spans="1:66" s="190" customFormat="1" ht="15" hidden="1" customHeight="1" x14ac:dyDescent="0.25">
      <c r="A261" s="461">
        <v>44316</v>
      </c>
      <c r="B261" s="284" t="s">
        <v>436</v>
      </c>
      <c r="C261" s="284" t="s">
        <v>28</v>
      </c>
      <c r="D261" s="284" t="s">
        <v>21</v>
      </c>
      <c r="E261" s="457"/>
      <c r="F261" s="447">
        <v>20404</v>
      </c>
      <c r="G261" s="422">
        <f t="shared" si="3"/>
        <v>32266618.99927</v>
      </c>
      <c r="H261" s="282" t="s">
        <v>58</v>
      </c>
      <c r="I261" s="286" t="s">
        <v>29</v>
      </c>
      <c r="J261" s="346" t="s">
        <v>213</v>
      </c>
      <c r="K261" s="282" t="s">
        <v>214</v>
      </c>
      <c r="L261" s="282" t="s">
        <v>223</v>
      </c>
      <c r="M261" s="286"/>
      <c r="N261" s="356"/>
      <c r="O261" s="283"/>
    </row>
    <row r="262" spans="1:66" s="190" customFormat="1" ht="15" customHeight="1" x14ac:dyDescent="0.25">
      <c r="A262" s="461">
        <v>44316</v>
      </c>
      <c r="B262" s="284" t="s">
        <v>437</v>
      </c>
      <c r="C262" s="456" t="s">
        <v>28</v>
      </c>
      <c r="D262" s="284" t="s">
        <v>21</v>
      </c>
      <c r="E262" s="447"/>
      <c r="F262" s="447">
        <v>18476</v>
      </c>
      <c r="G262" s="422">
        <f t="shared" si="3"/>
        <v>32248142.99927</v>
      </c>
      <c r="H262" s="391" t="s">
        <v>59</v>
      </c>
      <c r="I262" s="286" t="s">
        <v>29</v>
      </c>
      <c r="J262" s="346" t="s">
        <v>156</v>
      </c>
      <c r="K262" s="282" t="s">
        <v>215</v>
      </c>
      <c r="L262" s="282" t="s">
        <v>223</v>
      </c>
      <c r="M262" s="286" t="s">
        <v>540</v>
      </c>
      <c r="N262" s="356" t="s">
        <v>216</v>
      </c>
      <c r="O262" s="283"/>
    </row>
    <row r="263" spans="1:66" s="190" customFormat="1" ht="15" hidden="1" customHeight="1" x14ac:dyDescent="0.25">
      <c r="A263" s="461">
        <v>44316</v>
      </c>
      <c r="B263" s="284" t="s">
        <v>175</v>
      </c>
      <c r="C263" s="284" t="s">
        <v>120</v>
      </c>
      <c r="D263" s="284"/>
      <c r="E263" s="398"/>
      <c r="F263" s="398">
        <v>300000</v>
      </c>
      <c r="G263" s="422">
        <f t="shared" si="3"/>
        <v>31948142.99927</v>
      </c>
      <c r="H263" s="416" t="s">
        <v>62</v>
      </c>
      <c r="I263" s="284"/>
      <c r="J263" s="346"/>
      <c r="K263" s="282"/>
      <c r="L263" s="282"/>
      <c r="M263" s="283"/>
      <c r="N263" s="356"/>
      <c r="O263" s="283"/>
    </row>
    <row r="264" spans="1:66" s="190" customFormat="1" ht="15" hidden="1" customHeight="1" x14ac:dyDescent="0.25">
      <c r="A264" s="461">
        <v>44316</v>
      </c>
      <c r="B264" s="284" t="s">
        <v>319</v>
      </c>
      <c r="C264" s="284" t="s">
        <v>72</v>
      </c>
      <c r="D264" s="424" t="s">
        <v>121</v>
      </c>
      <c r="E264" s="398"/>
      <c r="F264" s="398">
        <v>54500</v>
      </c>
      <c r="G264" s="422">
        <f t="shared" si="3"/>
        <v>31893642.99927</v>
      </c>
      <c r="H264" s="284" t="s">
        <v>122</v>
      </c>
      <c r="I264" s="284" t="s">
        <v>320</v>
      </c>
      <c r="J264" s="346" t="s">
        <v>156</v>
      </c>
      <c r="K264" s="282" t="s">
        <v>215</v>
      </c>
      <c r="L264" s="282" t="s">
        <v>223</v>
      </c>
      <c r="M264" s="286" t="s">
        <v>541</v>
      </c>
      <c r="N264" s="356" t="s">
        <v>230</v>
      </c>
      <c r="O264" s="283"/>
    </row>
    <row r="265" spans="1:66" s="190" customFormat="1" ht="15" hidden="1" customHeight="1" x14ac:dyDescent="0.25">
      <c r="A265" s="461">
        <v>44316</v>
      </c>
      <c r="B265" s="284" t="s">
        <v>333</v>
      </c>
      <c r="C265" s="284" t="s">
        <v>72</v>
      </c>
      <c r="D265" s="284" t="s">
        <v>61</v>
      </c>
      <c r="E265" s="398"/>
      <c r="F265" s="398">
        <v>36000</v>
      </c>
      <c r="G265" s="422">
        <f t="shared" si="3"/>
        <v>31857642.99927</v>
      </c>
      <c r="H265" s="284" t="s">
        <v>69</v>
      </c>
      <c r="I265" s="286" t="s">
        <v>134</v>
      </c>
      <c r="J265" s="346" t="s">
        <v>156</v>
      </c>
      <c r="K265" s="282" t="s">
        <v>215</v>
      </c>
      <c r="L265" s="282" t="s">
        <v>223</v>
      </c>
      <c r="M265" s="286" t="s">
        <v>542</v>
      </c>
      <c r="N265" s="356" t="s">
        <v>230</v>
      </c>
      <c r="O265" s="283"/>
    </row>
    <row r="266" spans="1:66" s="190" customFormat="1" ht="15" hidden="1" customHeight="1" x14ac:dyDescent="0.25">
      <c r="A266" s="461">
        <v>44316</v>
      </c>
      <c r="B266" s="282" t="s">
        <v>571</v>
      </c>
      <c r="C266" s="282" t="s">
        <v>327</v>
      </c>
      <c r="D266" s="284" t="s">
        <v>31</v>
      </c>
      <c r="E266" s="429"/>
      <c r="F266" s="429">
        <v>45000</v>
      </c>
      <c r="G266" s="422">
        <f t="shared" si="3"/>
        <v>31812642.99927</v>
      </c>
      <c r="H266" s="283" t="s">
        <v>68</v>
      </c>
      <c r="I266" s="282" t="s">
        <v>75</v>
      </c>
      <c r="J266" s="346" t="s">
        <v>156</v>
      </c>
      <c r="K266" s="282" t="s">
        <v>215</v>
      </c>
      <c r="L266" s="282" t="s">
        <v>223</v>
      </c>
      <c r="M266" s="286" t="s">
        <v>543</v>
      </c>
      <c r="N266" s="356" t="s">
        <v>231</v>
      </c>
      <c r="O266" s="283"/>
    </row>
    <row r="267" spans="1:66" s="190" customFormat="1" ht="15" hidden="1" customHeight="1" x14ac:dyDescent="0.25">
      <c r="A267" s="461">
        <v>44316</v>
      </c>
      <c r="B267" s="282" t="s">
        <v>342</v>
      </c>
      <c r="C267" s="282" t="s">
        <v>72</v>
      </c>
      <c r="D267" s="284" t="s">
        <v>31</v>
      </c>
      <c r="E267" s="429"/>
      <c r="F267" s="429">
        <v>8000</v>
      </c>
      <c r="G267" s="422">
        <f t="shared" si="3"/>
        <v>31804642.99927</v>
      </c>
      <c r="H267" s="283" t="s">
        <v>68</v>
      </c>
      <c r="I267" s="282" t="s">
        <v>75</v>
      </c>
      <c r="J267" s="346" t="s">
        <v>156</v>
      </c>
      <c r="K267" s="282" t="s">
        <v>215</v>
      </c>
      <c r="L267" s="282" t="s">
        <v>223</v>
      </c>
      <c r="M267" s="286" t="s">
        <v>544</v>
      </c>
      <c r="N267" s="356" t="s">
        <v>230</v>
      </c>
      <c r="O267" s="283"/>
    </row>
    <row r="268" spans="1:66" s="190" customFormat="1" ht="15" hidden="1" customHeight="1" x14ac:dyDescent="0.25">
      <c r="A268" s="461">
        <v>44316</v>
      </c>
      <c r="B268" s="282" t="s">
        <v>343</v>
      </c>
      <c r="C268" s="282" t="s">
        <v>72</v>
      </c>
      <c r="D268" s="284" t="s">
        <v>31</v>
      </c>
      <c r="E268" s="429"/>
      <c r="F268" s="429">
        <v>52300</v>
      </c>
      <c r="G268" s="422">
        <f t="shared" si="3"/>
        <v>31752342.99927</v>
      </c>
      <c r="H268" s="283" t="s">
        <v>68</v>
      </c>
      <c r="I268" s="282" t="s">
        <v>134</v>
      </c>
      <c r="J268" s="346" t="s">
        <v>156</v>
      </c>
      <c r="K268" s="282" t="s">
        <v>215</v>
      </c>
      <c r="L268" s="282" t="s">
        <v>223</v>
      </c>
      <c r="M268" s="286" t="s">
        <v>545</v>
      </c>
      <c r="N268" s="356" t="s">
        <v>230</v>
      </c>
      <c r="O268" s="283"/>
    </row>
    <row r="269" spans="1:66" s="190" customFormat="1" ht="15" hidden="1" customHeight="1" x14ac:dyDescent="0.25">
      <c r="A269" s="461">
        <v>44316</v>
      </c>
      <c r="B269" s="282" t="s">
        <v>344</v>
      </c>
      <c r="C269" s="282" t="s">
        <v>76</v>
      </c>
      <c r="D269" s="284" t="s">
        <v>31</v>
      </c>
      <c r="E269" s="429"/>
      <c r="F269" s="429">
        <v>13500</v>
      </c>
      <c r="G269" s="422">
        <f t="shared" si="3"/>
        <v>31738842.99927</v>
      </c>
      <c r="H269" s="283" t="s">
        <v>68</v>
      </c>
      <c r="I269" s="282" t="s">
        <v>134</v>
      </c>
      <c r="J269" s="347" t="s">
        <v>213</v>
      </c>
      <c r="K269" s="282" t="s">
        <v>214</v>
      </c>
      <c r="L269" s="282" t="s">
        <v>223</v>
      </c>
      <c r="M269" s="286"/>
      <c r="N269" s="356"/>
      <c r="O269" s="283"/>
    </row>
    <row r="270" spans="1:66" s="397" customFormat="1" ht="15" hidden="1" customHeight="1" x14ac:dyDescent="0.25">
      <c r="A270" s="461">
        <v>44316</v>
      </c>
      <c r="B270" s="282" t="s">
        <v>358</v>
      </c>
      <c r="C270" s="504" t="s">
        <v>72</v>
      </c>
      <c r="D270" s="284" t="s">
        <v>31</v>
      </c>
      <c r="E270" s="429"/>
      <c r="F270" s="429">
        <v>60400</v>
      </c>
      <c r="G270" s="422">
        <f t="shared" ref="G270:G278" si="4">G269+E270-F270</f>
        <v>31678442.99927</v>
      </c>
      <c r="H270" s="282" t="s">
        <v>67</v>
      </c>
      <c r="I270" s="282" t="s">
        <v>320</v>
      </c>
      <c r="J270" s="347" t="s">
        <v>156</v>
      </c>
      <c r="K270" s="282" t="s">
        <v>215</v>
      </c>
      <c r="L270" s="282" t="s">
        <v>223</v>
      </c>
      <c r="M270" s="286" t="s">
        <v>546</v>
      </c>
      <c r="N270" s="356" t="s">
        <v>230</v>
      </c>
      <c r="O270" s="283"/>
      <c r="Q270" s="190"/>
    </row>
    <row r="271" spans="1:66" s="190" customFormat="1" ht="15" hidden="1" customHeight="1" x14ac:dyDescent="0.25">
      <c r="A271" s="461">
        <v>44316</v>
      </c>
      <c r="B271" s="282" t="s">
        <v>359</v>
      </c>
      <c r="C271" s="282" t="s">
        <v>76</v>
      </c>
      <c r="D271" s="284" t="s">
        <v>31</v>
      </c>
      <c r="E271" s="429"/>
      <c r="F271" s="429">
        <v>19500</v>
      </c>
      <c r="G271" s="422">
        <f t="shared" si="4"/>
        <v>31658942.99927</v>
      </c>
      <c r="H271" s="282" t="s">
        <v>67</v>
      </c>
      <c r="I271" s="282" t="s">
        <v>320</v>
      </c>
      <c r="J271" s="347" t="s">
        <v>213</v>
      </c>
      <c r="K271" s="282" t="s">
        <v>214</v>
      </c>
      <c r="L271" s="282" t="s">
        <v>223</v>
      </c>
      <c r="M271" s="283"/>
      <c r="N271" s="356"/>
      <c r="O271" s="283"/>
    </row>
    <row r="272" spans="1:66" s="190" customFormat="1" ht="15" hidden="1" customHeight="1" x14ac:dyDescent="0.25">
      <c r="A272" s="461">
        <v>44316</v>
      </c>
      <c r="B272" s="284" t="s">
        <v>360</v>
      </c>
      <c r="C272" s="284" t="s">
        <v>72</v>
      </c>
      <c r="D272" s="284" t="s">
        <v>19</v>
      </c>
      <c r="E272" s="398"/>
      <c r="F272" s="398">
        <v>8000</v>
      </c>
      <c r="G272" s="422">
        <f t="shared" si="4"/>
        <v>31650942.99927</v>
      </c>
      <c r="H272" s="283" t="s">
        <v>70</v>
      </c>
      <c r="I272" s="286" t="s">
        <v>134</v>
      </c>
      <c r="J272" s="347" t="s">
        <v>156</v>
      </c>
      <c r="K272" s="282" t="s">
        <v>215</v>
      </c>
      <c r="L272" s="282" t="s">
        <v>223</v>
      </c>
      <c r="M272" s="286" t="s">
        <v>547</v>
      </c>
      <c r="N272" s="356" t="s">
        <v>230</v>
      </c>
      <c r="O272" s="283"/>
    </row>
    <row r="273" spans="1:16" s="190" customFormat="1" ht="15" hidden="1" customHeight="1" x14ac:dyDescent="0.25">
      <c r="A273" s="461">
        <v>44316</v>
      </c>
      <c r="B273" s="495" t="s">
        <v>212</v>
      </c>
      <c r="C273" s="490" t="s">
        <v>120</v>
      </c>
      <c r="D273" s="486"/>
      <c r="E273" s="488">
        <v>300000</v>
      </c>
      <c r="F273" s="488"/>
      <c r="G273" s="422">
        <f t="shared" si="4"/>
        <v>31950942.99927</v>
      </c>
      <c r="H273" s="432" t="s">
        <v>175</v>
      </c>
      <c r="I273" s="432"/>
      <c r="J273" s="346"/>
      <c r="K273" s="282"/>
      <c r="L273" s="282"/>
      <c r="M273" s="283"/>
      <c r="N273" s="356"/>
      <c r="O273" s="283"/>
    </row>
    <row r="274" spans="1:16" s="190" customFormat="1" ht="15" hidden="1" customHeight="1" x14ac:dyDescent="0.25">
      <c r="A274" s="461">
        <v>44316</v>
      </c>
      <c r="B274" s="490" t="s">
        <v>365</v>
      </c>
      <c r="C274" s="490" t="s">
        <v>575</v>
      </c>
      <c r="D274" s="486" t="s">
        <v>19</v>
      </c>
      <c r="E274" s="491"/>
      <c r="F274" s="488">
        <v>222900</v>
      </c>
      <c r="G274" s="422">
        <f t="shared" si="4"/>
        <v>31728042.99927</v>
      </c>
      <c r="H274" s="432" t="s">
        <v>175</v>
      </c>
      <c r="I274" s="282" t="s">
        <v>303</v>
      </c>
      <c r="J274" s="347" t="s">
        <v>213</v>
      </c>
      <c r="K274" s="282" t="s">
        <v>214</v>
      </c>
      <c r="L274" s="282" t="s">
        <v>223</v>
      </c>
      <c r="M274" s="283"/>
      <c r="N274" s="356"/>
      <c r="O274" s="283"/>
    </row>
    <row r="275" spans="1:16" s="190" customFormat="1" ht="15" hidden="1" customHeight="1" x14ac:dyDescent="0.25">
      <c r="A275" s="461">
        <v>44316</v>
      </c>
      <c r="B275" s="490" t="s">
        <v>366</v>
      </c>
      <c r="C275" s="485" t="s">
        <v>367</v>
      </c>
      <c r="D275" s="486" t="s">
        <v>19</v>
      </c>
      <c r="E275" s="491"/>
      <c r="F275" s="488">
        <v>16000</v>
      </c>
      <c r="G275" s="422">
        <f t="shared" si="4"/>
        <v>31712042.99927</v>
      </c>
      <c r="H275" s="432" t="s">
        <v>175</v>
      </c>
      <c r="I275" s="432" t="s">
        <v>134</v>
      </c>
      <c r="J275" s="347" t="s">
        <v>156</v>
      </c>
      <c r="K275" s="282" t="s">
        <v>215</v>
      </c>
      <c r="L275" s="282" t="s">
        <v>223</v>
      </c>
      <c r="M275" s="286" t="s">
        <v>548</v>
      </c>
      <c r="N275" s="356" t="s">
        <v>230</v>
      </c>
      <c r="O275" s="283"/>
    </row>
    <row r="276" spans="1:16" s="190" customFormat="1" ht="15" hidden="1" customHeight="1" x14ac:dyDescent="0.25">
      <c r="A276" s="461">
        <v>44316</v>
      </c>
      <c r="B276" s="284" t="s">
        <v>362</v>
      </c>
      <c r="C276" s="425" t="s">
        <v>120</v>
      </c>
      <c r="D276" s="505"/>
      <c r="E276" s="492"/>
      <c r="F276" s="492">
        <v>0</v>
      </c>
      <c r="G276" s="422">
        <f t="shared" si="4"/>
        <v>31712042.99927</v>
      </c>
      <c r="H276" s="458" t="s">
        <v>64</v>
      </c>
      <c r="I276" s="286"/>
      <c r="J276" s="347"/>
      <c r="K276" s="282"/>
      <c r="L276" s="282"/>
      <c r="M276" s="286"/>
      <c r="N276" s="356"/>
      <c r="O276" s="283"/>
    </row>
    <row r="277" spans="1:16" s="190" customFormat="1" ht="15" hidden="1" customHeight="1" x14ac:dyDescent="0.25">
      <c r="A277" s="461">
        <v>44316</v>
      </c>
      <c r="B277" s="284" t="s">
        <v>144</v>
      </c>
      <c r="C277" s="425" t="s">
        <v>120</v>
      </c>
      <c r="D277" s="426"/>
      <c r="E277" s="459"/>
      <c r="F277" s="459">
        <v>0</v>
      </c>
      <c r="G277" s="422">
        <f t="shared" si="4"/>
        <v>31712042.99927</v>
      </c>
      <c r="H277" s="282" t="s">
        <v>129</v>
      </c>
      <c r="I277" s="286"/>
      <c r="J277" s="346"/>
      <c r="K277" s="282"/>
      <c r="L277" s="282"/>
      <c r="M277" s="283"/>
      <c r="N277" s="356"/>
      <c r="O277" s="283"/>
    </row>
    <row r="278" spans="1:16" s="190" customFormat="1" ht="15" hidden="1" customHeight="1" x14ac:dyDescent="0.25">
      <c r="A278" s="461">
        <v>44316</v>
      </c>
      <c r="B278" s="284" t="s">
        <v>145</v>
      </c>
      <c r="C278" s="425" t="s">
        <v>120</v>
      </c>
      <c r="D278" s="426"/>
      <c r="E278" s="460"/>
      <c r="F278" s="460">
        <v>0</v>
      </c>
      <c r="G278" s="422">
        <f t="shared" si="4"/>
        <v>31712042.99927</v>
      </c>
      <c r="H278" s="282" t="s">
        <v>130</v>
      </c>
      <c r="I278" s="346"/>
      <c r="J278" s="347"/>
      <c r="K278" s="282"/>
      <c r="L278" s="282"/>
      <c r="M278" s="283"/>
      <c r="N278" s="356"/>
      <c r="O278" s="283"/>
    </row>
    <row r="279" spans="1:16" s="207" customFormat="1" ht="22.5" hidden="1" customHeight="1" x14ac:dyDescent="0.3">
      <c r="A279" s="209"/>
      <c r="B279" s="209"/>
      <c r="C279" s="209"/>
      <c r="D279" s="209"/>
      <c r="E279" s="214"/>
      <c r="F279" s="345"/>
      <c r="G279" s="210"/>
      <c r="H279" s="210"/>
      <c r="I279" s="218"/>
      <c r="J279" s="211"/>
      <c r="K279" s="209"/>
      <c r="L279" s="209"/>
      <c r="M279" s="209"/>
      <c r="N279" s="209"/>
      <c r="O279" s="209"/>
      <c r="P279" s="209"/>
    </row>
  </sheetData>
  <autoFilter ref="A11:GT279" xr:uid="{00000000-0009-0000-0000-000003000000}">
    <filterColumn colId="7">
      <filters>
        <filter val="BCI Sous-Compte"/>
      </filters>
    </filterColumn>
  </autoFilter>
  <sortState xmlns:xlrd2="http://schemas.microsoft.com/office/spreadsheetml/2017/richdata2" ref="A12:O278">
    <sortCondition ref="A12:A278"/>
  </sortState>
  <mergeCells count="1">
    <mergeCell ref="A1:O1"/>
  </mergeCells>
  <dataValidations count="11">
    <dataValidation type="list" allowBlank="1" showInputMessage="1" showErrorMessage="1" sqref="C244:C248 C271:C274 C242 C235 C237:C239" xr:uid="{00000000-0002-0000-0300-000000000000}">
      <formula1>$N$11:$N$18</formula1>
    </dataValidation>
    <dataValidation type="list" allowBlank="1" showInputMessage="1" showErrorMessage="1" sqref="C222 C16" xr:uid="{00000000-0002-0000-0300-000001000000}">
      <formula1>$L$7:$L$10</formula1>
    </dataValidation>
    <dataValidation type="list" allowBlank="1" showInputMessage="1" showErrorMessage="1" sqref="D59 D101" xr:uid="{00000000-0002-0000-0300-000002000000}">
      <formula1>Départements</formula1>
    </dataValidation>
    <dataValidation type="list" allowBlank="1" showInputMessage="1" showErrorMessage="1" sqref="C59 C101" xr:uid="{00000000-0002-0000-0300-000003000000}">
      <formula1>Dépenses</formula1>
    </dataValidation>
    <dataValidation type="list" allowBlank="1" showInputMessage="1" showErrorMessage="1" sqref="C192" xr:uid="{00000000-0002-0000-0300-000004000000}">
      <formula1>$L$3701:$L$3721</formula1>
    </dataValidation>
    <dataValidation type="list" allowBlank="1" showInputMessage="1" showErrorMessage="1" sqref="C174:C177 C179:C182 C185:C186 C188:C191" xr:uid="{00000000-0002-0000-0300-000005000000}">
      <formula1>$N$3771:$N$3791</formula1>
    </dataValidation>
    <dataValidation type="list" allowBlank="1" showInputMessage="1" showErrorMessage="1" sqref="C226:C227 C118 C120:C126 C217 C214 C193:C195 C203 C208" xr:uid="{00000000-0002-0000-0300-000006000000}">
      <formula1>$N$21:$N$566</formula1>
    </dataValidation>
    <dataValidation type="list" allowBlank="1" showInputMessage="1" showErrorMessage="1" sqref="C67 C151 C149 C65 C112 C144 C141 C138 C146 C156:C158" xr:uid="{00000000-0002-0000-0300-000007000000}">
      <formula1>$N$21:$N$456</formula1>
    </dataValidation>
    <dataValidation type="list" allowBlank="1" showInputMessage="1" showErrorMessage="1" sqref="C41:C42 C87 C97" xr:uid="{00000000-0002-0000-0300-000008000000}">
      <formula1>$N$29:$N$542</formula1>
    </dataValidation>
    <dataValidation type="list" allowBlank="1" showInputMessage="1" showErrorMessage="1" sqref="C196:C202 C204:C207 C209:C213 C215:C216 C218:C221" xr:uid="{00000000-0002-0000-0300-000009000000}">
      <formula1>$N$23:$N$770</formula1>
    </dataValidation>
    <dataValidation type="list" allowBlank="1" showInputMessage="1" showErrorMessage="1" sqref="C25 C27" xr:uid="{00000000-0002-0000-0300-00000A000000}">
      <formula1>$N$21:$N$706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B000000}">
          <x14:formula1>
            <xm:f>'C:\Users\endzandzao\Desktop\RF\Rapprochement bancaire\Mois d''Avril 2021\[Caisse-PALF 2020-2021.xlsx]Feuil1'!#REF!</xm:f>
          </x14:formula1>
          <xm:sqref>C37 C72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L43"/>
  <sheetViews>
    <sheetView topLeftCell="A12" workbookViewId="0">
      <selection activeCell="K12" sqref="K12"/>
    </sheetView>
  </sheetViews>
  <sheetFormatPr baseColWidth="10" defaultColWidth="11.42578125" defaultRowHeight="15" x14ac:dyDescent="0.25"/>
  <cols>
    <col min="1" max="1" width="7.42578125" customWidth="1"/>
    <col min="2" max="2" width="2.5703125" customWidth="1"/>
    <col min="3" max="3" width="13" customWidth="1"/>
    <col min="4" max="4" width="29.85546875" customWidth="1"/>
    <col min="5" max="5" width="11.7109375" customWidth="1"/>
    <col min="6" max="6" width="7.42578125" customWidth="1"/>
    <col min="7" max="7" width="0.140625" customWidth="1"/>
    <col min="8" max="8" width="13.42578125" customWidth="1"/>
    <col min="9" max="9" width="14.42578125" customWidth="1"/>
    <col min="10" max="10" width="9.85546875" style="1" customWidth="1"/>
    <col min="11" max="11" width="11.85546875" customWidth="1"/>
    <col min="13" max="13" width="13.85546875" bestFit="1" customWidth="1"/>
  </cols>
  <sheetData>
    <row r="1" spans="1:12" x14ac:dyDescent="0.25">
      <c r="A1" s="33"/>
      <c r="B1" s="33"/>
      <c r="C1" s="33"/>
      <c r="D1" s="33"/>
      <c r="E1" s="33"/>
      <c r="F1" s="33"/>
      <c r="G1" s="33"/>
      <c r="H1" s="33"/>
      <c r="I1" s="1"/>
      <c r="J1"/>
    </row>
    <row r="2" spans="1:12" x14ac:dyDescent="0.25">
      <c r="A2" s="33"/>
      <c r="B2" s="33"/>
      <c r="C2" s="33"/>
      <c r="D2" s="33"/>
      <c r="E2" s="33"/>
      <c r="F2" s="33"/>
      <c r="G2" s="33"/>
      <c r="H2" s="33"/>
      <c r="I2" s="1"/>
      <c r="J2"/>
    </row>
    <row r="3" spans="1:12" x14ac:dyDescent="0.25">
      <c r="A3" s="33"/>
      <c r="B3" s="33"/>
      <c r="C3" s="33"/>
      <c r="D3" s="33"/>
      <c r="E3" s="33"/>
      <c r="F3" s="33"/>
      <c r="G3" s="33"/>
      <c r="H3" s="33"/>
      <c r="I3" s="1"/>
      <c r="J3"/>
    </row>
    <row r="4" spans="1:12" x14ac:dyDescent="0.25">
      <c r="A4" s="34"/>
      <c r="B4" s="35"/>
      <c r="C4" s="35"/>
      <c r="D4" s="35"/>
      <c r="E4" s="35"/>
      <c r="F4" s="35"/>
      <c r="G4" s="35"/>
      <c r="H4" s="35"/>
      <c r="I4" s="1"/>
      <c r="J4"/>
    </row>
    <row r="5" spans="1:12" x14ac:dyDescent="0.25">
      <c r="A5" s="36" t="s">
        <v>32</v>
      </c>
      <c r="B5" s="35"/>
      <c r="C5" s="35"/>
      <c r="D5" s="35"/>
      <c r="E5" s="35"/>
      <c r="F5" s="35"/>
      <c r="G5" s="35"/>
      <c r="H5" s="35"/>
      <c r="I5" s="1"/>
      <c r="J5"/>
    </row>
    <row r="6" spans="1:12" x14ac:dyDescent="0.25">
      <c r="A6" s="37" t="s">
        <v>33</v>
      </c>
      <c r="B6" s="38" t="s">
        <v>34</v>
      </c>
      <c r="C6" s="38"/>
      <c r="D6" s="39"/>
      <c r="E6" s="38"/>
      <c r="F6" s="38"/>
      <c r="G6" s="38"/>
      <c r="H6" s="35"/>
      <c r="I6" s="1"/>
      <c r="J6"/>
    </row>
    <row r="7" spans="1:12" x14ac:dyDescent="0.25">
      <c r="A7" s="38"/>
      <c r="B7" s="38"/>
      <c r="C7" s="38"/>
      <c r="D7" s="38"/>
      <c r="E7" s="38"/>
      <c r="F7" s="38"/>
      <c r="G7" s="38"/>
      <c r="H7" s="35"/>
      <c r="I7" s="1"/>
      <c r="J7"/>
    </row>
    <row r="8" spans="1:12" x14ac:dyDescent="0.25">
      <c r="A8" s="2" t="s">
        <v>0</v>
      </c>
      <c r="B8" s="2"/>
      <c r="C8" s="3"/>
      <c r="D8" s="3"/>
      <c r="E8" s="3"/>
      <c r="F8" s="3"/>
      <c r="G8" s="3"/>
      <c r="H8" s="3"/>
      <c r="I8" s="3"/>
      <c r="J8" s="4"/>
      <c r="L8" s="3"/>
    </row>
    <row r="9" spans="1:12" x14ac:dyDescent="0.25">
      <c r="A9" s="5"/>
      <c r="B9" s="5"/>
      <c r="C9" s="6" t="s">
        <v>1</v>
      </c>
      <c r="D9" s="6"/>
      <c r="E9" s="7"/>
      <c r="F9" s="7"/>
      <c r="G9" s="7"/>
      <c r="H9" s="7"/>
      <c r="I9" s="8"/>
      <c r="J9" s="9"/>
      <c r="K9" s="7"/>
      <c r="L9" s="7"/>
    </row>
    <row r="10" spans="1:12" ht="15.75" x14ac:dyDescent="0.25">
      <c r="A10" s="5"/>
      <c r="B10" s="5"/>
      <c r="C10" s="287" t="s">
        <v>24</v>
      </c>
      <c r="D10" s="287"/>
      <c r="E10" s="7"/>
      <c r="F10" s="7"/>
      <c r="G10" s="7"/>
      <c r="H10" s="7"/>
      <c r="I10" s="8"/>
      <c r="J10" s="9"/>
      <c r="K10" s="7"/>
      <c r="L10" s="7"/>
    </row>
    <row r="11" spans="1:12" x14ac:dyDescent="0.25">
      <c r="A11" s="5"/>
      <c r="B11" s="5"/>
      <c r="C11" s="6" t="s">
        <v>3</v>
      </c>
      <c r="D11" s="6"/>
      <c r="E11" s="7"/>
      <c r="F11" s="7"/>
      <c r="G11" s="7"/>
      <c r="H11" s="7"/>
      <c r="I11" s="8"/>
      <c r="J11" s="9"/>
      <c r="K11" s="7"/>
      <c r="L11" s="7"/>
    </row>
    <row r="12" spans="1:12" x14ac:dyDescent="0.25">
      <c r="A12" s="5"/>
      <c r="B12" s="5"/>
      <c r="C12" s="7"/>
      <c r="D12" s="10"/>
      <c r="E12" s="11"/>
      <c r="F12" s="11"/>
      <c r="G12" s="11"/>
      <c r="H12" s="11"/>
      <c r="I12" s="8"/>
      <c r="J12" s="9"/>
      <c r="K12" s="12"/>
      <c r="L12" s="7"/>
    </row>
    <row r="13" spans="1:12" x14ac:dyDescent="0.25">
      <c r="A13" s="5"/>
      <c r="B13" s="5"/>
      <c r="C13" s="7"/>
      <c r="D13" s="10"/>
      <c r="E13" s="13" t="s">
        <v>403</v>
      </c>
      <c r="F13" s="13"/>
      <c r="G13" s="13"/>
      <c r="H13" s="13"/>
      <c r="I13" s="7"/>
      <c r="J13" s="14"/>
      <c r="K13" s="12"/>
      <c r="L13" s="7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4"/>
      <c r="K14" s="3"/>
      <c r="L14" s="3"/>
    </row>
    <row r="15" spans="1:12" ht="25.5" customHeight="1" x14ac:dyDescent="0.25">
      <c r="A15" s="15" t="s">
        <v>4</v>
      </c>
      <c r="B15" s="16" t="s">
        <v>5</v>
      </c>
      <c r="C15" s="17" t="s">
        <v>6</v>
      </c>
      <c r="D15" s="18" t="s">
        <v>7</v>
      </c>
      <c r="E15" s="18" t="s">
        <v>8</v>
      </c>
      <c r="F15" s="18" t="s">
        <v>9</v>
      </c>
      <c r="G15" s="19" t="s">
        <v>10</v>
      </c>
      <c r="H15" s="18" t="s">
        <v>11</v>
      </c>
      <c r="I15" s="20" t="s">
        <v>25</v>
      </c>
      <c r="J15" s="21" t="s">
        <v>13</v>
      </c>
      <c r="K15" s="22" t="s">
        <v>14</v>
      </c>
    </row>
    <row r="16" spans="1:12" x14ac:dyDescent="0.25">
      <c r="A16" s="30">
        <v>44287</v>
      </c>
      <c r="B16" s="28"/>
      <c r="C16" s="31"/>
      <c r="D16" s="28" t="s">
        <v>238</v>
      </c>
      <c r="E16" s="28"/>
      <c r="F16" s="28"/>
      <c r="G16" s="28"/>
      <c r="H16" s="46">
        <f>'[26]Compte principal 34 banque'!$H$29</f>
        <v>2957378</v>
      </c>
      <c r="I16" s="32"/>
      <c r="J16" s="133">
        <f>+H16</f>
        <v>2957378</v>
      </c>
      <c r="K16" s="23"/>
    </row>
    <row r="17" spans="1:12" x14ac:dyDescent="0.25">
      <c r="A17" s="402">
        <v>44300</v>
      </c>
      <c r="B17" s="403"/>
      <c r="C17" s="404" t="s">
        <v>404</v>
      </c>
      <c r="D17" s="405" t="s">
        <v>250</v>
      </c>
      <c r="E17" s="403" t="s">
        <v>173</v>
      </c>
      <c r="F17" s="403" t="s">
        <v>18</v>
      </c>
      <c r="G17" s="240"/>
      <c r="H17" s="406"/>
      <c r="I17" s="407">
        <v>260000</v>
      </c>
      <c r="J17" s="133">
        <f>+J16+H17-I17</f>
        <v>2697378</v>
      </c>
      <c r="K17" s="23"/>
    </row>
    <row r="18" spans="1:12" x14ac:dyDescent="0.25">
      <c r="A18" s="30">
        <v>44300</v>
      </c>
      <c r="B18" s="27"/>
      <c r="C18" s="360">
        <v>3654439</v>
      </c>
      <c r="D18" s="28" t="s">
        <v>251</v>
      </c>
      <c r="E18" s="27" t="s">
        <v>120</v>
      </c>
      <c r="F18" s="27" t="s">
        <v>18</v>
      </c>
      <c r="H18" s="25"/>
      <c r="I18" s="132">
        <v>1000000</v>
      </c>
      <c r="J18" s="133">
        <f t="shared" ref="J18:J26" si="0">+J17+H18-I18</f>
        <v>1697378</v>
      </c>
      <c r="K18" s="23"/>
    </row>
    <row r="19" spans="1:12" x14ac:dyDescent="0.25">
      <c r="A19" s="30">
        <v>44305</v>
      </c>
      <c r="B19" s="27"/>
      <c r="C19" s="360">
        <v>3654440</v>
      </c>
      <c r="D19" s="28" t="s">
        <v>252</v>
      </c>
      <c r="E19" s="27" t="s">
        <v>120</v>
      </c>
      <c r="F19" s="27" t="s">
        <v>18</v>
      </c>
      <c r="H19" s="25"/>
      <c r="I19" s="132">
        <v>1000000</v>
      </c>
      <c r="J19" s="133">
        <f t="shared" si="0"/>
        <v>697378</v>
      </c>
      <c r="K19" s="23"/>
    </row>
    <row r="20" spans="1:12" x14ac:dyDescent="0.25">
      <c r="A20" s="30">
        <v>44306</v>
      </c>
      <c r="B20" s="27"/>
      <c r="C20" s="360" t="s">
        <v>29</v>
      </c>
      <c r="D20" s="28" t="s">
        <v>253</v>
      </c>
      <c r="E20" s="27" t="s">
        <v>14</v>
      </c>
      <c r="F20" s="27"/>
      <c r="G20" s="390"/>
      <c r="H20" s="46">
        <v>7828953</v>
      </c>
      <c r="I20" s="132"/>
      <c r="J20" s="133">
        <f t="shared" si="0"/>
        <v>8526331</v>
      </c>
      <c r="K20" s="23"/>
    </row>
    <row r="21" spans="1:12" x14ac:dyDescent="0.25">
      <c r="A21" s="30">
        <v>44312</v>
      </c>
      <c r="B21" s="27"/>
      <c r="C21" s="360">
        <v>3654441</v>
      </c>
      <c r="D21" s="28" t="s">
        <v>254</v>
      </c>
      <c r="E21" s="27" t="s">
        <v>120</v>
      </c>
      <c r="F21" s="27" t="s">
        <v>18</v>
      </c>
      <c r="H21" s="25"/>
      <c r="I21" s="132">
        <v>1000000</v>
      </c>
      <c r="J21" s="133">
        <f t="shared" si="0"/>
        <v>7526331</v>
      </c>
      <c r="K21" s="23"/>
    </row>
    <row r="22" spans="1:12" x14ac:dyDescent="0.25">
      <c r="A22" s="30">
        <v>44314</v>
      </c>
      <c r="B22" s="27"/>
      <c r="C22" s="367">
        <v>3654443</v>
      </c>
      <c r="D22" s="264" t="s">
        <v>255</v>
      </c>
      <c r="E22" s="236" t="s">
        <v>240</v>
      </c>
      <c r="F22" s="195" t="s">
        <v>16</v>
      </c>
      <c r="G22" s="237"/>
      <c r="H22" s="239"/>
      <c r="I22" s="233">
        <v>100000</v>
      </c>
      <c r="J22" s="133">
        <f t="shared" si="0"/>
        <v>7426331</v>
      </c>
      <c r="K22" s="23"/>
    </row>
    <row r="23" spans="1:12" x14ac:dyDescent="0.25">
      <c r="A23" s="30">
        <v>44287</v>
      </c>
      <c r="B23" s="27"/>
      <c r="C23" s="360" t="s">
        <v>29</v>
      </c>
      <c r="D23" s="28" t="s">
        <v>405</v>
      </c>
      <c r="E23" s="236" t="s">
        <v>28</v>
      </c>
      <c r="F23" s="194" t="s">
        <v>18</v>
      </c>
      <c r="G23" s="27"/>
      <c r="H23" s="202"/>
      <c r="I23" s="132">
        <v>2811</v>
      </c>
      <c r="J23" s="133">
        <f t="shared" si="0"/>
        <v>7423520</v>
      </c>
      <c r="K23" s="23"/>
    </row>
    <row r="24" spans="1:12" x14ac:dyDescent="0.25">
      <c r="A24" s="30">
        <v>44288</v>
      </c>
      <c r="B24" s="27"/>
      <c r="C24" s="360" t="s">
        <v>29</v>
      </c>
      <c r="D24" s="28" t="s">
        <v>239</v>
      </c>
      <c r="E24" s="236" t="s">
        <v>28</v>
      </c>
      <c r="F24" s="194" t="s">
        <v>18</v>
      </c>
      <c r="G24" s="236"/>
      <c r="H24" s="277"/>
      <c r="I24" s="132">
        <v>2600</v>
      </c>
      <c r="J24" s="133">
        <f t="shared" si="0"/>
        <v>7420920</v>
      </c>
      <c r="K24" s="23"/>
    </row>
    <row r="25" spans="1:12" x14ac:dyDescent="0.25">
      <c r="A25" s="30">
        <v>44292</v>
      </c>
      <c r="B25" s="27"/>
      <c r="C25" s="360" t="s">
        <v>29</v>
      </c>
      <c r="D25" s="28" t="s">
        <v>406</v>
      </c>
      <c r="E25" s="236" t="s">
        <v>28</v>
      </c>
      <c r="F25" s="194" t="s">
        <v>18</v>
      </c>
      <c r="G25" s="236"/>
      <c r="H25" s="277"/>
      <c r="I25" s="132">
        <v>8644</v>
      </c>
      <c r="J25" s="133">
        <f t="shared" si="0"/>
        <v>7412276</v>
      </c>
      <c r="K25" s="23"/>
    </row>
    <row r="26" spans="1:12" x14ac:dyDescent="0.25">
      <c r="A26" s="30">
        <v>44312</v>
      </c>
      <c r="B26" s="27"/>
      <c r="C26" s="360" t="s">
        <v>29</v>
      </c>
      <c r="D26" s="28" t="s">
        <v>407</v>
      </c>
      <c r="E26" s="236" t="s">
        <v>28</v>
      </c>
      <c r="F26" s="194" t="s">
        <v>18</v>
      </c>
      <c r="G26" s="236"/>
      <c r="H26" s="277"/>
      <c r="I26" s="132">
        <v>6349</v>
      </c>
      <c r="J26" s="133">
        <f t="shared" si="0"/>
        <v>7405927</v>
      </c>
      <c r="K26" s="23"/>
    </row>
    <row r="27" spans="1:12" x14ac:dyDescent="0.25">
      <c r="A27" s="28"/>
      <c r="B27" s="28"/>
      <c r="C27" s="361" t="s">
        <v>27</v>
      </c>
      <c r="D27" s="361"/>
      <c r="E27" s="361"/>
      <c r="F27" s="361"/>
      <c r="G27" s="361"/>
      <c r="H27" s="362">
        <f>SUM(H16:H24)</f>
        <v>10786331</v>
      </c>
      <c r="I27" s="362">
        <f>SUM(I16:I26)</f>
        <v>3380404</v>
      </c>
      <c r="J27" s="32"/>
      <c r="K27" s="28"/>
    </row>
    <row r="28" spans="1:12" ht="23.25" customHeight="1" x14ac:dyDescent="0.25">
      <c r="A28" s="3"/>
      <c r="B28" s="3"/>
      <c r="C28" s="363" t="s">
        <v>22</v>
      </c>
      <c r="D28" s="363"/>
      <c r="E28" s="363"/>
      <c r="F28" s="363"/>
      <c r="G28" s="363"/>
      <c r="H28" s="363"/>
      <c r="I28" s="362"/>
      <c r="J28" s="3"/>
      <c r="K28" s="3"/>
      <c r="L28" s="29"/>
    </row>
    <row r="29" spans="1:12" x14ac:dyDescent="0.25">
      <c r="A29" s="3"/>
      <c r="B29" s="3"/>
      <c r="C29" s="364" t="s">
        <v>23</v>
      </c>
      <c r="D29" s="364"/>
      <c r="E29" s="364"/>
      <c r="F29" s="364"/>
      <c r="G29" s="364"/>
      <c r="H29" s="365">
        <f>+H27-I27</f>
        <v>7405927</v>
      </c>
      <c r="I29" s="366"/>
      <c r="J29" s="401"/>
      <c r="K29" s="3"/>
      <c r="L29" s="29"/>
    </row>
    <row r="30" spans="1:12" x14ac:dyDescent="0.25">
      <c r="H30" s="45"/>
      <c r="K30" s="24"/>
    </row>
    <row r="31" spans="1:12" x14ac:dyDescent="0.25">
      <c r="K31" s="24"/>
    </row>
    <row r="32" spans="1:12" x14ac:dyDescent="0.25">
      <c r="K32" s="24"/>
    </row>
    <row r="33" spans="11:11" x14ac:dyDescent="0.25">
      <c r="K33" s="24"/>
    </row>
    <row r="34" spans="11:11" x14ac:dyDescent="0.25">
      <c r="K34" s="24"/>
    </row>
    <row r="35" spans="11:11" x14ac:dyDescent="0.25">
      <c r="K35" s="24"/>
    </row>
    <row r="36" spans="11:11" x14ac:dyDescent="0.25">
      <c r="K36" s="24"/>
    </row>
    <row r="37" spans="11:11" x14ac:dyDescent="0.25">
      <c r="K37" s="24"/>
    </row>
    <row r="38" spans="11:11" x14ac:dyDescent="0.25">
      <c r="K38" s="24"/>
    </row>
    <row r="39" spans="11:11" x14ac:dyDescent="0.25">
      <c r="K39" s="24"/>
    </row>
    <row r="40" spans="11:11" x14ac:dyDescent="0.25">
      <c r="K40" s="24"/>
    </row>
    <row r="41" spans="11:11" x14ac:dyDescent="0.25">
      <c r="K41" s="24"/>
    </row>
    <row r="42" spans="11:11" x14ac:dyDescent="0.25">
      <c r="K42" s="24"/>
    </row>
    <row r="43" spans="11:11" x14ac:dyDescent="0.25">
      <c r="K43" s="29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O46"/>
  <sheetViews>
    <sheetView topLeftCell="A9" workbookViewId="0">
      <selection activeCell="O11" sqref="O11"/>
    </sheetView>
  </sheetViews>
  <sheetFormatPr baseColWidth="10" defaultColWidth="11.42578125" defaultRowHeight="12.75" x14ac:dyDescent="0.2"/>
  <cols>
    <col min="1" max="1" width="3" style="289" customWidth="1"/>
    <col min="2" max="2" width="11.42578125" style="289"/>
    <col min="3" max="3" width="22.7109375" style="289" customWidth="1"/>
    <col min="4" max="7" width="11.42578125" style="289"/>
    <col min="8" max="8" width="1.5703125" style="289" customWidth="1"/>
    <col min="9" max="9" width="9" style="289" customWidth="1"/>
    <col min="10" max="10" width="40.42578125" style="289" customWidth="1"/>
    <col min="11" max="11" width="11.85546875" style="289" customWidth="1"/>
    <col min="12" max="12" width="12.140625" style="289" customWidth="1"/>
    <col min="13" max="16384" width="11.42578125" style="289"/>
  </cols>
  <sheetData>
    <row r="1" spans="1:14" ht="15" x14ac:dyDescent="0.25">
      <c r="A1" s="288"/>
      <c r="B1" s="33"/>
      <c r="C1" s="33"/>
      <c r="D1" s="33"/>
      <c r="E1" s="33"/>
      <c r="F1" s="33"/>
      <c r="G1" s="33"/>
      <c r="H1" s="33"/>
      <c r="I1" s="33"/>
      <c r="J1" s="1"/>
      <c r="K1"/>
    </row>
    <row r="2" spans="1:14" ht="15" x14ac:dyDescent="0.25">
      <c r="A2" s="288"/>
      <c r="B2" s="33"/>
      <c r="C2" s="33"/>
      <c r="D2" s="33"/>
      <c r="E2" s="33"/>
      <c r="F2" s="33"/>
      <c r="G2" s="33"/>
      <c r="H2" s="33"/>
      <c r="I2" s="33"/>
      <c r="J2" s="1"/>
      <c r="K2"/>
    </row>
    <row r="3" spans="1:14" ht="15" x14ac:dyDescent="0.25">
      <c r="A3" s="288"/>
      <c r="B3" s="33"/>
      <c r="C3" s="33"/>
      <c r="D3" s="33"/>
      <c r="E3" s="33"/>
      <c r="F3" s="33"/>
      <c r="G3" s="33"/>
      <c r="H3" s="33"/>
      <c r="I3" s="33"/>
      <c r="J3" s="1"/>
      <c r="K3"/>
    </row>
    <row r="4" spans="1:14" ht="15" x14ac:dyDescent="0.25">
      <c r="A4" s="288"/>
      <c r="B4" s="34"/>
      <c r="C4" s="35"/>
      <c r="D4" s="35"/>
      <c r="E4" s="35"/>
      <c r="F4" s="35"/>
      <c r="G4" s="35"/>
      <c r="H4" s="35"/>
      <c r="I4" s="35"/>
      <c r="J4" s="1"/>
      <c r="K4"/>
    </row>
    <row r="5" spans="1:14" ht="15" x14ac:dyDescent="0.25">
      <c r="A5" s="288"/>
      <c r="B5" s="36" t="s">
        <v>32</v>
      </c>
      <c r="C5" s="35"/>
      <c r="D5" s="35"/>
      <c r="E5" s="35"/>
      <c r="F5" s="35"/>
      <c r="G5" s="35"/>
      <c r="H5" s="35"/>
      <c r="I5" s="35"/>
      <c r="J5" s="1"/>
      <c r="K5"/>
    </row>
    <row r="6" spans="1:14" ht="15" x14ac:dyDescent="0.25">
      <c r="A6" s="288"/>
      <c r="B6" s="37" t="s">
        <v>33</v>
      </c>
      <c r="C6" s="38" t="s">
        <v>34</v>
      </c>
      <c r="D6" s="38"/>
      <c r="E6" s="39"/>
      <c r="F6" s="38"/>
      <c r="G6" s="38"/>
      <c r="H6" s="38"/>
      <c r="I6" s="35"/>
      <c r="J6" s="1"/>
      <c r="K6"/>
    </row>
    <row r="7" spans="1:14" ht="15" x14ac:dyDescent="0.25">
      <c r="A7" s="288"/>
      <c r="B7" s="38"/>
      <c r="C7" s="38"/>
      <c r="D7" s="38"/>
      <c r="E7" s="38"/>
      <c r="F7" s="38"/>
      <c r="G7" s="38"/>
      <c r="H7" s="38"/>
      <c r="I7" s="35"/>
      <c r="J7" s="1"/>
      <c r="K7"/>
    </row>
    <row r="8" spans="1:14" x14ac:dyDescent="0.2">
      <c r="A8" s="288"/>
      <c r="B8" s="290"/>
      <c r="C8" s="291"/>
      <c r="D8" s="292"/>
      <c r="E8" s="293"/>
      <c r="F8" s="293"/>
      <c r="G8" s="288"/>
      <c r="H8" s="294"/>
      <c r="I8" s="295"/>
      <c r="J8" s="290"/>
    </row>
    <row r="9" spans="1:14" ht="23.25" thickBot="1" x14ac:dyDescent="0.25">
      <c r="A9" s="288"/>
      <c r="B9" s="542" t="s">
        <v>177</v>
      </c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</row>
    <row r="10" spans="1:14" ht="13.5" thickTop="1" x14ac:dyDescent="0.2">
      <c r="H10" s="296"/>
    </row>
    <row r="11" spans="1:14" x14ac:dyDescent="0.2">
      <c r="B11" s="290" t="s">
        <v>178</v>
      </c>
      <c r="C11" s="297" t="s">
        <v>410</v>
      </c>
      <c r="D11" s="298"/>
      <c r="E11" s="299"/>
      <c r="F11" s="299"/>
      <c r="H11" s="296"/>
      <c r="I11" s="290" t="s">
        <v>178</v>
      </c>
      <c r="J11" s="297" t="str">
        <f>C11</f>
        <v>DU 01 AU 30 Avril  2021</v>
      </c>
      <c r="K11" s="299"/>
      <c r="L11" s="299"/>
      <c r="M11" s="299"/>
    </row>
    <row r="12" spans="1:14" x14ac:dyDescent="0.2">
      <c r="B12" s="290" t="s">
        <v>179</v>
      </c>
      <c r="C12" s="299" t="s">
        <v>180</v>
      </c>
      <c r="D12" s="299"/>
      <c r="E12" s="300"/>
      <c r="F12" s="300"/>
      <c r="G12" s="288"/>
      <c r="H12" s="296"/>
      <c r="I12" s="290" t="s">
        <v>179</v>
      </c>
      <c r="J12" s="299" t="s">
        <v>181</v>
      </c>
      <c r="K12" s="299"/>
      <c r="L12" s="299"/>
      <c r="M12" s="299"/>
    </row>
    <row r="13" spans="1:14" ht="15.75" x14ac:dyDescent="0.25">
      <c r="B13" s="290" t="s">
        <v>182</v>
      </c>
      <c r="C13" s="301" t="s">
        <v>183</v>
      </c>
      <c r="D13" s="302"/>
      <c r="E13" s="300"/>
      <c r="F13" s="300"/>
      <c r="G13" s="288"/>
      <c r="H13" s="296"/>
      <c r="I13" s="290" t="s">
        <v>182</v>
      </c>
      <c r="J13" s="301" t="str">
        <f>+C13</f>
        <v>01100-37107202652 - 34</v>
      </c>
      <c r="K13" s="301"/>
      <c r="L13" s="299"/>
      <c r="M13" s="299"/>
    </row>
    <row r="14" spans="1:14" x14ac:dyDescent="0.2">
      <c r="H14" s="296"/>
    </row>
    <row r="15" spans="1:14" x14ac:dyDescent="0.2">
      <c r="B15" s="543" t="s">
        <v>4</v>
      </c>
      <c r="C15" s="543" t="s">
        <v>184</v>
      </c>
      <c r="D15" s="543" t="s">
        <v>185</v>
      </c>
      <c r="E15" s="543" t="s">
        <v>186</v>
      </c>
      <c r="F15" s="544" t="s">
        <v>187</v>
      </c>
      <c r="G15" s="544"/>
      <c r="H15" s="296"/>
      <c r="I15" s="543" t="s">
        <v>4</v>
      </c>
      <c r="J15" s="543" t="s">
        <v>184</v>
      </c>
      <c r="K15" s="543" t="s">
        <v>185</v>
      </c>
      <c r="L15" s="543" t="s">
        <v>186</v>
      </c>
      <c r="M15" s="544" t="s">
        <v>187</v>
      </c>
      <c r="N15" s="544"/>
    </row>
    <row r="16" spans="1:14" x14ac:dyDescent="0.2">
      <c r="B16" s="543"/>
      <c r="C16" s="543"/>
      <c r="D16" s="543"/>
      <c r="E16" s="543"/>
      <c r="F16" s="353" t="s">
        <v>188</v>
      </c>
      <c r="G16" s="353" t="s">
        <v>189</v>
      </c>
      <c r="H16" s="296"/>
      <c r="I16" s="543"/>
      <c r="J16" s="543"/>
      <c r="K16" s="543"/>
      <c r="L16" s="543"/>
      <c r="M16" s="353" t="s">
        <v>188</v>
      </c>
      <c r="N16" s="353" t="s">
        <v>189</v>
      </c>
    </row>
    <row r="17" spans="2:15" x14ac:dyDescent="0.2">
      <c r="B17" s="303" t="s">
        <v>190</v>
      </c>
      <c r="F17" s="304"/>
      <c r="G17" s="304"/>
      <c r="H17" s="296"/>
      <c r="I17" s="303" t="s">
        <v>191</v>
      </c>
      <c r="N17" s="304"/>
    </row>
    <row r="18" spans="2:15" ht="13.5" thickBot="1" x14ac:dyDescent="0.25">
      <c r="B18" s="305">
        <v>44316</v>
      </c>
      <c r="C18" s="306" t="s">
        <v>192</v>
      </c>
      <c r="D18" s="306"/>
      <c r="E18" s="306"/>
      <c r="F18" s="307">
        <f>+'Compte Principal 34 BCI'!H29</f>
        <v>7405927</v>
      </c>
      <c r="G18" s="306"/>
      <c r="H18" s="296"/>
      <c r="I18" s="305">
        <f>+B18</f>
        <v>44316</v>
      </c>
      <c r="J18" s="306" t="s">
        <v>193</v>
      </c>
      <c r="K18" s="306"/>
      <c r="L18" s="306"/>
      <c r="M18" s="308"/>
      <c r="N18" s="307">
        <v>7505927</v>
      </c>
      <c r="O18" s="304"/>
    </row>
    <row r="19" spans="2:15" ht="13.5" thickTop="1" x14ac:dyDescent="0.2">
      <c r="F19" s="304"/>
      <c r="H19" s="296"/>
    </row>
    <row r="20" spans="2:15" x14ac:dyDescent="0.2">
      <c r="B20" s="303" t="s">
        <v>194</v>
      </c>
      <c r="F20" s="304"/>
      <c r="H20" s="296"/>
      <c r="I20" s="309" t="s">
        <v>195</v>
      </c>
      <c r="J20" s="310"/>
      <c r="K20" s="310"/>
      <c r="L20" s="310"/>
      <c r="M20" s="310"/>
      <c r="N20" s="310"/>
    </row>
    <row r="21" spans="2:15" x14ac:dyDescent="0.2">
      <c r="F21" s="304"/>
      <c r="H21" s="296"/>
    </row>
    <row r="22" spans="2:15" x14ac:dyDescent="0.2">
      <c r="B22" s="311"/>
      <c r="C22" s="312"/>
      <c r="D22" s="312"/>
      <c r="E22" s="312"/>
      <c r="F22" s="313"/>
      <c r="G22" s="313"/>
      <c r="H22" s="296"/>
      <c r="I22" s="314">
        <v>44314</v>
      </c>
      <c r="J22" s="315" t="s">
        <v>255</v>
      </c>
      <c r="K22" s="316"/>
      <c r="L22" s="316">
        <v>3654443</v>
      </c>
      <c r="M22" s="317">
        <v>100000</v>
      </c>
      <c r="N22" s="313"/>
    </row>
    <row r="23" spans="2:15" x14ac:dyDescent="0.2">
      <c r="B23" s="311"/>
      <c r="C23" s="312"/>
      <c r="D23" s="312"/>
      <c r="E23" s="312"/>
      <c r="F23" s="313"/>
      <c r="G23" s="313"/>
      <c r="H23" s="296"/>
      <c r="I23" s="314"/>
      <c r="J23" s="315"/>
      <c r="K23" s="316"/>
      <c r="L23" s="316"/>
      <c r="M23" s="317"/>
      <c r="N23" s="313"/>
    </row>
    <row r="24" spans="2:15" x14ac:dyDescent="0.2">
      <c r="B24" s="311"/>
      <c r="C24" s="312"/>
      <c r="D24" s="312"/>
      <c r="E24" s="312"/>
      <c r="F24" s="313"/>
      <c r="G24" s="313"/>
      <c r="H24" s="296"/>
      <c r="I24" s="314"/>
      <c r="J24" s="316"/>
      <c r="K24" s="316"/>
      <c r="L24" s="316"/>
      <c r="M24" s="317"/>
      <c r="N24" s="313"/>
    </row>
    <row r="25" spans="2:15" x14ac:dyDescent="0.2">
      <c r="B25" s="311"/>
      <c r="C25" s="312"/>
      <c r="D25" s="312"/>
      <c r="E25" s="312"/>
      <c r="F25" s="313"/>
      <c r="G25" s="313"/>
      <c r="H25" s="296"/>
      <c r="I25" s="314"/>
      <c r="J25" s="316"/>
      <c r="K25" s="314"/>
      <c r="L25" s="316"/>
      <c r="M25" s="317"/>
      <c r="N25" s="313"/>
    </row>
    <row r="26" spans="2:15" x14ac:dyDescent="0.2">
      <c r="B26" s="311"/>
      <c r="C26" s="312"/>
      <c r="D26" s="312"/>
      <c r="E26" s="312"/>
      <c r="F26" s="313"/>
      <c r="G26" s="313"/>
      <c r="H26" s="296"/>
      <c r="I26" s="314"/>
      <c r="J26" s="316"/>
      <c r="K26" s="316"/>
      <c r="L26" s="316"/>
      <c r="M26" s="317"/>
      <c r="N26" s="313"/>
    </row>
    <row r="27" spans="2:15" x14ac:dyDescent="0.2">
      <c r="B27" s="311"/>
      <c r="C27" s="312"/>
      <c r="D27" s="312"/>
      <c r="E27" s="312"/>
      <c r="F27" s="313"/>
      <c r="G27" s="313"/>
      <c r="H27" s="296"/>
      <c r="I27" s="314"/>
      <c r="J27" s="316"/>
      <c r="K27" s="316"/>
      <c r="L27" s="316"/>
      <c r="M27" s="317"/>
      <c r="N27" s="313"/>
    </row>
    <row r="28" spans="2:15" x14ac:dyDescent="0.2">
      <c r="B28" s="311"/>
      <c r="C28" s="312"/>
      <c r="D28" s="312"/>
      <c r="E28" s="312"/>
      <c r="F28" s="313"/>
      <c r="G28" s="313"/>
      <c r="H28" s="296"/>
      <c r="I28" s="311"/>
      <c r="J28" s="312"/>
      <c r="K28" s="312"/>
      <c r="L28" s="312"/>
      <c r="M28" s="313"/>
      <c r="N28" s="313"/>
    </row>
    <row r="29" spans="2:15" x14ac:dyDescent="0.2">
      <c r="B29" s="311"/>
      <c r="C29" s="312"/>
      <c r="D29" s="312"/>
      <c r="E29" s="312"/>
      <c r="F29" s="313"/>
      <c r="G29" s="313"/>
      <c r="H29" s="296"/>
      <c r="I29" s="312"/>
      <c r="J29" s="312"/>
      <c r="K29" s="312"/>
      <c r="L29" s="312"/>
      <c r="M29" s="313"/>
      <c r="N29" s="313"/>
    </row>
    <row r="30" spans="2:15" x14ac:dyDescent="0.2">
      <c r="B30" s="311"/>
      <c r="C30" s="312"/>
      <c r="D30" s="312"/>
      <c r="E30" s="312"/>
      <c r="F30" s="313"/>
      <c r="G30" s="313"/>
      <c r="H30" s="296"/>
      <c r="I30" s="312"/>
      <c r="J30" s="312"/>
      <c r="K30" s="312"/>
      <c r="L30" s="312"/>
      <c r="M30" s="313"/>
      <c r="N30" s="313"/>
    </row>
    <row r="31" spans="2:15" ht="13.5" thickBot="1" x14ac:dyDescent="0.25">
      <c r="B31" s="318"/>
      <c r="C31" s="312"/>
      <c r="D31" s="312"/>
      <c r="E31" s="312"/>
      <c r="F31" s="319"/>
      <c r="G31" s="320"/>
      <c r="H31" s="296"/>
      <c r="I31" s="320"/>
      <c r="J31" s="320"/>
      <c r="K31" s="320"/>
      <c r="L31" s="320"/>
      <c r="M31" s="320"/>
      <c r="N31" s="320"/>
    </row>
    <row r="32" spans="2:15" ht="14.25" thickTop="1" thickBot="1" x14ac:dyDescent="0.25">
      <c r="B32" s="546" t="s">
        <v>196</v>
      </c>
      <c r="C32" s="547"/>
      <c r="D32" s="547"/>
      <c r="E32" s="548"/>
      <c r="F32" s="321">
        <f>SUM(F22:F31,F17:F18)</f>
        <v>7405927</v>
      </c>
      <c r="G32" s="321">
        <f>SUM(G22:G31,G17)</f>
        <v>0</v>
      </c>
      <c r="H32" s="296"/>
      <c r="I32" s="546" t="s">
        <v>197</v>
      </c>
      <c r="J32" s="547"/>
      <c r="K32" s="547"/>
      <c r="L32" s="548"/>
      <c r="M32" s="321">
        <f>SUM(M22:M31,M17:M18)</f>
        <v>100000</v>
      </c>
      <c r="N32" s="321">
        <f>SUM(N22:N31,N17:N18)</f>
        <v>7505927</v>
      </c>
    </row>
    <row r="33" spans="2:14" ht="13.5" thickTop="1" x14ac:dyDescent="0.2">
      <c r="H33" s="296"/>
      <c r="M33" s="304"/>
      <c r="N33" s="304"/>
    </row>
    <row r="34" spans="2:14" ht="13.5" thickBot="1" x14ac:dyDescent="0.25">
      <c r="B34" s="322" t="s">
        <v>408</v>
      </c>
      <c r="C34" s="322"/>
      <c r="D34" s="549" t="str">
        <f>IF(F32&gt;G32,"Solde Débiteur","Solde Nul")</f>
        <v>Solde Débiteur</v>
      </c>
      <c r="E34" s="549"/>
      <c r="F34" s="323"/>
      <c r="G34" s="308">
        <f>F32-G32</f>
        <v>7405927</v>
      </c>
      <c r="H34" s="296"/>
      <c r="I34" s="322" t="str">
        <f>+B34</f>
        <v xml:space="preserve"> Solde rapporché au 30/04/2021∑(1)-(2)</v>
      </c>
      <c r="J34" s="322"/>
      <c r="K34" s="549" t="str">
        <f>IF(N32&gt;M32,"Solde Créditeur","Solde Nul")</f>
        <v>Solde Créditeur</v>
      </c>
      <c r="L34" s="549"/>
      <c r="M34" s="324">
        <f>N32-M32</f>
        <v>7405927</v>
      </c>
      <c r="N34" s="323"/>
    </row>
    <row r="35" spans="2:14" ht="13.5" thickTop="1" x14ac:dyDescent="0.2">
      <c r="F35" s="304"/>
      <c r="G35" s="304"/>
      <c r="H35" s="296"/>
      <c r="M35" s="304"/>
      <c r="N35" s="304"/>
    </row>
    <row r="36" spans="2:14" ht="15" thickBot="1" x14ac:dyDescent="0.25">
      <c r="B36" s="325" t="s">
        <v>198</v>
      </c>
      <c r="C36" s="325"/>
      <c r="D36" s="325"/>
      <c r="E36" s="325"/>
      <c r="F36" s="326">
        <f>SUM(F32)</f>
        <v>7405927</v>
      </c>
      <c r="G36" s="326">
        <f>G34+G32</f>
        <v>7405927</v>
      </c>
      <c r="H36" s="327"/>
      <c r="I36" s="325" t="s">
        <v>198</v>
      </c>
      <c r="J36" s="325"/>
      <c r="K36" s="325"/>
      <c r="L36" s="325"/>
      <c r="M36" s="326">
        <f>+M32+M34</f>
        <v>7505927</v>
      </c>
      <c r="N36" s="326">
        <f>N34+N32</f>
        <v>7505927</v>
      </c>
    </row>
    <row r="37" spans="2:14" ht="13.5" thickTop="1" x14ac:dyDescent="0.2"/>
    <row r="38" spans="2:14" ht="15" thickBot="1" x14ac:dyDescent="0.25">
      <c r="B38" s="325" t="s">
        <v>199</v>
      </c>
      <c r="C38" s="325"/>
      <c r="D38" s="325"/>
      <c r="E38" s="325"/>
      <c r="F38" s="325"/>
      <c r="G38" s="328">
        <f>G34-M34</f>
        <v>0</v>
      </c>
      <c r="I38" s="329"/>
      <c r="J38" s="329"/>
    </row>
    <row r="39" spans="2:14" ht="13.5" thickTop="1" x14ac:dyDescent="0.2">
      <c r="G39" s="550"/>
      <c r="H39" s="550"/>
      <c r="I39" s="550"/>
      <c r="J39" s="330"/>
      <c r="K39" s="330" t="s">
        <v>409</v>
      </c>
      <c r="L39" s="330"/>
    </row>
    <row r="40" spans="2:14" x14ac:dyDescent="0.2">
      <c r="G40" s="354"/>
      <c r="H40" s="354"/>
      <c r="I40" s="354"/>
      <c r="J40" s="330"/>
      <c r="K40" s="330"/>
      <c r="L40" s="330"/>
    </row>
    <row r="41" spans="2:14" ht="15" x14ac:dyDescent="0.2">
      <c r="B41" s="38" t="s">
        <v>35</v>
      </c>
      <c r="C41" s="40"/>
      <c r="J41" s="38" t="s">
        <v>38</v>
      </c>
      <c r="K41" s="330"/>
    </row>
    <row r="42" spans="2:14" ht="14.25" x14ac:dyDescent="0.2">
      <c r="B42" s="35"/>
      <c r="C42" s="35"/>
      <c r="F42" s="299"/>
      <c r="G42" s="299"/>
      <c r="H42" s="299"/>
      <c r="I42" s="331"/>
      <c r="L42" s="331"/>
      <c r="M42" s="331"/>
      <c r="N42" s="331"/>
    </row>
    <row r="43" spans="2:14" ht="14.25" x14ac:dyDescent="0.2">
      <c r="B43" s="43" t="s">
        <v>200</v>
      </c>
      <c r="C43" s="42"/>
      <c r="D43" s="299"/>
      <c r="E43" s="299"/>
      <c r="F43" s="299"/>
      <c r="G43" s="299"/>
      <c r="H43" s="299"/>
      <c r="I43" s="299"/>
      <c r="J43" s="43" t="s">
        <v>39</v>
      </c>
      <c r="K43" s="331"/>
      <c r="L43" s="299"/>
      <c r="M43" s="299"/>
      <c r="N43" s="299"/>
    </row>
    <row r="44" spans="2:14" ht="15" x14ac:dyDescent="0.25">
      <c r="B44" s="44" t="s">
        <v>37</v>
      </c>
      <c r="C44" s="44"/>
      <c r="D44" s="299"/>
      <c r="E44" s="299"/>
      <c r="F44" s="299"/>
      <c r="G44" s="299"/>
      <c r="H44" s="299"/>
      <c r="I44" s="299"/>
      <c r="J44" s="44" t="s">
        <v>37</v>
      </c>
      <c r="K44" s="299"/>
      <c r="L44" s="299"/>
      <c r="M44" s="299"/>
      <c r="N44" s="299"/>
    </row>
    <row r="45" spans="2:14" x14ac:dyDescent="0.2">
      <c r="B45" s="299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</row>
    <row r="46" spans="2:14" x14ac:dyDescent="0.2">
      <c r="B46" s="545"/>
      <c r="C46" s="545"/>
      <c r="D46" s="299"/>
      <c r="E46" s="299"/>
      <c r="F46" s="299"/>
      <c r="G46" s="299"/>
      <c r="H46" s="299"/>
      <c r="I46" s="545"/>
      <c r="J46" s="545"/>
      <c r="K46" s="545"/>
      <c r="L46" s="545"/>
      <c r="M46" s="545"/>
      <c r="N46" s="545"/>
    </row>
  </sheetData>
  <mergeCells count="18">
    <mergeCell ref="B46:C46"/>
    <mergeCell ref="I46:N46"/>
    <mergeCell ref="B32:E32"/>
    <mergeCell ref="I32:L32"/>
    <mergeCell ref="D34:E34"/>
    <mergeCell ref="K34:L34"/>
    <mergeCell ref="G39:I39"/>
    <mergeCell ref="B9:N9"/>
    <mergeCell ref="B15:B16"/>
    <mergeCell ref="C15:C16"/>
    <mergeCell ref="D15:D16"/>
    <mergeCell ref="E15:E16"/>
    <mergeCell ref="F15:G15"/>
    <mergeCell ref="I15:I16"/>
    <mergeCell ref="J15:J16"/>
    <mergeCell ref="K15:K16"/>
    <mergeCell ref="L15:L16"/>
    <mergeCell ref="M15:N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K48"/>
  <sheetViews>
    <sheetView topLeftCell="A29" workbookViewId="0">
      <selection activeCell="D25" sqref="D25"/>
    </sheetView>
  </sheetViews>
  <sheetFormatPr baseColWidth="10" defaultColWidth="11.42578125" defaultRowHeight="15" x14ac:dyDescent="0.25"/>
  <cols>
    <col min="1" max="1" width="7.28515625" customWidth="1"/>
    <col min="2" max="2" width="3.140625" customWidth="1"/>
    <col min="3" max="3" width="10.140625" customWidth="1"/>
    <col min="4" max="4" width="50.85546875" customWidth="1"/>
    <col min="5" max="5" width="11.7109375" customWidth="1"/>
    <col min="6" max="6" width="11.28515625" customWidth="1"/>
    <col min="7" max="7" width="1.28515625" customWidth="1"/>
    <col min="8" max="8" width="12.5703125" customWidth="1"/>
    <col min="9" max="9" width="14" style="1" customWidth="1"/>
    <col min="10" max="10" width="13.140625" customWidth="1"/>
    <col min="12" max="12" width="13.85546875" style="332" bestFit="1" customWidth="1"/>
    <col min="13" max="13" width="12.7109375" style="332" bestFit="1" customWidth="1"/>
    <col min="14" max="37" width="11.42578125" style="332"/>
  </cols>
  <sheetData>
    <row r="1" spans="1:13" x14ac:dyDescent="0.25">
      <c r="A1" s="33"/>
      <c r="B1" s="33"/>
      <c r="C1" s="33"/>
      <c r="D1" s="33"/>
      <c r="E1" s="33"/>
      <c r="F1" s="33"/>
      <c r="G1" s="33"/>
      <c r="H1" s="33"/>
    </row>
    <row r="2" spans="1:13" x14ac:dyDescent="0.25">
      <c r="A2" s="33"/>
      <c r="B2" s="33"/>
      <c r="C2" s="33"/>
      <c r="D2" s="33"/>
      <c r="E2" s="33"/>
      <c r="F2" s="33"/>
      <c r="G2" s="33"/>
      <c r="H2" s="33"/>
    </row>
    <row r="3" spans="1:13" x14ac:dyDescent="0.25">
      <c r="A3" s="33"/>
      <c r="B3" s="33"/>
      <c r="C3" s="33"/>
      <c r="D3" s="33"/>
      <c r="E3" s="33"/>
      <c r="F3" s="33"/>
      <c r="G3" s="33"/>
      <c r="H3" s="33"/>
    </row>
    <row r="4" spans="1:13" x14ac:dyDescent="0.25">
      <c r="A4" s="34"/>
      <c r="B4" s="35"/>
      <c r="C4" s="35"/>
      <c r="D4" s="35"/>
      <c r="E4" s="35"/>
      <c r="F4" s="35"/>
      <c r="G4" s="35"/>
      <c r="H4" s="35"/>
    </row>
    <row r="5" spans="1:13" x14ac:dyDescent="0.25">
      <c r="A5" s="36" t="s">
        <v>32</v>
      </c>
      <c r="B5" s="35"/>
      <c r="C5" s="35"/>
      <c r="D5" s="35"/>
      <c r="E5" s="35"/>
      <c r="F5" s="35"/>
      <c r="G5" s="35"/>
      <c r="H5" s="35"/>
    </row>
    <row r="6" spans="1:13" x14ac:dyDescent="0.25">
      <c r="A6" s="37" t="s">
        <v>33</v>
      </c>
      <c r="B6" s="38" t="s">
        <v>34</v>
      </c>
      <c r="C6" s="38"/>
      <c r="D6" s="39"/>
      <c r="E6" s="38"/>
      <c r="F6" s="38"/>
      <c r="G6" s="38"/>
      <c r="H6" s="35"/>
    </row>
    <row r="7" spans="1:13" x14ac:dyDescent="0.25">
      <c r="A7" s="38"/>
      <c r="B7" s="38"/>
      <c r="C7" s="38"/>
      <c r="D7" s="38"/>
      <c r="E7" s="38"/>
      <c r="F7" s="38"/>
      <c r="G7" s="38"/>
      <c r="H7" s="35"/>
    </row>
    <row r="8" spans="1:13" x14ac:dyDescent="0.25">
      <c r="A8" s="2" t="s">
        <v>0</v>
      </c>
      <c r="B8" s="3"/>
      <c r="C8" s="3"/>
      <c r="D8" s="3"/>
      <c r="E8" s="3"/>
      <c r="F8" s="3"/>
      <c r="G8" s="3"/>
      <c r="H8" s="3"/>
      <c r="I8" s="4"/>
      <c r="J8" s="3"/>
      <c r="K8" s="3"/>
    </row>
    <row r="9" spans="1:13" x14ac:dyDescent="0.25">
      <c r="A9" s="5"/>
      <c r="B9" s="6" t="s">
        <v>1</v>
      </c>
      <c r="C9" s="6"/>
      <c r="D9" s="7"/>
      <c r="E9" s="7"/>
      <c r="F9" s="7"/>
      <c r="G9" s="7"/>
      <c r="H9" s="8"/>
      <c r="I9" s="9"/>
      <c r="J9" s="7"/>
      <c r="K9" s="7"/>
    </row>
    <row r="10" spans="1:13" ht="15.75" x14ac:dyDescent="0.25">
      <c r="A10" s="5"/>
      <c r="B10" s="287" t="s">
        <v>2</v>
      </c>
      <c r="C10" s="287"/>
      <c r="D10" s="333"/>
      <c r="E10" s="7"/>
      <c r="F10" s="7"/>
      <c r="G10" s="7"/>
      <c r="H10" s="8"/>
      <c r="I10" s="9"/>
      <c r="J10" s="7"/>
      <c r="K10" s="7"/>
    </row>
    <row r="11" spans="1:13" x14ac:dyDescent="0.25">
      <c r="A11" s="5"/>
      <c r="B11" s="6" t="s">
        <v>3</v>
      </c>
      <c r="C11" s="6"/>
      <c r="D11" s="7"/>
      <c r="E11" s="7"/>
      <c r="F11" s="7"/>
      <c r="G11" s="7"/>
      <c r="H11" s="8"/>
      <c r="I11" s="9"/>
      <c r="J11" s="7"/>
      <c r="K11" s="7"/>
    </row>
    <row r="12" spans="1:13" x14ac:dyDescent="0.25">
      <c r="A12" s="5"/>
      <c r="B12" s="7"/>
      <c r="C12" s="10"/>
      <c r="D12" s="13" t="s">
        <v>403</v>
      </c>
      <c r="E12" s="13"/>
      <c r="F12" s="13"/>
      <c r="G12" s="13"/>
      <c r="H12" s="7"/>
      <c r="I12" s="14"/>
      <c r="J12" s="12"/>
      <c r="K12" s="7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4"/>
      <c r="J13" s="3"/>
      <c r="K13" s="3"/>
    </row>
    <row r="14" spans="1:13" ht="29.25" customHeight="1" x14ac:dyDescent="0.25">
      <c r="A14" s="15" t="s">
        <v>4</v>
      </c>
      <c r="B14" s="16" t="s">
        <v>5</v>
      </c>
      <c r="C14" s="17" t="s">
        <v>6</v>
      </c>
      <c r="D14" s="18" t="s">
        <v>7</v>
      </c>
      <c r="E14" s="18" t="s">
        <v>8</v>
      </c>
      <c r="F14" s="18" t="s">
        <v>9</v>
      </c>
      <c r="G14" s="19" t="s">
        <v>10</v>
      </c>
      <c r="H14" s="18" t="s">
        <v>11</v>
      </c>
      <c r="I14" s="20" t="s">
        <v>12</v>
      </c>
      <c r="J14" s="21" t="s">
        <v>13</v>
      </c>
      <c r="K14" s="22" t="s">
        <v>14</v>
      </c>
    </row>
    <row r="15" spans="1:13" ht="17.25" customHeight="1" x14ac:dyDescent="0.25">
      <c r="A15" s="462">
        <v>44287</v>
      </c>
      <c r="B15" s="463"/>
      <c r="C15" s="464"/>
      <c r="D15" s="463" t="s">
        <v>411</v>
      </c>
      <c r="E15" s="463"/>
      <c r="F15" s="463"/>
      <c r="G15" s="463"/>
      <c r="H15" s="233">
        <f>'[26]sous compte bancaire compte 56'!$H$40</f>
        <v>28018507</v>
      </c>
      <c r="I15" s="465"/>
      <c r="J15" s="466">
        <f>+H15</f>
        <v>28018507</v>
      </c>
      <c r="K15" s="467"/>
      <c r="L15" s="24"/>
      <c r="M15" s="334"/>
    </row>
    <row r="16" spans="1:13" ht="17.25" customHeight="1" x14ac:dyDescent="0.25">
      <c r="A16" s="462">
        <v>44305</v>
      </c>
      <c r="B16" s="468"/>
      <c r="C16" s="469">
        <v>3643442</v>
      </c>
      <c r="D16" s="470" t="s">
        <v>256</v>
      </c>
      <c r="E16" s="240" t="s">
        <v>240</v>
      </c>
      <c r="F16" s="240" t="s">
        <v>16</v>
      </c>
      <c r="G16" s="463"/>
      <c r="H16" s="465"/>
      <c r="I16" s="233">
        <v>200000</v>
      </c>
      <c r="J16" s="466">
        <f>+J15+H16-I16</f>
        <v>27818507</v>
      </c>
      <c r="K16" s="471"/>
      <c r="L16" s="24"/>
      <c r="M16" s="24"/>
    </row>
    <row r="17" spans="1:13" ht="17.25" customHeight="1" x14ac:dyDescent="0.25">
      <c r="A17" s="462">
        <v>44312</v>
      </c>
      <c r="B17" s="468"/>
      <c r="C17" s="285">
        <v>3643456</v>
      </c>
      <c r="D17" s="470" t="s">
        <v>257</v>
      </c>
      <c r="E17" s="240" t="s">
        <v>240</v>
      </c>
      <c r="F17" s="240" t="s">
        <v>16</v>
      </c>
      <c r="G17" s="463"/>
      <c r="H17" s="465"/>
      <c r="I17" s="233">
        <v>300000</v>
      </c>
      <c r="J17" s="466">
        <f>+J16+H17-I17</f>
        <v>27518507</v>
      </c>
      <c r="K17" s="467"/>
      <c r="L17" s="24"/>
      <c r="M17" s="24"/>
    </row>
    <row r="18" spans="1:13" ht="17.25" customHeight="1" x14ac:dyDescent="0.25">
      <c r="A18" s="462">
        <v>44312</v>
      </c>
      <c r="B18" s="468"/>
      <c r="C18" s="469" t="s">
        <v>404</v>
      </c>
      <c r="D18" s="470" t="s">
        <v>258</v>
      </c>
      <c r="E18" s="240" t="s">
        <v>17</v>
      </c>
      <c r="F18" s="472" t="s">
        <v>18</v>
      </c>
      <c r="G18" s="463"/>
      <c r="H18" s="465"/>
      <c r="I18" s="233">
        <v>500000</v>
      </c>
      <c r="J18" s="466">
        <f t="shared" ref="J18:J34" si="0">+J17+H18-I18</f>
        <v>27018507</v>
      </c>
      <c r="K18" s="467"/>
      <c r="L18" s="24"/>
      <c r="M18" s="24"/>
    </row>
    <row r="19" spans="1:13" ht="17.25" customHeight="1" x14ac:dyDescent="0.25">
      <c r="A19" s="462">
        <v>44312</v>
      </c>
      <c r="B19" s="468"/>
      <c r="C19" s="469">
        <v>3643454</v>
      </c>
      <c r="D19" s="470" t="s">
        <v>259</v>
      </c>
      <c r="E19" s="240" t="s">
        <v>20</v>
      </c>
      <c r="F19" s="472" t="s">
        <v>21</v>
      </c>
      <c r="G19" s="463"/>
      <c r="H19" s="465"/>
      <c r="I19" s="233">
        <v>174000</v>
      </c>
      <c r="J19" s="466">
        <f t="shared" si="0"/>
        <v>26844507</v>
      </c>
      <c r="K19" s="467"/>
      <c r="L19" s="24"/>
      <c r="M19" s="24"/>
    </row>
    <row r="20" spans="1:13" ht="17.25" customHeight="1" x14ac:dyDescent="0.25">
      <c r="A20" s="462">
        <v>44312</v>
      </c>
      <c r="B20" s="468"/>
      <c r="C20" s="469">
        <v>3643455</v>
      </c>
      <c r="D20" s="470" t="s">
        <v>260</v>
      </c>
      <c r="E20" s="240" t="s">
        <v>20</v>
      </c>
      <c r="F20" s="472" t="s">
        <v>21</v>
      </c>
      <c r="G20" s="468"/>
      <c r="H20" s="473"/>
      <c r="I20" s="233">
        <v>167000</v>
      </c>
      <c r="J20" s="466">
        <f t="shared" si="0"/>
        <v>26677507</v>
      </c>
      <c r="K20" s="467"/>
      <c r="L20" s="24"/>
      <c r="M20" s="24"/>
    </row>
    <row r="21" spans="1:13" ht="17.25" customHeight="1" x14ac:dyDescent="0.25">
      <c r="A21" s="462">
        <v>44312</v>
      </c>
      <c r="B21" s="468"/>
      <c r="C21" s="469">
        <v>3643446</v>
      </c>
      <c r="D21" s="470" t="s">
        <v>393</v>
      </c>
      <c r="E21" s="240" t="s">
        <v>15</v>
      </c>
      <c r="F21" s="240" t="s">
        <v>16</v>
      </c>
      <c r="G21" s="468"/>
      <c r="H21" s="473"/>
      <c r="I21" s="233">
        <v>308000</v>
      </c>
      <c r="J21" s="466">
        <f t="shared" si="0"/>
        <v>26369507</v>
      </c>
      <c r="K21" s="467"/>
      <c r="L21" s="24"/>
      <c r="M21" s="24"/>
    </row>
    <row r="22" spans="1:13" ht="17.25" customHeight="1" x14ac:dyDescent="0.25">
      <c r="A22" s="462">
        <v>44312</v>
      </c>
      <c r="B22" s="468"/>
      <c r="C22" s="469">
        <v>3643447</v>
      </c>
      <c r="D22" s="470" t="s">
        <v>261</v>
      </c>
      <c r="E22" s="474" t="s">
        <v>15</v>
      </c>
      <c r="F22" s="472" t="s">
        <v>19</v>
      </c>
      <c r="G22" s="468"/>
      <c r="H22" s="473"/>
      <c r="I22" s="233">
        <v>400000</v>
      </c>
      <c r="J22" s="466">
        <f t="shared" si="0"/>
        <v>25969507</v>
      </c>
      <c r="K22" s="467"/>
      <c r="L22" s="24"/>
      <c r="M22" s="24"/>
    </row>
    <row r="23" spans="1:13" ht="17.25" customHeight="1" x14ac:dyDescent="0.25">
      <c r="A23" s="462">
        <v>44312</v>
      </c>
      <c r="B23" s="468"/>
      <c r="C23" s="469">
        <v>3643453</v>
      </c>
      <c r="D23" s="470" t="s">
        <v>262</v>
      </c>
      <c r="E23" s="240" t="s">
        <v>173</v>
      </c>
      <c r="F23" s="240" t="s">
        <v>412</v>
      </c>
      <c r="G23" s="468"/>
      <c r="H23" s="473"/>
      <c r="I23" s="233">
        <v>400000</v>
      </c>
      <c r="J23" s="466">
        <f t="shared" si="0"/>
        <v>25569507</v>
      </c>
      <c r="K23" s="467"/>
      <c r="L23" s="24"/>
      <c r="M23" s="24"/>
    </row>
    <row r="24" spans="1:13" ht="17.25" customHeight="1" x14ac:dyDescent="0.25">
      <c r="A24" s="462">
        <v>44312</v>
      </c>
      <c r="B24" s="468"/>
      <c r="C24" s="469">
        <v>3643452</v>
      </c>
      <c r="D24" s="470" t="s">
        <v>263</v>
      </c>
      <c r="E24" s="240" t="s">
        <v>15</v>
      </c>
      <c r="F24" s="240" t="s">
        <v>16</v>
      </c>
      <c r="G24" s="468"/>
      <c r="H24" s="473"/>
      <c r="I24" s="233">
        <v>356500</v>
      </c>
      <c r="J24" s="466">
        <f t="shared" si="0"/>
        <v>25213007</v>
      </c>
      <c r="K24" s="467"/>
      <c r="L24" s="24"/>
      <c r="M24" s="24"/>
    </row>
    <row r="25" spans="1:13" ht="17.25" customHeight="1" x14ac:dyDescent="0.25">
      <c r="A25" s="462">
        <v>44312</v>
      </c>
      <c r="B25" s="468"/>
      <c r="C25" s="469">
        <v>3643443</v>
      </c>
      <c r="D25" s="470" t="s">
        <v>270</v>
      </c>
      <c r="E25" s="240" t="s">
        <v>15</v>
      </c>
      <c r="F25" s="472" t="s">
        <v>412</v>
      </c>
      <c r="G25" s="468"/>
      <c r="H25" s="473"/>
      <c r="I25" s="233">
        <v>191000</v>
      </c>
      <c r="J25" s="466">
        <f t="shared" si="0"/>
        <v>25022007</v>
      </c>
      <c r="K25" s="467"/>
      <c r="L25" s="24"/>
      <c r="M25" s="24"/>
    </row>
    <row r="26" spans="1:13" ht="17.25" customHeight="1" x14ac:dyDescent="0.25">
      <c r="A26" s="462">
        <v>44312</v>
      </c>
      <c r="B26" s="468"/>
      <c r="C26" s="469">
        <v>3643449</v>
      </c>
      <c r="D26" s="470" t="s">
        <v>264</v>
      </c>
      <c r="E26" s="474" t="s">
        <v>15</v>
      </c>
      <c r="F26" s="472" t="s">
        <v>19</v>
      </c>
      <c r="G26" s="468"/>
      <c r="H26" s="473"/>
      <c r="I26" s="233">
        <v>813263</v>
      </c>
      <c r="J26" s="466">
        <f t="shared" si="0"/>
        <v>24208744</v>
      </c>
      <c r="K26" s="467"/>
      <c r="L26" s="24"/>
      <c r="M26" s="24"/>
    </row>
    <row r="27" spans="1:13" ht="17.25" customHeight="1" x14ac:dyDescent="0.25">
      <c r="A27" s="462">
        <v>44312</v>
      </c>
      <c r="B27" s="468"/>
      <c r="C27" s="469">
        <v>3643452</v>
      </c>
      <c r="D27" s="470" t="s">
        <v>265</v>
      </c>
      <c r="E27" s="475" t="s">
        <v>15</v>
      </c>
      <c r="F27" s="476" t="s">
        <v>19</v>
      </c>
      <c r="G27" s="468"/>
      <c r="H27" s="473"/>
      <c r="I27" s="233">
        <v>275000</v>
      </c>
      <c r="J27" s="466">
        <f t="shared" si="0"/>
        <v>23933744</v>
      </c>
      <c r="K27" s="467"/>
      <c r="L27" s="24"/>
      <c r="M27" s="24"/>
    </row>
    <row r="28" spans="1:13" ht="17.25" customHeight="1" x14ac:dyDescent="0.25">
      <c r="A28" s="462">
        <v>44312</v>
      </c>
      <c r="B28" s="468"/>
      <c r="C28" s="469">
        <v>3643445</v>
      </c>
      <c r="D28" s="477" t="s">
        <v>266</v>
      </c>
      <c r="E28" s="474" t="s">
        <v>15</v>
      </c>
      <c r="F28" s="476" t="s">
        <v>16</v>
      </c>
      <c r="G28" s="468"/>
      <c r="H28" s="473"/>
      <c r="I28" s="233">
        <v>193600</v>
      </c>
      <c r="J28" s="466">
        <f t="shared" si="0"/>
        <v>23740144</v>
      </c>
      <c r="K28" s="467"/>
      <c r="L28" s="24"/>
      <c r="M28" s="24"/>
    </row>
    <row r="29" spans="1:13" ht="17.25" customHeight="1" x14ac:dyDescent="0.25">
      <c r="A29" s="462">
        <v>44312</v>
      </c>
      <c r="B29" s="468"/>
      <c r="C29" s="469">
        <v>3643444</v>
      </c>
      <c r="D29" s="477" t="s">
        <v>267</v>
      </c>
      <c r="E29" s="474" t="s">
        <v>15</v>
      </c>
      <c r="F29" s="476" t="s">
        <v>16</v>
      </c>
      <c r="G29" s="468"/>
      <c r="H29" s="473"/>
      <c r="I29" s="233">
        <v>193600</v>
      </c>
      <c r="J29" s="466">
        <f t="shared" si="0"/>
        <v>23546544</v>
      </c>
      <c r="K29" s="467"/>
      <c r="L29" s="24"/>
      <c r="M29" s="24"/>
    </row>
    <row r="30" spans="1:13" ht="17.25" customHeight="1" x14ac:dyDescent="0.25">
      <c r="A30" s="462">
        <v>44312</v>
      </c>
      <c r="B30" s="468"/>
      <c r="C30" s="469" t="s">
        <v>133</v>
      </c>
      <c r="D30" s="470" t="s">
        <v>268</v>
      </c>
      <c r="E30" s="280" t="s">
        <v>15</v>
      </c>
      <c r="F30" s="280" t="s">
        <v>16</v>
      </c>
      <c r="G30" s="468"/>
      <c r="H30" s="473"/>
      <c r="I30" s="233">
        <v>326000</v>
      </c>
      <c r="J30" s="466">
        <f t="shared" si="0"/>
        <v>23220544</v>
      </c>
      <c r="K30" s="467"/>
      <c r="L30" s="24"/>
      <c r="M30" s="24"/>
    </row>
    <row r="31" spans="1:13" ht="17.25" customHeight="1" x14ac:dyDescent="0.25">
      <c r="A31" s="462">
        <v>44312</v>
      </c>
      <c r="B31" s="468"/>
      <c r="C31" s="469" t="s">
        <v>133</v>
      </c>
      <c r="D31" s="470" t="s">
        <v>269</v>
      </c>
      <c r="E31" s="280" t="s">
        <v>15</v>
      </c>
      <c r="F31" s="280" t="s">
        <v>162</v>
      </c>
      <c r="G31" s="468"/>
      <c r="H31" s="473"/>
      <c r="I31" s="233">
        <v>230000</v>
      </c>
      <c r="J31" s="466">
        <f t="shared" si="0"/>
        <v>22990544</v>
      </c>
      <c r="K31" s="467"/>
      <c r="L31" s="24"/>
      <c r="M31" s="24"/>
    </row>
    <row r="32" spans="1:13" ht="17.25" customHeight="1" x14ac:dyDescent="0.25">
      <c r="A32" s="462">
        <v>44287</v>
      </c>
      <c r="B32" s="463"/>
      <c r="C32" s="478" t="s">
        <v>29</v>
      </c>
      <c r="D32" s="470" t="s">
        <v>413</v>
      </c>
      <c r="E32" s="280" t="s">
        <v>28</v>
      </c>
      <c r="F32" s="280" t="s">
        <v>18</v>
      </c>
      <c r="G32" s="479"/>
      <c r="H32" s="479"/>
      <c r="I32" s="408">
        <v>2811</v>
      </c>
      <c r="J32" s="466">
        <f t="shared" si="0"/>
        <v>22987733</v>
      </c>
      <c r="K32" s="467"/>
      <c r="L32" s="24"/>
      <c r="M32" s="24"/>
    </row>
    <row r="33" spans="1:13" ht="17.25" customHeight="1" x14ac:dyDescent="0.25">
      <c r="A33" s="462">
        <v>44312</v>
      </c>
      <c r="B33" s="463"/>
      <c r="C33" s="478" t="s">
        <v>29</v>
      </c>
      <c r="D33" s="470" t="s">
        <v>414</v>
      </c>
      <c r="E33" s="280" t="s">
        <v>28</v>
      </c>
      <c r="F33" s="280" t="s">
        <v>18</v>
      </c>
      <c r="G33" s="463"/>
      <c r="H33" s="465"/>
      <c r="I33" s="233">
        <v>10665</v>
      </c>
      <c r="J33" s="466">
        <f t="shared" si="0"/>
        <v>22977068</v>
      </c>
      <c r="K33" s="467"/>
      <c r="L33" s="24"/>
      <c r="M33" s="24"/>
    </row>
    <row r="34" spans="1:13" ht="17.25" customHeight="1" x14ac:dyDescent="0.25">
      <c r="A34" s="462">
        <v>44312</v>
      </c>
      <c r="B34" s="463"/>
      <c r="C34" s="478" t="s">
        <v>29</v>
      </c>
      <c r="D34" s="470" t="s">
        <v>414</v>
      </c>
      <c r="E34" s="280" t="s">
        <v>28</v>
      </c>
      <c r="F34" s="280" t="s">
        <v>18</v>
      </c>
      <c r="G34" s="463"/>
      <c r="H34" s="465"/>
      <c r="I34" s="233">
        <v>5000</v>
      </c>
      <c r="J34" s="466">
        <f t="shared" si="0"/>
        <v>22972068</v>
      </c>
      <c r="K34" s="467"/>
      <c r="L34" s="24"/>
      <c r="M34" s="24"/>
    </row>
    <row r="35" spans="1:13" x14ac:dyDescent="0.25">
      <c r="A35" s="403"/>
      <c r="B35" s="403"/>
      <c r="C35" s="480" t="s">
        <v>171</v>
      </c>
      <c r="D35" s="481"/>
      <c r="E35" s="480"/>
      <c r="F35" s="480"/>
      <c r="G35" s="480"/>
      <c r="H35" s="482">
        <f>SUM(H15:H34)</f>
        <v>28018507</v>
      </c>
      <c r="I35" s="407"/>
      <c r="J35" s="483"/>
      <c r="K35" s="405"/>
    </row>
    <row r="36" spans="1:13" x14ac:dyDescent="0.25">
      <c r="A36" s="3"/>
      <c r="B36" s="3"/>
      <c r="C36" s="335" t="s">
        <v>22</v>
      </c>
      <c r="D36" s="336"/>
      <c r="E36" s="337"/>
      <c r="F36" s="337"/>
      <c r="G36" s="337"/>
      <c r="H36" s="337"/>
      <c r="I36" s="32">
        <f>SUM(I16:I35)</f>
        <v>5046439</v>
      </c>
      <c r="J36" s="3"/>
      <c r="K36" s="3"/>
    </row>
    <row r="37" spans="1:13" ht="23.25" customHeight="1" x14ac:dyDescent="0.25">
      <c r="A37" s="3"/>
      <c r="B37" s="3"/>
      <c r="C37" s="338" t="s">
        <v>23</v>
      </c>
      <c r="D37" s="339"/>
      <c r="E37" s="338"/>
      <c r="F37" s="338"/>
      <c r="G37" s="338"/>
      <c r="H37" s="340">
        <f>+H35-I36</f>
        <v>22972068</v>
      </c>
      <c r="I37" s="4"/>
      <c r="J37" s="3"/>
      <c r="K37" s="3"/>
      <c r="L37" s="24"/>
    </row>
    <row r="38" spans="1:13" ht="16.5" x14ac:dyDescent="0.3">
      <c r="D38" s="341"/>
      <c r="E38" s="341"/>
      <c r="F38" s="341"/>
      <c r="J38" s="24"/>
    </row>
    <row r="39" spans="1:13" ht="16.5" x14ac:dyDescent="0.3">
      <c r="D39" s="341"/>
      <c r="E39" s="341"/>
      <c r="F39" s="341"/>
      <c r="J39" s="24"/>
    </row>
    <row r="40" spans="1:13" x14ac:dyDescent="0.25">
      <c r="J40" s="24"/>
    </row>
    <row r="41" spans="1:13" x14ac:dyDescent="0.25">
      <c r="J41" s="24"/>
    </row>
    <row r="42" spans="1:13" x14ac:dyDescent="0.25">
      <c r="J42" s="24"/>
    </row>
    <row r="43" spans="1:13" x14ac:dyDescent="0.25">
      <c r="J43" s="24"/>
    </row>
    <row r="44" spans="1:13" x14ac:dyDescent="0.25">
      <c r="J44" s="24"/>
    </row>
    <row r="45" spans="1:13" x14ac:dyDescent="0.25">
      <c r="J45" s="24"/>
    </row>
    <row r="46" spans="1:13" x14ac:dyDescent="0.25">
      <c r="J46" s="24"/>
    </row>
    <row r="47" spans="1:13" x14ac:dyDescent="0.25">
      <c r="J47" s="24"/>
    </row>
    <row r="48" spans="1:13" x14ac:dyDescent="0.25">
      <c r="J48" s="29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O46"/>
  <sheetViews>
    <sheetView tabSelected="1" workbookViewId="0">
      <selection activeCell="L44" sqref="L44"/>
    </sheetView>
  </sheetViews>
  <sheetFormatPr baseColWidth="10" defaultColWidth="11.42578125" defaultRowHeight="12.75" x14ac:dyDescent="0.2"/>
  <cols>
    <col min="1" max="1" width="3" style="289" customWidth="1"/>
    <col min="2" max="2" width="11.42578125" style="289"/>
    <col min="3" max="3" width="22.7109375" style="289" customWidth="1"/>
    <col min="4" max="7" width="11.42578125" style="289"/>
    <col min="8" max="8" width="1.5703125" style="289" customWidth="1"/>
    <col min="9" max="9" width="9" style="289" customWidth="1"/>
    <col min="10" max="10" width="44.140625" style="289" customWidth="1"/>
    <col min="11" max="11" width="13" style="289" customWidth="1"/>
    <col min="12" max="12" width="12.140625" style="289" customWidth="1"/>
    <col min="13" max="16384" width="11.42578125" style="289"/>
  </cols>
  <sheetData>
    <row r="1" spans="1:14" ht="15" x14ac:dyDescent="0.25">
      <c r="A1" s="288"/>
      <c r="B1" s="33"/>
      <c r="C1" s="33"/>
      <c r="D1" s="33"/>
      <c r="E1" s="33"/>
      <c r="F1" s="33"/>
      <c r="G1" s="33"/>
      <c r="H1" s="33"/>
      <c r="I1" s="33"/>
      <c r="J1" s="1"/>
      <c r="K1"/>
    </row>
    <row r="2" spans="1:14" ht="15" x14ac:dyDescent="0.25">
      <c r="A2" s="288"/>
      <c r="B2" s="33"/>
      <c r="C2" s="33"/>
      <c r="D2" s="33"/>
      <c r="E2" s="33"/>
      <c r="F2" s="33"/>
      <c r="G2" s="33"/>
      <c r="H2" s="33"/>
      <c r="I2" s="33"/>
      <c r="J2" s="1"/>
      <c r="K2"/>
    </row>
    <row r="3" spans="1:14" ht="15" x14ac:dyDescent="0.25">
      <c r="A3" s="288"/>
      <c r="B3" s="33"/>
      <c r="C3" s="33"/>
      <c r="D3" s="33"/>
      <c r="E3" s="33"/>
      <c r="F3" s="33"/>
      <c r="G3" s="33"/>
      <c r="H3" s="33"/>
      <c r="I3" s="33"/>
      <c r="J3" s="1"/>
      <c r="K3"/>
    </row>
    <row r="4" spans="1:14" ht="15" x14ac:dyDescent="0.25">
      <c r="A4" s="288"/>
      <c r="B4" s="34"/>
      <c r="C4" s="35"/>
      <c r="D4" s="35"/>
      <c r="E4" s="35"/>
      <c r="F4" s="35"/>
      <c r="G4" s="35"/>
      <c r="H4" s="35"/>
      <c r="I4" s="35"/>
      <c r="J4" s="1"/>
      <c r="K4"/>
    </row>
    <row r="5" spans="1:14" ht="15" x14ac:dyDescent="0.25">
      <c r="A5" s="288"/>
      <c r="B5" s="36" t="s">
        <v>32</v>
      </c>
      <c r="C5" s="35"/>
      <c r="D5" s="35"/>
      <c r="E5" s="35"/>
      <c r="F5" s="35"/>
      <c r="G5" s="35"/>
      <c r="H5" s="35"/>
      <c r="I5" s="35"/>
      <c r="J5" s="1"/>
      <c r="K5"/>
    </row>
    <row r="6" spans="1:14" ht="15" x14ac:dyDescent="0.25">
      <c r="A6" s="288"/>
      <c r="B6" s="37" t="s">
        <v>33</v>
      </c>
      <c r="C6" s="38" t="s">
        <v>34</v>
      </c>
      <c r="D6" s="38"/>
      <c r="E6" s="39"/>
      <c r="F6" s="38"/>
      <c r="G6" s="38"/>
      <c r="H6" s="38"/>
      <c r="I6" s="35"/>
      <c r="J6" s="1"/>
      <c r="K6"/>
    </row>
    <row r="7" spans="1:14" ht="15" x14ac:dyDescent="0.25">
      <c r="A7" s="288"/>
      <c r="B7" s="38"/>
      <c r="C7" s="38"/>
      <c r="D7" s="38"/>
      <c r="E7" s="38"/>
      <c r="F7" s="38"/>
      <c r="G7" s="38"/>
      <c r="H7" s="38"/>
      <c r="I7" s="35"/>
      <c r="J7" s="1"/>
      <c r="K7"/>
    </row>
    <row r="8" spans="1:14" x14ac:dyDescent="0.2">
      <c r="A8" s="288"/>
      <c r="B8" s="290"/>
      <c r="C8" s="291"/>
      <c r="D8" s="292"/>
      <c r="E8" s="293"/>
      <c r="F8" s="293"/>
      <c r="G8" s="288"/>
      <c r="H8" s="294"/>
      <c r="I8" s="295"/>
      <c r="J8" s="290"/>
    </row>
    <row r="9" spans="1:14" ht="23.25" thickBot="1" x14ac:dyDescent="0.25">
      <c r="A9" s="288"/>
      <c r="B9" s="542" t="s">
        <v>177</v>
      </c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</row>
    <row r="10" spans="1:14" ht="13.5" thickTop="1" x14ac:dyDescent="0.2">
      <c r="H10" s="296"/>
    </row>
    <row r="11" spans="1:14" x14ac:dyDescent="0.2">
      <c r="B11" s="290" t="s">
        <v>178</v>
      </c>
      <c r="C11" s="297" t="s">
        <v>410</v>
      </c>
      <c r="D11" s="298"/>
      <c r="E11" s="299"/>
      <c r="F11" s="299"/>
      <c r="H11" s="296"/>
      <c r="I11" s="290" t="s">
        <v>178</v>
      </c>
      <c r="J11" s="297" t="str">
        <f>C11</f>
        <v>DU 01 AU 30 Avril  2021</v>
      </c>
      <c r="K11" s="299"/>
      <c r="L11" s="299"/>
      <c r="M11" s="299"/>
    </row>
    <row r="12" spans="1:14" x14ac:dyDescent="0.2">
      <c r="B12" s="290" t="s">
        <v>179</v>
      </c>
      <c r="C12" s="299" t="s">
        <v>180</v>
      </c>
      <c r="D12" s="299"/>
      <c r="E12" s="300"/>
      <c r="F12" s="300"/>
      <c r="G12" s="288"/>
      <c r="H12" s="296"/>
      <c r="I12" s="290" t="s">
        <v>179</v>
      </c>
      <c r="J12" s="299" t="s">
        <v>181</v>
      </c>
      <c r="K12" s="299"/>
      <c r="L12" s="299"/>
      <c r="M12" s="299"/>
    </row>
    <row r="13" spans="1:14" ht="15.75" x14ac:dyDescent="0.25">
      <c r="B13" s="290" t="s">
        <v>182</v>
      </c>
      <c r="C13" s="301" t="s">
        <v>201</v>
      </c>
      <c r="D13" s="302"/>
      <c r="E13" s="300"/>
      <c r="F13" s="300"/>
      <c r="G13" s="288"/>
      <c r="H13" s="296"/>
      <c r="I13" s="290" t="s">
        <v>182</v>
      </c>
      <c r="J13" s="301" t="str">
        <f>+C13</f>
        <v>01100-37107255251-56</v>
      </c>
      <c r="K13" s="301"/>
      <c r="L13" s="299"/>
      <c r="M13" s="299"/>
    </row>
    <row r="14" spans="1:14" x14ac:dyDescent="0.2">
      <c r="H14" s="296"/>
    </row>
    <row r="15" spans="1:14" x14ac:dyDescent="0.2">
      <c r="B15" s="543" t="s">
        <v>4</v>
      </c>
      <c r="C15" s="543" t="s">
        <v>184</v>
      </c>
      <c r="D15" s="543" t="s">
        <v>185</v>
      </c>
      <c r="E15" s="543" t="s">
        <v>186</v>
      </c>
      <c r="F15" s="544" t="s">
        <v>187</v>
      </c>
      <c r="G15" s="544"/>
      <c r="H15" s="296"/>
      <c r="I15" s="543" t="s">
        <v>4</v>
      </c>
      <c r="J15" s="543" t="s">
        <v>184</v>
      </c>
      <c r="K15" s="543" t="s">
        <v>185</v>
      </c>
      <c r="L15" s="543" t="s">
        <v>186</v>
      </c>
      <c r="M15" s="544" t="s">
        <v>187</v>
      </c>
      <c r="N15" s="544"/>
    </row>
    <row r="16" spans="1:14" x14ac:dyDescent="0.2">
      <c r="B16" s="543"/>
      <c r="C16" s="543"/>
      <c r="D16" s="543"/>
      <c r="E16" s="543"/>
      <c r="F16" s="353" t="s">
        <v>188</v>
      </c>
      <c r="G16" s="353" t="s">
        <v>189</v>
      </c>
      <c r="H16" s="296"/>
      <c r="I16" s="543"/>
      <c r="J16" s="543"/>
      <c r="K16" s="543"/>
      <c r="L16" s="543"/>
      <c r="M16" s="353" t="s">
        <v>188</v>
      </c>
      <c r="N16" s="353" t="s">
        <v>189</v>
      </c>
    </row>
    <row r="17" spans="2:15" x14ac:dyDescent="0.2">
      <c r="B17" s="303" t="s">
        <v>190</v>
      </c>
      <c r="F17" s="304"/>
      <c r="G17" s="304"/>
      <c r="H17" s="296"/>
      <c r="I17" s="303" t="s">
        <v>191</v>
      </c>
      <c r="N17" s="304"/>
    </row>
    <row r="18" spans="2:15" ht="13.5" thickBot="1" x14ac:dyDescent="0.25">
      <c r="B18" s="305">
        <v>44316</v>
      </c>
      <c r="C18" s="306" t="s">
        <v>192</v>
      </c>
      <c r="D18" s="306"/>
      <c r="E18" s="306"/>
      <c r="F18" s="307">
        <f>+'Sous-Compte 56 BCI'!H37</f>
        <v>22972068</v>
      </c>
      <c r="G18" s="306"/>
      <c r="H18" s="296"/>
      <c r="I18" s="305">
        <f>+B18</f>
        <v>44316</v>
      </c>
      <c r="J18" s="306" t="s">
        <v>193</v>
      </c>
      <c r="K18" s="306"/>
      <c r="L18" s="306"/>
      <c r="M18" s="308"/>
      <c r="N18" s="307">
        <v>23873668</v>
      </c>
      <c r="O18" s="304"/>
    </row>
    <row r="19" spans="2:15" ht="13.5" thickTop="1" x14ac:dyDescent="0.2">
      <c r="F19" s="304"/>
      <c r="H19" s="296"/>
    </row>
    <row r="20" spans="2:15" x14ac:dyDescent="0.2">
      <c r="B20" s="303" t="s">
        <v>194</v>
      </c>
      <c r="F20" s="304"/>
      <c r="H20" s="296"/>
      <c r="I20" s="309" t="s">
        <v>195</v>
      </c>
      <c r="J20" s="310"/>
      <c r="K20" s="310"/>
      <c r="L20" s="310"/>
      <c r="M20" s="310"/>
      <c r="N20" s="310"/>
    </row>
    <row r="21" spans="2:15" x14ac:dyDescent="0.2">
      <c r="F21" s="304"/>
      <c r="H21" s="296"/>
    </row>
    <row r="22" spans="2:15" x14ac:dyDescent="0.2">
      <c r="B22" s="311"/>
      <c r="C22" s="312"/>
      <c r="D22" s="312"/>
      <c r="E22" s="312"/>
      <c r="F22" s="313"/>
      <c r="G22" s="313"/>
      <c r="H22" s="296"/>
      <c r="I22" s="314">
        <v>44312</v>
      </c>
      <c r="J22" s="238" t="s">
        <v>415</v>
      </c>
      <c r="K22" s="238" t="s">
        <v>449</v>
      </c>
      <c r="L22" s="316">
        <v>3643446</v>
      </c>
      <c r="M22" s="317">
        <v>308000</v>
      </c>
      <c r="N22" s="313"/>
    </row>
    <row r="23" spans="2:15" x14ac:dyDescent="0.2">
      <c r="B23" s="311"/>
      <c r="C23" s="312"/>
      <c r="D23" s="312"/>
      <c r="E23" s="312"/>
      <c r="F23" s="313"/>
      <c r="G23" s="313"/>
      <c r="H23" s="296"/>
      <c r="I23" s="314">
        <v>44312</v>
      </c>
      <c r="J23" s="238" t="s">
        <v>416</v>
      </c>
      <c r="K23" s="238" t="s">
        <v>509</v>
      </c>
      <c r="L23" s="316">
        <v>3643453</v>
      </c>
      <c r="M23" s="317">
        <v>400000</v>
      </c>
      <c r="N23" s="313"/>
    </row>
    <row r="24" spans="2:15" x14ac:dyDescent="0.2">
      <c r="B24" s="311"/>
      <c r="C24" s="312"/>
      <c r="D24" s="312"/>
      <c r="E24" s="312"/>
      <c r="F24" s="313"/>
      <c r="G24" s="313"/>
      <c r="H24" s="296"/>
      <c r="I24" s="314">
        <v>44312</v>
      </c>
      <c r="J24" s="316" t="s">
        <v>417</v>
      </c>
      <c r="K24" s="238" t="s">
        <v>513</v>
      </c>
      <c r="L24" s="316">
        <v>3643445</v>
      </c>
      <c r="M24" s="233">
        <v>193600</v>
      </c>
      <c r="N24" s="313"/>
    </row>
    <row r="25" spans="2:15" x14ac:dyDescent="0.2">
      <c r="B25" s="311"/>
      <c r="C25" s="312"/>
      <c r="D25" s="312"/>
      <c r="E25" s="312"/>
      <c r="F25" s="313"/>
      <c r="G25" s="313"/>
      <c r="H25" s="296"/>
      <c r="I25" s="314"/>
      <c r="J25" s="316"/>
      <c r="K25" s="314"/>
      <c r="L25" s="316"/>
      <c r="M25" s="317"/>
      <c r="N25" s="313"/>
    </row>
    <row r="26" spans="2:15" x14ac:dyDescent="0.2">
      <c r="B26" s="311"/>
      <c r="C26" s="312"/>
      <c r="D26" s="312"/>
      <c r="E26" s="312"/>
      <c r="F26" s="313"/>
      <c r="G26" s="313"/>
      <c r="H26" s="296"/>
      <c r="I26" s="314"/>
      <c r="J26" s="316"/>
      <c r="K26" s="316"/>
      <c r="L26" s="316"/>
      <c r="M26" s="317"/>
      <c r="N26" s="313"/>
    </row>
    <row r="27" spans="2:15" x14ac:dyDescent="0.2">
      <c r="B27" s="311"/>
      <c r="C27" s="312"/>
      <c r="D27" s="312"/>
      <c r="E27" s="312"/>
      <c r="F27" s="313"/>
      <c r="G27" s="313"/>
      <c r="H27" s="296"/>
      <c r="I27" s="314"/>
      <c r="J27" s="316"/>
      <c r="K27" s="316"/>
      <c r="L27" s="316"/>
      <c r="M27" s="317"/>
      <c r="N27" s="313"/>
    </row>
    <row r="28" spans="2:15" x14ac:dyDescent="0.2">
      <c r="B28" s="311"/>
      <c r="C28" s="312"/>
      <c r="D28" s="312"/>
      <c r="E28" s="312"/>
      <c r="F28" s="313"/>
      <c r="G28" s="313"/>
      <c r="H28" s="296"/>
      <c r="I28" s="311"/>
      <c r="J28" s="312"/>
      <c r="K28" s="312"/>
      <c r="L28" s="312"/>
      <c r="M28" s="313"/>
      <c r="N28" s="313"/>
    </row>
    <row r="29" spans="2:15" x14ac:dyDescent="0.2">
      <c r="B29" s="311"/>
      <c r="C29" s="312"/>
      <c r="D29" s="312"/>
      <c r="E29" s="312"/>
      <c r="F29" s="313"/>
      <c r="G29" s="313"/>
      <c r="H29" s="296"/>
      <c r="I29" s="312"/>
      <c r="J29" s="312"/>
      <c r="K29" s="312"/>
      <c r="L29" s="312"/>
      <c r="M29" s="313"/>
      <c r="N29" s="313"/>
    </row>
    <row r="30" spans="2:15" x14ac:dyDescent="0.2">
      <c r="B30" s="311"/>
      <c r="C30" s="312"/>
      <c r="D30" s="312"/>
      <c r="E30" s="312"/>
      <c r="F30" s="313"/>
      <c r="G30" s="313"/>
      <c r="H30" s="296"/>
      <c r="I30" s="312"/>
      <c r="J30" s="312"/>
      <c r="K30" s="312"/>
      <c r="L30" s="312"/>
      <c r="M30" s="313"/>
      <c r="N30" s="313"/>
    </row>
    <row r="31" spans="2:15" ht="13.5" thickBot="1" x14ac:dyDescent="0.25">
      <c r="B31" s="318"/>
      <c r="C31" s="312"/>
      <c r="D31" s="312"/>
      <c r="E31" s="312"/>
      <c r="F31" s="319"/>
      <c r="G31" s="320"/>
      <c r="H31" s="296"/>
      <c r="I31" s="320"/>
      <c r="J31" s="320"/>
      <c r="K31" s="320"/>
      <c r="L31" s="320"/>
      <c r="M31" s="320"/>
      <c r="N31" s="320"/>
    </row>
    <row r="32" spans="2:15" ht="14.25" thickTop="1" thickBot="1" x14ac:dyDescent="0.25">
      <c r="B32" s="546" t="s">
        <v>196</v>
      </c>
      <c r="C32" s="547"/>
      <c r="D32" s="547"/>
      <c r="E32" s="548"/>
      <c r="F32" s="321">
        <f>SUM(F22:F31,F17:F18)</f>
        <v>22972068</v>
      </c>
      <c r="G32" s="321">
        <f>SUM(G22:G31,G17)</f>
        <v>0</v>
      </c>
      <c r="H32" s="296"/>
      <c r="I32" s="546" t="s">
        <v>197</v>
      </c>
      <c r="J32" s="547"/>
      <c r="K32" s="547"/>
      <c r="L32" s="548"/>
      <c r="M32" s="321">
        <f>SUM(M22:M31,M17:M18)</f>
        <v>901600</v>
      </c>
      <c r="N32" s="321">
        <f>SUM(N22:N31,N17:N18)</f>
        <v>23873668</v>
      </c>
    </row>
    <row r="33" spans="2:14" ht="13.5" thickTop="1" x14ac:dyDescent="0.2">
      <c r="H33" s="296"/>
      <c r="M33" s="304"/>
      <c r="N33" s="304"/>
    </row>
    <row r="34" spans="2:14" ht="13.5" thickBot="1" x14ac:dyDescent="0.25">
      <c r="B34" s="322" t="s">
        <v>408</v>
      </c>
      <c r="C34" s="322"/>
      <c r="D34" s="549" t="str">
        <f>IF(F32&gt;G32,"Solde Débiteur","Solde Nul")</f>
        <v>Solde Débiteur</v>
      </c>
      <c r="E34" s="549"/>
      <c r="F34" s="323"/>
      <c r="G34" s="308">
        <f>F32-G32</f>
        <v>22972068</v>
      </c>
      <c r="H34" s="296"/>
      <c r="I34" s="322" t="str">
        <f>+B34</f>
        <v xml:space="preserve"> Solde rapporché au 30/04/2021∑(1)-(2)</v>
      </c>
      <c r="J34" s="322"/>
      <c r="K34" s="549" t="str">
        <f>IF(N32&gt;M32,"Solde Créditeur","Solde Nul")</f>
        <v>Solde Créditeur</v>
      </c>
      <c r="L34" s="549"/>
      <c r="M34" s="324">
        <f>N32-M32</f>
        <v>22972068</v>
      </c>
      <c r="N34" s="323"/>
    </row>
    <row r="35" spans="2:14" ht="13.5" thickTop="1" x14ac:dyDescent="0.2">
      <c r="F35" s="304"/>
      <c r="G35" s="304"/>
      <c r="H35" s="296"/>
      <c r="M35" s="304"/>
      <c r="N35" s="304"/>
    </row>
    <row r="36" spans="2:14" ht="15" thickBot="1" x14ac:dyDescent="0.25">
      <c r="B36" s="325" t="s">
        <v>198</v>
      </c>
      <c r="C36" s="325"/>
      <c r="D36" s="325"/>
      <c r="E36" s="325"/>
      <c r="F36" s="326">
        <f>SUM(F32)</f>
        <v>22972068</v>
      </c>
      <c r="G36" s="326">
        <f>G34+G32</f>
        <v>22972068</v>
      </c>
      <c r="H36" s="327"/>
      <c r="I36" s="325" t="s">
        <v>198</v>
      </c>
      <c r="J36" s="325"/>
      <c r="K36" s="325"/>
      <c r="L36" s="325"/>
      <c r="M36" s="326">
        <f>+M32+M34</f>
        <v>23873668</v>
      </c>
      <c r="N36" s="326">
        <f>N34+N32</f>
        <v>23873668</v>
      </c>
    </row>
    <row r="37" spans="2:14" ht="13.5" thickTop="1" x14ac:dyDescent="0.2"/>
    <row r="38" spans="2:14" ht="15" thickBot="1" x14ac:dyDescent="0.25">
      <c r="B38" s="325" t="s">
        <v>199</v>
      </c>
      <c r="C38" s="325"/>
      <c r="D38" s="325"/>
      <c r="E38" s="325"/>
      <c r="F38" s="325"/>
      <c r="G38" s="328">
        <f>G34-M34</f>
        <v>0</v>
      </c>
      <c r="I38" s="329"/>
      <c r="J38" s="329"/>
    </row>
    <row r="39" spans="2:14" ht="13.5" thickTop="1" x14ac:dyDescent="0.2">
      <c r="G39" s="550"/>
      <c r="H39" s="550"/>
      <c r="I39" s="550"/>
      <c r="J39" s="330"/>
      <c r="K39" s="330" t="s">
        <v>409</v>
      </c>
      <c r="L39" s="330"/>
    </row>
    <row r="41" spans="2:14" ht="15" x14ac:dyDescent="0.2">
      <c r="B41" s="38" t="s">
        <v>35</v>
      </c>
      <c r="C41" s="40"/>
      <c r="G41" s="354"/>
      <c r="H41" s="354"/>
      <c r="I41" s="354"/>
      <c r="J41" s="38" t="s">
        <v>38</v>
      </c>
      <c r="K41" s="330"/>
      <c r="L41" s="330"/>
    </row>
    <row r="42" spans="2:14" ht="14.25" x14ac:dyDescent="0.2">
      <c r="B42" s="35"/>
      <c r="C42" s="35"/>
      <c r="M42" s="331"/>
      <c r="N42" s="331"/>
    </row>
    <row r="43" spans="2:14" ht="14.25" x14ac:dyDescent="0.2">
      <c r="B43" s="43" t="s">
        <v>200</v>
      </c>
      <c r="C43" s="42"/>
      <c r="D43" s="299"/>
      <c r="E43" s="299"/>
      <c r="F43" s="299"/>
      <c r="G43" s="299"/>
      <c r="H43" s="299"/>
      <c r="I43" s="331"/>
      <c r="J43" s="43" t="s">
        <v>202</v>
      </c>
      <c r="K43" s="331"/>
      <c r="L43" s="331"/>
      <c r="M43" s="299"/>
      <c r="N43" s="299"/>
    </row>
    <row r="44" spans="2:14" ht="15" x14ac:dyDescent="0.25">
      <c r="B44" s="44" t="s">
        <v>37</v>
      </c>
      <c r="C44" s="44"/>
      <c r="D44" s="299"/>
      <c r="E44" s="299"/>
      <c r="F44" s="299"/>
      <c r="G44" s="299"/>
      <c r="H44" s="299"/>
      <c r="I44" s="299"/>
      <c r="J44" s="44" t="s">
        <v>37</v>
      </c>
      <c r="K44" s="299"/>
      <c r="L44" s="299"/>
      <c r="M44" s="299"/>
      <c r="N44" s="299"/>
    </row>
    <row r="45" spans="2:14" x14ac:dyDescent="0.2">
      <c r="B45" s="299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</row>
    <row r="46" spans="2:14" x14ac:dyDescent="0.2">
      <c r="B46" s="545"/>
      <c r="C46" s="545"/>
      <c r="D46" s="299"/>
      <c r="E46" s="299"/>
      <c r="F46" s="299"/>
      <c r="G46" s="299"/>
      <c r="H46" s="299"/>
      <c r="I46" s="545"/>
      <c r="J46" s="545"/>
      <c r="K46" s="545"/>
      <c r="L46" s="545"/>
      <c r="M46" s="545"/>
      <c r="N46" s="545"/>
    </row>
  </sheetData>
  <mergeCells count="18">
    <mergeCell ref="B46:C46"/>
    <mergeCell ref="I46:N46"/>
    <mergeCell ref="B32:E32"/>
    <mergeCell ref="I32:L32"/>
    <mergeCell ref="D34:E34"/>
    <mergeCell ref="K34:L34"/>
    <mergeCell ref="G39:I39"/>
    <mergeCell ref="B9:N9"/>
    <mergeCell ref="B15:B16"/>
    <mergeCell ref="C15:C16"/>
    <mergeCell ref="D15:D16"/>
    <mergeCell ref="E15:E16"/>
    <mergeCell ref="F15:G15"/>
    <mergeCell ref="I15:I16"/>
    <mergeCell ref="J15:J16"/>
    <mergeCell ref="K15:K16"/>
    <mergeCell ref="L15:L16"/>
    <mergeCell ref="M15:N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249977111117893"/>
  </sheetPr>
  <dimension ref="A1:AE113"/>
  <sheetViews>
    <sheetView topLeftCell="B1" workbookViewId="0">
      <selection activeCell="N8" sqref="N8"/>
    </sheetView>
  </sheetViews>
  <sheetFormatPr baseColWidth="10" defaultColWidth="11.42578125" defaultRowHeight="15" x14ac:dyDescent="0.25"/>
  <cols>
    <col min="1" max="1" width="11.7109375" customWidth="1"/>
    <col min="2" max="2" width="46.85546875" customWidth="1"/>
    <col min="3" max="3" width="15" customWidth="1"/>
    <col min="4" max="4" width="12.7109375" customWidth="1"/>
    <col min="5" max="5" width="12.28515625" style="41" customWidth="1"/>
    <col min="6" max="6" width="14.5703125" style="41" customWidth="1"/>
    <col min="7" max="7" width="12.5703125" style="41" customWidth="1"/>
    <col min="8" max="8" width="11" customWidth="1"/>
    <col min="9" max="9" width="15.7109375" hidden="1" customWidth="1"/>
    <col min="10" max="10" width="2" hidden="1" customWidth="1"/>
    <col min="11" max="11" width="11.42578125" hidden="1" customWidth="1"/>
    <col min="12" max="12" width="12.85546875" hidden="1" customWidth="1"/>
    <col min="15" max="15" width="11.42578125" style="1"/>
    <col min="16" max="16" width="24.42578125" style="1" customWidth="1"/>
    <col min="17" max="18" width="11.42578125" style="196"/>
    <col min="19" max="19" width="13" style="196" bestFit="1" customWidth="1"/>
    <col min="20" max="20" width="16.28515625" style="1" customWidth="1"/>
    <col min="21" max="27" width="11.42578125" style="1"/>
  </cols>
  <sheetData>
    <row r="1" spans="1:27" ht="18.75" x14ac:dyDescent="0.3">
      <c r="A1" s="551" t="s">
        <v>109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</row>
    <row r="3" spans="1:27" x14ac:dyDescent="0.25">
      <c r="B3" s="25" t="s">
        <v>40</v>
      </c>
      <c r="C3" s="25" t="s">
        <v>161</v>
      </c>
    </row>
    <row r="4" spans="1:27" ht="18.75" x14ac:dyDescent="0.3">
      <c r="A4" s="551"/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</row>
    <row r="5" spans="1:27" x14ac:dyDescent="0.25">
      <c r="B5" s="25" t="s">
        <v>42</v>
      </c>
      <c r="C5" s="105">
        <f>+E104</f>
        <v>5058959</v>
      </c>
      <c r="M5" s="1"/>
      <c r="N5" s="1"/>
    </row>
    <row r="6" spans="1:27" x14ac:dyDescent="0.25">
      <c r="B6" s="25" t="s">
        <v>43</v>
      </c>
      <c r="C6" s="105">
        <f>+F104</f>
        <v>4591030</v>
      </c>
      <c r="M6" s="1"/>
      <c r="N6" s="1"/>
    </row>
    <row r="7" spans="1:27" x14ac:dyDescent="0.25">
      <c r="B7" s="25" t="s">
        <v>44</v>
      </c>
      <c r="C7" s="105">
        <f>C5-C6</f>
        <v>467929</v>
      </c>
      <c r="M7" s="1"/>
      <c r="N7" s="1"/>
    </row>
    <row r="11" spans="1:27" s="135" customFormat="1" ht="14.25" customHeight="1" x14ac:dyDescent="0.25">
      <c r="A11" s="98" t="s">
        <v>4</v>
      </c>
      <c r="B11" s="98" t="s">
        <v>45</v>
      </c>
      <c r="C11" s="98" t="s">
        <v>46</v>
      </c>
      <c r="D11" s="98" t="s">
        <v>47</v>
      </c>
      <c r="E11" s="99" t="s">
        <v>48</v>
      </c>
      <c r="F11" s="99" t="s">
        <v>49</v>
      </c>
      <c r="G11" s="99" t="s">
        <v>50</v>
      </c>
      <c r="H11" s="98" t="s">
        <v>51</v>
      </c>
      <c r="I11" s="98" t="s">
        <v>52</v>
      </c>
      <c r="J11" s="98" t="s">
        <v>53</v>
      </c>
      <c r="K11" s="98" t="s">
        <v>55</v>
      </c>
      <c r="L11" s="98" t="s">
        <v>56</v>
      </c>
      <c r="M11" s="98"/>
      <c r="N11" s="98"/>
      <c r="O11" s="134"/>
      <c r="P11" s="134"/>
      <c r="Q11" s="197"/>
      <c r="R11" s="197"/>
      <c r="S11" s="197"/>
      <c r="T11" s="134"/>
      <c r="U11" s="134"/>
      <c r="V11" s="134"/>
      <c r="W11" s="134"/>
      <c r="X11" s="134"/>
      <c r="Y11" s="134"/>
      <c r="Z11" s="134"/>
      <c r="AA11" s="134"/>
    </row>
    <row r="12" spans="1:27" s="1" customFormat="1" x14ac:dyDescent="0.25">
      <c r="A12" s="281">
        <v>44287</v>
      </c>
      <c r="B12" s="137" t="s">
        <v>418</v>
      </c>
      <c r="C12" s="101"/>
      <c r="D12" s="101"/>
      <c r="E12" s="138">
        <f>+'[27] Caisse Mars 2021'!C7</f>
        <v>1672959</v>
      </c>
      <c r="F12" s="139"/>
      <c r="G12" s="138">
        <f>+E12</f>
        <v>1672959</v>
      </c>
      <c r="H12" s="140" t="s">
        <v>62</v>
      </c>
      <c r="I12" s="140"/>
      <c r="J12" s="140"/>
      <c r="K12" s="140"/>
      <c r="L12" s="140"/>
      <c r="M12" s="140"/>
      <c r="N12" s="140"/>
      <c r="Q12" s="196"/>
      <c r="R12" s="196"/>
      <c r="S12" s="196"/>
    </row>
    <row r="13" spans="1:27" s="1" customFormat="1" x14ac:dyDescent="0.25">
      <c r="A13" s="281">
        <v>44287</v>
      </c>
      <c r="B13" s="141" t="s">
        <v>271</v>
      </c>
      <c r="C13" s="142" t="s">
        <v>26</v>
      </c>
      <c r="D13" s="142" t="s">
        <v>31</v>
      </c>
      <c r="E13" s="143"/>
      <c r="F13" s="200">
        <v>140000</v>
      </c>
      <c r="G13" s="143">
        <f>+G12+E13-F13</f>
        <v>1532959</v>
      </c>
      <c r="H13" s="142" t="s">
        <v>62</v>
      </c>
      <c r="I13" s="142"/>
      <c r="J13" s="142"/>
      <c r="K13" s="142"/>
      <c r="L13" s="142"/>
      <c r="M13" s="142" t="s">
        <v>134</v>
      </c>
      <c r="N13" s="142"/>
      <c r="Q13" s="196"/>
      <c r="R13" s="196"/>
      <c r="S13" s="196"/>
    </row>
    <row r="14" spans="1:27" s="198" customFormat="1" x14ac:dyDescent="0.25">
      <c r="A14" s="281">
        <v>44288</v>
      </c>
      <c r="B14" s="141" t="s">
        <v>272</v>
      </c>
      <c r="C14" s="142" t="s">
        <v>26</v>
      </c>
      <c r="D14" s="141" t="s">
        <v>16</v>
      </c>
      <c r="E14" s="143"/>
      <c r="F14" s="200">
        <v>60000</v>
      </c>
      <c r="G14" s="143">
        <f t="shared" ref="G14:G77" si="0">+G13+E14-F14</f>
        <v>1472959</v>
      </c>
      <c r="H14" s="145" t="s">
        <v>62</v>
      </c>
      <c r="I14" s="142"/>
      <c r="J14" s="142"/>
      <c r="K14" s="142"/>
      <c r="L14" s="142"/>
      <c r="M14" s="145" t="s">
        <v>134</v>
      </c>
      <c r="N14" s="369"/>
      <c r="Q14" s="199"/>
      <c r="R14" s="199"/>
      <c r="S14" s="199"/>
    </row>
    <row r="15" spans="1:27" s="100" customFormat="1" x14ac:dyDescent="0.25">
      <c r="A15" s="409">
        <v>44288</v>
      </c>
      <c r="B15" s="141" t="s">
        <v>419</v>
      </c>
      <c r="C15" s="142" t="s">
        <v>153</v>
      </c>
      <c r="D15" s="142" t="s">
        <v>18</v>
      </c>
      <c r="E15" s="143"/>
      <c r="F15" s="200">
        <v>89175</v>
      </c>
      <c r="G15" s="143">
        <f t="shared" si="0"/>
        <v>1383784</v>
      </c>
      <c r="H15" s="370" t="s">
        <v>62</v>
      </c>
      <c r="I15" s="370"/>
      <c r="J15" s="370"/>
      <c r="K15" s="370"/>
      <c r="L15" s="370"/>
      <c r="M15" s="370" t="s">
        <v>302</v>
      </c>
      <c r="N15" s="370"/>
      <c r="Q15" s="201"/>
      <c r="R15" s="201"/>
      <c r="S15" s="201"/>
    </row>
    <row r="16" spans="1:27" s="1" customFormat="1" x14ac:dyDescent="0.25">
      <c r="A16" s="281">
        <v>44288</v>
      </c>
      <c r="B16" s="264" t="s">
        <v>68</v>
      </c>
      <c r="C16" s="142" t="s">
        <v>120</v>
      </c>
      <c r="D16" s="195"/>
      <c r="E16" s="400"/>
      <c r="F16" s="200">
        <v>36500</v>
      </c>
      <c r="G16" s="143">
        <f t="shared" si="0"/>
        <v>1347284</v>
      </c>
      <c r="H16" s="142" t="s">
        <v>62</v>
      </c>
      <c r="I16" s="142"/>
      <c r="J16" s="142"/>
      <c r="K16" s="142"/>
      <c r="L16" s="142"/>
      <c r="M16" s="142"/>
      <c r="N16" s="142"/>
      <c r="Q16" s="200"/>
      <c r="R16" s="196"/>
      <c r="S16" s="196"/>
    </row>
    <row r="17" spans="1:19" s="1" customFormat="1" x14ac:dyDescent="0.25">
      <c r="A17" s="409">
        <v>44290</v>
      </c>
      <c r="B17" s="264" t="s">
        <v>273</v>
      </c>
      <c r="C17" s="142" t="s">
        <v>420</v>
      </c>
      <c r="D17" s="142" t="s">
        <v>18</v>
      </c>
      <c r="E17" s="143"/>
      <c r="F17" s="200">
        <v>7400</v>
      </c>
      <c r="G17" s="143">
        <f t="shared" si="0"/>
        <v>1339884</v>
      </c>
      <c r="H17" s="142" t="s">
        <v>62</v>
      </c>
      <c r="I17" s="142"/>
      <c r="J17" s="142"/>
      <c r="K17" s="142"/>
      <c r="L17" s="142"/>
      <c r="M17" s="142" t="s">
        <v>302</v>
      </c>
      <c r="N17" s="142"/>
      <c r="Q17" s="196"/>
      <c r="R17" s="196"/>
      <c r="S17" s="196"/>
    </row>
    <row r="18" spans="1:19" s="1" customFormat="1" x14ac:dyDescent="0.25">
      <c r="A18" s="409">
        <v>44292</v>
      </c>
      <c r="B18" s="141" t="s">
        <v>274</v>
      </c>
      <c r="C18" s="142" t="s">
        <v>420</v>
      </c>
      <c r="D18" s="142" t="s">
        <v>18</v>
      </c>
      <c r="E18" s="143"/>
      <c r="F18" s="200">
        <v>8000</v>
      </c>
      <c r="G18" s="143">
        <f t="shared" si="0"/>
        <v>1331884</v>
      </c>
      <c r="H18" s="142" t="s">
        <v>62</v>
      </c>
      <c r="I18" s="142"/>
      <c r="J18" s="142"/>
      <c r="K18" s="142"/>
      <c r="L18" s="142"/>
      <c r="M18" s="145" t="s">
        <v>302</v>
      </c>
      <c r="N18" s="142"/>
      <c r="Q18" s="196"/>
      <c r="R18" s="196"/>
      <c r="S18" s="196"/>
    </row>
    <row r="19" spans="1:19" s="1" customFormat="1" x14ac:dyDescent="0.25">
      <c r="A19" s="409">
        <v>44292</v>
      </c>
      <c r="B19" s="141" t="s">
        <v>69</v>
      </c>
      <c r="C19" s="142" t="s">
        <v>120</v>
      </c>
      <c r="D19" s="142"/>
      <c r="E19" s="143"/>
      <c r="F19" s="200">
        <v>10000</v>
      </c>
      <c r="G19" s="143">
        <f t="shared" si="0"/>
        <v>1321884</v>
      </c>
      <c r="H19" s="142" t="s">
        <v>62</v>
      </c>
      <c r="I19" s="142"/>
      <c r="J19" s="142"/>
      <c r="K19" s="142"/>
      <c r="L19" s="142"/>
      <c r="M19" s="142"/>
      <c r="N19" s="142"/>
      <c r="Q19" s="196"/>
      <c r="R19" s="196"/>
      <c r="S19" s="196"/>
    </row>
    <row r="20" spans="1:19" s="1" customFormat="1" x14ac:dyDescent="0.25">
      <c r="A20" s="409">
        <v>44292</v>
      </c>
      <c r="B20" s="141" t="s">
        <v>275</v>
      </c>
      <c r="C20" s="142" t="s">
        <v>120</v>
      </c>
      <c r="D20" s="142"/>
      <c r="E20" s="143"/>
      <c r="F20" s="200">
        <v>107000</v>
      </c>
      <c r="G20" s="143">
        <f t="shared" si="0"/>
        <v>1214884</v>
      </c>
      <c r="H20" s="142" t="s">
        <v>62</v>
      </c>
      <c r="I20" s="142"/>
      <c r="J20" s="142"/>
      <c r="K20" s="142"/>
      <c r="L20" s="142"/>
      <c r="M20" s="142"/>
      <c r="N20" s="142"/>
      <c r="Q20" s="196"/>
      <c r="R20" s="196"/>
      <c r="S20" s="196"/>
    </row>
    <row r="21" spans="1:19" s="1" customFormat="1" x14ac:dyDescent="0.25">
      <c r="A21" s="409">
        <v>44293</v>
      </c>
      <c r="B21" s="141" t="s">
        <v>421</v>
      </c>
      <c r="C21" s="142" t="s">
        <v>26</v>
      </c>
      <c r="D21" s="142" t="s">
        <v>61</v>
      </c>
      <c r="E21" s="143"/>
      <c r="F21" s="200">
        <v>89000</v>
      </c>
      <c r="G21" s="143">
        <f>+G20+E21-F21</f>
        <v>1125884</v>
      </c>
      <c r="H21" s="142" t="s">
        <v>62</v>
      </c>
      <c r="I21" s="142"/>
      <c r="J21" s="142"/>
      <c r="K21" s="142"/>
      <c r="L21" s="142"/>
      <c r="M21" s="142" t="s">
        <v>134</v>
      </c>
      <c r="N21" s="142"/>
      <c r="Q21" s="196"/>
      <c r="R21" s="196"/>
      <c r="S21" s="196"/>
    </row>
    <row r="22" spans="1:19" s="1" customFormat="1" x14ac:dyDescent="0.25">
      <c r="A22" s="281">
        <v>44294</v>
      </c>
      <c r="B22" s="141" t="s">
        <v>175</v>
      </c>
      <c r="C22" s="142" t="s">
        <v>120</v>
      </c>
      <c r="D22" s="142"/>
      <c r="E22" s="143"/>
      <c r="F22" s="200">
        <v>55800</v>
      </c>
      <c r="G22" s="143">
        <f t="shared" si="0"/>
        <v>1070084</v>
      </c>
      <c r="H22" s="142" t="s">
        <v>62</v>
      </c>
      <c r="I22" s="142"/>
      <c r="J22" s="142"/>
      <c r="K22" s="142"/>
      <c r="L22" s="142"/>
      <c r="M22" s="142"/>
      <c r="N22" s="142"/>
      <c r="Q22" s="196"/>
      <c r="R22" s="196"/>
      <c r="S22" s="196"/>
    </row>
    <row r="23" spans="1:19" s="1" customFormat="1" x14ac:dyDescent="0.25">
      <c r="A23" s="281">
        <v>44294</v>
      </c>
      <c r="B23" s="141" t="s">
        <v>175</v>
      </c>
      <c r="C23" s="142" t="s">
        <v>120</v>
      </c>
      <c r="D23" s="142"/>
      <c r="E23" s="143"/>
      <c r="F23" s="200">
        <v>20000</v>
      </c>
      <c r="G23" s="143">
        <f t="shared" si="0"/>
        <v>1050084</v>
      </c>
      <c r="H23" s="142" t="s">
        <v>62</v>
      </c>
      <c r="I23" s="142"/>
      <c r="J23" s="142"/>
      <c r="K23" s="142"/>
      <c r="L23" s="142"/>
      <c r="M23" s="142"/>
      <c r="N23" s="142"/>
      <c r="Q23" s="196"/>
      <c r="R23" s="196"/>
      <c r="S23" s="196"/>
    </row>
    <row r="24" spans="1:19" s="1" customFormat="1" x14ac:dyDescent="0.25">
      <c r="A24" s="281">
        <v>44295</v>
      </c>
      <c r="B24" s="141" t="s">
        <v>275</v>
      </c>
      <c r="C24" s="142" t="s">
        <v>120</v>
      </c>
      <c r="D24" s="142"/>
      <c r="E24" s="143"/>
      <c r="F24" s="200">
        <v>30000</v>
      </c>
      <c r="G24" s="143">
        <f t="shared" si="0"/>
        <v>1020084</v>
      </c>
      <c r="H24" s="142" t="s">
        <v>62</v>
      </c>
      <c r="I24" s="142"/>
      <c r="J24" s="142"/>
      <c r="K24" s="142"/>
      <c r="L24" s="142"/>
      <c r="M24" s="142"/>
      <c r="N24" s="142"/>
      <c r="Q24" s="196"/>
      <c r="R24" s="196"/>
      <c r="S24" s="196"/>
    </row>
    <row r="25" spans="1:19" s="1" customFormat="1" x14ac:dyDescent="0.25">
      <c r="A25" s="281">
        <v>44295</v>
      </c>
      <c r="B25" s="141" t="s">
        <v>422</v>
      </c>
      <c r="C25" s="141" t="s">
        <v>63</v>
      </c>
      <c r="D25" s="410" t="s">
        <v>18</v>
      </c>
      <c r="E25" s="143"/>
      <c r="F25" s="200">
        <v>900</v>
      </c>
      <c r="G25" s="143">
        <f t="shared" si="0"/>
        <v>1019184</v>
      </c>
      <c r="H25" s="142" t="s">
        <v>62</v>
      </c>
      <c r="I25" s="142"/>
      <c r="J25" s="142"/>
      <c r="K25" s="142"/>
      <c r="L25" s="142"/>
      <c r="M25" s="142" t="s">
        <v>302</v>
      </c>
      <c r="N25" s="142"/>
      <c r="Q25" s="196"/>
      <c r="R25" s="196"/>
      <c r="S25" s="196"/>
    </row>
    <row r="26" spans="1:19" s="1" customFormat="1" x14ac:dyDescent="0.25">
      <c r="A26" s="281">
        <v>44295</v>
      </c>
      <c r="B26" s="141" t="s">
        <v>423</v>
      </c>
      <c r="C26" s="142" t="s">
        <v>424</v>
      </c>
      <c r="D26" s="142" t="s">
        <v>425</v>
      </c>
      <c r="E26" s="143"/>
      <c r="F26" s="200">
        <v>30000</v>
      </c>
      <c r="G26" s="143">
        <f t="shared" si="0"/>
        <v>989184</v>
      </c>
      <c r="H26" s="142" t="s">
        <v>62</v>
      </c>
      <c r="I26" s="142"/>
      <c r="J26" s="142"/>
      <c r="K26" s="142"/>
      <c r="L26" s="142"/>
      <c r="M26" s="142" t="s">
        <v>302</v>
      </c>
      <c r="N26" s="142"/>
      <c r="Q26" s="196"/>
      <c r="R26" s="196"/>
      <c r="S26" s="196"/>
    </row>
    <row r="27" spans="1:19" s="1" customFormat="1" x14ac:dyDescent="0.25">
      <c r="A27" s="281">
        <v>44295</v>
      </c>
      <c r="B27" s="141" t="s">
        <v>68</v>
      </c>
      <c r="C27" s="142" t="s">
        <v>120</v>
      </c>
      <c r="D27" s="142"/>
      <c r="E27" s="143"/>
      <c r="F27" s="200">
        <v>80000</v>
      </c>
      <c r="G27" s="143">
        <f t="shared" si="0"/>
        <v>909184</v>
      </c>
      <c r="H27" s="142" t="s">
        <v>62</v>
      </c>
      <c r="I27" s="142"/>
      <c r="J27" s="142"/>
      <c r="K27" s="142"/>
      <c r="L27" s="142"/>
      <c r="M27" s="142"/>
      <c r="N27" s="142"/>
      <c r="Q27" s="196"/>
      <c r="R27" s="196"/>
      <c r="S27" s="196"/>
    </row>
    <row r="28" spans="1:19" s="1" customFormat="1" x14ac:dyDescent="0.25">
      <c r="A28" s="281">
        <v>44295</v>
      </c>
      <c r="B28" s="141" t="s">
        <v>67</v>
      </c>
      <c r="C28" s="142" t="s">
        <v>120</v>
      </c>
      <c r="D28" s="142"/>
      <c r="E28" s="143"/>
      <c r="F28" s="200">
        <v>80000</v>
      </c>
      <c r="G28" s="143">
        <f t="shared" si="0"/>
        <v>829184</v>
      </c>
      <c r="H28" s="142" t="s">
        <v>62</v>
      </c>
      <c r="I28" s="142"/>
      <c r="J28" s="142"/>
      <c r="K28" s="142"/>
      <c r="L28" s="142"/>
      <c r="M28" s="142"/>
      <c r="N28" s="142"/>
      <c r="Q28" s="196"/>
      <c r="R28" s="196"/>
      <c r="S28" s="196"/>
    </row>
    <row r="29" spans="1:19" s="1" customFormat="1" x14ac:dyDescent="0.25">
      <c r="A29" s="281">
        <v>44295</v>
      </c>
      <c r="B29" s="142" t="s">
        <v>67</v>
      </c>
      <c r="C29" s="142" t="s">
        <v>120</v>
      </c>
      <c r="D29" s="410"/>
      <c r="E29" s="411"/>
      <c r="F29" s="200">
        <v>15000</v>
      </c>
      <c r="G29" s="143">
        <f t="shared" si="0"/>
        <v>814184</v>
      </c>
      <c r="H29" s="142" t="s">
        <v>62</v>
      </c>
      <c r="I29" s="142"/>
      <c r="J29" s="142"/>
      <c r="K29" s="142"/>
      <c r="L29" s="142"/>
      <c r="M29" s="142"/>
      <c r="N29" s="142"/>
      <c r="Q29" s="196"/>
      <c r="R29" s="196"/>
      <c r="S29" s="196"/>
    </row>
    <row r="30" spans="1:19" s="1" customFormat="1" x14ac:dyDescent="0.25">
      <c r="A30" s="281">
        <v>44298</v>
      </c>
      <c r="B30" s="141" t="s">
        <v>275</v>
      </c>
      <c r="C30" s="142" t="s">
        <v>120</v>
      </c>
      <c r="D30" s="142"/>
      <c r="E30" s="143"/>
      <c r="F30" s="200">
        <v>125000</v>
      </c>
      <c r="G30" s="143">
        <f t="shared" si="0"/>
        <v>689184</v>
      </c>
      <c r="H30" s="142" t="s">
        <v>62</v>
      </c>
      <c r="I30" s="142"/>
      <c r="J30" s="142"/>
      <c r="K30" s="142"/>
      <c r="L30" s="142"/>
      <c r="M30" s="142"/>
      <c r="N30" s="142"/>
      <c r="Q30" s="196"/>
      <c r="R30" s="196"/>
      <c r="S30" s="196"/>
    </row>
    <row r="31" spans="1:19" s="1" customFormat="1" x14ac:dyDescent="0.25">
      <c r="A31" s="409">
        <v>44298</v>
      </c>
      <c r="B31" s="141" t="s">
        <v>91</v>
      </c>
      <c r="C31" s="142" t="s">
        <v>120</v>
      </c>
      <c r="D31" s="142"/>
      <c r="E31" s="412"/>
      <c r="F31" s="200">
        <v>84000</v>
      </c>
      <c r="G31" s="143">
        <f t="shared" si="0"/>
        <v>605184</v>
      </c>
      <c r="H31" s="142" t="s">
        <v>62</v>
      </c>
      <c r="I31" s="142"/>
      <c r="J31" s="142"/>
      <c r="K31" s="142"/>
      <c r="L31" s="142"/>
      <c r="M31" s="142"/>
      <c r="N31" s="142"/>
      <c r="Q31" s="196"/>
      <c r="R31" s="196"/>
      <c r="S31" s="196"/>
    </row>
    <row r="32" spans="1:19" s="1" customFormat="1" x14ac:dyDescent="0.25">
      <c r="A32" s="281">
        <v>44298</v>
      </c>
      <c r="B32" s="141" t="s">
        <v>276</v>
      </c>
      <c r="C32" s="142" t="s">
        <v>60</v>
      </c>
      <c r="D32" s="142" t="s">
        <v>16</v>
      </c>
      <c r="E32" s="143"/>
      <c r="F32" s="200">
        <v>76000</v>
      </c>
      <c r="G32" s="143">
        <f t="shared" si="0"/>
        <v>529184</v>
      </c>
      <c r="H32" s="142" t="s">
        <v>62</v>
      </c>
      <c r="I32" s="142"/>
      <c r="J32" s="142"/>
      <c r="K32" s="142"/>
      <c r="L32" s="142"/>
      <c r="M32" s="142" t="s">
        <v>302</v>
      </c>
      <c r="N32" s="142"/>
      <c r="Q32" s="196"/>
      <c r="R32" s="196"/>
      <c r="S32" s="196"/>
    </row>
    <row r="33" spans="1:19" s="1" customFormat="1" x14ac:dyDescent="0.25">
      <c r="A33" s="281">
        <v>44298</v>
      </c>
      <c r="B33" s="142" t="s">
        <v>69</v>
      </c>
      <c r="C33" s="142" t="s">
        <v>120</v>
      </c>
      <c r="D33" s="142"/>
      <c r="E33" s="143"/>
      <c r="F33" s="200">
        <v>10000</v>
      </c>
      <c r="G33" s="143">
        <f t="shared" si="0"/>
        <v>519184</v>
      </c>
      <c r="H33" s="142" t="s">
        <v>62</v>
      </c>
      <c r="I33" s="142"/>
      <c r="J33" s="142"/>
      <c r="K33" s="142"/>
      <c r="L33" s="142"/>
      <c r="M33" s="142"/>
      <c r="N33" s="142"/>
      <c r="O33" s="144"/>
      <c r="Q33" s="196"/>
      <c r="R33" s="196"/>
      <c r="S33" s="196"/>
    </row>
    <row r="34" spans="1:19" s="1" customFormat="1" x14ac:dyDescent="0.25">
      <c r="A34" s="281">
        <v>44298</v>
      </c>
      <c r="B34" s="141" t="s">
        <v>275</v>
      </c>
      <c r="C34" s="142" t="s">
        <v>120</v>
      </c>
      <c r="D34" s="142"/>
      <c r="E34" s="143"/>
      <c r="F34" s="200">
        <v>40000</v>
      </c>
      <c r="G34" s="143">
        <f t="shared" si="0"/>
        <v>479184</v>
      </c>
      <c r="H34" s="142" t="s">
        <v>62</v>
      </c>
      <c r="I34" s="142"/>
      <c r="J34" s="142"/>
      <c r="K34" s="142"/>
      <c r="L34" s="142"/>
      <c r="M34" s="142"/>
      <c r="N34" s="142"/>
      <c r="O34" s="144"/>
      <c r="Q34" s="196"/>
      <c r="R34" s="196"/>
      <c r="S34" s="196"/>
    </row>
    <row r="35" spans="1:19" s="1" customFormat="1" x14ac:dyDescent="0.25">
      <c r="A35" s="281">
        <v>44298</v>
      </c>
      <c r="B35" s="141" t="s">
        <v>277</v>
      </c>
      <c r="C35" s="142" t="s">
        <v>17</v>
      </c>
      <c r="D35" s="142" t="s">
        <v>18</v>
      </c>
      <c r="E35" s="143"/>
      <c r="F35" s="200">
        <v>12000</v>
      </c>
      <c r="G35" s="143">
        <f t="shared" si="0"/>
        <v>467184</v>
      </c>
      <c r="H35" s="142" t="s">
        <v>62</v>
      </c>
      <c r="I35" s="142"/>
      <c r="J35" s="142"/>
      <c r="K35" s="142"/>
      <c r="L35" s="142"/>
      <c r="M35" s="142" t="s">
        <v>302</v>
      </c>
      <c r="N35" s="142"/>
      <c r="O35" s="144"/>
      <c r="Q35" s="196"/>
      <c r="R35" s="196"/>
      <c r="S35" s="196"/>
    </row>
    <row r="36" spans="1:19" s="1" customFormat="1" x14ac:dyDescent="0.25">
      <c r="A36" s="281">
        <v>44300</v>
      </c>
      <c r="B36" s="141" t="s">
        <v>58</v>
      </c>
      <c r="C36" s="142" t="s">
        <v>120</v>
      </c>
      <c r="D36" s="142"/>
      <c r="E36" s="143">
        <v>1000000</v>
      </c>
      <c r="F36" s="200"/>
      <c r="G36" s="143">
        <f t="shared" si="0"/>
        <v>1467184</v>
      </c>
      <c r="H36" s="142" t="s">
        <v>62</v>
      </c>
      <c r="I36" s="142"/>
      <c r="J36" s="142"/>
      <c r="K36" s="142"/>
      <c r="L36" s="142"/>
      <c r="M36" s="142"/>
      <c r="N36" s="142"/>
      <c r="Q36" s="196"/>
      <c r="R36" s="196"/>
      <c r="S36" s="196"/>
    </row>
    <row r="37" spans="1:19" s="198" customFormat="1" x14ac:dyDescent="0.25">
      <c r="A37" s="281">
        <v>44300</v>
      </c>
      <c r="B37" s="141" t="s">
        <v>67</v>
      </c>
      <c r="C37" s="142" t="s">
        <v>120</v>
      </c>
      <c r="D37" s="142"/>
      <c r="E37" s="143"/>
      <c r="F37" s="200">
        <v>171000</v>
      </c>
      <c r="G37" s="143">
        <f t="shared" si="0"/>
        <v>1296184</v>
      </c>
      <c r="H37" s="142" t="s">
        <v>62</v>
      </c>
      <c r="I37" s="142"/>
      <c r="J37" s="142"/>
      <c r="K37" s="142"/>
      <c r="L37" s="142"/>
      <c r="M37" s="369"/>
      <c r="N37" s="369"/>
      <c r="Q37" s="199"/>
      <c r="R37" s="199"/>
      <c r="S37" s="199"/>
    </row>
    <row r="38" spans="1:19" s="1" customFormat="1" x14ac:dyDescent="0.25">
      <c r="A38" s="281">
        <v>44300</v>
      </c>
      <c r="B38" s="141" t="s">
        <v>68</v>
      </c>
      <c r="C38" s="142" t="s">
        <v>120</v>
      </c>
      <c r="D38" s="142"/>
      <c r="E38" s="143"/>
      <c r="F38" s="200">
        <v>169000</v>
      </c>
      <c r="G38" s="143">
        <f t="shared" si="0"/>
        <v>1127184</v>
      </c>
      <c r="H38" s="142" t="s">
        <v>62</v>
      </c>
      <c r="I38" s="142"/>
      <c r="J38" s="142"/>
      <c r="K38" s="142"/>
      <c r="L38" s="142"/>
      <c r="M38" s="142"/>
      <c r="N38" s="142"/>
      <c r="Q38" s="196"/>
      <c r="R38" s="196"/>
      <c r="S38" s="196"/>
    </row>
    <row r="39" spans="1:19" s="1" customFormat="1" x14ac:dyDescent="0.25">
      <c r="A39" s="281">
        <v>44300</v>
      </c>
      <c r="B39" s="141" t="s">
        <v>278</v>
      </c>
      <c r="C39" s="142" t="s">
        <v>63</v>
      </c>
      <c r="D39" s="142" t="s">
        <v>18</v>
      </c>
      <c r="E39" s="143"/>
      <c r="F39" s="200">
        <v>10200</v>
      </c>
      <c r="G39" s="143">
        <f t="shared" si="0"/>
        <v>1116984</v>
      </c>
      <c r="H39" s="142" t="s">
        <v>62</v>
      </c>
      <c r="I39" s="142"/>
      <c r="J39" s="142"/>
      <c r="K39" s="142"/>
      <c r="L39" s="142"/>
      <c r="M39" s="142" t="s">
        <v>302</v>
      </c>
      <c r="N39" s="142"/>
      <c r="Q39" s="196"/>
      <c r="R39" s="196"/>
      <c r="S39" s="196"/>
    </row>
    <row r="40" spans="1:19" s="1" customFormat="1" x14ac:dyDescent="0.25">
      <c r="A40" s="413">
        <v>44301</v>
      </c>
      <c r="B40" s="141" t="s">
        <v>426</v>
      </c>
      <c r="C40" s="142" t="s">
        <v>17</v>
      </c>
      <c r="D40" s="142" t="s">
        <v>18</v>
      </c>
      <c r="E40" s="143"/>
      <c r="F40" s="200">
        <v>24000</v>
      </c>
      <c r="G40" s="143">
        <f t="shared" si="0"/>
        <v>1092984</v>
      </c>
      <c r="H40" s="142" t="s">
        <v>62</v>
      </c>
      <c r="I40" s="142"/>
      <c r="J40" s="142"/>
      <c r="K40" s="142"/>
      <c r="L40" s="142"/>
      <c r="M40" s="142" t="s">
        <v>302</v>
      </c>
      <c r="N40" s="142"/>
      <c r="Q40" s="196"/>
      <c r="R40" s="196"/>
      <c r="S40" s="196"/>
    </row>
    <row r="41" spans="1:19" s="1" customFormat="1" x14ac:dyDescent="0.25">
      <c r="A41" s="281">
        <v>44301</v>
      </c>
      <c r="B41" s="141" t="s">
        <v>279</v>
      </c>
      <c r="C41" s="142" t="s">
        <v>17</v>
      </c>
      <c r="D41" s="141" t="s">
        <v>18</v>
      </c>
      <c r="E41" s="412"/>
      <c r="F41" s="200">
        <v>24450</v>
      </c>
      <c r="G41" s="143">
        <f t="shared" si="0"/>
        <v>1068534</v>
      </c>
      <c r="H41" s="142" t="s">
        <v>62</v>
      </c>
      <c r="I41" s="142"/>
      <c r="J41" s="142"/>
      <c r="K41" s="142"/>
      <c r="L41" s="142"/>
      <c r="M41" s="142" t="s">
        <v>302</v>
      </c>
      <c r="N41" s="142"/>
      <c r="O41" s="41"/>
      <c r="Q41" s="196"/>
      <c r="R41" s="196"/>
      <c r="S41" s="196"/>
    </row>
    <row r="42" spans="1:19" s="134" customFormat="1" x14ac:dyDescent="0.25">
      <c r="A42" s="281">
        <v>44301</v>
      </c>
      <c r="B42" s="414" t="s">
        <v>280</v>
      </c>
      <c r="C42" s="370" t="s">
        <v>60</v>
      </c>
      <c r="D42" s="370" t="s">
        <v>18</v>
      </c>
      <c r="E42" s="411"/>
      <c r="F42" s="200">
        <v>45000</v>
      </c>
      <c r="G42" s="143">
        <f t="shared" si="0"/>
        <v>1023534</v>
      </c>
      <c r="H42" s="142" t="s">
        <v>62</v>
      </c>
      <c r="I42" s="142"/>
      <c r="J42" s="142"/>
      <c r="K42" s="142"/>
      <c r="L42" s="142"/>
      <c r="M42" s="142" t="s">
        <v>302</v>
      </c>
      <c r="N42" s="142"/>
      <c r="O42" s="41"/>
      <c r="Q42" s="197"/>
      <c r="R42" s="197"/>
      <c r="S42" s="196"/>
    </row>
    <row r="43" spans="1:19" s="134" customFormat="1" x14ac:dyDescent="0.25">
      <c r="A43" s="281">
        <v>44294</v>
      </c>
      <c r="B43" s="414" t="s">
        <v>427</v>
      </c>
      <c r="C43" s="370" t="s">
        <v>17</v>
      </c>
      <c r="D43" s="370" t="s">
        <v>18</v>
      </c>
      <c r="E43" s="411"/>
      <c r="F43" s="200">
        <v>7400</v>
      </c>
      <c r="G43" s="143">
        <f t="shared" si="0"/>
        <v>1016134</v>
      </c>
      <c r="H43" s="142" t="s">
        <v>62</v>
      </c>
      <c r="I43" s="142"/>
      <c r="J43" s="142"/>
      <c r="K43" s="142"/>
      <c r="L43" s="142"/>
      <c r="M43" s="142" t="s">
        <v>302</v>
      </c>
      <c r="N43" s="142"/>
      <c r="O43" s="41"/>
      <c r="Q43" s="197"/>
      <c r="R43" s="197"/>
      <c r="S43" s="196"/>
    </row>
    <row r="44" spans="1:19" s="134" customFormat="1" x14ac:dyDescent="0.25">
      <c r="A44" s="281">
        <v>44301</v>
      </c>
      <c r="B44" s="141" t="s">
        <v>91</v>
      </c>
      <c r="C44" s="142" t="s">
        <v>120</v>
      </c>
      <c r="D44" s="142"/>
      <c r="E44" s="411"/>
      <c r="F44" s="200">
        <v>57000</v>
      </c>
      <c r="G44" s="143">
        <f t="shared" si="0"/>
        <v>959134</v>
      </c>
      <c r="H44" s="142" t="s">
        <v>62</v>
      </c>
      <c r="I44" s="142"/>
      <c r="J44" s="142"/>
      <c r="K44" s="142"/>
      <c r="L44" s="142"/>
      <c r="M44" s="142"/>
      <c r="N44" s="142"/>
      <c r="O44" s="41"/>
      <c r="Q44" s="197"/>
      <c r="R44" s="197"/>
      <c r="S44" s="196"/>
    </row>
    <row r="45" spans="1:19" s="134" customFormat="1" x14ac:dyDescent="0.25">
      <c r="A45" s="281">
        <v>44301</v>
      </c>
      <c r="B45" s="414" t="s">
        <v>281</v>
      </c>
      <c r="C45" s="370" t="s">
        <v>63</v>
      </c>
      <c r="D45" s="370" t="s">
        <v>18</v>
      </c>
      <c r="E45" s="411"/>
      <c r="F45" s="200">
        <v>1710</v>
      </c>
      <c r="G45" s="143">
        <f t="shared" si="0"/>
        <v>957424</v>
      </c>
      <c r="H45" s="142" t="s">
        <v>62</v>
      </c>
      <c r="I45" s="142"/>
      <c r="J45" s="142"/>
      <c r="K45" s="142"/>
      <c r="L45" s="142"/>
      <c r="M45" s="142" t="s">
        <v>302</v>
      </c>
      <c r="N45" s="142"/>
      <c r="O45" s="41"/>
      <c r="P45" s="552"/>
      <c r="Q45" s="552"/>
      <c r="R45" s="552"/>
      <c r="S45" s="197"/>
    </row>
    <row r="46" spans="1:19" s="134" customFormat="1" x14ac:dyDescent="0.25">
      <c r="A46" s="281">
        <v>44301</v>
      </c>
      <c r="B46" s="414" t="s">
        <v>428</v>
      </c>
      <c r="C46" s="370" t="s">
        <v>17</v>
      </c>
      <c r="D46" s="370" t="s">
        <v>18</v>
      </c>
      <c r="E46" s="411"/>
      <c r="F46" s="200">
        <v>13500</v>
      </c>
      <c r="G46" s="143">
        <f t="shared" si="0"/>
        <v>943924</v>
      </c>
      <c r="H46" s="142" t="s">
        <v>62</v>
      </c>
      <c r="I46" s="142"/>
      <c r="J46" s="142"/>
      <c r="K46" s="142"/>
      <c r="L46" s="142"/>
      <c r="M46" s="142" t="s">
        <v>302</v>
      </c>
      <c r="N46" s="142"/>
      <c r="O46" s="41"/>
      <c r="Q46" s="197"/>
      <c r="R46" s="197"/>
      <c r="S46" s="197"/>
    </row>
    <row r="47" spans="1:19" s="134" customFormat="1" x14ac:dyDescent="0.25">
      <c r="A47" s="281">
        <v>44301</v>
      </c>
      <c r="B47" s="414" t="s">
        <v>142</v>
      </c>
      <c r="C47" s="370" t="s">
        <v>120</v>
      </c>
      <c r="D47" s="370"/>
      <c r="E47" s="411"/>
      <c r="F47" s="200">
        <v>10000</v>
      </c>
      <c r="G47" s="143">
        <f t="shared" si="0"/>
        <v>933924</v>
      </c>
      <c r="H47" s="142" t="s">
        <v>62</v>
      </c>
      <c r="I47" s="142"/>
      <c r="J47" s="142"/>
      <c r="K47" s="142"/>
      <c r="L47" s="142"/>
      <c r="M47" s="142"/>
      <c r="N47" s="142"/>
      <c r="O47" s="41"/>
      <c r="Q47" s="197"/>
      <c r="R47" s="197"/>
      <c r="S47" s="197"/>
    </row>
    <row r="48" spans="1:19" s="134" customFormat="1" x14ac:dyDescent="0.25">
      <c r="A48" s="281">
        <v>44302</v>
      </c>
      <c r="B48" s="141" t="s">
        <v>91</v>
      </c>
      <c r="C48" s="142" t="s">
        <v>120</v>
      </c>
      <c r="D48" s="142"/>
      <c r="E48" s="143"/>
      <c r="F48" s="200">
        <v>30000</v>
      </c>
      <c r="G48" s="143">
        <f t="shared" si="0"/>
        <v>903924</v>
      </c>
      <c r="H48" s="142" t="s">
        <v>62</v>
      </c>
      <c r="I48" s="142"/>
      <c r="J48" s="142"/>
      <c r="K48" s="142"/>
      <c r="L48" s="142"/>
      <c r="M48" s="142"/>
      <c r="N48" s="142"/>
      <c r="O48" s="41"/>
      <c r="Q48" s="197"/>
      <c r="R48" s="197"/>
      <c r="S48" s="197"/>
    </row>
    <row r="49" spans="1:31" s="134" customFormat="1" x14ac:dyDescent="0.25">
      <c r="A49" s="281">
        <v>44302</v>
      </c>
      <c r="B49" s="414" t="s">
        <v>281</v>
      </c>
      <c r="C49" s="370" t="s">
        <v>63</v>
      </c>
      <c r="D49" s="370" t="s">
        <v>18</v>
      </c>
      <c r="E49" s="411"/>
      <c r="F49" s="200">
        <v>900</v>
      </c>
      <c r="G49" s="143">
        <f t="shared" si="0"/>
        <v>903024</v>
      </c>
      <c r="H49" s="142" t="s">
        <v>62</v>
      </c>
      <c r="I49" s="142"/>
      <c r="J49" s="142"/>
      <c r="K49" s="142"/>
      <c r="L49" s="142"/>
      <c r="M49" s="142" t="s">
        <v>303</v>
      </c>
      <c r="N49" s="142"/>
      <c r="O49" s="41"/>
      <c r="Q49" s="197"/>
      <c r="R49" s="197"/>
      <c r="S49" s="197"/>
    </row>
    <row r="50" spans="1:31" s="134" customFormat="1" x14ac:dyDescent="0.25">
      <c r="A50" s="281">
        <v>44302</v>
      </c>
      <c r="B50" s="141" t="s">
        <v>282</v>
      </c>
      <c r="C50" s="142" t="s">
        <v>26</v>
      </c>
      <c r="D50" s="142" t="s">
        <v>61</v>
      </c>
      <c r="E50" s="143"/>
      <c r="F50" s="200">
        <v>20000</v>
      </c>
      <c r="G50" s="143">
        <f t="shared" si="0"/>
        <v>883024</v>
      </c>
      <c r="H50" s="142" t="s">
        <v>62</v>
      </c>
      <c r="I50" s="142"/>
      <c r="J50" s="142"/>
      <c r="K50" s="142"/>
      <c r="L50" s="142"/>
      <c r="M50" s="142" t="s">
        <v>429</v>
      </c>
      <c r="N50" s="142"/>
      <c r="O50" s="371"/>
      <c r="Q50" s="197"/>
      <c r="R50" s="197"/>
      <c r="S50" s="197"/>
    </row>
    <row r="51" spans="1:31" s="134" customFormat="1" x14ac:dyDescent="0.25">
      <c r="A51" s="281">
        <v>44302</v>
      </c>
      <c r="B51" s="141" t="s">
        <v>283</v>
      </c>
      <c r="C51" s="142" t="s">
        <v>26</v>
      </c>
      <c r="D51" s="142" t="s">
        <v>16</v>
      </c>
      <c r="E51" s="143"/>
      <c r="F51" s="200">
        <v>5000</v>
      </c>
      <c r="G51" s="143">
        <f t="shared" si="0"/>
        <v>878024</v>
      </c>
      <c r="H51" s="142" t="s">
        <v>62</v>
      </c>
      <c r="I51" s="368"/>
      <c r="J51" s="142"/>
      <c r="K51" s="142"/>
      <c r="L51" s="142"/>
      <c r="M51" s="142" t="s">
        <v>429</v>
      </c>
      <c r="N51" s="142"/>
      <c r="O51" s="41"/>
      <c r="Q51" s="197"/>
      <c r="R51" s="197"/>
      <c r="S51" s="197"/>
      <c r="Z51" s="136">
        <v>44188</v>
      </c>
      <c r="AA51" s="141" t="s">
        <v>163</v>
      </c>
      <c r="AB51" s="142" t="s">
        <v>15</v>
      </c>
      <c r="AC51" s="142" t="s">
        <v>16</v>
      </c>
      <c r="AD51" s="147"/>
      <c r="AE51" s="200">
        <v>882</v>
      </c>
    </row>
    <row r="52" spans="1:31" s="134" customFormat="1" x14ac:dyDescent="0.25">
      <c r="A52" s="281">
        <v>44302</v>
      </c>
      <c r="B52" s="141" t="s">
        <v>275</v>
      </c>
      <c r="C52" s="142" t="s">
        <v>120</v>
      </c>
      <c r="D52" s="142"/>
      <c r="E52" s="143"/>
      <c r="F52" s="200">
        <v>214000</v>
      </c>
      <c r="G52" s="143">
        <f t="shared" si="0"/>
        <v>664024</v>
      </c>
      <c r="H52" s="142" t="s">
        <v>62</v>
      </c>
      <c r="I52" s="368"/>
      <c r="J52" s="142"/>
      <c r="K52" s="142"/>
      <c r="L52" s="142"/>
      <c r="M52" s="142"/>
      <c r="N52" s="142"/>
      <c r="O52" s="41"/>
      <c r="Q52" s="197"/>
      <c r="R52" s="197"/>
      <c r="S52" s="197"/>
    </row>
    <row r="53" spans="1:31" s="134" customFormat="1" x14ac:dyDescent="0.25">
      <c r="A53" s="281">
        <v>44302</v>
      </c>
      <c r="B53" s="414" t="s">
        <v>284</v>
      </c>
      <c r="C53" s="142" t="s">
        <v>63</v>
      </c>
      <c r="D53" s="142" t="s">
        <v>18</v>
      </c>
      <c r="E53" s="143"/>
      <c r="F53" s="200">
        <v>6420</v>
      </c>
      <c r="G53" s="143">
        <f t="shared" si="0"/>
        <v>657604</v>
      </c>
      <c r="H53" s="142" t="s">
        <v>62</v>
      </c>
      <c r="I53" s="132"/>
      <c r="J53" s="142"/>
      <c r="K53" s="142"/>
      <c r="L53" s="142"/>
      <c r="M53" s="142" t="s">
        <v>302</v>
      </c>
      <c r="N53" s="142"/>
      <c r="O53" s="41"/>
      <c r="Q53" s="197"/>
      <c r="R53" s="197"/>
      <c r="S53" s="197"/>
    </row>
    <row r="54" spans="1:31" s="134" customFormat="1" x14ac:dyDescent="0.25">
      <c r="A54" s="281">
        <v>44305</v>
      </c>
      <c r="B54" s="141" t="s">
        <v>285</v>
      </c>
      <c r="C54" s="142" t="s">
        <v>420</v>
      </c>
      <c r="D54" s="142" t="s">
        <v>18</v>
      </c>
      <c r="E54" s="143"/>
      <c r="F54" s="200">
        <v>75000</v>
      </c>
      <c r="G54" s="143">
        <f t="shared" si="0"/>
        <v>582604</v>
      </c>
      <c r="H54" s="142" t="s">
        <v>62</v>
      </c>
      <c r="I54" s="132"/>
      <c r="J54" s="142"/>
      <c r="K54" s="142"/>
      <c r="L54" s="142"/>
      <c r="M54" s="142" t="s">
        <v>302</v>
      </c>
      <c r="N54" s="142"/>
      <c r="O54" s="41"/>
      <c r="Q54" s="197"/>
      <c r="R54" s="197"/>
      <c r="S54" s="197"/>
    </row>
    <row r="55" spans="1:31" s="134" customFormat="1" x14ac:dyDescent="0.25">
      <c r="A55" s="281">
        <v>44305</v>
      </c>
      <c r="B55" s="141" t="s">
        <v>286</v>
      </c>
      <c r="C55" s="141" t="s">
        <v>420</v>
      </c>
      <c r="D55" s="141" t="s">
        <v>18</v>
      </c>
      <c r="E55" s="147"/>
      <c r="F55" s="200">
        <v>80000</v>
      </c>
      <c r="G55" s="412">
        <f t="shared" si="0"/>
        <v>502604</v>
      </c>
      <c r="H55" s="141" t="s">
        <v>62</v>
      </c>
      <c r="I55" s="132"/>
      <c r="J55" s="142"/>
      <c r="K55" s="142"/>
      <c r="L55" s="142"/>
      <c r="M55" s="142" t="s">
        <v>302</v>
      </c>
      <c r="N55" s="142"/>
      <c r="O55" s="146"/>
      <c r="Q55" s="197"/>
      <c r="R55" s="197"/>
      <c r="S55" s="197"/>
    </row>
    <row r="56" spans="1:31" s="134" customFormat="1" x14ac:dyDescent="0.25">
      <c r="A56" s="281">
        <v>44305</v>
      </c>
      <c r="B56" s="141" t="s">
        <v>287</v>
      </c>
      <c r="C56" s="141" t="s">
        <v>26</v>
      </c>
      <c r="D56" s="141" t="s">
        <v>16</v>
      </c>
      <c r="E56" s="147"/>
      <c r="F56" s="200">
        <v>45000</v>
      </c>
      <c r="G56" s="412">
        <f t="shared" si="0"/>
        <v>457604</v>
      </c>
      <c r="H56" s="142" t="s">
        <v>62</v>
      </c>
      <c r="I56" s="132"/>
      <c r="J56" s="142"/>
      <c r="K56" s="142"/>
      <c r="L56" s="142"/>
      <c r="M56" s="142" t="s">
        <v>429</v>
      </c>
      <c r="N56" s="142"/>
      <c r="O56" s="146"/>
      <c r="Q56" s="197"/>
      <c r="R56" s="197"/>
      <c r="S56" s="197"/>
    </row>
    <row r="57" spans="1:31" s="134" customFormat="1" x14ac:dyDescent="0.25">
      <c r="A57" s="281">
        <v>44305</v>
      </c>
      <c r="B57" s="141" t="s">
        <v>430</v>
      </c>
      <c r="C57" s="141" t="s">
        <v>17</v>
      </c>
      <c r="D57" s="141" t="s">
        <v>18</v>
      </c>
      <c r="E57" s="147"/>
      <c r="F57" s="200">
        <v>12750</v>
      </c>
      <c r="G57" s="412">
        <f t="shared" si="0"/>
        <v>444854</v>
      </c>
      <c r="H57" s="142" t="s">
        <v>62</v>
      </c>
      <c r="I57" s="132"/>
      <c r="J57" s="142"/>
      <c r="K57" s="142"/>
      <c r="L57" s="142"/>
      <c r="M57" s="142" t="s">
        <v>302</v>
      </c>
      <c r="N57" s="142"/>
      <c r="Q57" s="197"/>
      <c r="R57" s="197"/>
      <c r="S57" s="197"/>
    </row>
    <row r="58" spans="1:31" s="134" customFormat="1" x14ac:dyDescent="0.25">
      <c r="A58" s="281">
        <v>44306</v>
      </c>
      <c r="B58" s="145" t="s">
        <v>275</v>
      </c>
      <c r="C58" s="145" t="s">
        <v>120</v>
      </c>
      <c r="D58" s="145"/>
      <c r="E58" s="415"/>
      <c r="F58" s="411">
        <v>195000</v>
      </c>
      <c r="G58" s="143">
        <f t="shared" si="0"/>
        <v>249854</v>
      </c>
      <c r="H58" s="145" t="s">
        <v>62</v>
      </c>
      <c r="I58" s="407"/>
      <c r="J58" s="145"/>
      <c r="K58" s="145"/>
      <c r="L58" s="145"/>
      <c r="M58" s="145"/>
      <c r="N58" s="142"/>
      <c r="Q58" s="197"/>
      <c r="R58" s="197"/>
      <c r="S58" s="197"/>
    </row>
    <row r="59" spans="1:31" s="134" customFormat="1" x14ac:dyDescent="0.25">
      <c r="A59" s="281">
        <v>44306</v>
      </c>
      <c r="B59" s="414" t="s">
        <v>284</v>
      </c>
      <c r="C59" s="141" t="s">
        <v>63</v>
      </c>
      <c r="D59" s="141" t="s">
        <v>18</v>
      </c>
      <c r="E59" s="147"/>
      <c r="F59" s="200">
        <v>5850</v>
      </c>
      <c r="G59" s="412">
        <f t="shared" si="0"/>
        <v>244004</v>
      </c>
      <c r="H59" s="142" t="s">
        <v>62</v>
      </c>
      <c r="I59" s="132"/>
      <c r="J59" s="142"/>
      <c r="K59" s="142"/>
      <c r="L59" s="142"/>
      <c r="M59" s="142" t="s">
        <v>302</v>
      </c>
      <c r="N59" s="142"/>
      <c r="Q59" s="197"/>
      <c r="R59" s="197"/>
      <c r="S59" s="197"/>
    </row>
    <row r="60" spans="1:31" s="134" customFormat="1" x14ac:dyDescent="0.25">
      <c r="A60" s="281">
        <v>44306</v>
      </c>
      <c r="B60" s="141" t="s">
        <v>122</v>
      </c>
      <c r="C60" s="141" t="s">
        <v>120</v>
      </c>
      <c r="D60" s="141"/>
      <c r="E60" s="147"/>
      <c r="F60" s="200">
        <v>84000</v>
      </c>
      <c r="G60" s="412">
        <f t="shared" si="0"/>
        <v>160004</v>
      </c>
      <c r="H60" s="142" t="s">
        <v>62</v>
      </c>
      <c r="I60" s="132"/>
      <c r="J60" s="142"/>
      <c r="K60" s="142"/>
      <c r="L60" s="142"/>
      <c r="M60" s="142"/>
      <c r="N60" s="142"/>
      <c r="O60" s="146"/>
      <c r="Q60" s="197"/>
      <c r="R60" s="197"/>
      <c r="S60" s="197"/>
    </row>
    <row r="61" spans="1:31" s="134" customFormat="1" x14ac:dyDescent="0.25">
      <c r="A61" s="281">
        <v>44306</v>
      </c>
      <c r="B61" s="141" t="s">
        <v>58</v>
      </c>
      <c r="C61" s="141" t="s">
        <v>120</v>
      </c>
      <c r="D61" s="141"/>
      <c r="E61" s="147">
        <v>1000000</v>
      </c>
      <c r="F61" s="200"/>
      <c r="G61" s="412">
        <f t="shared" si="0"/>
        <v>1160004</v>
      </c>
      <c r="H61" s="142" t="s">
        <v>62</v>
      </c>
      <c r="I61" s="132"/>
      <c r="J61" s="142"/>
      <c r="K61" s="142"/>
      <c r="L61" s="142"/>
      <c r="M61" s="142"/>
      <c r="N61" s="142"/>
      <c r="O61" s="146"/>
      <c r="Q61" s="197"/>
      <c r="R61" s="197"/>
      <c r="S61" s="197"/>
    </row>
    <row r="62" spans="1:31" s="148" customFormat="1" x14ac:dyDescent="0.25">
      <c r="A62" s="281">
        <v>44306</v>
      </c>
      <c r="B62" s="141" t="s">
        <v>288</v>
      </c>
      <c r="C62" s="141" t="s">
        <v>26</v>
      </c>
      <c r="D62" s="141" t="s">
        <v>31</v>
      </c>
      <c r="E62" s="147"/>
      <c r="F62" s="200">
        <v>50000</v>
      </c>
      <c r="G62" s="412">
        <f t="shared" si="0"/>
        <v>1110004</v>
      </c>
      <c r="H62" s="142" t="s">
        <v>62</v>
      </c>
      <c r="I62" s="132"/>
      <c r="J62" s="142"/>
      <c r="K62" s="142"/>
      <c r="L62" s="142"/>
      <c r="M62" s="142" t="s">
        <v>302</v>
      </c>
      <c r="N62" s="142"/>
      <c r="O62" s="134"/>
      <c r="P62" s="134"/>
      <c r="Q62" s="197"/>
      <c r="R62" s="197"/>
      <c r="S62" s="197"/>
      <c r="T62" s="134"/>
      <c r="U62" s="134"/>
      <c r="V62" s="134"/>
      <c r="W62" s="134"/>
      <c r="X62" s="134"/>
      <c r="Y62" s="134"/>
      <c r="Z62" s="134"/>
      <c r="AA62" s="134"/>
    </row>
    <row r="63" spans="1:31" s="148" customFormat="1" x14ac:dyDescent="0.25">
      <c r="A63" s="281">
        <v>44306</v>
      </c>
      <c r="B63" s="141" t="s">
        <v>289</v>
      </c>
      <c r="C63" s="141" t="s">
        <v>420</v>
      </c>
      <c r="D63" s="141" t="s">
        <v>18</v>
      </c>
      <c r="E63" s="143"/>
      <c r="F63" s="412">
        <v>17000</v>
      </c>
      <c r="G63" s="412">
        <f t="shared" si="0"/>
        <v>1093004</v>
      </c>
      <c r="H63" s="142" t="s">
        <v>62</v>
      </c>
      <c r="I63" s="132"/>
      <c r="J63" s="142"/>
      <c r="K63" s="142"/>
      <c r="L63" s="142"/>
      <c r="M63" s="142" t="s">
        <v>302</v>
      </c>
      <c r="N63" s="142"/>
      <c r="O63" s="134"/>
      <c r="P63" s="134"/>
      <c r="Q63" s="197"/>
      <c r="R63" s="197"/>
      <c r="S63" s="197"/>
      <c r="T63" s="134"/>
      <c r="U63" s="134"/>
      <c r="V63" s="134"/>
      <c r="W63" s="134"/>
      <c r="X63" s="134"/>
      <c r="Y63" s="134"/>
      <c r="Z63" s="134"/>
      <c r="AA63" s="134"/>
    </row>
    <row r="64" spans="1:31" s="148" customFormat="1" x14ac:dyDescent="0.25">
      <c r="A64" s="281">
        <v>44307</v>
      </c>
      <c r="B64" s="145" t="s">
        <v>290</v>
      </c>
      <c r="C64" s="145" t="s">
        <v>60</v>
      </c>
      <c r="D64" s="145" t="s">
        <v>16</v>
      </c>
      <c r="E64" s="415"/>
      <c r="F64" s="411">
        <v>111000</v>
      </c>
      <c r="G64" s="143">
        <f t="shared" si="0"/>
        <v>982004</v>
      </c>
      <c r="H64" s="145" t="s">
        <v>62</v>
      </c>
      <c r="I64" s="407"/>
      <c r="J64" s="145"/>
      <c r="K64" s="145"/>
      <c r="L64" s="145"/>
      <c r="M64" s="145"/>
      <c r="N64" s="145"/>
      <c r="O64" s="134"/>
      <c r="P64" s="134"/>
      <c r="Q64" s="197"/>
      <c r="R64" s="197"/>
      <c r="S64" s="197"/>
      <c r="T64" s="134"/>
      <c r="U64" s="134"/>
      <c r="V64" s="134"/>
      <c r="W64" s="134"/>
      <c r="X64" s="134"/>
      <c r="Y64" s="134"/>
      <c r="Z64" s="134"/>
      <c r="AA64" s="134"/>
    </row>
    <row r="65" spans="1:27" s="148" customFormat="1" x14ac:dyDescent="0.25">
      <c r="A65" s="281">
        <v>44307</v>
      </c>
      <c r="B65" s="141" t="s">
        <v>91</v>
      </c>
      <c r="C65" s="141" t="s">
        <v>120</v>
      </c>
      <c r="D65" s="141"/>
      <c r="E65" s="147"/>
      <c r="F65" s="200">
        <v>92000</v>
      </c>
      <c r="G65" s="412">
        <f t="shared" si="0"/>
        <v>890004</v>
      </c>
      <c r="H65" s="142" t="s">
        <v>62</v>
      </c>
      <c r="I65" s="132"/>
      <c r="J65" s="142"/>
      <c r="K65" s="142"/>
      <c r="L65" s="142"/>
      <c r="M65" s="142"/>
      <c r="N65" s="142"/>
      <c r="O65" s="134"/>
      <c r="P65" s="134"/>
      <c r="Q65" s="197"/>
      <c r="R65" s="197"/>
      <c r="S65" s="197"/>
      <c r="T65" s="134"/>
      <c r="U65" s="134"/>
      <c r="V65" s="134"/>
      <c r="W65" s="134"/>
      <c r="X65" s="134"/>
      <c r="Y65" s="134"/>
      <c r="Z65" s="134"/>
      <c r="AA65" s="134"/>
    </row>
    <row r="66" spans="1:27" s="148" customFormat="1" x14ac:dyDescent="0.25">
      <c r="A66" s="281">
        <v>44307</v>
      </c>
      <c r="B66" s="141" t="s">
        <v>431</v>
      </c>
      <c r="C66" s="141" t="s">
        <v>26</v>
      </c>
      <c r="D66" s="141" t="s">
        <v>31</v>
      </c>
      <c r="E66" s="147"/>
      <c r="F66" s="200">
        <v>20000</v>
      </c>
      <c r="G66" s="412">
        <f t="shared" si="0"/>
        <v>870004</v>
      </c>
      <c r="H66" s="142" t="s">
        <v>62</v>
      </c>
      <c r="I66" s="132"/>
      <c r="J66" s="142"/>
      <c r="K66" s="142"/>
      <c r="L66" s="142"/>
      <c r="M66" s="142" t="s">
        <v>302</v>
      </c>
      <c r="N66" s="142"/>
      <c r="O66" s="134"/>
      <c r="P66" s="134"/>
      <c r="Q66" s="197"/>
      <c r="R66" s="197"/>
      <c r="S66" s="197"/>
      <c r="T66" s="134"/>
      <c r="U66" s="134"/>
      <c r="V66" s="134"/>
      <c r="W66" s="134"/>
      <c r="X66" s="134"/>
      <c r="Y66" s="134"/>
      <c r="Z66" s="134"/>
      <c r="AA66" s="134"/>
    </row>
    <row r="67" spans="1:27" s="148" customFormat="1" x14ac:dyDescent="0.25">
      <c r="A67" s="281">
        <v>44307</v>
      </c>
      <c r="B67" s="141" t="s">
        <v>69</v>
      </c>
      <c r="C67" s="141" t="s">
        <v>120</v>
      </c>
      <c r="D67" s="141"/>
      <c r="E67" s="147"/>
      <c r="F67" s="200">
        <v>10000</v>
      </c>
      <c r="G67" s="412">
        <f t="shared" si="0"/>
        <v>860004</v>
      </c>
      <c r="H67" s="142" t="s">
        <v>62</v>
      </c>
      <c r="I67" s="132"/>
      <c r="J67" s="142"/>
      <c r="K67" s="142"/>
      <c r="L67" s="142"/>
      <c r="M67" s="142"/>
      <c r="N67" s="142"/>
      <c r="O67" s="134"/>
      <c r="P67" s="134"/>
      <c r="Q67" s="197"/>
      <c r="R67" s="197"/>
      <c r="S67" s="197"/>
      <c r="T67" s="134"/>
      <c r="U67" s="134"/>
      <c r="V67" s="134"/>
      <c r="W67" s="134"/>
      <c r="X67" s="134"/>
      <c r="Y67" s="134"/>
      <c r="Z67" s="134"/>
      <c r="AA67" s="134"/>
    </row>
    <row r="68" spans="1:27" s="148" customFormat="1" x14ac:dyDescent="0.25">
      <c r="A68" s="281">
        <v>44307</v>
      </c>
      <c r="B68" s="141" t="s">
        <v>91</v>
      </c>
      <c r="C68" s="141" t="s">
        <v>120</v>
      </c>
      <c r="D68" s="141"/>
      <c r="E68" s="147"/>
      <c r="F68" s="200">
        <v>10000</v>
      </c>
      <c r="G68" s="412">
        <f t="shared" si="0"/>
        <v>850004</v>
      </c>
      <c r="H68" s="142" t="s">
        <v>62</v>
      </c>
      <c r="I68" s="132"/>
      <c r="J68" s="142"/>
      <c r="K68" s="142"/>
      <c r="L68" s="142"/>
      <c r="M68" s="142"/>
      <c r="N68" s="142"/>
      <c r="O68" s="134"/>
      <c r="P68" s="134"/>
      <c r="Q68" s="197"/>
      <c r="R68" s="197"/>
      <c r="S68" s="197"/>
      <c r="T68" s="134"/>
      <c r="U68" s="134"/>
      <c r="V68" s="134"/>
      <c r="W68" s="134"/>
      <c r="X68" s="134"/>
      <c r="Y68" s="134"/>
      <c r="Z68" s="134"/>
      <c r="AA68" s="134"/>
    </row>
    <row r="69" spans="1:27" s="148" customFormat="1" x14ac:dyDescent="0.25">
      <c r="A69" s="281">
        <v>44308</v>
      </c>
      <c r="B69" s="141" t="s">
        <v>275</v>
      </c>
      <c r="C69" s="141" t="s">
        <v>120</v>
      </c>
      <c r="D69" s="141"/>
      <c r="E69" s="147"/>
      <c r="F69" s="200">
        <v>310000</v>
      </c>
      <c r="G69" s="412">
        <f t="shared" si="0"/>
        <v>540004</v>
      </c>
      <c r="H69" s="142" t="s">
        <v>62</v>
      </c>
      <c r="I69" s="132"/>
      <c r="J69" s="142"/>
      <c r="K69" s="142"/>
      <c r="L69" s="142"/>
      <c r="M69" s="142"/>
      <c r="N69" s="142"/>
      <c r="O69" s="134"/>
      <c r="P69" s="134"/>
      <c r="Q69" s="197"/>
      <c r="R69" s="197"/>
      <c r="S69" s="197"/>
      <c r="T69" s="134"/>
      <c r="U69" s="134"/>
      <c r="V69" s="134"/>
      <c r="W69" s="134"/>
      <c r="X69" s="134"/>
      <c r="Y69" s="134"/>
      <c r="Z69" s="134"/>
      <c r="AA69" s="134"/>
    </row>
    <row r="70" spans="1:27" s="148" customFormat="1" x14ac:dyDescent="0.25">
      <c r="A70" s="281">
        <v>44308</v>
      </c>
      <c r="B70" s="414" t="s">
        <v>284</v>
      </c>
      <c r="C70" s="141" t="s">
        <v>63</v>
      </c>
      <c r="D70" s="141" t="s">
        <v>18</v>
      </c>
      <c r="E70" s="147"/>
      <c r="F70" s="200">
        <v>9300</v>
      </c>
      <c r="G70" s="412">
        <f t="shared" si="0"/>
        <v>530704</v>
      </c>
      <c r="H70" s="142" t="s">
        <v>62</v>
      </c>
      <c r="I70" s="132"/>
      <c r="J70" s="142"/>
      <c r="K70" s="142"/>
      <c r="L70" s="142"/>
      <c r="M70" s="142" t="s">
        <v>302</v>
      </c>
      <c r="N70" s="142"/>
      <c r="O70" s="134"/>
      <c r="P70" s="134"/>
      <c r="Q70" s="197"/>
      <c r="R70" s="197"/>
      <c r="S70" s="197"/>
      <c r="T70" s="134"/>
      <c r="U70" s="134"/>
      <c r="V70" s="134"/>
      <c r="W70" s="134"/>
      <c r="X70" s="134"/>
      <c r="Y70" s="134"/>
      <c r="Z70" s="134"/>
      <c r="AA70" s="134"/>
    </row>
    <row r="71" spans="1:27" s="148" customFormat="1" x14ac:dyDescent="0.25">
      <c r="A71" s="281">
        <v>44308</v>
      </c>
      <c r="B71" s="141" t="s">
        <v>432</v>
      </c>
      <c r="C71" s="141" t="s">
        <v>26</v>
      </c>
      <c r="D71" s="141" t="s">
        <v>16</v>
      </c>
      <c r="E71" s="147"/>
      <c r="F71" s="200">
        <v>20000</v>
      </c>
      <c r="G71" s="412">
        <f t="shared" si="0"/>
        <v>510704</v>
      </c>
      <c r="H71" s="142" t="s">
        <v>62</v>
      </c>
      <c r="I71" s="132"/>
      <c r="J71" s="142"/>
      <c r="K71" s="142"/>
      <c r="L71" s="142"/>
      <c r="M71" s="142" t="s">
        <v>429</v>
      </c>
      <c r="N71" s="142"/>
      <c r="O71" s="134"/>
      <c r="P71" s="134"/>
      <c r="Q71" s="197"/>
      <c r="R71" s="197"/>
      <c r="S71" s="197"/>
      <c r="T71" s="134"/>
      <c r="U71" s="134"/>
      <c r="V71" s="134"/>
      <c r="W71" s="134"/>
      <c r="X71" s="134"/>
      <c r="Y71" s="134"/>
      <c r="Z71" s="134"/>
      <c r="AA71" s="134"/>
    </row>
    <row r="72" spans="1:27" s="148" customFormat="1" x14ac:dyDescent="0.25">
      <c r="A72" s="281">
        <v>44308</v>
      </c>
      <c r="B72" s="142" t="s">
        <v>291</v>
      </c>
      <c r="C72" s="141" t="s">
        <v>420</v>
      </c>
      <c r="D72" s="141" t="s">
        <v>18</v>
      </c>
      <c r="E72" s="143"/>
      <c r="F72" s="200">
        <v>26000</v>
      </c>
      <c r="G72" s="412">
        <f t="shared" si="0"/>
        <v>484704</v>
      </c>
      <c r="H72" s="142" t="s">
        <v>62</v>
      </c>
      <c r="I72" s="132"/>
      <c r="J72" s="142"/>
      <c r="K72" s="142"/>
      <c r="L72" s="142"/>
      <c r="M72" s="142" t="s">
        <v>302</v>
      </c>
      <c r="N72" s="142"/>
      <c r="O72" s="134"/>
      <c r="P72" s="134"/>
      <c r="Q72" s="197"/>
      <c r="R72" s="197"/>
      <c r="S72" s="197"/>
      <c r="T72" s="134"/>
      <c r="U72" s="134"/>
      <c r="V72" s="134"/>
      <c r="W72" s="134"/>
      <c r="X72" s="134"/>
      <c r="Y72" s="134"/>
      <c r="Z72" s="134"/>
      <c r="AA72" s="134"/>
    </row>
    <row r="73" spans="1:27" s="148" customFormat="1" x14ac:dyDescent="0.25">
      <c r="A73" s="281">
        <v>44309</v>
      </c>
      <c r="B73" s="141" t="s">
        <v>433</v>
      </c>
      <c r="C73" s="141" t="s">
        <v>26</v>
      </c>
      <c r="D73" s="141" t="s">
        <v>61</v>
      </c>
      <c r="E73" s="147"/>
      <c r="F73" s="200">
        <v>33000</v>
      </c>
      <c r="G73" s="412">
        <f t="shared" si="0"/>
        <v>451704</v>
      </c>
      <c r="H73" s="142" t="s">
        <v>62</v>
      </c>
      <c r="I73" s="132"/>
      <c r="J73" s="142"/>
      <c r="K73" s="142"/>
      <c r="L73" s="142"/>
      <c r="M73" s="142" t="s">
        <v>302</v>
      </c>
      <c r="N73" s="142"/>
      <c r="O73" s="134"/>
      <c r="P73" s="134"/>
      <c r="Q73" s="197"/>
      <c r="R73" s="197"/>
      <c r="S73" s="197"/>
      <c r="T73" s="134"/>
      <c r="U73" s="134"/>
      <c r="V73" s="134"/>
      <c r="W73" s="134"/>
      <c r="X73" s="134"/>
      <c r="Y73" s="134"/>
      <c r="Z73" s="134"/>
      <c r="AA73" s="134"/>
    </row>
    <row r="74" spans="1:27" s="148" customFormat="1" x14ac:dyDescent="0.25">
      <c r="A74" s="281">
        <v>44309</v>
      </c>
      <c r="B74" s="141" t="s">
        <v>70</v>
      </c>
      <c r="C74" s="141" t="s">
        <v>120</v>
      </c>
      <c r="D74" s="141"/>
      <c r="E74" s="147"/>
      <c r="F74" s="200">
        <v>10000</v>
      </c>
      <c r="G74" s="412">
        <f t="shared" si="0"/>
        <v>441704</v>
      </c>
      <c r="H74" s="142" t="s">
        <v>62</v>
      </c>
      <c r="I74" s="132"/>
      <c r="J74" s="142"/>
      <c r="K74" s="142"/>
      <c r="L74" s="142"/>
      <c r="M74" s="142"/>
      <c r="N74" s="142"/>
      <c r="O74" s="134"/>
      <c r="P74" s="134"/>
      <c r="Q74" s="197"/>
      <c r="R74" s="197"/>
      <c r="S74" s="197"/>
      <c r="T74" s="134"/>
      <c r="U74" s="134"/>
      <c r="V74" s="134"/>
      <c r="W74" s="134"/>
      <c r="X74" s="134"/>
      <c r="Y74" s="134"/>
      <c r="Z74" s="134"/>
      <c r="AA74" s="134"/>
    </row>
    <row r="75" spans="1:27" s="148" customFormat="1" x14ac:dyDescent="0.25">
      <c r="A75" s="281">
        <v>44312</v>
      </c>
      <c r="B75" s="141" t="s">
        <v>69</v>
      </c>
      <c r="C75" s="141" t="s">
        <v>120</v>
      </c>
      <c r="D75" s="141"/>
      <c r="E75" s="147"/>
      <c r="F75" s="200">
        <v>10000</v>
      </c>
      <c r="G75" s="412">
        <f t="shared" si="0"/>
        <v>431704</v>
      </c>
      <c r="H75" s="142" t="s">
        <v>62</v>
      </c>
      <c r="I75" s="132"/>
      <c r="J75" s="142"/>
      <c r="K75" s="142"/>
      <c r="L75" s="142"/>
      <c r="M75" s="142"/>
      <c r="N75" s="142"/>
      <c r="O75" s="134"/>
      <c r="P75" s="134"/>
      <c r="Q75" s="197"/>
      <c r="R75" s="197"/>
      <c r="S75" s="197"/>
      <c r="T75" s="134"/>
      <c r="U75" s="134"/>
      <c r="V75" s="134"/>
      <c r="W75" s="134"/>
      <c r="X75" s="134"/>
      <c r="Y75" s="134"/>
      <c r="Z75" s="134"/>
      <c r="AA75" s="134"/>
    </row>
    <row r="76" spans="1:27" s="148" customFormat="1" x14ac:dyDescent="0.25">
      <c r="A76" s="281">
        <v>44312</v>
      </c>
      <c r="B76" s="141" t="s">
        <v>292</v>
      </c>
      <c r="C76" s="142" t="s">
        <v>30</v>
      </c>
      <c r="D76" s="142" t="s">
        <v>21</v>
      </c>
      <c r="E76" s="143"/>
      <c r="F76" s="200">
        <v>110000</v>
      </c>
      <c r="G76" s="412">
        <f t="shared" si="0"/>
        <v>321704</v>
      </c>
      <c r="H76" s="142" t="s">
        <v>62</v>
      </c>
      <c r="I76" s="132"/>
      <c r="J76" s="142"/>
      <c r="K76" s="142"/>
      <c r="L76" s="142"/>
      <c r="M76" s="142" t="s">
        <v>302</v>
      </c>
      <c r="N76" s="142"/>
      <c r="O76" s="134"/>
      <c r="P76" s="134"/>
      <c r="Q76" s="197"/>
      <c r="R76" s="197"/>
      <c r="S76" s="197"/>
      <c r="T76" s="134"/>
      <c r="U76" s="134"/>
      <c r="V76" s="134"/>
      <c r="W76" s="134"/>
      <c r="X76" s="134"/>
      <c r="Y76" s="134"/>
      <c r="Z76" s="134"/>
      <c r="AA76" s="134"/>
    </row>
    <row r="77" spans="1:27" s="148" customFormat="1" x14ac:dyDescent="0.25">
      <c r="A77" s="281">
        <v>44312</v>
      </c>
      <c r="B77" s="141" t="s">
        <v>275</v>
      </c>
      <c r="C77" s="141" t="s">
        <v>120</v>
      </c>
      <c r="D77" s="141"/>
      <c r="E77" s="147"/>
      <c r="F77" s="200">
        <v>35000</v>
      </c>
      <c r="G77" s="412">
        <f t="shared" si="0"/>
        <v>286704</v>
      </c>
      <c r="H77" s="142" t="s">
        <v>62</v>
      </c>
      <c r="I77" s="132"/>
      <c r="J77" s="142"/>
      <c r="K77" s="142"/>
      <c r="L77" s="142"/>
      <c r="M77" s="142"/>
      <c r="N77" s="142"/>
      <c r="O77" s="134"/>
      <c r="P77" s="134"/>
      <c r="Q77" s="197"/>
      <c r="R77" s="197"/>
      <c r="S77" s="197"/>
      <c r="T77" s="134"/>
      <c r="U77" s="134"/>
      <c r="V77" s="134"/>
      <c r="W77" s="134"/>
      <c r="X77" s="134"/>
      <c r="Y77" s="134"/>
      <c r="Z77" s="134"/>
      <c r="AA77" s="134"/>
    </row>
    <row r="78" spans="1:27" s="148" customFormat="1" x14ac:dyDescent="0.25">
      <c r="A78" s="281">
        <v>44312</v>
      </c>
      <c r="B78" s="141" t="s">
        <v>434</v>
      </c>
      <c r="C78" s="141" t="s">
        <v>63</v>
      </c>
      <c r="D78" s="141" t="s">
        <v>18</v>
      </c>
      <c r="E78" s="147"/>
      <c r="F78" s="200">
        <v>1050</v>
      </c>
      <c r="G78" s="412">
        <f t="shared" ref="G78:G103" si="1">+G77+E78-F78</f>
        <v>285654</v>
      </c>
      <c r="H78" s="142" t="s">
        <v>62</v>
      </c>
      <c r="I78" s="132"/>
      <c r="J78" s="142"/>
      <c r="K78" s="142"/>
      <c r="L78" s="142"/>
      <c r="M78" s="142" t="s">
        <v>302</v>
      </c>
      <c r="N78" s="142"/>
      <c r="O78" s="134"/>
      <c r="P78" s="134"/>
      <c r="Q78" s="197"/>
      <c r="R78" s="197"/>
      <c r="S78" s="197"/>
      <c r="T78" s="134"/>
      <c r="U78" s="134"/>
      <c r="V78" s="134"/>
      <c r="W78" s="134"/>
      <c r="X78" s="134"/>
      <c r="Y78" s="134"/>
      <c r="Z78" s="134"/>
      <c r="AA78" s="134"/>
    </row>
    <row r="79" spans="1:27" s="148" customFormat="1" x14ac:dyDescent="0.25">
      <c r="A79" s="281">
        <v>44312</v>
      </c>
      <c r="B79" s="141" t="s">
        <v>67</v>
      </c>
      <c r="C79" s="141" t="s">
        <v>120</v>
      </c>
      <c r="D79" s="141"/>
      <c r="E79" s="147"/>
      <c r="F79" s="200">
        <v>70000</v>
      </c>
      <c r="G79" s="412">
        <f t="shared" si="1"/>
        <v>215654</v>
      </c>
      <c r="H79" s="142" t="s">
        <v>62</v>
      </c>
      <c r="I79" s="132"/>
      <c r="J79" s="142"/>
      <c r="K79" s="142"/>
      <c r="L79" s="142"/>
      <c r="M79" s="142"/>
      <c r="N79" s="142"/>
      <c r="O79" s="134"/>
      <c r="P79" s="134"/>
      <c r="Q79" s="197"/>
      <c r="R79" s="197"/>
      <c r="S79" s="197"/>
      <c r="T79" s="134"/>
      <c r="U79" s="134"/>
      <c r="V79" s="134"/>
      <c r="W79" s="134"/>
      <c r="X79" s="134"/>
      <c r="Y79" s="134"/>
      <c r="Z79" s="134"/>
      <c r="AA79" s="134"/>
    </row>
    <row r="80" spans="1:27" s="148" customFormat="1" x14ac:dyDescent="0.25">
      <c r="A80" s="281">
        <v>44312</v>
      </c>
      <c r="B80" s="141" t="s">
        <v>68</v>
      </c>
      <c r="C80" s="141" t="s">
        <v>120</v>
      </c>
      <c r="D80" s="141"/>
      <c r="E80" s="147"/>
      <c r="F80" s="200">
        <v>70000</v>
      </c>
      <c r="G80" s="412">
        <f t="shared" si="1"/>
        <v>145654</v>
      </c>
      <c r="H80" s="142" t="s">
        <v>62</v>
      </c>
      <c r="I80" s="132"/>
      <c r="J80" s="142"/>
      <c r="K80" s="142"/>
      <c r="L80" s="142"/>
      <c r="M80" s="142"/>
      <c r="N80" s="142"/>
      <c r="O80" s="134"/>
      <c r="P80" s="134"/>
      <c r="Q80" s="197"/>
      <c r="R80" s="197"/>
      <c r="S80" s="197"/>
      <c r="T80" s="134"/>
      <c r="U80" s="134"/>
      <c r="V80" s="134"/>
      <c r="W80" s="134"/>
      <c r="X80" s="134"/>
      <c r="Y80" s="134"/>
      <c r="Z80" s="134"/>
      <c r="AA80" s="134"/>
    </row>
    <row r="81" spans="1:27" s="148" customFormat="1" x14ac:dyDescent="0.25">
      <c r="A81" s="281">
        <v>44312</v>
      </c>
      <c r="B81" s="141" t="s">
        <v>58</v>
      </c>
      <c r="C81" s="141" t="s">
        <v>120</v>
      </c>
      <c r="D81" s="141"/>
      <c r="E81" s="147">
        <v>1000000</v>
      </c>
      <c r="F81" s="200"/>
      <c r="G81" s="412">
        <f t="shared" si="1"/>
        <v>1145654</v>
      </c>
      <c r="H81" s="142" t="s">
        <v>62</v>
      </c>
      <c r="I81" s="132"/>
      <c r="J81" s="142"/>
      <c r="K81" s="142"/>
      <c r="L81" s="142"/>
      <c r="M81" s="142"/>
      <c r="N81" s="142"/>
      <c r="O81" s="134"/>
      <c r="P81" s="134"/>
      <c r="Q81" s="197"/>
      <c r="R81" s="197"/>
      <c r="S81" s="197"/>
      <c r="T81" s="134"/>
      <c r="U81" s="134"/>
      <c r="V81" s="134"/>
      <c r="W81" s="134"/>
      <c r="X81" s="134"/>
      <c r="Y81" s="134"/>
      <c r="Z81" s="134"/>
      <c r="AA81" s="134"/>
    </row>
    <row r="82" spans="1:27" s="148" customFormat="1" x14ac:dyDescent="0.25">
      <c r="A82" s="281">
        <v>44312</v>
      </c>
      <c r="B82" s="141" t="s">
        <v>142</v>
      </c>
      <c r="C82" s="141" t="s">
        <v>120</v>
      </c>
      <c r="D82" s="141"/>
      <c r="E82" s="147"/>
      <c r="F82" s="200">
        <v>10000</v>
      </c>
      <c r="G82" s="412">
        <f t="shared" si="1"/>
        <v>1135654</v>
      </c>
      <c r="H82" s="142" t="s">
        <v>62</v>
      </c>
      <c r="I82" s="132"/>
      <c r="J82" s="142"/>
      <c r="K82" s="142"/>
      <c r="L82" s="142"/>
      <c r="M82" s="142"/>
      <c r="N82" s="142"/>
      <c r="O82" s="134"/>
      <c r="P82" s="134"/>
      <c r="Q82" s="197"/>
      <c r="R82" s="197"/>
      <c r="S82" s="197"/>
      <c r="T82" s="134"/>
      <c r="U82" s="134"/>
      <c r="V82" s="134"/>
      <c r="W82" s="134"/>
      <c r="X82" s="134"/>
      <c r="Y82" s="134"/>
      <c r="Z82" s="134"/>
      <c r="AA82" s="134"/>
    </row>
    <row r="83" spans="1:27" s="148" customFormat="1" x14ac:dyDescent="0.25">
      <c r="A83" s="281">
        <v>44312</v>
      </c>
      <c r="B83" s="141" t="s">
        <v>68</v>
      </c>
      <c r="C83" s="142" t="s">
        <v>120</v>
      </c>
      <c r="D83" s="142"/>
      <c r="E83" s="147"/>
      <c r="F83" s="147">
        <v>20000</v>
      </c>
      <c r="G83" s="143">
        <f t="shared" si="1"/>
        <v>1115654</v>
      </c>
      <c r="H83" s="142" t="s">
        <v>62</v>
      </c>
      <c r="I83" s="132"/>
      <c r="J83" s="142"/>
      <c r="K83" s="142"/>
      <c r="L83" s="142"/>
      <c r="M83" s="142"/>
      <c r="N83" s="142"/>
      <c r="O83" s="134"/>
      <c r="P83" s="134"/>
      <c r="Q83" s="197"/>
      <c r="R83" s="197"/>
      <c r="S83" s="197"/>
      <c r="T83" s="134"/>
      <c r="U83" s="134"/>
      <c r="V83" s="134"/>
      <c r="W83" s="134"/>
      <c r="X83" s="134"/>
      <c r="Y83" s="134"/>
      <c r="Z83" s="134"/>
      <c r="AA83" s="134"/>
    </row>
    <row r="84" spans="1:27" s="148" customFormat="1" x14ac:dyDescent="0.25">
      <c r="A84" s="281">
        <v>44312</v>
      </c>
      <c r="B84" s="142" t="s">
        <v>58</v>
      </c>
      <c r="C84" s="142" t="s">
        <v>120</v>
      </c>
      <c r="D84" s="142"/>
      <c r="E84" s="143">
        <v>174000</v>
      </c>
      <c r="F84" s="200"/>
      <c r="G84" s="143">
        <f t="shared" si="1"/>
        <v>1289654</v>
      </c>
      <c r="H84" s="142" t="s">
        <v>62</v>
      </c>
      <c r="I84" s="132"/>
      <c r="J84" s="142"/>
      <c r="K84" s="142"/>
      <c r="L84" s="142"/>
      <c r="M84" s="142"/>
      <c r="N84" s="142"/>
      <c r="O84" s="134"/>
      <c r="P84" s="134"/>
      <c r="Q84" s="197"/>
      <c r="R84" s="197"/>
      <c r="S84" s="197"/>
      <c r="T84" s="134"/>
      <c r="U84" s="134"/>
      <c r="V84" s="134"/>
      <c r="W84" s="134"/>
      <c r="X84" s="134"/>
      <c r="Y84" s="134"/>
      <c r="Z84" s="134"/>
      <c r="AA84" s="134"/>
    </row>
    <row r="85" spans="1:27" s="148" customFormat="1" x14ac:dyDescent="0.25">
      <c r="A85" s="281">
        <v>44312</v>
      </c>
      <c r="B85" s="141" t="s">
        <v>58</v>
      </c>
      <c r="C85" s="142" t="s">
        <v>120</v>
      </c>
      <c r="D85" s="142"/>
      <c r="E85" s="143">
        <v>167000</v>
      </c>
      <c r="F85" s="200"/>
      <c r="G85" s="143">
        <f t="shared" si="1"/>
        <v>1456654</v>
      </c>
      <c r="H85" s="142" t="s">
        <v>62</v>
      </c>
      <c r="I85" s="132"/>
      <c r="J85" s="142"/>
      <c r="K85" s="142"/>
      <c r="L85" s="142"/>
      <c r="M85" s="142"/>
      <c r="N85" s="142"/>
      <c r="O85" s="134"/>
      <c r="P85" s="134"/>
      <c r="Q85" s="197"/>
      <c r="R85" s="197"/>
      <c r="S85" s="197"/>
      <c r="T85" s="134"/>
      <c r="U85" s="134"/>
      <c r="V85" s="134"/>
      <c r="W85" s="134"/>
      <c r="X85" s="134"/>
      <c r="Y85" s="134"/>
      <c r="Z85" s="134"/>
      <c r="AA85" s="134"/>
    </row>
    <row r="86" spans="1:27" s="148" customFormat="1" ht="15" customHeight="1" x14ac:dyDescent="0.25">
      <c r="A86" s="281">
        <v>44312</v>
      </c>
      <c r="B86" s="141" t="s">
        <v>70</v>
      </c>
      <c r="C86" s="142" t="s">
        <v>120</v>
      </c>
      <c r="D86" s="141"/>
      <c r="E86" s="143">
        <v>20000</v>
      </c>
      <c r="F86" s="200"/>
      <c r="G86" s="143">
        <f t="shared" si="1"/>
        <v>1476654</v>
      </c>
      <c r="H86" s="142" t="s">
        <v>62</v>
      </c>
      <c r="I86" s="132"/>
      <c r="J86" s="142"/>
      <c r="K86" s="142"/>
      <c r="L86" s="142"/>
      <c r="M86" s="142"/>
      <c r="N86" s="142"/>
      <c r="O86" s="134"/>
      <c r="P86" s="134"/>
      <c r="Q86" s="197"/>
      <c r="R86" s="197"/>
      <c r="S86" s="197"/>
      <c r="T86" s="134"/>
      <c r="U86" s="134"/>
      <c r="V86" s="134"/>
      <c r="W86" s="134"/>
      <c r="X86" s="134"/>
      <c r="Y86" s="134"/>
      <c r="Z86" s="134"/>
      <c r="AA86" s="134"/>
    </row>
    <row r="87" spans="1:27" s="148" customFormat="1" ht="15" customHeight="1" x14ac:dyDescent="0.25">
      <c r="A87" s="281">
        <v>44314</v>
      </c>
      <c r="B87" s="141" t="s">
        <v>293</v>
      </c>
      <c r="C87" s="142" t="s">
        <v>17</v>
      </c>
      <c r="D87" s="141" t="s">
        <v>18</v>
      </c>
      <c r="E87" s="143"/>
      <c r="F87" s="200">
        <v>21000</v>
      </c>
      <c r="G87" s="412">
        <f t="shared" si="1"/>
        <v>1455654</v>
      </c>
      <c r="H87" s="142" t="s">
        <v>62</v>
      </c>
      <c r="I87" s="132"/>
      <c r="J87" s="142"/>
      <c r="K87" s="142"/>
      <c r="L87" s="142"/>
      <c r="M87" s="145" t="s">
        <v>302</v>
      </c>
      <c r="N87" s="142"/>
      <c r="O87" s="134"/>
      <c r="P87" s="134"/>
      <c r="Q87" s="197"/>
      <c r="R87" s="197"/>
      <c r="S87" s="197"/>
      <c r="T87" s="134"/>
      <c r="U87" s="134"/>
      <c r="V87" s="134"/>
      <c r="W87" s="134"/>
      <c r="X87" s="134"/>
      <c r="Y87" s="134"/>
      <c r="Z87" s="134"/>
      <c r="AA87" s="134"/>
    </row>
    <row r="88" spans="1:27" s="148" customFormat="1" ht="15" customHeight="1" x14ac:dyDescent="0.25">
      <c r="A88" s="281">
        <v>44314</v>
      </c>
      <c r="B88" s="142" t="s">
        <v>68</v>
      </c>
      <c r="C88" s="142" t="s">
        <v>120</v>
      </c>
      <c r="D88" s="142"/>
      <c r="E88" s="143"/>
      <c r="F88" s="200">
        <v>148000</v>
      </c>
      <c r="G88" s="143">
        <f t="shared" si="1"/>
        <v>1307654</v>
      </c>
      <c r="H88" s="142" t="s">
        <v>62</v>
      </c>
      <c r="I88" s="132"/>
      <c r="J88" s="142"/>
      <c r="K88" s="142"/>
      <c r="L88" s="142"/>
      <c r="M88" s="142"/>
      <c r="N88" s="142"/>
      <c r="O88" s="134"/>
      <c r="P88" s="134"/>
      <c r="Q88" s="197"/>
      <c r="R88" s="197"/>
      <c r="S88" s="197"/>
      <c r="T88" s="134"/>
      <c r="U88" s="134"/>
      <c r="V88" s="134"/>
      <c r="W88" s="134"/>
      <c r="X88" s="134"/>
      <c r="Y88" s="134"/>
      <c r="Z88" s="134"/>
      <c r="AA88" s="134"/>
    </row>
    <row r="89" spans="1:27" s="148" customFormat="1" ht="15" customHeight="1" x14ac:dyDescent="0.25">
      <c r="A89" s="281">
        <v>44314</v>
      </c>
      <c r="B89" s="141" t="s">
        <v>67</v>
      </c>
      <c r="C89" s="142" t="s">
        <v>120</v>
      </c>
      <c r="D89" s="141"/>
      <c r="E89" s="143"/>
      <c r="F89" s="200">
        <v>137000</v>
      </c>
      <c r="G89" s="143">
        <f t="shared" si="1"/>
        <v>1170654</v>
      </c>
      <c r="H89" s="142" t="s">
        <v>62</v>
      </c>
      <c r="I89" s="132"/>
      <c r="J89" s="142"/>
      <c r="K89" s="142"/>
      <c r="L89" s="142"/>
      <c r="M89" s="142"/>
      <c r="N89" s="142"/>
      <c r="O89" s="134"/>
      <c r="P89" s="134"/>
      <c r="Q89" s="197"/>
      <c r="R89" s="197"/>
      <c r="S89" s="197"/>
      <c r="T89" s="134"/>
      <c r="U89" s="134"/>
      <c r="V89" s="134"/>
      <c r="W89" s="134"/>
      <c r="X89" s="134"/>
      <c r="Y89" s="134"/>
      <c r="Z89" s="134"/>
      <c r="AA89" s="134"/>
    </row>
    <row r="90" spans="1:27" s="148" customFormat="1" ht="15" customHeight="1" x14ac:dyDescent="0.25">
      <c r="A90" s="281">
        <v>44314</v>
      </c>
      <c r="B90" s="142" t="s">
        <v>278</v>
      </c>
      <c r="C90" s="142" t="s">
        <v>63</v>
      </c>
      <c r="D90" s="142" t="s">
        <v>18</v>
      </c>
      <c r="E90" s="143"/>
      <c r="F90" s="200">
        <v>8550</v>
      </c>
      <c r="G90" s="412">
        <f t="shared" si="1"/>
        <v>1162104</v>
      </c>
      <c r="H90" s="142" t="s">
        <v>62</v>
      </c>
      <c r="I90" s="132"/>
      <c r="J90" s="142"/>
      <c r="K90" s="142"/>
      <c r="L90" s="142"/>
      <c r="M90" s="142" t="s">
        <v>302</v>
      </c>
      <c r="N90" s="142"/>
      <c r="O90" s="134"/>
      <c r="P90" s="134"/>
      <c r="Q90" s="197"/>
      <c r="R90" s="197"/>
      <c r="S90" s="197"/>
      <c r="T90" s="134"/>
      <c r="U90" s="134"/>
      <c r="V90" s="134"/>
      <c r="W90" s="134"/>
      <c r="X90" s="134"/>
      <c r="Y90" s="134"/>
      <c r="Z90" s="134"/>
      <c r="AA90" s="134"/>
    </row>
    <row r="91" spans="1:27" s="148" customFormat="1" ht="15" customHeight="1" x14ac:dyDescent="0.25">
      <c r="A91" s="281">
        <v>44314</v>
      </c>
      <c r="B91" s="141" t="s">
        <v>122</v>
      </c>
      <c r="C91" s="142" t="s">
        <v>120</v>
      </c>
      <c r="D91" s="141"/>
      <c r="E91" s="143"/>
      <c r="F91" s="200">
        <v>84000</v>
      </c>
      <c r="G91" s="143">
        <f t="shared" si="1"/>
        <v>1078104</v>
      </c>
      <c r="H91" s="142" t="s">
        <v>62</v>
      </c>
      <c r="I91" s="132"/>
      <c r="J91" s="142"/>
      <c r="K91" s="142"/>
      <c r="L91" s="142"/>
      <c r="M91" s="142"/>
      <c r="N91" s="142"/>
      <c r="O91" s="134"/>
      <c r="P91" s="134"/>
      <c r="Q91" s="197"/>
      <c r="R91" s="197"/>
      <c r="S91" s="197"/>
      <c r="T91" s="134"/>
      <c r="U91" s="134"/>
      <c r="V91" s="134"/>
      <c r="W91" s="134"/>
      <c r="X91" s="134"/>
      <c r="Y91" s="134"/>
      <c r="Z91" s="134"/>
      <c r="AA91" s="134"/>
    </row>
    <row r="92" spans="1:27" s="148" customFormat="1" ht="15" customHeight="1" x14ac:dyDescent="0.25">
      <c r="A92" s="281">
        <v>44314</v>
      </c>
      <c r="B92" s="141" t="s">
        <v>175</v>
      </c>
      <c r="C92" s="142" t="s">
        <v>120</v>
      </c>
      <c r="D92" s="142"/>
      <c r="E92" s="143"/>
      <c r="F92" s="200">
        <v>10000</v>
      </c>
      <c r="G92" s="143">
        <f t="shared" si="1"/>
        <v>1068104</v>
      </c>
      <c r="H92" s="142" t="s">
        <v>62</v>
      </c>
      <c r="I92" s="132"/>
      <c r="J92" s="142"/>
      <c r="K92" s="142"/>
      <c r="L92" s="142"/>
      <c r="M92" s="142"/>
      <c r="N92" s="142"/>
      <c r="O92" s="134"/>
      <c r="P92" s="134"/>
      <c r="Q92" s="197"/>
      <c r="R92" s="197"/>
      <c r="S92" s="197"/>
      <c r="T92" s="134"/>
      <c r="U92" s="134"/>
      <c r="V92" s="134"/>
      <c r="W92" s="134"/>
      <c r="X92" s="134"/>
      <c r="Y92" s="134"/>
      <c r="Z92" s="134"/>
      <c r="AA92" s="134"/>
    </row>
    <row r="93" spans="1:27" s="148" customFormat="1" ht="15" customHeight="1" x14ac:dyDescent="0.25">
      <c r="A93" s="281">
        <v>44314</v>
      </c>
      <c r="B93" s="142" t="s">
        <v>294</v>
      </c>
      <c r="C93" s="142" t="s">
        <v>435</v>
      </c>
      <c r="D93" s="142" t="s">
        <v>19</v>
      </c>
      <c r="E93" s="143"/>
      <c r="F93" s="200">
        <f>21000+5000+10000</f>
        <v>36000</v>
      </c>
      <c r="G93" s="412">
        <f t="shared" si="1"/>
        <v>1032104</v>
      </c>
      <c r="H93" s="142" t="s">
        <v>62</v>
      </c>
      <c r="I93" s="132"/>
      <c r="J93" s="142"/>
      <c r="K93" s="142"/>
      <c r="L93" s="142"/>
      <c r="M93" s="142" t="s">
        <v>303</v>
      </c>
      <c r="N93" s="142"/>
      <c r="O93" s="134"/>
      <c r="P93" s="134"/>
      <c r="Q93" s="197"/>
      <c r="R93" s="197"/>
      <c r="S93" s="197"/>
      <c r="T93" s="134"/>
      <c r="U93" s="134"/>
      <c r="V93" s="134"/>
      <c r="W93" s="134"/>
      <c r="X93" s="134"/>
      <c r="Y93" s="134"/>
      <c r="Z93" s="134"/>
      <c r="AA93" s="134"/>
    </row>
    <row r="94" spans="1:27" s="148" customFormat="1" ht="15" customHeight="1" x14ac:dyDescent="0.25">
      <c r="A94" s="281">
        <v>44315</v>
      </c>
      <c r="B94" s="142" t="s">
        <v>123</v>
      </c>
      <c r="C94" s="142" t="s">
        <v>120</v>
      </c>
      <c r="D94" s="142"/>
      <c r="E94" s="143">
        <v>25000</v>
      </c>
      <c r="F94" s="200"/>
      <c r="G94" s="143">
        <f t="shared" si="1"/>
        <v>1057104</v>
      </c>
      <c r="H94" s="142" t="s">
        <v>62</v>
      </c>
      <c r="I94" s="132"/>
      <c r="J94" s="142"/>
      <c r="K94" s="142"/>
      <c r="L94" s="142"/>
      <c r="M94" s="142"/>
      <c r="N94" s="142"/>
      <c r="O94" s="134"/>
      <c r="P94" s="134"/>
      <c r="Q94" s="197"/>
      <c r="R94" s="197"/>
      <c r="S94" s="197"/>
      <c r="T94" s="134"/>
      <c r="U94" s="134"/>
      <c r="V94" s="134"/>
      <c r="W94" s="134"/>
      <c r="X94" s="134"/>
      <c r="Y94" s="134"/>
      <c r="Z94" s="134"/>
      <c r="AA94" s="134"/>
    </row>
    <row r="95" spans="1:27" s="148" customFormat="1" ht="15" customHeight="1" x14ac:dyDescent="0.25">
      <c r="A95" s="281">
        <v>44314</v>
      </c>
      <c r="B95" s="142" t="s">
        <v>295</v>
      </c>
      <c r="C95" s="142" t="s">
        <v>435</v>
      </c>
      <c r="D95" s="142" t="s">
        <v>16</v>
      </c>
      <c r="E95" s="143"/>
      <c r="F95" s="200">
        <f>16000+5000+5000+5000</f>
        <v>31000</v>
      </c>
      <c r="G95" s="412">
        <f t="shared" si="1"/>
        <v>1026104</v>
      </c>
      <c r="H95" s="142" t="s">
        <v>62</v>
      </c>
      <c r="I95" s="132"/>
      <c r="J95" s="142"/>
      <c r="K95" s="142"/>
      <c r="L95" s="142"/>
      <c r="M95" s="142" t="s">
        <v>303</v>
      </c>
      <c r="N95" s="142"/>
      <c r="O95" s="134"/>
      <c r="P95" s="134"/>
      <c r="Q95" s="197"/>
      <c r="R95" s="197"/>
      <c r="S95" s="197"/>
      <c r="T95" s="134"/>
      <c r="U95" s="134"/>
      <c r="V95" s="134"/>
      <c r="W95" s="134"/>
      <c r="X95" s="134"/>
      <c r="Y95" s="134"/>
      <c r="Z95" s="134"/>
      <c r="AA95" s="134"/>
    </row>
    <row r="96" spans="1:27" s="148" customFormat="1" ht="15" customHeight="1" x14ac:dyDescent="0.25">
      <c r="A96" s="281">
        <v>44314</v>
      </c>
      <c r="B96" s="142" t="s">
        <v>296</v>
      </c>
      <c r="C96" s="142" t="s">
        <v>435</v>
      </c>
      <c r="D96" s="142" t="s">
        <v>31</v>
      </c>
      <c r="E96" s="143"/>
      <c r="F96" s="200">
        <f>15000+10000</f>
        <v>25000</v>
      </c>
      <c r="G96" s="412">
        <f t="shared" si="1"/>
        <v>1001104</v>
      </c>
      <c r="H96" s="142" t="s">
        <v>62</v>
      </c>
      <c r="I96" s="132"/>
      <c r="J96" s="142"/>
      <c r="K96" s="142"/>
      <c r="L96" s="142"/>
      <c r="M96" s="142" t="s">
        <v>303</v>
      </c>
      <c r="N96" s="142"/>
      <c r="O96" s="134"/>
      <c r="P96" s="134"/>
      <c r="Q96" s="197"/>
      <c r="R96" s="197"/>
      <c r="S96" s="197"/>
      <c r="T96" s="134"/>
      <c r="U96" s="134"/>
      <c r="V96" s="134"/>
      <c r="W96" s="134"/>
      <c r="X96" s="134"/>
      <c r="Y96" s="134"/>
      <c r="Z96" s="134"/>
      <c r="AA96" s="134"/>
    </row>
    <row r="97" spans="1:27" s="148" customFormat="1" ht="15" customHeight="1" x14ac:dyDescent="0.25">
      <c r="A97" s="281">
        <v>44314</v>
      </c>
      <c r="B97" s="142" t="s">
        <v>297</v>
      </c>
      <c r="C97" s="142" t="s">
        <v>435</v>
      </c>
      <c r="D97" s="142" t="s">
        <v>162</v>
      </c>
      <c r="E97" s="143"/>
      <c r="F97" s="200">
        <v>5000</v>
      </c>
      <c r="G97" s="412">
        <f t="shared" si="1"/>
        <v>996104</v>
      </c>
      <c r="H97" s="142" t="s">
        <v>62</v>
      </c>
      <c r="I97" s="132"/>
      <c r="J97" s="142"/>
      <c r="K97" s="142"/>
      <c r="L97" s="142"/>
      <c r="M97" s="142" t="s">
        <v>303</v>
      </c>
      <c r="N97" s="142"/>
      <c r="O97" s="134"/>
      <c r="P97" s="134"/>
      <c r="Q97" s="197"/>
      <c r="R97" s="197"/>
      <c r="S97" s="197"/>
      <c r="T97" s="134"/>
      <c r="U97" s="134"/>
      <c r="V97" s="134"/>
      <c r="W97" s="134"/>
      <c r="X97" s="134"/>
      <c r="Y97" s="134"/>
      <c r="Z97" s="134"/>
      <c r="AA97" s="134"/>
    </row>
    <row r="98" spans="1:27" s="148" customFormat="1" ht="15" customHeight="1" x14ac:dyDescent="0.25">
      <c r="A98" s="281">
        <v>44315</v>
      </c>
      <c r="B98" s="142" t="s">
        <v>298</v>
      </c>
      <c r="C98" s="142" t="s">
        <v>435</v>
      </c>
      <c r="D98" s="142" t="s">
        <v>19</v>
      </c>
      <c r="E98" s="143"/>
      <c r="F98" s="200">
        <f>21000+11000+11000</f>
        <v>43000</v>
      </c>
      <c r="G98" s="412">
        <f t="shared" si="1"/>
        <v>953104</v>
      </c>
      <c r="H98" s="142" t="s">
        <v>62</v>
      </c>
      <c r="I98" s="142" t="s">
        <v>303</v>
      </c>
      <c r="J98" s="142"/>
      <c r="K98" s="142"/>
      <c r="L98" s="142"/>
      <c r="M98" s="142" t="s">
        <v>303</v>
      </c>
      <c r="N98"/>
      <c r="O98" s="134"/>
      <c r="P98" s="134"/>
      <c r="Q98" s="197"/>
      <c r="R98" s="197"/>
      <c r="S98" s="197"/>
      <c r="T98" s="134"/>
      <c r="U98" s="134"/>
      <c r="V98" s="134"/>
      <c r="W98" s="134"/>
      <c r="X98" s="134"/>
      <c r="Y98" s="134"/>
      <c r="Z98" s="134"/>
      <c r="AA98" s="134"/>
    </row>
    <row r="99" spans="1:27" s="375" customFormat="1" ht="15" customHeight="1" x14ac:dyDescent="0.25">
      <c r="A99" s="281">
        <v>44315</v>
      </c>
      <c r="B99" s="142" t="s">
        <v>299</v>
      </c>
      <c r="C99" s="142" t="s">
        <v>435</v>
      </c>
      <c r="D99" s="142" t="s">
        <v>16</v>
      </c>
      <c r="E99" s="143"/>
      <c r="F99" s="200">
        <f>5000+16000+16000+16000</f>
        <v>53000</v>
      </c>
      <c r="G99" s="412">
        <f t="shared" si="1"/>
        <v>900104</v>
      </c>
      <c r="H99" s="142" t="s">
        <v>62</v>
      </c>
      <c r="I99" s="132"/>
      <c r="J99" s="142"/>
      <c r="K99" s="142"/>
      <c r="L99" s="142"/>
      <c r="M99" s="142" t="s">
        <v>303</v>
      </c>
      <c r="N99" s="372"/>
      <c r="O99" s="373"/>
      <c r="P99" s="373"/>
      <c r="Q99" s="374"/>
      <c r="R99" s="374"/>
      <c r="S99" s="374"/>
      <c r="T99" s="373"/>
      <c r="U99" s="373"/>
      <c r="V99" s="373"/>
      <c r="W99" s="373"/>
      <c r="X99" s="373"/>
      <c r="Y99" s="373"/>
      <c r="Z99" s="373"/>
      <c r="AA99" s="373"/>
    </row>
    <row r="100" spans="1:27" s="148" customFormat="1" ht="15" customHeight="1" x14ac:dyDescent="0.25">
      <c r="A100" s="281">
        <v>44315</v>
      </c>
      <c r="B100" s="142" t="s">
        <v>300</v>
      </c>
      <c r="C100" s="142" t="s">
        <v>435</v>
      </c>
      <c r="D100" s="142" t="s">
        <v>31</v>
      </c>
      <c r="E100" s="143"/>
      <c r="F100" s="200">
        <f>16000+16000</f>
        <v>32000</v>
      </c>
      <c r="G100" s="412">
        <f t="shared" si="1"/>
        <v>868104</v>
      </c>
      <c r="H100" s="142" t="s">
        <v>62</v>
      </c>
      <c r="I100" s="132"/>
      <c r="J100" s="142"/>
      <c r="K100" s="142"/>
      <c r="L100" s="142"/>
      <c r="M100" s="142" t="s">
        <v>303</v>
      </c>
      <c r="N100" s="142"/>
      <c r="O100" s="134"/>
      <c r="P100" s="134"/>
      <c r="Q100" s="197"/>
      <c r="R100" s="197"/>
      <c r="S100" s="197"/>
      <c r="T100" s="134"/>
      <c r="U100" s="134"/>
      <c r="V100" s="134"/>
      <c r="W100" s="134"/>
      <c r="X100" s="134"/>
      <c r="Y100" s="134"/>
      <c r="Z100" s="134"/>
      <c r="AA100" s="134"/>
    </row>
    <row r="101" spans="1:27" s="148" customFormat="1" ht="15" customHeight="1" x14ac:dyDescent="0.25">
      <c r="A101" s="281">
        <v>44315</v>
      </c>
      <c r="B101" s="142" t="s">
        <v>301</v>
      </c>
      <c r="C101" s="142" t="s">
        <v>435</v>
      </c>
      <c r="D101" s="142" t="s">
        <v>162</v>
      </c>
      <c r="E101" s="143"/>
      <c r="F101" s="200">
        <v>11000</v>
      </c>
      <c r="G101" s="412">
        <f t="shared" si="1"/>
        <v>857104</v>
      </c>
      <c r="H101" s="142" t="s">
        <v>62</v>
      </c>
      <c r="I101" s="132"/>
      <c r="J101" s="142"/>
      <c r="K101" s="142"/>
      <c r="L101" s="142"/>
      <c r="M101" s="142" t="s">
        <v>303</v>
      </c>
      <c r="N101" s="142"/>
      <c r="O101" s="134"/>
      <c r="P101" s="134"/>
      <c r="Q101" s="197"/>
      <c r="R101" s="197"/>
      <c r="S101" s="197"/>
      <c r="T101" s="134"/>
      <c r="U101" s="134"/>
      <c r="V101" s="134"/>
      <c r="W101" s="134"/>
      <c r="X101" s="134"/>
      <c r="Y101" s="134"/>
      <c r="Z101" s="134"/>
      <c r="AA101" s="134"/>
    </row>
    <row r="102" spans="1:27" s="148" customFormat="1" ht="15" customHeight="1" x14ac:dyDescent="0.25">
      <c r="A102" s="409">
        <v>44315</v>
      </c>
      <c r="B102" s="141" t="s">
        <v>574</v>
      </c>
      <c r="C102" s="142" t="s">
        <v>153</v>
      </c>
      <c r="D102" s="142" t="s">
        <v>18</v>
      </c>
      <c r="E102" s="143"/>
      <c r="F102" s="200">
        <v>89175</v>
      </c>
      <c r="G102" s="412">
        <f t="shared" si="1"/>
        <v>767929</v>
      </c>
      <c r="H102" s="142" t="s">
        <v>62</v>
      </c>
      <c r="I102" s="132"/>
      <c r="J102" s="142"/>
      <c r="K102" s="142"/>
      <c r="L102" s="142"/>
      <c r="M102" s="142" t="s">
        <v>303</v>
      </c>
      <c r="N102" s="142"/>
      <c r="O102" s="134"/>
      <c r="P102" s="134"/>
      <c r="Q102" s="197"/>
      <c r="R102" s="197"/>
      <c r="S102" s="197"/>
      <c r="T102" s="134"/>
      <c r="U102" s="134"/>
      <c r="V102" s="134"/>
      <c r="W102" s="134"/>
      <c r="X102" s="134"/>
      <c r="Y102" s="134"/>
      <c r="Z102" s="134"/>
      <c r="AA102" s="134"/>
    </row>
    <row r="103" spans="1:27" s="148" customFormat="1" ht="15" customHeight="1" x14ac:dyDescent="0.25">
      <c r="A103" s="409">
        <v>44316</v>
      </c>
      <c r="B103" s="142" t="s">
        <v>175</v>
      </c>
      <c r="C103" s="142" t="s">
        <v>120</v>
      </c>
      <c r="D103" s="142"/>
      <c r="E103" s="143"/>
      <c r="F103" s="200">
        <v>300000</v>
      </c>
      <c r="G103" s="143">
        <f t="shared" si="1"/>
        <v>467929</v>
      </c>
      <c r="H103" s="142" t="s">
        <v>62</v>
      </c>
      <c r="I103" s="132"/>
      <c r="J103" s="142"/>
      <c r="K103" s="142"/>
      <c r="L103" s="142"/>
      <c r="M103" s="142"/>
      <c r="N103" s="142"/>
      <c r="O103" s="134"/>
      <c r="P103" s="134"/>
      <c r="Q103" s="197"/>
      <c r="R103" s="197"/>
      <c r="S103" s="197"/>
      <c r="T103" s="134"/>
      <c r="U103" s="134"/>
      <c r="V103" s="134"/>
      <c r="W103" s="134"/>
      <c r="X103" s="134"/>
      <c r="Y103" s="134"/>
      <c r="Z103" s="134"/>
      <c r="AA103" s="134"/>
    </row>
    <row r="104" spans="1:27" x14ac:dyDescent="0.25">
      <c r="A104" s="149"/>
      <c r="B104" s="98"/>
      <c r="C104" s="98"/>
      <c r="D104" s="150"/>
      <c r="E104" s="99">
        <f>SUM(E12:E103)</f>
        <v>5058959</v>
      </c>
      <c r="F104" s="99">
        <f>SUM(F12:F103)</f>
        <v>4591030</v>
      </c>
      <c r="G104" s="392">
        <f>E104-F104</f>
        <v>467929</v>
      </c>
      <c r="H104" s="150" t="s">
        <v>62</v>
      </c>
      <c r="I104" s="98"/>
      <c r="J104" s="98"/>
      <c r="K104" s="98"/>
      <c r="L104" s="98"/>
      <c r="M104" s="98"/>
      <c r="N104" s="98"/>
    </row>
    <row r="105" spans="1:27" x14ac:dyDescent="0.25">
      <c r="B105" s="101"/>
      <c r="C105" t="s">
        <v>143</v>
      </c>
      <c r="D105" s="26"/>
      <c r="J105" s="102"/>
    </row>
    <row r="106" spans="1:27" x14ac:dyDescent="0.25">
      <c r="D106" s="26"/>
      <c r="J106" s="103"/>
    </row>
    <row r="107" spans="1:27" x14ac:dyDescent="0.25">
      <c r="E107" s="26"/>
      <c r="J107" s="103"/>
    </row>
    <row r="108" spans="1:27" x14ac:dyDescent="0.25">
      <c r="D108" s="26"/>
      <c r="I108" s="29"/>
      <c r="J108" s="103"/>
      <c r="P108" s="144"/>
    </row>
    <row r="109" spans="1:27" x14ac:dyDescent="0.25">
      <c r="D109" s="26"/>
      <c r="J109" s="103"/>
    </row>
    <row r="110" spans="1:27" x14ac:dyDescent="0.25">
      <c r="D110" s="26"/>
      <c r="J110" s="102"/>
    </row>
    <row r="111" spans="1:27" x14ac:dyDescent="0.25">
      <c r="E111"/>
      <c r="H111" s="45"/>
    </row>
    <row r="113" spans="8:8" x14ac:dyDescent="0.25">
      <c r="H113" s="104"/>
    </row>
  </sheetData>
  <autoFilter ref="A11:M105" xr:uid="{00000000-0009-0000-0000-000008000000}"/>
  <mergeCells count="3">
    <mergeCell ref="A1:N1"/>
    <mergeCell ref="A4:N4"/>
    <mergeCell ref="P45:R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Récapitulatif</vt:lpstr>
      <vt:lpstr>Donateurs</vt:lpstr>
      <vt:lpstr>Sheet4</vt:lpstr>
      <vt:lpstr>DATA  AVRIL </vt:lpstr>
      <vt:lpstr>Compte Principal 34 BCI</vt:lpstr>
      <vt:lpstr>Rapprochement Bancaire Cpte 34</vt:lpstr>
      <vt:lpstr>Sous-Compte 56 BCI</vt:lpstr>
      <vt:lpstr>Rapprochement Bancaire Cpte 56</vt:lpstr>
      <vt:lpstr>CAISSE Avril 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tiffa</cp:lastModifiedBy>
  <cp:lastPrinted>2021-05-11T08:09:08Z</cp:lastPrinted>
  <dcterms:created xsi:type="dcterms:W3CDTF">2020-09-02T13:35:58Z</dcterms:created>
  <dcterms:modified xsi:type="dcterms:W3CDTF">2021-05-31T09:45:10Z</dcterms:modified>
</cp:coreProperties>
</file>