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 tabRatio="553"/>
  </bookViews>
  <sheets>
    <sheet name="Récapitulatif" sheetId="16" r:id="rId1"/>
    <sheet name="Feuil1" sheetId="103" r:id="rId2"/>
    <sheet name="Donateurs " sheetId="106" r:id="rId3"/>
    <sheet name="DATA  JUILLET 2021" sheetId="9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3" hidden="1">'DATA  JUILLET 2021'!$A$11:$GQ$308</definedName>
    <definedName name="Départements">[1]Feuil6!$G$6:$G$14</definedName>
    <definedName name="Dépenses">[1]Feuil6!$A$6:$A$25</definedName>
  </definedNames>
  <calcPr calcId="124519"/>
  <pivotCaches>
    <pivotCache cacheId="0" r:id="rId17"/>
    <pivotCache cacheId="1" r:id="rId1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6"/>
  <c r="K40"/>
  <c r="K38"/>
  <c r="K36"/>
  <c r="K35"/>
  <c r="K34"/>
  <c r="K33"/>
  <c r="K32"/>
  <c r="K31"/>
  <c r="K30"/>
  <c r="K29"/>
  <c r="K28"/>
  <c r="K27"/>
  <c r="C38" l="1"/>
  <c r="C41" l="1"/>
  <c r="J41" s="1"/>
  <c r="C40"/>
  <c r="J40" s="1"/>
  <c r="J38"/>
  <c r="C28"/>
  <c r="J28" s="1"/>
  <c r="C29"/>
  <c r="C30"/>
  <c r="C31"/>
  <c r="C32"/>
  <c r="J32" s="1"/>
  <c r="C33"/>
  <c r="C34"/>
  <c r="C35"/>
  <c r="C36"/>
  <c r="J36" s="1"/>
  <c r="C27"/>
  <c r="J27" s="1"/>
  <c r="I42"/>
  <c r="J35"/>
  <c r="J34"/>
  <c r="J33"/>
  <c r="J31"/>
  <c r="J30"/>
  <c r="J29"/>
  <c r="C42" l="1"/>
  <c r="J42"/>
  <c r="G43" s="1"/>
  <c r="D13"/>
  <c r="E13"/>
  <c r="E14"/>
  <c r="E7"/>
  <c r="D3"/>
  <c r="G4" l="1"/>
  <c r="AX16" i="103" l="1"/>
  <c r="AX13"/>
  <c r="AX11"/>
  <c r="AX10"/>
  <c r="AX9"/>
  <c r="AX12"/>
  <c r="AX14"/>
  <c r="F5" i="16" l="1"/>
  <c r="F3"/>
  <c r="E3"/>
  <c r="D6"/>
  <c r="D5"/>
  <c r="G15"/>
  <c r="F15"/>
  <c r="E15"/>
  <c r="D15"/>
  <c r="A15"/>
  <c r="G14"/>
  <c r="F14"/>
  <c r="D14"/>
  <c r="A14"/>
  <c r="G13"/>
  <c r="F13"/>
  <c r="A13"/>
  <c r="G12"/>
  <c r="F12"/>
  <c r="E12"/>
  <c r="D12"/>
  <c r="A12"/>
  <c r="G11"/>
  <c r="F11"/>
  <c r="E11"/>
  <c r="D11"/>
  <c r="A11"/>
  <c r="G10"/>
  <c r="F10"/>
  <c r="E10"/>
  <c r="D10"/>
  <c r="A10"/>
  <c r="G9"/>
  <c r="F9"/>
  <c r="E9"/>
  <c r="D9"/>
  <c r="A9"/>
  <c r="G8"/>
  <c r="F8"/>
  <c r="E8"/>
  <c r="D8"/>
  <c r="A8"/>
  <c r="G7"/>
  <c r="F7"/>
  <c r="D7"/>
  <c r="A7"/>
  <c r="G6"/>
  <c r="F6"/>
  <c r="E6"/>
  <c r="A6"/>
  <c r="G5"/>
  <c r="E5"/>
  <c r="A5"/>
  <c r="F4"/>
  <c r="E4"/>
  <c r="D4"/>
  <c r="A4"/>
  <c r="A3"/>
  <c r="I12" l="1"/>
  <c r="I8"/>
  <c r="I13"/>
  <c r="F16"/>
  <c r="I3"/>
  <c r="E16"/>
  <c r="C19" s="1"/>
  <c r="I5"/>
  <c r="I14"/>
  <c r="D16"/>
  <c r="I7"/>
  <c r="I6"/>
  <c r="I11"/>
  <c r="J12"/>
  <c r="I4"/>
  <c r="J4" s="1"/>
  <c r="G16"/>
  <c r="B19" s="1"/>
  <c r="I10"/>
  <c r="J8"/>
  <c r="I15"/>
  <c r="H16"/>
  <c r="I9"/>
  <c r="C16"/>
  <c r="AY8" i="103"/>
  <c r="AY9"/>
  <c r="AY10"/>
  <c r="AY11"/>
  <c r="AY12"/>
  <c r="AY13"/>
  <c r="AY14"/>
  <c r="AY15"/>
  <c r="AY7"/>
  <c r="AY6"/>
  <c r="AW15"/>
  <c r="AX15" s="1"/>
  <c r="AW7"/>
  <c r="AX7" s="1"/>
  <c r="AW8"/>
  <c r="AX8" s="1"/>
  <c r="AV6"/>
  <c r="AV7"/>
  <c r="AV10"/>
  <c r="AV16"/>
  <c r="AV9"/>
  <c r="AV14"/>
  <c r="AV11"/>
  <c r="AV13"/>
  <c r="AV8"/>
  <c r="AW6"/>
  <c r="AV12"/>
  <c r="AV15"/>
  <c r="AX6"/>
  <c r="J15" i="16" l="1"/>
  <c r="J7"/>
  <c r="J6"/>
  <c r="J5"/>
  <c r="J13"/>
  <c r="J9"/>
  <c r="J10"/>
  <c r="J11"/>
  <c r="J14"/>
  <c r="A19"/>
  <c r="D19" s="1"/>
  <c r="I16"/>
  <c r="J3"/>
  <c r="AW17" i="103"/>
  <c r="G18" i="16"/>
  <c r="AX17" i="103"/>
  <c r="AY17"/>
  <c r="AV17"/>
  <c r="E12" i="95"/>
  <c r="AX19" i="103"/>
  <c r="J16" i="16" l="1"/>
  <c r="K42"/>
  <c r="AV20" i="103"/>
  <c r="I17" i="16"/>
  <c r="E19"/>
  <c r="F46" i="95"/>
  <c r="F205" l="1"/>
  <c r="F151"/>
  <c r="F97"/>
  <c r="F96"/>
  <c r="F56"/>
  <c r="F54" i="16" l="1"/>
  <c r="H53"/>
  <c r="F52"/>
  <c r="C62" l="1"/>
  <c r="J62" s="1"/>
  <c r="C61"/>
  <c r="J61" s="1"/>
  <c r="C60"/>
  <c r="J60" s="1"/>
  <c r="C59"/>
  <c r="J59" s="1"/>
  <c r="C58"/>
  <c r="J58" s="1"/>
  <c r="C57"/>
  <c r="J57" s="1"/>
  <c r="C56"/>
  <c r="J56" s="1"/>
  <c r="C55"/>
  <c r="J55" s="1"/>
  <c r="C54"/>
  <c r="J54" s="1"/>
  <c r="C53"/>
  <c r="J53" s="1"/>
  <c r="C52"/>
  <c r="J52" s="1"/>
  <c r="C51"/>
  <c r="J51" s="1"/>
  <c r="C64"/>
  <c r="J64" s="1"/>
  <c r="C67"/>
  <c r="J67" s="1"/>
  <c r="I68"/>
  <c r="C94"/>
  <c r="C66" l="1"/>
  <c r="J66" s="1"/>
  <c r="J68" s="1"/>
  <c r="C68" l="1"/>
  <c r="G12" i="95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I94" i="16" l="1"/>
  <c r="J93" l="1"/>
  <c r="J92"/>
  <c r="J90"/>
  <c r="J88"/>
  <c r="J87"/>
  <c r="J86"/>
  <c r="J85"/>
  <c r="J84"/>
  <c r="J83"/>
  <c r="J82"/>
  <c r="J81"/>
  <c r="J80"/>
  <c r="J79"/>
  <c r="J78"/>
  <c r="J77"/>
  <c r="J76"/>
  <c r="J94" l="1"/>
  <c r="C5" i="95" l="1"/>
  <c r="C6" l="1"/>
  <c r="C7" s="1"/>
  <c r="D7" l="1"/>
  <c r="E6"/>
  <c r="J113" i="16"/>
  <c r="J112"/>
  <c r="J111"/>
  <c r="J110"/>
  <c r="J109"/>
  <c r="J108"/>
  <c r="J107"/>
  <c r="J105"/>
  <c r="J102"/>
  <c r="J116"/>
  <c r="J119"/>
  <c r="J118"/>
  <c r="I120"/>
  <c r="J106"/>
  <c r="C120" l="1"/>
  <c r="J104"/>
  <c r="J103"/>
  <c r="J114"/>
  <c r="J120" l="1"/>
  <c r="F140" l="1"/>
  <c r="H140"/>
  <c r="F131"/>
  <c r="H130"/>
  <c r="F129"/>
  <c r="I146"/>
  <c r="J140" l="1"/>
  <c r="J139"/>
  <c r="J138"/>
  <c r="J137"/>
  <c r="J136"/>
  <c r="J135"/>
  <c r="J134"/>
  <c r="J133"/>
  <c r="J132"/>
  <c r="J131"/>
  <c r="J130"/>
  <c r="J129"/>
  <c r="J142"/>
  <c r="J145"/>
  <c r="J144"/>
  <c r="J128" l="1"/>
  <c r="J146" s="1"/>
  <c r="C146"/>
  <c r="I175" l="1"/>
  <c r="J169"/>
  <c r="J155" l="1"/>
  <c r="J168" l="1"/>
  <c r="J167"/>
  <c r="J166"/>
  <c r="J165"/>
  <c r="J164"/>
  <c r="J163"/>
  <c r="J162"/>
  <c r="J161"/>
  <c r="J160"/>
  <c r="J159"/>
  <c r="J158"/>
  <c r="J157"/>
  <c r="C171"/>
  <c r="J171" s="1"/>
  <c r="C174"/>
  <c r="J174" s="1"/>
  <c r="C173"/>
  <c r="J173" s="1"/>
  <c r="C202"/>
  <c r="J156" l="1"/>
  <c r="J175" s="1"/>
  <c r="C175"/>
  <c r="J215" l="1"/>
  <c r="J196" l="1"/>
  <c r="J195"/>
  <c r="J194"/>
  <c r="J193"/>
  <c r="J192"/>
  <c r="J191"/>
  <c r="J190"/>
  <c r="J189"/>
  <c r="J188"/>
  <c r="J187"/>
  <c r="J186"/>
  <c r="J185"/>
  <c r="J184"/>
  <c r="J198"/>
  <c r="J201"/>
  <c r="J200"/>
  <c r="I202"/>
  <c r="J183" l="1"/>
  <c r="J202" s="1"/>
  <c r="I230" l="1"/>
  <c r="J223" l="1"/>
  <c r="J220" l="1"/>
  <c r="J216"/>
  <c r="J212"/>
  <c r="J226"/>
  <c r="J228"/>
  <c r="J229"/>
  <c r="J222"/>
  <c r="J221"/>
  <c r="J219"/>
  <c r="J218"/>
  <c r="J217"/>
  <c r="J214"/>
  <c r="J213"/>
  <c r="J211"/>
  <c r="J224" l="1"/>
  <c r="J230" s="1"/>
  <c r="K230" s="1"/>
  <c r="C147" l="1"/>
  <c r="C121"/>
  <c r="J247"/>
  <c r="J248" l="1"/>
  <c r="J246"/>
  <c r="J245"/>
  <c r="J244"/>
  <c r="J243"/>
  <c r="J242"/>
  <c r="J241"/>
  <c r="J240"/>
  <c r="J239"/>
  <c r="J238"/>
  <c r="J252"/>
  <c r="J255"/>
  <c r="J254"/>
  <c r="J250" l="1"/>
  <c r="J249"/>
  <c r="J256" l="1"/>
  <c r="J274" l="1"/>
  <c r="F264" l="1"/>
  <c r="J298"/>
  <c r="J301"/>
  <c r="J282"/>
  <c r="J281"/>
  <c r="J280"/>
  <c r="C273" l="1"/>
  <c r="J273" s="1"/>
  <c r="C272"/>
  <c r="J272" s="1"/>
  <c r="C271"/>
  <c r="J271" s="1"/>
  <c r="C270"/>
  <c r="J270" s="1"/>
  <c r="C269"/>
  <c r="J269" s="1"/>
  <c r="J268"/>
  <c r="C267"/>
  <c r="J267" s="1"/>
  <c r="C266"/>
  <c r="J266" s="1"/>
  <c r="C265"/>
  <c r="J265" s="1"/>
  <c r="C264"/>
  <c r="J264" s="1"/>
  <c r="C276"/>
  <c r="J276" s="1"/>
  <c r="C279"/>
  <c r="J279" s="1"/>
  <c r="C278" l="1"/>
  <c r="J278" s="1"/>
  <c r="J283" s="1"/>
  <c r="J309" l="1"/>
  <c r="J308"/>
  <c r="J307"/>
  <c r="J360"/>
  <c r="J333"/>
  <c r="J332"/>
  <c r="J330"/>
  <c r="E328"/>
  <c r="J328" s="1"/>
  <c r="E327"/>
  <c r="J327" s="1"/>
  <c r="E325"/>
  <c r="J325" s="1"/>
  <c r="H324"/>
  <c r="E324"/>
  <c r="F323"/>
  <c r="E323"/>
  <c r="E322"/>
  <c r="J322" s="1"/>
  <c r="I321"/>
  <c r="H321"/>
  <c r="E321"/>
  <c r="I320"/>
  <c r="E320"/>
  <c r="H319"/>
  <c r="E319"/>
  <c r="I318"/>
  <c r="J310"/>
  <c r="J294"/>
  <c r="J306"/>
  <c r="B294" l="1"/>
  <c r="B298"/>
  <c r="B299"/>
  <c r="B292"/>
  <c r="B295"/>
  <c r="B296"/>
  <c r="B293"/>
  <c r="B297"/>
  <c r="J293"/>
  <c r="I335"/>
  <c r="J320"/>
  <c r="J303"/>
  <c r="J319"/>
  <c r="J291"/>
  <c r="J297"/>
  <c r="J292"/>
  <c r="J305"/>
  <c r="J300"/>
  <c r="J323"/>
  <c r="J321"/>
  <c r="J324"/>
  <c r="J318"/>
  <c r="J296" l="1"/>
  <c r="J295"/>
  <c r="J299"/>
  <c r="C326"/>
  <c r="J311" l="1"/>
  <c r="C335"/>
  <c r="J326"/>
  <c r="J335" s="1"/>
  <c r="K64" l="1"/>
  <c r="K51"/>
  <c r="K67"/>
  <c r="K57"/>
  <c r="K62"/>
  <c r="K61"/>
  <c r="K133" l="1"/>
  <c r="K55"/>
  <c r="K84"/>
  <c r="K58"/>
  <c r="K53"/>
  <c r="K85"/>
  <c r="K59"/>
  <c r="K54"/>
  <c r="K52"/>
  <c r="K82"/>
  <c r="K56"/>
  <c r="K86"/>
  <c r="K81"/>
  <c r="K134"/>
  <c r="K130"/>
  <c r="K145"/>
  <c r="K93"/>
  <c r="K80"/>
  <c r="K132"/>
  <c r="K87"/>
  <c r="K139"/>
  <c r="K88"/>
  <c r="K140"/>
  <c r="K135"/>
  <c r="K83"/>
  <c r="K142"/>
  <c r="K90"/>
  <c r="K66"/>
  <c r="K129"/>
  <c r="K137"/>
  <c r="K128"/>
  <c r="K136"/>
  <c r="K79"/>
  <c r="K77"/>
  <c r="K78"/>
  <c r="K131"/>
  <c r="K76"/>
  <c r="K138" l="1"/>
  <c r="K60"/>
  <c r="K144"/>
  <c r="K92"/>
  <c r="K68" l="1"/>
  <c r="K146"/>
  <c r="K283"/>
  <c r="K94"/>
  <c r="G27" i="95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l="1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</calcChain>
</file>

<file path=xl/sharedStrings.xml><?xml version="1.0" encoding="utf-8"?>
<sst xmlns="http://schemas.openxmlformats.org/spreadsheetml/2006/main" count="2943" uniqueCount="519">
  <si>
    <t>Date</t>
  </si>
  <si>
    <t>Département</t>
  </si>
  <si>
    <t>Personnel</t>
  </si>
  <si>
    <t>Légal</t>
  </si>
  <si>
    <t>Rent &amp; Utilities</t>
  </si>
  <si>
    <t>office</t>
  </si>
  <si>
    <t>Management</t>
  </si>
  <si>
    <t>Telephone</t>
  </si>
  <si>
    <t>Office</t>
  </si>
  <si>
    <t>Bonus</t>
  </si>
  <si>
    <t>Services</t>
  </si>
  <si>
    <t>Investigation</t>
  </si>
  <si>
    <t>Perrine ODIER</t>
  </si>
  <si>
    <t>Rubriques</t>
  </si>
  <si>
    <t xml:space="preserve">Montant en FCFA </t>
  </si>
  <si>
    <t>Total montant reçu</t>
  </si>
  <si>
    <t>Total montant dépensé</t>
  </si>
  <si>
    <t>Solde</t>
  </si>
  <si>
    <t>Details</t>
  </si>
  <si>
    <t>Type de dépenses</t>
  </si>
  <si>
    <t>Departement</t>
  </si>
  <si>
    <t>Received</t>
  </si>
  <si>
    <t>Spent</t>
  </si>
  <si>
    <t>Balance</t>
  </si>
  <si>
    <t>Name</t>
  </si>
  <si>
    <t>Receipt</t>
  </si>
  <si>
    <t>Donor</t>
  </si>
  <si>
    <t>Project</t>
  </si>
  <si>
    <t>Country</t>
  </si>
  <si>
    <t>Contrôle</t>
  </si>
  <si>
    <t>Code budgetaire</t>
  </si>
  <si>
    <t>BCI</t>
  </si>
  <si>
    <t>BCI Sous-Compte</t>
  </si>
  <si>
    <t>Media</t>
  </si>
  <si>
    <t>Caisse</t>
  </si>
  <si>
    <t>Herick</t>
  </si>
  <si>
    <t>Jospin</t>
  </si>
  <si>
    <t>Dalia</t>
  </si>
  <si>
    <t>P29</t>
  </si>
  <si>
    <t>I23C</t>
  </si>
  <si>
    <t>Evariste</t>
  </si>
  <si>
    <t>Ted</t>
  </si>
  <si>
    <t>Shely</t>
  </si>
  <si>
    <t>Transport</t>
  </si>
  <si>
    <t>Office Materials</t>
  </si>
  <si>
    <t>Oui</t>
  </si>
  <si>
    <t>Jack-Bénisson</t>
  </si>
  <si>
    <t>Noms &amp; Prénoms</t>
  </si>
  <si>
    <t>Total reçu</t>
  </si>
  <si>
    <t>Total Dépenses</t>
  </si>
  <si>
    <t>Total versement</t>
  </si>
  <si>
    <t>Fonds Exterieur pour le projet</t>
  </si>
  <si>
    <t>Balance calculée</t>
  </si>
  <si>
    <t>Versement reçu</t>
  </si>
  <si>
    <t>Versements faits</t>
  </si>
  <si>
    <t>Dépenses</t>
  </si>
  <si>
    <t>Donations</t>
  </si>
  <si>
    <t>Banque</t>
  </si>
  <si>
    <t xml:space="preserve">BCI </t>
  </si>
  <si>
    <t>BCI  sous-compte</t>
  </si>
  <si>
    <t>Crépin</t>
  </si>
  <si>
    <t>i23c</t>
  </si>
  <si>
    <t>Perrine Odier</t>
  </si>
  <si>
    <t>TOTAL</t>
  </si>
  <si>
    <t>DIFFERENCE</t>
  </si>
  <si>
    <r>
      <t xml:space="preserve">Monnaie de tenue de compte: </t>
    </r>
    <r>
      <rPr>
        <b/>
        <sz val="10"/>
        <color theme="5"/>
        <rFont val="Arial Narrow"/>
        <family val="2"/>
      </rPr>
      <t>XAF</t>
    </r>
  </si>
  <si>
    <t>Mois</t>
  </si>
  <si>
    <t>Noms &amp; prénoms</t>
  </si>
  <si>
    <t>MONTANT RECU DE</t>
  </si>
  <si>
    <t>Transféré</t>
  </si>
  <si>
    <t>Dépensé</t>
  </si>
  <si>
    <t xml:space="preserve">Remboursement </t>
  </si>
  <si>
    <t>Caisses</t>
  </si>
  <si>
    <t>CAISSE</t>
  </si>
  <si>
    <t>CAISSE PALF</t>
  </si>
  <si>
    <t>BANQUES</t>
  </si>
  <si>
    <t>BCI-Compte principal</t>
  </si>
  <si>
    <t>BCI-sous compte</t>
  </si>
  <si>
    <t>BALANCE CAISSES ET BANQUE AU 31 AOÜT 2020</t>
  </si>
  <si>
    <t>AOÜT</t>
  </si>
  <si>
    <t>Balance au          01 AOÜT 2020</t>
  </si>
  <si>
    <t>Balance au 31 AOÜT  2020</t>
  </si>
  <si>
    <t>Hérick</t>
  </si>
  <si>
    <t>Monnaie de tenue de compte: XAF</t>
  </si>
  <si>
    <t>BALANCE CAISSES ET BANQUE AU 31 JUILLET 2020</t>
  </si>
  <si>
    <t>JUILLET</t>
  </si>
  <si>
    <t>Balance au 01
 JUILLET 2020</t>
  </si>
  <si>
    <t>Balance au 31
 JUILLET 2020</t>
  </si>
  <si>
    <t>Versement</t>
  </si>
  <si>
    <t>Legal</t>
  </si>
  <si>
    <t>Christian</t>
  </si>
  <si>
    <t>Geisner</t>
  </si>
  <si>
    <t>BALANCE CAISSES ET BANQUE AU 30 Septembre  2020</t>
  </si>
  <si>
    <t>SEPTEMBRE</t>
  </si>
  <si>
    <t>Balance au          01 Septembre 2020</t>
  </si>
  <si>
    <t>N°Pièce</t>
  </si>
  <si>
    <t>Naftalie</t>
  </si>
  <si>
    <t>I73X</t>
  </si>
  <si>
    <t>I55S</t>
  </si>
  <si>
    <t>Ecart à régulariser</t>
  </si>
  <si>
    <t>Balance au 30 Septembre 2020</t>
  </si>
  <si>
    <t>Virement</t>
  </si>
  <si>
    <t>BALANCE CAISSES ET BANQUE AU 31 Octobre 2020</t>
  </si>
  <si>
    <t>Balance au          01 Octobre 2020</t>
  </si>
  <si>
    <t>Balance au 31 Octobre 2020</t>
  </si>
  <si>
    <t>OCTOBRE</t>
  </si>
  <si>
    <t>Jack/Crépin</t>
  </si>
  <si>
    <t>Naftali</t>
  </si>
  <si>
    <t>Merveille</t>
  </si>
  <si>
    <t>Perrine</t>
  </si>
  <si>
    <t>BALANCE CAISSES ET BANQUE AU 30 Novembre 2020</t>
  </si>
  <si>
    <t>Balance au          01 Novembre 2020</t>
  </si>
  <si>
    <t>Balance au 30 Novembre 2020</t>
  </si>
  <si>
    <t>NOVEMBRE</t>
  </si>
  <si>
    <t>Hérick/Christian</t>
  </si>
  <si>
    <t xml:space="preserve">Ecart </t>
  </si>
  <si>
    <t>T44</t>
  </si>
  <si>
    <t>Travel subsistence</t>
  </si>
  <si>
    <t>UE</t>
  </si>
  <si>
    <t>DECEMBRE</t>
  </si>
  <si>
    <t>Balance au          01 Décembre 2020</t>
  </si>
  <si>
    <t>Balance au 31 Décembre 2020</t>
  </si>
  <si>
    <t>BALANCE CAISSES ET BANQUE AU 31 Décembre 2020</t>
  </si>
  <si>
    <t>Hérick/Geisner</t>
  </si>
  <si>
    <t>JANVIER</t>
  </si>
  <si>
    <t>BALANCE CAISSES ET BANQUE AU 31 JANVIER 2021</t>
  </si>
  <si>
    <t>Balance au          01 Janvier 2021</t>
  </si>
  <si>
    <t>Balance au 31 Janvier 2021</t>
  </si>
  <si>
    <t>Hérick/Crépin</t>
  </si>
  <si>
    <t>Tiffany</t>
  </si>
  <si>
    <t>BALANCE CAISSES ET BANQUE AU 28 FEVRIER  2021</t>
  </si>
  <si>
    <t>FEVRIER</t>
  </si>
  <si>
    <t>Balance au          01 Février  2021</t>
  </si>
  <si>
    <t>Balance au 28 Février 2021</t>
  </si>
  <si>
    <t>Hérick/Geis</t>
  </si>
  <si>
    <t>AVAAZ 2020</t>
  </si>
  <si>
    <t>PALF</t>
  </si>
  <si>
    <t>RALFF</t>
  </si>
  <si>
    <t>5.6</t>
  </si>
  <si>
    <t>CONGO</t>
  </si>
  <si>
    <t>5.2.2</t>
  </si>
  <si>
    <t>4.6</t>
  </si>
  <si>
    <t>2.2</t>
  </si>
  <si>
    <t>BALANCE CAISSES ET BANQUE AU 31 Mars  2021</t>
  </si>
  <si>
    <t>MARS</t>
  </si>
  <si>
    <t>Balance au          01 Mars  2021</t>
  </si>
  <si>
    <t>Balance au 31 Mars 2021</t>
  </si>
  <si>
    <t>Activiste</t>
  </si>
  <si>
    <t>JB</t>
  </si>
  <si>
    <t>BALANCE CAISSES ET BANQUE AU 30 AVRIL  2021</t>
  </si>
  <si>
    <t>Balance au          01 Avril  2021</t>
  </si>
  <si>
    <t>Balance au 30 Avril 2021</t>
  </si>
  <si>
    <t>AVRIL</t>
  </si>
  <si>
    <t>Étiquettes de lignes</t>
  </si>
  <si>
    <t>Total général</t>
  </si>
  <si>
    <t>Étiquettes de colonnes</t>
  </si>
  <si>
    <t>Investigations</t>
  </si>
  <si>
    <t>BALANCE CAISSES ET BANQUE AU 30  Mai  2021</t>
  </si>
  <si>
    <t>Balance au          01 Mai  2021</t>
  </si>
  <si>
    <t>Balance au 30 Mai 2021</t>
  </si>
  <si>
    <t>MAI</t>
  </si>
  <si>
    <t>Somme de Spent</t>
  </si>
  <si>
    <t>Total Somme de Received</t>
  </si>
  <si>
    <t>Somme de Received</t>
  </si>
  <si>
    <t>Total Somme de Spent</t>
  </si>
  <si>
    <t>Relevé</t>
  </si>
  <si>
    <t>Internet</t>
  </si>
  <si>
    <t>Bonus média</t>
  </si>
  <si>
    <t>Frais de transfert charden farell/JB</t>
  </si>
  <si>
    <t>MOD/reparation imprimante bureau</t>
  </si>
  <si>
    <t>Frais transfert Charden Farell/JB</t>
  </si>
  <si>
    <t>Reçu caisse/Tiffany</t>
  </si>
  <si>
    <t>TOTAL RECU EN Juin</t>
  </si>
  <si>
    <t>BALANCE CAISSES ET BANQUE AU 30  Juin  2021</t>
  </si>
  <si>
    <t>Balance au 30 Juin  2021</t>
  </si>
  <si>
    <t>Balance au          01 Juin  2021</t>
  </si>
  <si>
    <t>JUIN</t>
  </si>
  <si>
    <t>Office materials</t>
  </si>
  <si>
    <t>RAPPORT FINANCIER JUILLET 2021</t>
  </si>
  <si>
    <t>Solde au 01/07/2021</t>
  </si>
  <si>
    <t>BCI/3643489-56</t>
  </si>
  <si>
    <t>Frais de transfert Charden Farell /Crépin JB</t>
  </si>
  <si>
    <t>Reglement factures Zanne LABUSCHAGNE/Production newsletter</t>
  </si>
  <si>
    <t>Frais de transfert western Union/zanne</t>
  </si>
  <si>
    <t>Reglement Facture Internet/mois de Juillet 2021/congo telecom</t>
  </si>
  <si>
    <t>Achat eau bureau</t>
  </si>
  <si>
    <t>Reglement facture E²C/Mai-Juin 2021/bureau PALF</t>
  </si>
  <si>
    <t>Frais de mission à Dolisie maitre MOUYETI du 06 au 08/07/2021</t>
  </si>
  <si>
    <t>Bonus mois de Juin 2021/Evariste</t>
  </si>
  <si>
    <t>Bonus operation/Evariste</t>
  </si>
  <si>
    <t xml:space="preserve">Frais de transfert Charden Farell /Crépin </t>
  </si>
  <si>
    <t>BCI/3654451-34</t>
  </si>
  <si>
    <t>Telechargement des pilotes imprimante Ricoh sp 311</t>
  </si>
  <si>
    <t>Paiement attestation d'hebergement pour Luc</t>
  </si>
  <si>
    <t>Achat lait sucre café,javel,sac poubelle,papier toilette et produit nettoyant</t>
  </si>
  <si>
    <t>Frais de transfert charden farell/crepin</t>
  </si>
  <si>
    <t>Achat Jus + Gâteau coktail au bureau</t>
  </si>
  <si>
    <t>Achat eponge,balai,nescafé,brosse toilette et savon liquide/bureau</t>
  </si>
  <si>
    <t>Frais de mission à Pointe-Noire/Maitre Séverin du 12 au 14/07/2021</t>
  </si>
  <si>
    <t>Recharge telephone Tiffany/credit MTN</t>
  </si>
  <si>
    <t>Bonus mois de juin 2021/P29</t>
  </si>
  <si>
    <t>Bonus mois de juin 2021/i23c</t>
  </si>
  <si>
    <t>Achat agenda pour I23C</t>
  </si>
  <si>
    <t>Trust building/achat carte sim pour I23C</t>
  </si>
  <si>
    <t>Frais de Transfert charden farell/Crépin</t>
  </si>
  <si>
    <t>BCI/3643496-56</t>
  </si>
  <si>
    <t>Achat credit  teléphonique Airtel/staff PALF/2ème partie juillet 2021/management</t>
  </si>
  <si>
    <t>Achat credit  teléphonique Airtel/staff PALF/2ème partie juillet 2021/légel</t>
  </si>
  <si>
    <t>Achat credit  teléphonique Airtel/staff PALF/2ème partie juillet 2021/investigation</t>
  </si>
  <si>
    <t>Achat credit  teléphonique MTN/staff PALF/2ème partie juillet 2021/Management</t>
  </si>
  <si>
    <t>Achat credit  teléphonique MTN/staff PALF/2ème partie juillet 2021/Investigation</t>
  </si>
  <si>
    <t>Achat credit  teléphonique MTN/staff PALF/2ème partie juillet 2021/Légal</t>
  </si>
  <si>
    <t>Achat credit  teléphonique MTN/staff PALF/2ème partie juillet 2021/Média</t>
  </si>
  <si>
    <t>Achat 05 carton rame papier A4</t>
  </si>
  <si>
    <t>Achat 03 cartouches HP63/02 noir et 01 couleur</t>
  </si>
  <si>
    <t>Bonus informateur</t>
  </si>
  <si>
    <t>Frais de transfert charden farell/JB &amp; Crépin</t>
  </si>
  <si>
    <t>Frais de mission à Dolisie maitre MOUYETI du 18 au 21/07/2021</t>
  </si>
  <si>
    <t>BCI/3643497-56</t>
  </si>
  <si>
    <t>Frais de transfert charden farell/jb,i23c,crépin et P29</t>
  </si>
  <si>
    <t>Achat carte sim et Credit téléphonique /pour LUC</t>
  </si>
  <si>
    <t>Paiement inscription et frais de formation 1er mois pour Crépin/formation bureautique</t>
  </si>
  <si>
    <t>Achat paquet papier Ministre</t>
  </si>
  <si>
    <t>Bonus mois de Juin 2021/Crépin</t>
  </si>
  <si>
    <t>Bonus Operation/crepin</t>
  </si>
  <si>
    <t>Indemnité de stage Grace MOLENDE/Du 15 juillet au 15 Août</t>
  </si>
  <si>
    <t>Frais de mission à Pointe-Noire/Maitre Séverin du 26 au 28/07/2021</t>
  </si>
  <si>
    <t>Achat 02 serviettes</t>
  </si>
  <si>
    <t>BCI/364349-56</t>
  </si>
  <si>
    <t>Achat Credit MTN Pour LUC</t>
  </si>
  <si>
    <t>Achat credit MTN Pour Tiffany</t>
  </si>
  <si>
    <t>Renouvelement carte de Séjour I23C/un an</t>
  </si>
  <si>
    <t>Solde de tout compte/fin de contrat Ted</t>
  </si>
  <si>
    <t>Achat Baguettes pour bureau PALF</t>
  </si>
  <si>
    <t>Frais de test covid 19 pour LUC</t>
  </si>
  <si>
    <t>Reglement prestation Technicienne de Surface mois de Juillet 2021/MFIELO</t>
  </si>
  <si>
    <t>Frais de transfert charden farell/P29 et JB</t>
  </si>
  <si>
    <t>Achat cadre A3</t>
  </si>
  <si>
    <t>impression photo</t>
  </si>
  <si>
    <t>BCI/363510-56</t>
  </si>
  <si>
    <t>Bonus mois de Juin 2021</t>
  </si>
  <si>
    <t>Reglement Facture Internet/mois de Août  2021/congo telecom</t>
  </si>
  <si>
    <t>Achat carte sim et Credit téléphonique/pour Danielle</t>
  </si>
  <si>
    <t>Remboursement frais loyer à Tiffany la coordinatrice PALF</t>
  </si>
  <si>
    <t>Retour sur frais de mission maitre Scrutin MOUYETI</t>
  </si>
  <si>
    <t>Reçu caisse</t>
  </si>
  <si>
    <t>Achat billet BZ-PN (Mission Pn)</t>
  </si>
  <si>
    <t>Travel Subsistence</t>
  </si>
  <si>
    <t>Réçu de caisse</t>
  </si>
  <si>
    <t>Achat billet PN-Dolisie</t>
  </si>
  <si>
    <t>Taxi Dolisie-Nkayi</t>
  </si>
  <si>
    <t>Taxi Nkayi-Madingou (départ pour Madingou)</t>
  </si>
  <si>
    <t>Taxi Madingou-Brazzaville (départ pour BZ)</t>
  </si>
  <si>
    <t>Réçu caisse</t>
  </si>
  <si>
    <t>Achat billet PN-Dolisie (départ pour Dolisie)</t>
  </si>
  <si>
    <t>Achat billet Dolisie-Brazzaville (retour à Brazzaville)</t>
  </si>
  <si>
    <t>Récu de caisse</t>
  </si>
  <si>
    <t>Paiement carte consulaire</t>
  </si>
  <si>
    <t>Travel Expenses</t>
  </si>
  <si>
    <t>Reçu caisse/Ted</t>
  </si>
  <si>
    <t>Recu de caisse</t>
  </si>
  <si>
    <t>Achat billet BZV-Loudima</t>
  </si>
  <si>
    <t>Frais de transport   LOUDIMA-SIBITI</t>
  </si>
  <si>
    <t>Achat billet sibiti-dolisie</t>
  </si>
  <si>
    <t>Achat billet dolisie-brazza</t>
  </si>
  <si>
    <t>Achat billet bzv-bouansa</t>
  </si>
  <si>
    <t>Frais de transport  bouansa-mouyondzi</t>
  </si>
  <si>
    <t>Frais de transport mouyondzi-madingou</t>
  </si>
  <si>
    <t>Achat billet bzv-oyo</t>
  </si>
  <si>
    <t>Achat billet oyo-gamboma</t>
  </si>
  <si>
    <t>Achat billet gamboma-bzv</t>
  </si>
  <si>
    <t>Recu de la caisse</t>
  </si>
  <si>
    <t>Billet- Brazzaville-Dolisie</t>
  </si>
  <si>
    <t>Reçu de caisse</t>
  </si>
  <si>
    <t>Reçu de Caisse</t>
  </si>
  <si>
    <t>Raffraichissement pendant le positionnement avec 4 gendarmes en civil et le chef faune</t>
  </si>
  <si>
    <t>Consultation de Roussel à l'hopital militaire</t>
  </si>
  <si>
    <t>Achat des produits pharmaceutiques pour Roussel</t>
  </si>
  <si>
    <t>Bonus 10 OPJ pour opération</t>
  </si>
  <si>
    <t>Carburant de la BJ</t>
  </si>
  <si>
    <t>Bonus opération du 11/07/2021 pour le chef faune</t>
  </si>
  <si>
    <t>Billet- Dolisie-Brazzaville</t>
  </si>
  <si>
    <t>Achat supports cours d'informatique</t>
  </si>
  <si>
    <t>Cumul frais de transport local mois de juillet 2021/Crépin</t>
  </si>
  <si>
    <t>Reçu de la caisse</t>
  </si>
  <si>
    <t xml:space="preserve">Reçu de la caisse </t>
  </si>
  <si>
    <t>Achat billet d'avion Brazzaville-Pointe-Noire (compagnie aérienne Canadian Airways Congo)</t>
  </si>
  <si>
    <t>Achat billet Pointe-Noire-Dolisie</t>
  </si>
  <si>
    <t>Impression et photocopie procédure</t>
  </si>
  <si>
    <t>Impression procédure (plainte, soit transmis et planche photo)</t>
  </si>
  <si>
    <t>Achat billet Pointe-noire/Dolisie</t>
  </si>
  <si>
    <t>Frais notification d'ordonnance et ordonance de renvoi par le 2ème cabinet d'instruction</t>
  </si>
  <si>
    <t>Photocopie 12 pages (ordonance et notification)</t>
  </si>
  <si>
    <t>Cumul frais de transport local mois de juillet 2021/Tiffany</t>
  </si>
  <si>
    <t>Cumul frais de transport local mois de juillet 2021/Merveille</t>
  </si>
  <si>
    <t>Retour caisse</t>
  </si>
  <si>
    <t>Cumul frais de Transport local mois de Juillet 2021/Ted</t>
  </si>
  <si>
    <t>:Cumul frais de transport local mois de juillet 2021/Evariste</t>
  </si>
  <si>
    <t>Retrait especes/appro caisse/bord n°3654451</t>
  </si>
  <si>
    <t>cotisation Web bank</t>
  </si>
  <si>
    <t>Retrait especes/appro caisse/bord n°3654452</t>
  </si>
  <si>
    <t>Reglement gardiennage mois de Juillet   2021</t>
  </si>
  <si>
    <t>Fond Reçu de UE</t>
  </si>
  <si>
    <t>Grant</t>
  </si>
  <si>
    <t>Retrait especes/appro caisse/bord n°3643489</t>
  </si>
  <si>
    <t>Frais s/virement emis</t>
  </si>
  <si>
    <t>Reglement gardiennage mois de JUIN  2021</t>
  </si>
  <si>
    <t>Frais extrait de compte siege BCI Congo</t>
  </si>
  <si>
    <t>Acompte honoraires contrat n°36/Dolisie/maitre Scrutin/3643494</t>
  </si>
  <si>
    <t>Acompte honoraires contrat n°35/Brazzaville/maitre marie Hélène /3643493</t>
  </si>
  <si>
    <t>Frais de consultation avocat Mois de Juillet 2021/LOCKO Christian/3643492</t>
  </si>
  <si>
    <t>Paiemet CNSS deuxième trimestre et mois de juillet  Hérick TCHIKAYA</t>
  </si>
  <si>
    <t>Paiemet CNSS deuxième trimestre /Avril,Mai et Juin 2021/Ted</t>
  </si>
  <si>
    <t>Paiemet CNSS deuxième trimestre /Avril,Mai et Juin 2021/Merveille</t>
  </si>
  <si>
    <t>Paiemet CNSS deuxième trimestre /Avril,Mai et Juin 2021/Geisner</t>
  </si>
  <si>
    <t>Paiemet CNSS deuxième trimestre /Avril,Mai et Juin 2021/P29</t>
  </si>
  <si>
    <t>Paiemet CNSS deuxième trimestre /Avril,Mai et Juin 2021/Evariste</t>
  </si>
  <si>
    <t>Paiemet CNSS deuxième trimestre /Avril,Mai et Juin 2021/MALONGA MERSY Jack-Bénisson</t>
  </si>
  <si>
    <t>Paiemet CNSS deuxième trimestre /Avril,Mai et Juin 2021/Crepin IBOUILI-IBOUILI</t>
  </si>
  <si>
    <t>Paiemet CNSS deuxième trimestre /Avril,Mai et Juin 2021/Christian</t>
  </si>
  <si>
    <t>Retrait especes/appro caisse/bord n°3643496</t>
  </si>
  <si>
    <t>Retrait especes/appro caisse/bord n°3643497</t>
  </si>
  <si>
    <t>Solde honoraires contrat n°33/Dolisie/Maitre MOUYETI Scrutin</t>
  </si>
  <si>
    <t>Reglement loyer mois de Juillet 2021/Bureau PALF</t>
  </si>
  <si>
    <t>Paiement salaire du mois de Juillet 2021/Tiffany GOBERT/chq n°3643507</t>
  </si>
  <si>
    <t>Paiement salaire du mois de Juillet 2021/IBOUILI CREPIN/chq n°3643500</t>
  </si>
  <si>
    <t>Paiement salaire du mois de Juillet 2021/ MALONGA MERSY/chq n°3643501</t>
  </si>
  <si>
    <t>Paiement salaire du mois de Juillet 2021/ Evariste LELOUSSI/chq n°3643502</t>
  </si>
  <si>
    <t>Paiement salaire du mois de Juillet 2021/P29 /chq n°3643503</t>
  </si>
  <si>
    <t>Reglement facture honoraire du mois de Juillet 2021/I23C/chq n°3643504</t>
  </si>
  <si>
    <t>Reglement salaire du mois de Juillet 2021/ KOUENITOUKA TED/chq n°3643508</t>
  </si>
  <si>
    <t>Paiement salaire du mois de Juillet 2021/MAHANGA Merveille/chq n°3643509</t>
  </si>
  <si>
    <t>Frais de virement</t>
  </si>
  <si>
    <t>Retrait especes/appro caisse/bord n°3643510</t>
  </si>
  <si>
    <t xml:space="preserve"> frais bancaire </t>
  </si>
  <si>
    <t>Decharge</t>
  </si>
  <si>
    <t>Bank Fees</t>
  </si>
  <si>
    <t>Operations</t>
  </si>
  <si>
    <t>Team Building</t>
  </si>
  <si>
    <t>Flight</t>
  </si>
  <si>
    <t>Transfer Fees</t>
  </si>
  <si>
    <t>Publications</t>
  </si>
  <si>
    <t>Lawyer Fees</t>
  </si>
  <si>
    <t>Website</t>
  </si>
  <si>
    <t>CCU</t>
  </si>
  <si>
    <t>Jail Visits</t>
  </si>
  <si>
    <t>Court Fees</t>
  </si>
  <si>
    <t>Cumul frais de transport local mois de Juillet 2021/P29</t>
  </si>
  <si>
    <t>Achat credit  teléphonique MTN/staff PALF/1ere partie Aout 2021/Management</t>
  </si>
  <si>
    <t>Achat credit  teléphonique MTN/staff PALF/1ere partie Aout 2021/Investingation</t>
  </si>
  <si>
    <t>Achat credit  teléphonique MTN/staff PALF/1ere partie Aout 2021/Legal</t>
  </si>
  <si>
    <t>Achat credit  teléphonique Airtel/staff PALF/1 ere partie Août 2021/Investingation</t>
  </si>
  <si>
    <t>Achat credit  teléphonique Airtel/staff PALF/1 ere partie Août 2021/Legal</t>
  </si>
  <si>
    <t>Releve</t>
  </si>
  <si>
    <t>Trust Building</t>
  </si>
  <si>
    <t>4.5</t>
  </si>
  <si>
    <t>4.3</t>
  </si>
  <si>
    <t>1.1.1.9</t>
  </si>
  <si>
    <t>1.1.1.7</t>
  </si>
  <si>
    <t>1.1.1.1</t>
  </si>
  <si>
    <t>1.1.2.1</t>
  </si>
  <si>
    <t>1.1.1.4</t>
  </si>
  <si>
    <t>4.4</t>
  </si>
  <si>
    <t>4.2</t>
  </si>
  <si>
    <t>1.3.2</t>
  </si>
  <si>
    <t>BALANCE 1 Juillet 2021</t>
  </si>
  <si>
    <t>TOTAL DEPENSE EN Juillet</t>
  </si>
  <si>
    <t>BALANCE 31 Juillet 2021</t>
  </si>
  <si>
    <t>BALANCE CAISSES ET BANQUE AU 31 Juillet  2021</t>
  </si>
  <si>
    <t>Balance au          01 Juillet  2021</t>
  </si>
  <si>
    <t>Balance au 31 Juillet  2021</t>
  </si>
  <si>
    <t>RALFF-CO2384</t>
  </si>
  <si>
    <t>RALFF-CO2385</t>
  </si>
  <si>
    <t>RALFF-CO2386</t>
  </si>
  <si>
    <t>RALFF-CO2387</t>
  </si>
  <si>
    <t>RALFF-CO2388</t>
  </si>
  <si>
    <t>RALFF-CO2389</t>
  </si>
  <si>
    <t>RALFF-CO2390</t>
  </si>
  <si>
    <t>RALFF-CO2391</t>
  </si>
  <si>
    <t>RALFF-CO2392</t>
  </si>
  <si>
    <t>RALFF-CO2393</t>
  </si>
  <si>
    <t>RALFF-CO2394</t>
  </si>
  <si>
    <t>RALFF-CO2395</t>
  </si>
  <si>
    <t>RALFF-CO2396</t>
  </si>
  <si>
    <t>RALFF-CO2397</t>
  </si>
  <si>
    <t>RALFF-CO2398</t>
  </si>
  <si>
    <t>RALFF-CO2399</t>
  </si>
  <si>
    <t>RALFF-CO2400</t>
  </si>
  <si>
    <t>RALFF-CO2401</t>
  </si>
  <si>
    <t>RALFF-CO2402</t>
  </si>
  <si>
    <t>RALFF-CO2403</t>
  </si>
  <si>
    <t>RALFF-CO2404</t>
  </si>
  <si>
    <t>RALFF-CO2405</t>
  </si>
  <si>
    <t>RALFF-CO2406</t>
  </si>
  <si>
    <t>RALFF-CO2407</t>
  </si>
  <si>
    <t>RALFF-CO2408</t>
  </si>
  <si>
    <t>RALFF-CO2409</t>
  </si>
  <si>
    <t>RALFF-CO2410</t>
  </si>
  <si>
    <t>RALFF-CO2411</t>
  </si>
  <si>
    <t>RALFF-CO2412</t>
  </si>
  <si>
    <t>RALFF-CO2413</t>
  </si>
  <si>
    <t>RALFF-CO2414</t>
  </si>
  <si>
    <t>RALFF-CO2415</t>
  </si>
  <si>
    <t>RALFF-CO2416</t>
  </si>
  <si>
    <t>RALFF-CO2417</t>
  </si>
  <si>
    <t>RALFF-CO2418</t>
  </si>
  <si>
    <t>RALFF-CO2419</t>
  </si>
  <si>
    <t>RALFF-CO2420</t>
  </si>
  <si>
    <t>RALFF-CO2421</t>
  </si>
  <si>
    <t>RALFF-CO2422</t>
  </si>
  <si>
    <t>RALFF-CO2423</t>
  </si>
  <si>
    <t>RALFF-CO2424</t>
  </si>
  <si>
    <t>RALFF-CO2425</t>
  </si>
  <si>
    <t>RALFF-CO2426</t>
  </si>
  <si>
    <t>RALFF-CO2427</t>
  </si>
  <si>
    <t>RALFF-CO2428</t>
  </si>
  <si>
    <t>RALFF-CO2429</t>
  </si>
  <si>
    <t>RALFF-CO2430</t>
  </si>
  <si>
    <t>RALFF-CO2431</t>
  </si>
  <si>
    <t>RALFF-CO2433</t>
  </si>
  <si>
    <t>RALFF-CO2434</t>
  </si>
  <si>
    <t>RALFF-CO2435</t>
  </si>
  <si>
    <t>RALFF-CO2436</t>
  </si>
  <si>
    <t>RALFF-CO2437</t>
  </si>
  <si>
    <t>RALFF-CO2438</t>
  </si>
  <si>
    <t>RALFF-CO2439</t>
  </si>
  <si>
    <t>RALFF-CO2440</t>
  </si>
  <si>
    <t>RALFF-CO2441</t>
  </si>
  <si>
    <t>RALFF-CO2442</t>
  </si>
  <si>
    <t>RALFF-CO2443</t>
  </si>
  <si>
    <t>RALFF-CO2444</t>
  </si>
  <si>
    <t>RALFF-CO2445</t>
  </si>
  <si>
    <t>RALFF-CO2446</t>
  </si>
  <si>
    <t>RALFF-CO2447</t>
  </si>
  <si>
    <t>RALFF-CO2448</t>
  </si>
  <si>
    <t>RALFF-CO2449</t>
  </si>
  <si>
    <t>RALFF-CO2450</t>
  </si>
  <si>
    <t>RALFF-CO2451</t>
  </si>
  <si>
    <t>RALFF-CO2452</t>
  </si>
  <si>
    <t>RALFF-CO2453</t>
  </si>
  <si>
    <t>RALFF-CO2454</t>
  </si>
  <si>
    <t>RALFF-CO2455</t>
  </si>
  <si>
    <t>RALFF-CO2456</t>
  </si>
  <si>
    <t>RALFF-CO2457</t>
  </si>
  <si>
    <t>RALFF-CO2458</t>
  </si>
  <si>
    <t>RALFF-CO2459</t>
  </si>
  <si>
    <t>RALFF-CO2460</t>
  </si>
  <si>
    <t>RALFF-CO2461</t>
  </si>
  <si>
    <t>RALFF-CO2462</t>
  </si>
  <si>
    <t>RALFF-CO2463</t>
  </si>
  <si>
    <t>RALFF-CO2464</t>
  </si>
  <si>
    <t>RALFF-CO2465</t>
  </si>
  <si>
    <t>RALFF-CO2466</t>
  </si>
  <si>
    <t>RALFF-CO2467</t>
  </si>
  <si>
    <t>RALFF-CO2468</t>
  </si>
  <si>
    <t>RALFF-CO2469</t>
  </si>
  <si>
    <t>RALFF-CO2470</t>
  </si>
  <si>
    <t>RALFF-CO2471</t>
  </si>
  <si>
    <t>RALFF-CO2472</t>
  </si>
  <si>
    <t>RALFF-CO2473</t>
  </si>
  <si>
    <t>RALFF-CO2474</t>
  </si>
  <si>
    <t>RALFF-CO2475</t>
  </si>
  <si>
    <t>RALFF-CO2476</t>
  </si>
  <si>
    <t>RALFF-CO2477</t>
  </si>
  <si>
    <t>RALFF-CO2478</t>
  </si>
  <si>
    <t>RALFF-CO2479</t>
  </si>
  <si>
    <t>RALFF-CO2480</t>
  </si>
  <si>
    <t>RALFF-CO2481</t>
  </si>
  <si>
    <t>RALFF-CO2482</t>
  </si>
  <si>
    <t>RALFF-CO2483</t>
  </si>
  <si>
    <t>RALFF-CO2484</t>
  </si>
  <si>
    <t>RALFF-CO2485</t>
  </si>
  <si>
    <t>RALFF-CO2486</t>
  </si>
  <si>
    <t>RALFF-CO2487</t>
  </si>
  <si>
    <t>RALFF-CO2488</t>
  </si>
  <si>
    <t>RALFF-CO2489</t>
  </si>
  <si>
    <t>RALFF-CO2490</t>
  </si>
  <si>
    <t>RALFF-CO2491</t>
  </si>
  <si>
    <t>RALFF-CO2492</t>
  </si>
  <si>
    <t>RALFF-CO2493</t>
  </si>
  <si>
    <t>RALFF-CO2494</t>
  </si>
  <si>
    <t>RALFF-CO2495</t>
  </si>
  <si>
    <t>RALFF-CO2496</t>
  </si>
  <si>
    <t>RALFF-CO2497</t>
  </si>
  <si>
    <t>RALFF-CO2498</t>
  </si>
  <si>
    <t>Achat billet madingou-BZ</t>
  </si>
  <si>
    <t>5.8</t>
  </si>
  <si>
    <t>JB MALONGA - CONGO - Frais hôtel mission PN du 01 au 03 juillet 2021 (2 nuitées)</t>
  </si>
  <si>
    <t>JB MALONGA - CONGO - Foodallowance mission PN du 01  juillet 2021 au 01 Août 2021</t>
  </si>
  <si>
    <t>Achat billet Dolisie-Pointe Noire</t>
  </si>
  <si>
    <t>JB MALONGA - CONGO - Frais hôtel mission Dolisie du 03 au 06 juillet 2021 (3 nuitées)</t>
  </si>
  <si>
    <t>JB MALONGA - CONGO - Frais mission PN Hôtel du 06 au 28 juillet 2021 (22 nuitées)</t>
  </si>
  <si>
    <t>JB MALONGA - CONGO - Cumul frais de Jail Visite mois de Juillet 2021</t>
  </si>
  <si>
    <t>JB MALONGA - CONGO - Frais d'hôtel mission Dolisie du 28/07 au 01/08 (4 nuitées)</t>
  </si>
  <si>
    <t>JB MALONGA - CONGO - Cumul frais de transport local mois de Juillet 2021/Jack-Bénisson</t>
  </si>
  <si>
    <t>CREPIN - CONGO - Food-Allowance du 02 au 21/07/2021</t>
  </si>
  <si>
    <t>CREPIN - CONGO - Cumul frais de Jail visit mois de Juillet 2021/Crépin</t>
  </si>
  <si>
    <t>I23C - CONGO - Food allowance mission PN-Nkayi-Madingou du 2 au 10 Juillet 2021</t>
  </si>
  <si>
    <t>I23C - CONGO - Paiement hôtel 5 nuitées du 2 au 7 juillet 2021</t>
  </si>
  <si>
    <t>I23C - CONGO -Paiement Hôtel du 9 au 10 Juillet 2021</t>
  </si>
  <si>
    <t>I23C - CONGO - Paiement 2 nuitées du 7 au 9 juillet 2021</t>
  </si>
  <si>
    <t>I23C - CONGO - Food allowance mission PN-Dolisie du 15 au 21 Juillet 2021</t>
  </si>
  <si>
    <t>I23C - CONGO - Paiement 2 nuitées mission Dolisie du 19 au 21 juillet 2021</t>
  </si>
  <si>
    <t>I23C - CONGO - Paiement hôtel 4 nuitées du 15 au 19 juillet</t>
  </si>
  <si>
    <t>I23C - CONGO - Cumul frais Trust building mois de Juillet 2021/I23C</t>
  </si>
  <si>
    <t>I23C - CONGO - Cumul frais de transport local mois de Juillet 2021/I23c</t>
  </si>
  <si>
    <t>P29 - CONGO - Food allowance mission du 02 au 10/07</t>
  </si>
  <si>
    <t>P29 - CONGO - Frais d'hotel à Sibiti  du 02/07 au 07/07/2021</t>
  </si>
  <si>
    <t>P29 - CONGO - Paiement 3 nuitées du 07/07 au 10/07</t>
  </si>
  <si>
    <t>P29 - CONGO - Food allowance mission du 15 au 21/07/2021</t>
  </si>
  <si>
    <t>P29 - CONGO - Paiement 3 nuitées du 15 au 18/07</t>
  </si>
  <si>
    <t>P29 - CONGO - Frais d'hotel à Madingou du 18 au 21/07/2021</t>
  </si>
  <si>
    <t>P29 - CONGO - Food allowance mission du 26 au 31/07</t>
  </si>
  <si>
    <t>P29 - CONGO - Frais d'hotel à Oyo  du 26 au 29/07</t>
  </si>
  <si>
    <t>P29 - CONGO - Cumul frais achat boisson mois de Juillet 2021 /P29</t>
  </si>
  <si>
    <t>P29 - CONGO - Frais d'hotel à Gamboma du 29/07 au 31/07</t>
  </si>
  <si>
    <t>CREPIN - CONGO - 19 Nuitées du 02 au 21/07/2021</t>
  </si>
  <si>
    <t>LUC MATHOT - CONGO - Food allowance du 22 au 28/07/2021/</t>
  </si>
  <si>
    <t>Wildcat</t>
  </si>
</sst>
</file>

<file path=xl/styles.xml><?xml version="1.0" encoding="utf-8"?>
<styleSheet xmlns="http://schemas.openxmlformats.org/spreadsheetml/2006/main">
  <numFmts count="6">
    <numFmt numFmtId="41" formatCode="_-* #,##0\ _F_C_F_A_-;\-* #,##0\ _F_C_F_A_-;_-* &quot;-&quot;\ _F_C_F_A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\ _€_-;\-* #,##0\ _€_-;_-* &quot;-&quot;??\ _€_-;_-@"/>
    <numFmt numFmtId="167" formatCode="[$-409]d\-mmm\-yy;@"/>
    <numFmt numFmtId="168" formatCode="[$-40C]0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</font>
    <font>
      <sz val="9"/>
      <color theme="1"/>
      <name val="Arial Narrow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Arial Narrow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theme="5"/>
      <name val="Arial Narrow"/>
      <family val="2"/>
    </font>
    <font>
      <b/>
      <sz val="10"/>
      <color theme="5"/>
      <name val="Arial Narrow"/>
      <family val="2"/>
    </font>
    <font>
      <b/>
      <i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rgb="FFFF0000"/>
      <name val="Calibri"/>
      <family val="2"/>
      <scheme val="minor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sz val="9"/>
      <color rgb="FF000000"/>
      <name val="Arial Narrow"/>
      <family val="2"/>
    </font>
    <font>
      <sz val="10"/>
      <color rgb="FFED7D31"/>
      <name val="Arial Narrow"/>
      <family val="2"/>
    </font>
    <font>
      <b/>
      <sz val="12"/>
      <color theme="1"/>
      <name val="Calibri"/>
      <family val="2"/>
      <scheme val="minor"/>
    </font>
    <font>
      <sz val="18"/>
      <color theme="0"/>
      <name val="Arial Narrow"/>
      <family val="2"/>
    </font>
    <font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FF0000"/>
      <name val="Arial Narrow"/>
      <family val="2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</font>
    <font>
      <sz val="18"/>
      <color theme="1"/>
      <name val="Arial Narrow"/>
      <family val="2"/>
    </font>
    <font>
      <sz val="12"/>
      <color theme="1"/>
      <name val="Arial Narrow"/>
      <family val="2"/>
    </font>
    <font>
      <sz val="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lightGray">
        <bgColor theme="5" tint="0.3999755851924192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0" fillId="0" borderId="0"/>
    <xf numFmtId="41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23" fillId="0" borderId="0" applyBorder="0" applyProtection="0"/>
  </cellStyleXfs>
  <cellXfs count="285">
    <xf numFmtId="0" fontId="0" fillId="0" borderId="0" xfId="0"/>
    <xf numFmtId="0" fontId="0" fillId="0" borderId="1" xfId="0" applyBorder="1"/>
    <xf numFmtId="0" fontId="0" fillId="0" borderId="0" xfId="0" applyFill="1" applyAlignment="1"/>
    <xf numFmtId="165" fontId="0" fillId="0" borderId="0" xfId="1" applyNumberFormat="1" applyFont="1" applyFill="1" applyProtection="1"/>
    <xf numFmtId="0" fontId="0" fillId="0" borderId="1" xfId="0" applyFill="1" applyBorder="1" applyAlignment="1"/>
    <xf numFmtId="165" fontId="0" fillId="0" borderId="1" xfId="0" applyNumberFormat="1" applyFill="1" applyBorder="1" applyAlignment="1"/>
    <xf numFmtId="165" fontId="0" fillId="0" borderId="0" xfId="0" applyNumberFormat="1" applyFill="1" applyAlignme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11" fillId="6" borderId="1" xfId="3" applyNumberFormat="1" applyFont="1" applyFill="1" applyBorder="1"/>
    <xf numFmtId="0" fontId="11" fillId="6" borderId="1" xfId="3" applyFont="1" applyFill="1" applyBorder="1"/>
    <xf numFmtId="0" fontId="12" fillId="0" borderId="1" xfId="0" applyFont="1" applyFill="1" applyBorder="1" applyAlignment="1"/>
    <xf numFmtId="165" fontId="0" fillId="0" borderId="0" xfId="0" applyNumberFormat="1" applyAlignment="1">
      <alignment vertical="center"/>
    </xf>
    <xf numFmtId="0" fontId="12" fillId="0" borderId="0" xfId="0" applyFont="1" applyFill="1" applyBorder="1" applyAlignment="1"/>
    <xf numFmtId="0" fontId="13" fillId="0" borderId="0" xfId="0" applyFont="1" applyBorder="1" applyAlignment="1">
      <alignment vertical="center"/>
    </xf>
    <xf numFmtId="165" fontId="14" fillId="0" borderId="0" xfId="1" applyNumberFormat="1" applyFont="1" applyBorder="1" applyProtection="1">
      <protection locked="0"/>
    </xf>
    <xf numFmtId="165" fontId="15" fillId="0" borderId="0" xfId="1" applyNumberFormat="1" applyFont="1" applyBorder="1" applyProtection="1">
      <protection locked="0"/>
    </xf>
    <xf numFmtId="165" fontId="12" fillId="0" borderId="0" xfId="0" applyNumberFormat="1" applyFont="1" applyFill="1" applyBorder="1" applyAlignment="1"/>
    <xf numFmtId="165" fontId="13" fillId="0" borderId="0" xfId="0" applyNumberFormat="1" applyFont="1" applyBorder="1" applyAlignment="1">
      <alignment vertical="center"/>
    </xf>
    <xf numFmtId="0" fontId="16" fillId="0" borderId="0" xfId="0" applyFont="1" applyAlignment="1"/>
    <xf numFmtId="0" fontId="4" fillId="0" borderId="0" xfId="0" applyFont="1" applyAlignment="1"/>
    <xf numFmtId="0" fontId="5" fillId="7" borderId="0" xfId="0" applyFont="1" applyFill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Alignment="1"/>
    <xf numFmtId="165" fontId="4" fillId="0" borderId="0" xfId="1" applyNumberFormat="1" applyFont="1" applyFill="1" applyProtection="1"/>
    <xf numFmtId="165" fontId="5" fillId="0" borderId="3" xfId="1" applyNumberFormat="1" applyFont="1" applyFill="1" applyBorder="1" applyAlignment="1" applyProtection="1">
      <alignment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4" fillId="10" borderId="4" xfId="1" applyNumberFormat="1" applyFont="1" applyFill="1" applyBorder="1" applyAlignment="1" applyProtection="1">
      <alignment horizontal="center" vertical="center"/>
    </xf>
    <xf numFmtId="0" fontId="18" fillId="10" borderId="5" xfId="0" applyFont="1" applyFill="1" applyBorder="1" applyAlignment="1"/>
    <xf numFmtId="165" fontId="4" fillId="10" borderId="5" xfId="1" applyNumberFormat="1" applyFont="1" applyFill="1" applyBorder="1" applyProtection="1"/>
    <xf numFmtId="165" fontId="4" fillId="10" borderId="5" xfId="0" applyNumberFormat="1" applyFont="1" applyFill="1" applyBorder="1" applyAlignment="1"/>
    <xf numFmtId="165" fontId="4" fillId="0" borderId="3" xfId="1" applyNumberFormat="1" applyFont="1" applyBorder="1" applyProtection="1"/>
    <xf numFmtId="165" fontId="0" fillId="0" borderId="1" xfId="1" applyNumberFormat="1" applyFont="1" applyFill="1" applyBorder="1" applyProtection="1"/>
    <xf numFmtId="165" fontId="4" fillId="0" borderId="6" xfId="1" applyNumberFormat="1" applyFont="1" applyFill="1" applyBorder="1" applyProtection="1"/>
    <xf numFmtId="165" fontId="4" fillId="0" borderId="1" xfId="0" applyNumberFormat="1" applyFont="1" applyFill="1" applyBorder="1" applyAlignment="1"/>
    <xf numFmtId="165" fontId="4" fillId="0" borderId="1" xfId="1" applyNumberFormat="1" applyFont="1" applyFill="1" applyBorder="1" applyProtection="1"/>
    <xf numFmtId="165" fontId="19" fillId="0" borderId="1" xfId="1" applyNumberFormat="1" applyFont="1" applyFill="1" applyBorder="1" applyProtection="1"/>
    <xf numFmtId="165" fontId="1" fillId="0" borderId="1" xfId="1" applyNumberFormat="1" applyFont="1" applyFill="1" applyBorder="1" applyProtection="1"/>
    <xf numFmtId="165" fontId="5" fillId="10" borderId="4" xfId="1" applyNumberFormat="1" applyFont="1" applyFill="1" applyBorder="1" applyAlignment="1" applyProtection="1">
      <alignment horizontal="left"/>
    </xf>
    <xf numFmtId="165" fontId="5" fillId="10" borderId="5" xfId="1" applyNumberFormat="1" applyFont="1" applyFill="1" applyBorder="1" applyAlignment="1" applyProtection="1">
      <alignment horizontal="left"/>
    </xf>
    <xf numFmtId="165" fontId="4" fillId="10" borderId="1" xfId="0" applyNumberFormat="1" applyFont="1" applyFill="1" applyBorder="1" applyAlignment="1"/>
    <xf numFmtId="0" fontId="5" fillId="0" borderId="4" xfId="0" applyFont="1" applyFill="1" applyBorder="1" applyAlignment="1"/>
    <xf numFmtId="165" fontId="4" fillId="0" borderId="1" xfId="1" applyNumberFormat="1" applyFont="1" applyFill="1" applyBorder="1" applyAlignment="1" applyProtection="1"/>
    <xf numFmtId="165" fontId="4" fillId="0" borderId="6" xfId="1" applyNumberFormat="1" applyFont="1" applyBorder="1" applyProtection="1"/>
    <xf numFmtId="165" fontId="20" fillId="0" borderId="1" xfId="1" applyNumberFormat="1" applyFont="1" applyBorder="1" applyProtection="1"/>
    <xf numFmtId="165" fontId="20" fillId="0" borderId="0" xfId="1" applyNumberFormat="1" applyFont="1" applyProtection="1"/>
    <xf numFmtId="165" fontId="10" fillId="0" borderId="1" xfId="0" applyNumberFormat="1" applyFont="1" applyBorder="1" applyAlignment="1"/>
    <xf numFmtId="0" fontId="18" fillId="10" borderId="4" xfId="0" applyFont="1" applyFill="1" applyBorder="1" applyAlignment="1"/>
    <xf numFmtId="165" fontId="0" fillId="0" borderId="1" xfId="1" applyNumberFormat="1" applyFont="1" applyBorder="1" applyProtection="1"/>
    <xf numFmtId="165" fontId="4" fillId="0" borderId="1" xfId="0" applyNumberFormat="1" applyFont="1" applyBorder="1" applyAlignment="1"/>
    <xf numFmtId="3" fontId="0" fillId="0" borderId="1" xfId="0" applyNumberFormat="1" applyBorder="1"/>
    <xf numFmtId="0" fontId="0" fillId="0" borderId="1" xfId="0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" xfId="0" applyNumberFormat="1" applyBorder="1" applyAlignment="1">
      <alignment vertical="center"/>
    </xf>
    <xf numFmtId="165" fontId="16" fillId="0" borderId="6" xfId="1" applyNumberFormat="1" applyFont="1" applyBorder="1" applyProtection="1"/>
    <xf numFmtId="165" fontId="19" fillId="0" borderId="6" xfId="1" applyNumberFormat="1" applyFont="1" applyBorder="1" applyProtection="1"/>
    <xf numFmtId="165" fontId="19" fillId="0" borderId="1" xfId="1" applyNumberFormat="1" applyFont="1" applyBorder="1" applyAlignment="1" applyProtection="1">
      <alignment vertical="center"/>
    </xf>
    <xf numFmtId="165" fontId="19" fillId="5" borderId="1" xfId="1" applyNumberFormat="1" applyFont="1" applyFill="1" applyBorder="1" applyProtection="1"/>
    <xf numFmtId="165" fontId="9" fillId="0" borderId="3" xfId="1" applyNumberFormat="1" applyFont="1" applyFill="1" applyBorder="1" applyProtection="1"/>
    <xf numFmtId="165" fontId="19" fillId="5" borderId="1" xfId="1" applyNumberFormat="1" applyFont="1" applyFill="1" applyBorder="1" applyAlignment="1" applyProtection="1">
      <alignment vertical="center"/>
    </xf>
    <xf numFmtId="165" fontId="1" fillId="0" borderId="0" xfId="1" applyNumberFormat="1" applyFont="1" applyFill="1" applyProtection="1"/>
    <xf numFmtId="165" fontId="19" fillId="0" borderId="1" xfId="1" applyNumberFormat="1" applyFont="1" applyFill="1" applyBorder="1" applyAlignment="1" applyProtection="1">
      <alignment horizontal="center" vertical="center"/>
    </xf>
    <xf numFmtId="165" fontId="8" fillId="0" borderId="6" xfId="1" applyNumberFormat="1" applyFont="1" applyFill="1" applyBorder="1" applyProtection="1"/>
    <xf numFmtId="165" fontId="21" fillId="0" borderId="0" xfId="1" applyNumberFormat="1" applyFont="1" applyBorder="1" applyProtection="1">
      <protection locked="0"/>
    </xf>
    <xf numFmtId="0" fontId="6" fillId="0" borderId="1" xfId="0" applyFont="1" applyFill="1" applyBorder="1" applyAlignment="1"/>
    <xf numFmtId="0" fontId="22" fillId="0" borderId="1" xfId="0" applyFont="1" applyBorder="1" applyAlignment="1">
      <alignment vertical="center"/>
    </xf>
    <xf numFmtId="165" fontId="23" fillId="0" borderId="1" xfId="1" applyNumberFormat="1" applyFont="1" applyBorder="1" applyProtection="1">
      <protection locked="0"/>
    </xf>
    <xf numFmtId="165" fontId="24" fillId="0" borderId="1" xfId="1" applyNumberFormat="1" applyFont="1" applyBorder="1" applyProtection="1">
      <protection locked="0"/>
    </xf>
    <xf numFmtId="0" fontId="7" fillId="0" borderId="0" xfId="0" applyFont="1" applyAlignment="1">
      <alignment vertical="center"/>
    </xf>
    <xf numFmtId="0" fontId="2" fillId="7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0" fillId="10" borderId="1" xfId="0" applyFill="1" applyBorder="1" applyAlignment="1">
      <alignment vertical="center"/>
    </xf>
    <xf numFmtId="3" fontId="0" fillId="10" borderId="1" xfId="0" applyNumberForma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5" fillId="0" borderId="0" xfId="0" applyFont="1" applyFill="1" applyBorder="1" applyAlignment="1"/>
    <xf numFmtId="0" fontId="27" fillId="0" borderId="0" xfId="0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4" fontId="25" fillId="0" borderId="0" xfId="0" applyNumberFormat="1" applyFont="1" applyFill="1" applyBorder="1"/>
    <xf numFmtId="0" fontId="5" fillId="13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24" fillId="0" borderId="0" xfId="0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65" fontId="4" fillId="0" borderId="0" xfId="1" applyNumberFormat="1" applyFont="1" applyFill="1" applyBorder="1" applyProtection="1"/>
    <xf numFmtId="165" fontId="4" fillId="17" borderId="4" xfId="1" applyNumberFormat="1" applyFont="1" applyFill="1" applyBorder="1" applyAlignment="1" applyProtection="1">
      <alignment horizontal="center" vertical="center"/>
    </xf>
    <xf numFmtId="0" fontId="18" fillId="17" borderId="5" xfId="0" applyFont="1" applyFill="1" applyBorder="1" applyAlignment="1"/>
    <xf numFmtId="165" fontId="4" fillId="17" borderId="5" xfId="1" applyNumberFormat="1" applyFont="1" applyFill="1" applyBorder="1" applyProtection="1"/>
    <xf numFmtId="165" fontId="4" fillId="17" borderId="5" xfId="0" applyNumberFormat="1" applyFont="1" applyFill="1" applyBorder="1" applyAlignment="1"/>
    <xf numFmtId="165" fontId="4" fillId="0" borderId="3" xfId="1" applyNumberFormat="1" applyFont="1" applyFill="1" applyBorder="1" applyProtection="1"/>
    <xf numFmtId="165" fontId="24" fillId="0" borderId="1" xfId="1" applyNumberFormat="1" applyFont="1" applyFill="1" applyBorder="1" applyProtection="1"/>
    <xf numFmtId="165" fontId="28" fillId="0" borderId="1" xfId="1" applyNumberFormat="1" applyFont="1" applyFill="1" applyBorder="1" applyAlignment="1" applyProtection="1">
      <alignment horizontal="center" vertical="center"/>
    </xf>
    <xf numFmtId="165" fontId="23" fillId="0" borderId="1" xfId="1" applyNumberFormat="1" applyFont="1" applyFill="1" applyBorder="1" applyProtection="1"/>
    <xf numFmtId="165" fontId="28" fillId="0" borderId="1" xfId="1" applyNumberFormat="1" applyFont="1" applyFill="1" applyBorder="1" applyProtection="1"/>
    <xf numFmtId="165" fontId="23" fillId="0" borderId="0" xfId="1" applyNumberFormat="1" applyFont="1" applyFill="1" applyBorder="1" applyProtection="1"/>
    <xf numFmtId="165" fontId="5" fillId="17" borderId="4" xfId="1" applyNumberFormat="1" applyFont="1" applyFill="1" applyBorder="1" applyAlignment="1" applyProtection="1">
      <alignment horizontal="left"/>
    </xf>
    <xf numFmtId="165" fontId="5" fillId="17" borderId="5" xfId="1" applyNumberFormat="1" applyFont="1" applyFill="1" applyBorder="1" applyAlignment="1" applyProtection="1">
      <alignment horizontal="left"/>
    </xf>
    <xf numFmtId="165" fontId="4" fillId="17" borderId="1" xfId="0" applyNumberFormat="1" applyFont="1" applyFill="1" applyBorder="1" applyAlignment="1"/>
    <xf numFmtId="165" fontId="29" fillId="0" borderId="1" xfId="1" applyNumberFormat="1" applyFont="1" applyFill="1" applyBorder="1" applyProtection="1"/>
    <xf numFmtId="3" fontId="24" fillId="0" borderId="1" xfId="0" applyNumberFormat="1" applyFont="1" applyFill="1" applyBorder="1" applyAlignment="1">
      <alignment vertical="center"/>
    </xf>
    <xf numFmtId="165" fontId="29" fillId="0" borderId="0" xfId="1" applyNumberFormat="1" applyFont="1" applyFill="1" applyBorder="1" applyProtection="1"/>
    <xf numFmtId="165" fontId="10" fillId="0" borderId="1" xfId="0" applyNumberFormat="1" applyFont="1" applyFill="1" applyBorder="1" applyAlignment="1"/>
    <xf numFmtId="0" fontId="18" fillId="17" borderId="4" xfId="0" applyFont="1" applyFill="1" applyBorder="1" applyAlignment="1"/>
    <xf numFmtId="165" fontId="30" fillId="0" borderId="3" xfId="1" applyNumberFormat="1" applyFont="1" applyFill="1" applyBorder="1" applyProtection="1"/>
    <xf numFmtId="165" fontId="28" fillId="0" borderId="6" xfId="1" applyNumberFormat="1" applyFont="1" applyFill="1" applyBorder="1" applyProtection="1"/>
    <xf numFmtId="165" fontId="28" fillId="18" borderId="1" xfId="1" applyNumberFormat="1" applyFont="1" applyFill="1" applyBorder="1" applyProtection="1"/>
    <xf numFmtId="165" fontId="28" fillId="18" borderId="1" xfId="1" applyNumberFormat="1" applyFont="1" applyFill="1" applyBorder="1" applyAlignment="1" applyProtection="1">
      <alignment vertical="center"/>
    </xf>
    <xf numFmtId="165" fontId="31" fillId="0" borderId="6" xfId="1" applyNumberFormat="1" applyFont="1" applyFill="1" applyBorder="1" applyProtection="1"/>
    <xf numFmtId="165" fontId="31" fillId="0" borderId="1" xfId="1" applyNumberFormat="1" applyFont="1" applyFill="1" applyBorder="1" applyProtection="1"/>
    <xf numFmtId="165" fontId="28" fillId="0" borderId="1" xfId="1" applyNumberFormat="1" applyFont="1" applyFill="1" applyBorder="1" applyAlignment="1" applyProtection="1">
      <alignment vertical="center"/>
    </xf>
    <xf numFmtId="165" fontId="24" fillId="0" borderId="0" xfId="0" applyNumberFormat="1" applyFont="1" applyFill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6" fillId="0" borderId="1" xfId="0" applyFont="1" applyFill="1" applyBorder="1" applyAlignment="1"/>
    <xf numFmtId="165" fontId="19" fillId="0" borderId="6" xfId="1" applyNumberFormat="1" applyFont="1" applyFill="1" applyBorder="1" applyProtection="1"/>
    <xf numFmtId="165" fontId="19" fillId="0" borderId="1" xfId="0" applyNumberFormat="1" applyFont="1" applyFill="1" applyBorder="1" applyAlignment="1"/>
    <xf numFmtId="165" fontId="7" fillId="0" borderId="0" xfId="0" applyNumberFormat="1" applyFont="1" applyAlignment="1">
      <alignment vertical="center"/>
    </xf>
    <xf numFmtId="0" fontId="0" fillId="0" borderId="0" xfId="0" applyFont="1" applyFill="1" applyAlignment="1"/>
    <xf numFmtId="165" fontId="8" fillId="0" borderId="6" xfId="1" applyNumberFormat="1" applyFont="1" applyBorder="1" applyProtection="1"/>
    <xf numFmtId="165" fontId="8" fillId="0" borderId="1" xfId="1" applyNumberFormat="1" applyFont="1" applyFill="1" applyBorder="1" applyProtection="1"/>
    <xf numFmtId="165" fontId="32" fillId="0" borderId="0" xfId="0" applyNumberFormat="1" applyFont="1" applyAlignment="1">
      <alignment vertical="center"/>
    </xf>
    <xf numFmtId="14" fontId="32" fillId="12" borderId="1" xfId="0" applyNumberFormat="1" applyFont="1" applyFill="1" applyBorder="1" applyAlignment="1"/>
    <xf numFmtId="0" fontId="32" fillId="12" borderId="1" xfId="0" applyFont="1" applyFill="1" applyBorder="1" applyAlignment="1"/>
    <xf numFmtId="165" fontId="32" fillId="12" borderId="1" xfId="1" applyNumberFormat="1" applyFont="1" applyFill="1" applyBorder="1" applyProtection="1"/>
    <xf numFmtId="0" fontId="0" fillId="19" borderId="0" xfId="0" applyFill="1" applyAlignment="1"/>
    <xf numFmtId="0" fontId="0" fillId="5" borderId="0" xfId="0" applyFill="1" applyAlignment="1"/>
    <xf numFmtId="0" fontId="6" fillId="20" borderId="0" xfId="0" applyFont="1" applyFill="1"/>
    <xf numFmtId="165" fontId="6" fillId="20" borderId="0" xfId="1" applyNumberFormat="1" applyFont="1" applyFill="1"/>
    <xf numFmtId="0" fontId="6" fillId="20" borderId="0" xfId="0" applyFont="1" applyFill="1" applyAlignment="1">
      <alignment horizontal="left"/>
    </xf>
    <xf numFmtId="0" fontId="34" fillId="21" borderId="1" xfId="0" applyFont="1" applyFill="1" applyBorder="1" applyAlignment="1"/>
    <xf numFmtId="3" fontId="0" fillId="0" borderId="0" xfId="1" applyNumberFormat="1" applyFont="1" applyFill="1" applyAlignment="1" applyProtection="1">
      <alignment horizontal="right"/>
    </xf>
    <xf numFmtId="3" fontId="6" fillId="20" borderId="0" xfId="1" applyNumberFormat="1" applyFont="1" applyFill="1" applyAlignment="1">
      <alignment horizontal="right"/>
    </xf>
    <xf numFmtId="3" fontId="32" fillId="12" borderId="1" xfId="1" applyNumberFormat="1" applyFont="1" applyFill="1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32" fillId="12" borderId="1" xfId="0" applyFont="1" applyFill="1" applyBorder="1" applyAlignment="1">
      <alignment horizontal="center"/>
    </xf>
    <xf numFmtId="0" fontId="6" fillId="20" borderId="0" xfId="0" applyFont="1" applyFill="1" applyAlignment="1">
      <alignment horizont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7" fillId="22" borderId="0" xfId="0" applyNumberFormat="1" applyFont="1" applyFill="1" applyAlignment="1">
      <alignment vertical="center"/>
    </xf>
    <xf numFmtId="165" fontId="15" fillId="0" borderId="1" xfId="1" applyNumberFormat="1" applyFont="1" applyBorder="1" applyProtection="1">
      <protection locked="0"/>
    </xf>
    <xf numFmtId="165" fontId="4" fillId="3" borderId="3" xfId="1" applyNumberFormat="1" applyFont="1" applyFill="1" applyBorder="1" applyProtection="1"/>
    <xf numFmtId="0" fontId="12" fillId="3" borderId="1" xfId="0" applyFont="1" applyFill="1" applyBorder="1" applyAlignment="1"/>
    <xf numFmtId="165" fontId="0" fillId="3" borderId="1" xfId="1" applyNumberFormat="1" applyFont="1" applyFill="1" applyBorder="1" applyProtection="1"/>
    <xf numFmtId="165" fontId="4" fillId="3" borderId="1" xfId="1" applyNumberFormat="1" applyFont="1" applyFill="1" applyBorder="1" applyProtection="1"/>
    <xf numFmtId="165" fontId="4" fillId="3" borderId="6" xfId="1" applyNumberFormat="1" applyFont="1" applyFill="1" applyBorder="1" applyProtection="1"/>
    <xf numFmtId="0" fontId="0" fillId="3" borderId="0" xfId="0" applyFill="1" applyAlignment="1">
      <alignment vertical="center"/>
    </xf>
    <xf numFmtId="165" fontId="1" fillId="3" borderId="1" xfId="1" applyNumberFormat="1" applyFont="1" applyFill="1" applyBorder="1" applyProtection="1"/>
    <xf numFmtId="165" fontId="4" fillId="3" borderId="1" xfId="0" applyNumberFormat="1" applyFont="1" applyFill="1" applyBorder="1" applyAlignment="1"/>
    <xf numFmtId="0" fontId="0" fillId="23" borderId="1" xfId="0" applyFill="1" applyBorder="1" applyAlignment="1"/>
    <xf numFmtId="41" fontId="0" fillId="23" borderId="1" xfId="4" applyFont="1" applyFill="1" applyBorder="1" applyAlignment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6" fillId="21" borderId="1" xfId="0" applyFont="1" applyFill="1" applyBorder="1" applyAlignment="1"/>
    <xf numFmtId="0" fontId="22" fillId="21" borderId="1" xfId="0" applyFont="1" applyFill="1" applyBorder="1" applyAlignment="1">
      <alignment vertical="center"/>
    </xf>
    <xf numFmtId="165" fontId="23" fillId="21" borderId="1" xfId="1" applyNumberFormat="1" applyFont="1" applyFill="1" applyBorder="1" applyProtection="1">
      <protection locked="0"/>
    </xf>
    <xf numFmtId="165" fontId="24" fillId="21" borderId="1" xfId="1" applyNumberFormat="1" applyFont="1" applyFill="1" applyBorder="1" applyProtection="1">
      <protection locked="0"/>
    </xf>
    <xf numFmtId="165" fontId="4" fillId="5" borderId="1" xfId="1" applyNumberFormat="1" applyFont="1" applyFill="1" applyBorder="1" applyProtection="1"/>
    <xf numFmtId="165" fontId="19" fillId="21" borderId="1" xfId="1" applyNumberFormat="1" applyFont="1" applyFill="1" applyBorder="1" applyProtection="1"/>
    <xf numFmtId="165" fontId="4" fillId="21" borderId="1" xfId="0" applyNumberFormat="1" applyFont="1" applyFill="1" applyBorder="1" applyAlignment="1"/>
    <xf numFmtId="165" fontId="4" fillId="0" borderId="1" xfId="1" applyNumberFormat="1" applyFont="1" applyBorder="1" applyProtection="1"/>
    <xf numFmtId="165" fontId="4" fillId="21" borderId="1" xfId="1" applyNumberFormat="1" applyFont="1" applyFill="1" applyBorder="1" applyProtection="1"/>
    <xf numFmtId="165" fontId="19" fillId="5" borderId="1" xfId="0" applyNumberFormat="1" applyFont="1" applyFill="1" applyBorder="1" applyAlignment="1"/>
    <xf numFmtId="165" fontId="19" fillId="0" borderId="1" xfId="1" applyNumberFormat="1" applyFont="1" applyBorder="1" applyProtection="1"/>
    <xf numFmtId="165" fontId="19" fillId="0" borderId="0" xfId="1" applyNumberFormat="1" applyFont="1" applyProtection="1"/>
    <xf numFmtId="0" fontId="5" fillId="0" borderId="1" xfId="0" applyFont="1" applyFill="1" applyBorder="1" applyAlignment="1"/>
    <xf numFmtId="0" fontId="5" fillId="5" borderId="1" xfId="0" applyFont="1" applyFill="1" applyBorder="1" applyAlignment="1"/>
    <xf numFmtId="0" fontId="5" fillId="21" borderId="1" xfId="0" applyFont="1" applyFill="1" applyBorder="1" applyAlignment="1"/>
    <xf numFmtId="0" fontId="19" fillId="5" borderId="1" xfId="0" applyFont="1" applyFill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165" fontId="19" fillId="0" borderId="3" xfId="1" applyNumberFormat="1" applyFont="1" applyFill="1" applyBorder="1" applyProtection="1"/>
    <xf numFmtId="0" fontId="35" fillId="0" borderId="0" xfId="0" applyFont="1" applyAlignment="1">
      <alignment vertical="center"/>
    </xf>
    <xf numFmtId="3" fontId="2" fillId="24" borderId="0" xfId="1" applyNumberFormat="1" applyFont="1" applyFill="1" applyAlignment="1" applyProtection="1">
      <alignment horizontal="right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38" fillId="0" borderId="0" xfId="1" applyNumberFormat="1" applyFont="1" applyBorder="1" applyProtection="1">
      <protection locked="0"/>
    </xf>
    <xf numFmtId="165" fontId="8" fillId="0" borderId="1" xfId="1" applyNumberFormat="1" applyFont="1" applyFill="1" applyBorder="1" applyAlignment="1" applyProtection="1">
      <alignment horizontal="center" vertical="center"/>
    </xf>
    <xf numFmtId="165" fontId="8" fillId="5" borderId="1" xfId="1" applyNumberFormat="1" applyFont="1" applyFill="1" applyBorder="1" applyProtection="1"/>
    <xf numFmtId="165" fontId="8" fillId="21" borderId="1" xfId="1" applyNumberFormat="1" applyFont="1" applyFill="1" applyBorder="1" applyProtection="1"/>
    <xf numFmtId="0" fontId="8" fillId="5" borderId="1" xfId="0" applyFont="1" applyFill="1" applyBorder="1" applyAlignment="1">
      <alignment vertical="center"/>
    </xf>
    <xf numFmtId="165" fontId="8" fillId="0" borderId="1" xfId="1" applyNumberFormat="1" applyFont="1" applyBorder="1" applyProtection="1"/>
    <xf numFmtId="0" fontId="9" fillId="5" borderId="0" xfId="0" applyFont="1" applyFill="1" applyBorder="1" applyAlignment="1">
      <alignment vertical="center"/>
    </xf>
    <xf numFmtId="165" fontId="37" fillId="0" borderId="0" xfId="0" applyNumberFormat="1" applyFont="1" applyAlignment="1">
      <alignment vertical="center"/>
    </xf>
    <xf numFmtId="0" fontId="36" fillId="0" borderId="0" xfId="0" applyFont="1" applyFill="1" applyBorder="1" applyAlignment="1"/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40" fillId="5" borderId="1" xfId="0" applyFont="1" applyFill="1" applyBorder="1" applyAlignment="1">
      <alignment vertical="center"/>
    </xf>
    <xf numFmtId="0" fontId="40" fillId="5" borderId="1" xfId="0" applyFont="1" applyFill="1" applyBorder="1" applyAlignment="1"/>
    <xf numFmtId="0" fontId="40" fillId="5" borderId="1" xfId="0" applyFont="1" applyFill="1" applyBorder="1"/>
    <xf numFmtId="0" fontId="40" fillId="5" borderId="1" xfId="0" applyFont="1" applyFill="1" applyBorder="1" applyAlignment="1">
      <alignment horizontal="center"/>
    </xf>
    <xf numFmtId="0" fontId="41" fillId="0" borderId="0" xfId="0" applyFont="1" applyAlignment="1">
      <alignment vertical="center"/>
    </xf>
    <xf numFmtId="3" fontId="0" fillId="0" borderId="0" xfId="1" applyNumberFormat="1" applyFont="1" applyFill="1" applyAlignment="1" applyProtection="1"/>
    <xf numFmtId="3" fontId="32" fillId="12" borderId="1" xfId="1" applyNumberFormat="1" applyFont="1" applyFill="1" applyBorder="1" applyAlignment="1" applyProtection="1"/>
    <xf numFmtId="3" fontId="6" fillId="20" borderId="0" xfId="1" applyNumberFormat="1" applyFont="1" applyFill="1" applyAlignment="1"/>
    <xf numFmtId="0" fontId="40" fillId="5" borderId="1" xfId="0" applyFont="1" applyFill="1" applyBorder="1" applyAlignment="1">
      <alignment horizontal="center" vertical="center"/>
    </xf>
    <xf numFmtId="165" fontId="7" fillId="0" borderId="0" xfId="0" applyNumberFormat="1" applyFont="1" applyFill="1" applyAlignment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44" fillId="0" borderId="4" xfId="0" applyFont="1" applyFill="1" applyBorder="1" applyAlignment="1"/>
    <xf numFmtId="165" fontId="19" fillId="0" borderId="1" xfId="0" applyNumberFormat="1" applyFont="1" applyBorder="1" applyAlignment="1"/>
    <xf numFmtId="0" fontId="44" fillId="0" borderId="0" xfId="0" applyFont="1" applyFill="1" applyBorder="1" applyAlignment="1"/>
    <xf numFmtId="0" fontId="44" fillId="0" borderId="1" xfId="0" applyFont="1" applyFill="1" applyBorder="1" applyAlignment="1"/>
    <xf numFmtId="165" fontId="19" fillId="0" borderId="3" xfId="1" applyNumberFormat="1" applyFont="1" applyBorder="1" applyProtection="1"/>
    <xf numFmtId="165" fontId="1" fillId="0" borderId="1" xfId="1" applyNumberFormat="1" applyFont="1" applyBorder="1" applyProtection="1"/>
    <xf numFmtId="165" fontId="19" fillId="22" borderId="1" xfId="0" applyNumberFormat="1" applyFont="1" applyFill="1" applyBorder="1" applyAlignment="1"/>
    <xf numFmtId="0" fontId="1" fillId="0" borderId="1" xfId="0" applyFont="1" applyBorder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0" fillId="5" borderId="0" xfId="0" applyFont="1" applyFill="1" applyAlignment="1"/>
    <xf numFmtId="3" fontId="40" fillId="5" borderId="1" xfId="1" applyNumberFormat="1" applyFont="1" applyFill="1" applyBorder="1"/>
    <xf numFmtId="165" fontId="40" fillId="5" borderId="1" xfId="1" applyNumberFormat="1" applyFont="1" applyFill="1" applyBorder="1"/>
    <xf numFmtId="14" fontId="40" fillId="5" borderId="1" xfId="0" applyNumberFormat="1" applyFont="1" applyFill="1" applyBorder="1" applyAlignment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/>
    <xf numFmtId="0" fontId="7" fillId="5" borderId="0" xfId="0" applyFont="1" applyFill="1" applyAlignment="1"/>
    <xf numFmtId="0" fontId="7" fillId="3" borderId="0" xfId="0" applyFont="1" applyFill="1" applyAlignment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45" fillId="5" borderId="0" xfId="0" applyFont="1" applyFill="1" applyAlignment="1"/>
    <xf numFmtId="15" fontId="40" fillId="5" borderId="1" xfId="0" applyNumberFormat="1" applyFont="1" applyFill="1" applyBorder="1" applyAlignment="1"/>
    <xf numFmtId="0" fontId="0" fillId="0" borderId="0" xfId="0" applyNumberFormat="1"/>
    <xf numFmtId="0" fontId="46" fillId="0" borderId="0" xfId="0" applyFont="1" applyFill="1" applyAlignment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165" fontId="15" fillId="0" borderId="0" xfId="1" applyNumberFormat="1" applyFont="1" applyFill="1" applyBorder="1" applyProtection="1">
      <protection locked="0"/>
    </xf>
    <xf numFmtId="165" fontId="14" fillId="0" borderId="0" xfId="1" applyNumberFormat="1" applyFont="1" applyFill="1" applyBorder="1" applyProtection="1">
      <protection locked="0"/>
    </xf>
    <xf numFmtId="165" fontId="13" fillId="0" borderId="0" xfId="0" applyNumberFormat="1" applyFont="1" applyFill="1" applyBorder="1" applyAlignment="1">
      <alignment vertical="center"/>
    </xf>
    <xf numFmtId="15" fontId="47" fillId="0" borderId="1" xfId="0" applyNumberFormat="1" applyFont="1" applyFill="1" applyBorder="1" applyAlignment="1"/>
    <xf numFmtId="0" fontId="47" fillId="0" borderId="1" xfId="0" applyFont="1" applyFill="1" applyBorder="1" applyAlignment="1"/>
    <xf numFmtId="165" fontId="47" fillId="0" borderId="1" xfId="1" applyNumberFormat="1" applyFont="1" applyFill="1" applyBorder="1"/>
    <xf numFmtId="3" fontId="47" fillId="0" borderId="1" xfId="1" applyNumberFormat="1" applyFont="1" applyFill="1" applyBorder="1" applyAlignment="1" applyProtection="1"/>
    <xf numFmtId="165" fontId="47" fillId="0" borderId="1" xfId="1" applyNumberFormat="1" applyFont="1" applyFill="1" applyBorder="1" applyProtection="1"/>
    <xf numFmtId="0" fontId="47" fillId="0" borderId="1" xfId="0" applyFont="1" applyFill="1" applyBorder="1" applyAlignment="1">
      <alignment horizontal="center" vertical="center"/>
    </xf>
    <xf numFmtId="0" fontId="47" fillId="0" borderId="1" xfId="0" applyFont="1" applyFill="1" applyBorder="1"/>
    <xf numFmtId="0" fontId="48" fillId="0" borderId="1" xfId="0" applyFont="1" applyFill="1" applyBorder="1"/>
    <xf numFmtId="0" fontId="47" fillId="0" borderId="1" xfId="0" applyFont="1" applyFill="1" applyBorder="1" applyAlignment="1">
      <alignment vertical="center"/>
    </xf>
    <xf numFmtId="0" fontId="47" fillId="0" borderId="1" xfId="0" applyFont="1" applyFill="1" applyBorder="1" applyAlignment="1">
      <alignment horizontal="center"/>
    </xf>
    <xf numFmtId="0" fontId="47" fillId="0" borderId="1" xfId="0" applyFont="1" applyFill="1" applyBorder="1" applyAlignment="1">
      <alignment horizontal="left"/>
    </xf>
    <xf numFmtId="0" fontId="47" fillId="0" borderId="1" xfId="2" applyFont="1" applyFill="1" applyBorder="1" applyAlignment="1" applyProtection="1"/>
    <xf numFmtId="0" fontId="47" fillId="0" borderId="1" xfId="0" applyFont="1" applyFill="1" applyBorder="1" applyAlignment="1">
      <alignment horizontal="left" vertical="center"/>
    </xf>
    <xf numFmtId="165" fontId="47" fillId="0" borderId="1" xfId="1" applyNumberFormat="1" applyFont="1" applyFill="1" applyBorder="1" applyAlignment="1">
      <alignment horizontal="center" vertical="center" wrapText="1"/>
    </xf>
    <xf numFmtId="165" fontId="47" fillId="0" borderId="1" xfId="1" applyNumberFormat="1" applyFont="1" applyFill="1" applyBorder="1" applyAlignment="1" applyProtection="1"/>
    <xf numFmtId="165" fontId="47" fillId="0" borderId="1" xfId="0" applyNumberFormat="1" applyFont="1" applyFill="1" applyBorder="1" applyAlignment="1">
      <alignment vertical="center"/>
    </xf>
    <xf numFmtId="168" fontId="47" fillId="0" borderId="1" xfId="2" applyNumberFormat="1" applyFont="1" applyFill="1" applyBorder="1" applyAlignment="1">
      <alignment vertical="top"/>
    </xf>
    <xf numFmtId="166" fontId="47" fillId="0" borderId="1" xfId="0" applyNumberFormat="1" applyFont="1" applyFill="1" applyBorder="1"/>
    <xf numFmtId="14" fontId="48" fillId="0" borderId="1" xfId="0" applyNumberFormat="1" applyFont="1" applyFill="1" applyBorder="1"/>
    <xf numFmtId="168" fontId="47" fillId="0" borderId="1" xfId="2" applyNumberFormat="1" applyFont="1" applyFill="1" applyBorder="1" applyAlignment="1">
      <alignment vertical="top" wrapText="1"/>
    </xf>
    <xf numFmtId="14" fontId="47" fillId="0" borderId="1" xfId="0" applyNumberFormat="1" applyFont="1" applyFill="1" applyBorder="1" applyAlignment="1"/>
    <xf numFmtId="3" fontId="47" fillId="0" borderId="1" xfId="1" applyNumberFormat="1" applyFont="1" applyFill="1" applyBorder="1"/>
    <xf numFmtId="0" fontId="45" fillId="0" borderId="0" xfId="0" applyFont="1" applyFill="1" applyAlignment="1"/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7" fontId="5" fillId="0" borderId="11" xfId="0" applyNumberFormat="1" applyFont="1" applyFill="1" applyBorder="1" applyAlignment="1">
      <alignment horizontal="center" vertical="center"/>
    </xf>
    <xf numFmtId="167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5" fillId="16" borderId="11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33" fillId="20" borderId="0" xfId="0" applyFont="1" applyFill="1" applyAlignment="1">
      <alignment horizontal="center"/>
    </xf>
    <xf numFmtId="0" fontId="39" fillId="20" borderId="0" xfId="0" applyFont="1" applyFill="1" applyAlignment="1">
      <alignment horizontal="center"/>
    </xf>
  </cellXfs>
  <cellStyles count="7">
    <cellStyle name="Excel Built-in Comma" xfId="6"/>
    <cellStyle name="Excel Built-in Normal" xfId="2"/>
    <cellStyle name="Milliers" xfId="1" builtinId="3"/>
    <cellStyle name="Milliers [0]" xfId="4" builtinId="6"/>
    <cellStyle name="Milliers 3" xfId="5"/>
    <cellStyle name="Normal" xfId="0" builtinId="0"/>
    <cellStyle name="Normal_Total expenses by date" xfId="3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septembre/compta%2030%20SPTE/Compta_Perrine_3009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AO&#220;T/compta%20ok/Fichier%20comptable-Shely%20A%20(1)%20(1)OK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AO&#220;T/compta%20ok/Fichier%20comptable-ted%20(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lff/AppData/Local/Microsoft/Windows/INetCache/Content.Outlook/BTO9MOI8/RAPPORT%20FINANCIER%20JUILLET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AO&#220;T/compta%20ok/COMPTA_CREPIN%20du%2031-08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AO&#220;T/compta%20ok/Fichier_comptable_Dalia_au_21_Aout_2020%20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AO&#220;T/compta%20ok/Comptabilit&#233;%20Evariste%20du%2021%20ao&#251;t%202020%20vf%20OK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AO&#220;T/compta%20ok/Compta_21_08_20_%20Herick%20_Harmonis&#233;e(3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AO&#220;T/compta%20ok/Comptabilit&#233;%20i23c%20au%2019%20Ao&#251;t%202020%20corrig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AO&#220;T/compta%20ok/COMPTA%20PALF%20JB%20actualis&#233;e%20ce%2021.08.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AO&#220;T/compta%20ok/Fichier_%20comptable_%20Jospin%20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ALFF/COMPTA%20AO&#220;T/compta%20ok/P29-Comptabilit&#2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SALAIRE FCFA "/>
      <sheetName val="Commentaires"/>
      <sheetName val="Feuil2"/>
      <sheetName val="Feuil3"/>
      <sheetName val="Feuil4"/>
      <sheetName val="Feuil5"/>
      <sheetName val="Feuil6"/>
      <sheetName val="Feuil1 (2)"/>
      <sheetName val="Feuil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A6" t="str">
            <v xml:space="preserve">Transfert </v>
          </cell>
          <cell r="G6" t="str">
            <v>Investigations</v>
          </cell>
        </row>
        <row r="7">
          <cell r="A7" t="str">
            <v>Transport</v>
          </cell>
          <cell r="G7" t="str">
            <v>Legal</v>
          </cell>
        </row>
        <row r="8">
          <cell r="A8" t="str">
            <v>Flight</v>
          </cell>
          <cell r="G8" t="str">
            <v>Operations</v>
          </cell>
        </row>
        <row r="9">
          <cell r="A9" t="str">
            <v>Travel Expenses</v>
          </cell>
          <cell r="G9" t="str">
            <v>Media</v>
          </cell>
        </row>
        <row r="10">
          <cell r="A10" t="str">
            <v>Travel Subsistence</v>
          </cell>
          <cell r="G10" t="str">
            <v xml:space="preserve">Management </v>
          </cell>
        </row>
        <row r="11">
          <cell r="A11" t="str">
            <v>Office Materials</v>
          </cell>
          <cell r="G11" t="str">
            <v>CCU</v>
          </cell>
        </row>
        <row r="12">
          <cell r="A12" t="str">
            <v>Trust building</v>
          </cell>
          <cell r="G12" t="str">
            <v>EAGLE Family</v>
          </cell>
        </row>
        <row r="13">
          <cell r="A13" t="str">
            <v>Jail visits</v>
          </cell>
          <cell r="G13" t="str">
            <v>Policy</v>
          </cell>
        </row>
        <row r="14">
          <cell r="A14" t="str">
            <v>Transfer fees</v>
          </cell>
          <cell r="G14" t="str">
            <v>External relations</v>
          </cell>
        </row>
        <row r="15">
          <cell r="A15" t="str">
            <v>Bank fees</v>
          </cell>
        </row>
        <row r="16">
          <cell r="A16" t="str">
            <v>Services</v>
          </cell>
        </row>
        <row r="17">
          <cell r="A17" t="str">
            <v>Telephone</v>
          </cell>
        </row>
        <row r="18">
          <cell r="A18" t="str">
            <v>Rent &amp; Utilities</v>
          </cell>
        </row>
        <row r="19">
          <cell r="A19" t="str">
            <v>Internet</v>
          </cell>
        </row>
        <row r="20">
          <cell r="A20" t="str">
            <v>Editing costs</v>
          </cell>
        </row>
        <row r="21">
          <cell r="A21" t="str">
            <v>Equipment</v>
          </cell>
        </row>
        <row r="22">
          <cell r="A22" t="str">
            <v>Publications</v>
          </cell>
        </row>
        <row r="23">
          <cell r="A23" t="str">
            <v>Court fees</v>
          </cell>
        </row>
        <row r="24">
          <cell r="A24" t="str">
            <v>Lawyer fees</v>
          </cell>
        </row>
        <row r="25">
          <cell r="A25" t="str">
            <v>Bonus/lawyer bonus</v>
          </cell>
        </row>
      </sheetData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shely"/>
      <sheetName val="Feuil3"/>
    </sheetNames>
    <sheetDataSet>
      <sheetData sheetId="0" refreshError="1"/>
      <sheetData sheetId="1" refreshError="1">
        <row r="90">
          <cell r="E90">
            <v>10000</v>
          </cell>
        </row>
        <row r="97">
          <cell r="E97">
            <v>5000</v>
          </cell>
        </row>
        <row r="100">
          <cell r="E100">
            <v>10000</v>
          </cell>
        </row>
      </sheetData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ted"/>
    </sheetNames>
    <sheetDataSet>
      <sheetData sheetId="0" refreshError="1"/>
      <sheetData sheetId="1" refreshError="1">
        <row r="11">
          <cell r="E11">
            <v>10000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ONOR"/>
      <sheetName val="Feuil31"/>
      <sheetName val="DATAS"/>
      <sheetName val="COMPTE  PRINCIPAL"/>
      <sheetName val="RAPPROCHEMENT CP"/>
      <sheetName val="SOUS -COMPTE"/>
      <sheetName val="RAPPROCHEMENT SC"/>
      <sheetName val="CAISSE"/>
      <sheetName val="POURCENTAGE PROJECT"/>
      <sheetName val="TABLEA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I3">
            <v>705838</v>
          </cell>
        </row>
        <row r="16">
          <cell r="I16">
            <v>17673343.99927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MPTA_CREPIN"/>
      <sheetName val="Type de dépenses"/>
      <sheetName val="Liste1"/>
      <sheetName val="COMPTA_CREPIN (2)"/>
      <sheetName val="Feuil2"/>
    </sheetNames>
    <sheetDataSet>
      <sheetData sheetId="0" refreshError="1">
        <row r="3050">
          <cell r="F3050">
            <v>1500</v>
          </cell>
        </row>
        <row r="3051">
          <cell r="F3051">
            <v>1500</v>
          </cell>
        </row>
        <row r="3052">
          <cell r="F3052">
            <v>1000</v>
          </cell>
        </row>
        <row r="3053">
          <cell r="F3053">
            <v>1000</v>
          </cell>
        </row>
        <row r="3054">
          <cell r="F3054">
            <v>1000</v>
          </cell>
        </row>
        <row r="3055">
          <cell r="F3055">
            <v>1500</v>
          </cell>
        </row>
        <row r="3056">
          <cell r="F3056">
            <v>1500</v>
          </cell>
        </row>
        <row r="3057">
          <cell r="F3057">
            <v>1000</v>
          </cell>
        </row>
        <row r="3058">
          <cell r="F3058">
            <v>1000</v>
          </cell>
        </row>
        <row r="3059">
          <cell r="F3059">
            <v>2000</v>
          </cell>
        </row>
        <row r="3060">
          <cell r="F3060">
            <v>1000</v>
          </cell>
        </row>
        <row r="3061">
          <cell r="F3061">
            <v>1000</v>
          </cell>
        </row>
        <row r="3062">
          <cell r="F3062">
            <v>1500</v>
          </cell>
        </row>
        <row r="3063">
          <cell r="F3063">
            <v>1500</v>
          </cell>
        </row>
        <row r="3064">
          <cell r="F3064">
            <v>1000</v>
          </cell>
        </row>
        <row r="3065">
          <cell r="F3065">
            <v>1000</v>
          </cell>
        </row>
        <row r="3066">
          <cell r="F3066">
            <v>1500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mpta Dalia"/>
      <sheetName val="Type de dépenses"/>
      <sheetName val="Feuil3"/>
      <sheetName val="Compta Dali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1905">
          <cell r="F1905">
            <v>15000</v>
          </cell>
        </row>
        <row r="1908">
          <cell r="E1908">
            <v>15000</v>
          </cell>
        </row>
        <row r="1909">
          <cell r="E1909">
            <v>50000</v>
          </cell>
        </row>
        <row r="1911">
          <cell r="E1911">
            <v>44600</v>
          </cell>
        </row>
        <row r="1917">
          <cell r="E1917">
            <v>10000</v>
          </cell>
        </row>
        <row r="1919">
          <cell r="F1919">
            <v>1635</v>
          </cell>
        </row>
      </sheetData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mpta"/>
      <sheetName val="Feuil2"/>
      <sheetName val="Type de dépenses"/>
      <sheetName val="compta (2)"/>
      <sheetName val="Feuil1"/>
      <sheetName val="compta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56">
          <cell r="E2556">
            <v>10000</v>
          </cell>
        </row>
        <row r="2557">
          <cell r="E2557">
            <v>10000</v>
          </cell>
        </row>
        <row r="2558">
          <cell r="E2558">
            <v>10000</v>
          </cell>
        </row>
        <row r="2559">
          <cell r="F2559">
            <v>21000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mpta"/>
      <sheetName val="Feuil2"/>
      <sheetName val="Feuil3"/>
      <sheetName val="compt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2521">
          <cell r="E2521">
            <v>60000</v>
          </cell>
        </row>
        <row r="2522">
          <cell r="F2522">
            <v>180000</v>
          </cell>
        </row>
        <row r="2523">
          <cell r="F2523">
            <v>120000</v>
          </cell>
        </row>
        <row r="2524">
          <cell r="F2524">
            <v>2700</v>
          </cell>
        </row>
        <row r="2525">
          <cell r="E2525">
            <v>25000</v>
          </cell>
        </row>
        <row r="2526">
          <cell r="F2526">
            <v>15000</v>
          </cell>
        </row>
        <row r="2527">
          <cell r="E2527">
            <v>30000</v>
          </cell>
        </row>
        <row r="2528">
          <cell r="F2528">
            <v>15000</v>
          </cell>
        </row>
        <row r="2529">
          <cell r="E2529">
            <v>210000</v>
          </cell>
        </row>
        <row r="2530">
          <cell r="F2530">
            <v>10000</v>
          </cell>
        </row>
        <row r="2531">
          <cell r="F2531">
            <v>60000</v>
          </cell>
        </row>
        <row r="2532">
          <cell r="F2532">
            <v>4500</v>
          </cell>
        </row>
        <row r="2533">
          <cell r="F2533">
            <v>125000</v>
          </cell>
        </row>
        <row r="2534">
          <cell r="F2534">
            <v>49900</v>
          </cell>
        </row>
      </sheetData>
      <sheetData sheetId="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A_I23C"/>
      <sheetName val="Feuil2"/>
      <sheetName val="Feuil1"/>
      <sheetName val="COMPTA_I23C (2)"/>
      <sheetName val="Cumul transport"/>
      <sheetName val="ACHAT BOISSON"/>
      <sheetName val="Cumul transport (2)"/>
      <sheetName val="Cumul transport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171">
          <cell r="E4171">
            <v>90000</v>
          </cell>
        </row>
        <row r="4172">
          <cell r="E4172">
            <v>100000</v>
          </cell>
        </row>
        <row r="4174">
          <cell r="E4174">
            <v>100000</v>
          </cell>
        </row>
        <row r="4178">
          <cell r="E4178">
            <v>20000</v>
          </cell>
        </row>
        <row r="4180">
          <cell r="E4180">
            <v>150000</v>
          </cell>
        </row>
        <row r="4181">
          <cell r="E4181">
            <v>235000</v>
          </cell>
        </row>
      </sheetData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1 (2)"/>
      <sheetName val="cumul transport local"/>
      <sheetName val="Feuil2"/>
      <sheetName val="Feuil3"/>
    </sheetNames>
    <sheetDataSet>
      <sheetData sheetId="0" refreshError="1"/>
      <sheetData sheetId="1" refreshError="1">
        <row r="2684">
          <cell r="E2684">
            <v>110000</v>
          </cell>
        </row>
        <row r="2689">
          <cell r="E2689">
            <v>40000</v>
          </cell>
        </row>
        <row r="2691">
          <cell r="E2691">
            <v>125000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ompta Jospin"/>
      <sheetName val="Feuil1"/>
      <sheetName val="Compta Jospin (2)"/>
      <sheetName val="Feuil4"/>
    </sheetNames>
    <sheetDataSet>
      <sheetData sheetId="0" refreshError="1"/>
      <sheetData sheetId="1" refreshError="1"/>
      <sheetData sheetId="2" refreshError="1">
        <row r="1583">
          <cell r="E1583">
            <v>15000</v>
          </cell>
        </row>
        <row r="1584">
          <cell r="E1584">
            <v>40000</v>
          </cell>
        </row>
        <row r="1587">
          <cell r="E1587">
            <v>41400</v>
          </cell>
        </row>
        <row r="1592">
          <cell r="F1592">
            <v>950</v>
          </cell>
        </row>
      </sheetData>
      <sheetData sheetId="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-P29"/>
      <sheetName val="Feuil2"/>
      <sheetName val="Feuil1"/>
      <sheetName val="COMPT-P29 (2)"/>
      <sheetName val="cumul transport local"/>
      <sheetName val="Cumul achat bois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0">
          <cell r="E190">
            <v>40000</v>
          </cell>
        </row>
        <row r="191">
          <cell r="E191">
            <v>110000</v>
          </cell>
        </row>
        <row r="196">
          <cell r="E196">
            <v>116600</v>
          </cell>
        </row>
        <row r="201">
          <cell r="E201">
            <v>25000</v>
          </cell>
        </row>
        <row r="202">
          <cell r="E202">
            <v>150000</v>
          </cell>
        </row>
        <row r="204">
          <cell r="E204">
            <v>214000</v>
          </cell>
        </row>
        <row r="207">
          <cell r="E207">
            <v>100000</v>
          </cell>
        </row>
        <row r="215">
          <cell r="E215">
            <v>100000</v>
          </cell>
        </row>
      </sheetData>
      <sheetData sheetId="5" refreshError="1"/>
      <sheetData sheetId="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J2018-3" refreshedDate="44414.548438425925" createdVersion="5" refreshedVersion="3" minRefreshableVersion="3" recordCount="288">
  <cacheSource type="worksheet">
    <worksheetSource ref="D2:D116" sheet="DATA  JUILLET 2021"/>
  </cacheSource>
  <cacheFields count="15">
    <cacheField name="Date" numFmtId="15">
      <sharedItems containsSemiMixedTypes="0" containsNonDate="0" containsDate="1" containsString="0" minDate="2021-07-01T00:00:00" maxDate="2021-08-01T00:00:00"/>
    </cacheField>
    <cacheField name="Details" numFmtId="0">
      <sharedItems/>
    </cacheField>
    <cacheField name="Type de dépenses" numFmtId="0">
      <sharedItems containsBlank="1" count="24">
        <m/>
        <s v="Bonus"/>
        <s v="Versement"/>
        <s v="Flight"/>
        <s v="Transport"/>
        <s v="Transfer Fees"/>
        <s v="Publications"/>
        <s v="Internet"/>
        <s v="Office Materials"/>
        <s v="Services"/>
        <s v="Travel Subsistence"/>
        <s v="Grant"/>
        <s v="Bank Fees"/>
        <s v="Rent &amp; Utilities"/>
        <s v="Lawyer Fees"/>
        <s v="Website"/>
        <s v="Travel Expenses"/>
        <s v="Telephone"/>
        <s v="Jail Visits"/>
        <s v="Personnel"/>
        <s v="Trust Building"/>
        <s v="Court Fees"/>
        <s v="Téléphone" u="1"/>
        <s v="Téléphone " u="1"/>
      </sharedItems>
    </cacheField>
    <cacheField name="Departement" numFmtId="0">
      <sharedItems containsBlank="1"/>
    </cacheField>
    <cacheField name="Received" numFmtId="165">
      <sharedItems containsString="0" containsBlank="1" containsNumber="1" containsInteger="1" minValue="500" maxValue="31201251"/>
    </cacheField>
    <cacheField name="Spent" numFmtId="0">
      <sharedItems containsString="0" containsBlank="1" containsNumber="1" containsInteger="1" minValue="-20000" maxValue="1000000"/>
    </cacheField>
    <cacheField name="Balance" numFmtId="165">
      <sharedItems containsMixedTypes="1" containsNumber="1" containsInteger="1" minValue="17627281" maxValue="18027281"/>
    </cacheField>
    <cacheField name="Name" numFmtId="0">
      <sharedItems containsBlank="1" count="12">
        <m/>
        <s v="Caisse"/>
        <s v="Jack-Bénisson"/>
        <s v="Crépin"/>
        <s v="I23C"/>
        <s v="Evariste"/>
        <s v="P29"/>
        <s v="BCI Sous-Compte"/>
        <s v="Ted"/>
        <s v="Tiffany"/>
        <s v="Merveille"/>
        <s v="BCI"/>
      </sharedItems>
    </cacheField>
    <cacheField name="Receipt" numFmtId="0">
      <sharedItems containsBlank="1" containsMixedTypes="1" containsNumber="1" containsInteger="1" minValue="3643489" maxValue="3654452"/>
    </cacheField>
    <cacheField name="Donor" numFmtId="0">
      <sharedItems containsBlank="1"/>
    </cacheField>
    <cacheField name="Project" numFmtId="0">
      <sharedItems containsBlank="1"/>
    </cacheField>
    <cacheField name="Country" numFmtId="0">
      <sharedItems/>
    </cacheField>
    <cacheField name="N°Pièce" numFmtId="0">
      <sharedItems containsNonDate="0" containsString="0" containsBlank="1"/>
    </cacheField>
    <cacheField name="Code budgetaire" numFmtId="0">
      <sharedItems containsBlank="1"/>
    </cacheField>
    <cacheField name="Contrôl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J2018-3" refreshedDate="44414.548439467595" createdVersion="5" refreshedVersion="3" minRefreshableVersion="3" recordCount="297">
  <cacheSource type="worksheet">
    <worksheetSource ref="D2:D116" sheet="DATA  JUILLET 2021"/>
  </cacheSource>
  <cacheFields count="15">
    <cacheField name="Date" numFmtId="0">
      <sharedItems containsNonDate="0" containsDate="1" containsString="0" containsBlank="1" minDate="2021-07-01T00:00:00" maxDate="2021-08-01T00:00:00"/>
    </cacheField>
    <cacheField name="Details" numFmtId="0">
      <sharedItems containsBlank="1"/>
    </cacheField>
    <cacheField name="Type de dépenses" numFmtId="0">
      <sharedItems containsBlank="1"/>
    </cacheField>
    <cacheField name="Departement" numFmtId="0">
      <sharedItems containsBlank="1"/>
    </cacheField>
    <cacheField name="Received" numFmtId="0">
      <sharedItems containsString="0" containsBlank="1" containsNumber="1" containsInteger="1" minValue="500" maxValue="31201251"/>
    </cacheField>
    <cacheField name="Spent" numFmtId="0">
      <sharedItems containsString="0" containsBlank="1" containsNumber="1" containsInteger="1" minValue="-20000" maxValue="1000000"/>
    </cacheField>
    <cacheField name="Balance" numFmtId="165">
      <sharedItems containsBlank="1" containsMixedTypes="1" containsNumber="1" containsInteger="1" minValue="17627281" maxValue="18027281"/>
    </cacheField>
    <cacheField name="Name" numFmtId="0">
      <sharedItems containsBlank="1"/>
    </cacheField>
    <cacheField name="Receipt" numFmtId="0">
      <sharedItems containsBlank="1" containsMixedTypes="1" containsNumber="1" containsInteger="1" minValue="3643489" maxValue="3654452"/>
    </cacheField>
    <cacheField name="Donor" numFmtId="0">
      <sharedItems containsBlank="1" count="3">
        <m/>
        <s v="AVAAZ 2020"/>
        <s v="UE"/>
      </sharedItems>
    </cacheField>
    <cacheField name="Project" numFmtId="0">
      <sharedItems containsBlank="1"/>
    </cacheField>
    <cacheField name="Country" numFmtId="0">
      <sharedItems containsBlank="1"/>
    </cacheField>
    <cacheField name="N°Pièce" numFmtId="0">
      <sharedItems containsNonDate="0" containsString="0" containsBlank="1"/>
    </cacheField>
    <cacheField name="Code budgetaire" numFmtId="0">
      <sharedItems containsBlank="1"/>
    </cacheField>
    <cacheField name="Contrôl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8">
  <r>
    <d v="2021-07-01T00:00:00"/>
    <s v="Solde au 01/07/2021"/>
    <x v="0"/>
    <m/>
    <n v="18027281"/>
    <m/>
    <n v="18027281"/>
    <x v="0"/>
    <m/>
    <m/>
    <m/>
    <s v="CONGO"/>
    <m/>
    <m/>
    <m/>
  </r>
  <r>
    <d v="2021-07-01T00:00:00"/>
    <s v="Bonus média"/>
    <x v="1"/>
    <s v="Media"/>
    <m/>
    <n v="150000"/>
    <n v="17877281"/>
    <x v="1"/>
    <s v="Decharge"/>
    <s v="AVAAZ 2020"/>
    <s v="PALF"/>
    <s v="CONGO"/>
    <m/>
    <m/>
    <m/>
  </r>
  <r>
    <d v="2021-07-01T00:00:00"/>
    <s v="Evariste"/>
    <x v="2"/>
    <m/>
    <m/>
    <n v="10000"/>
    <n v="17867281"/>
    <x v="1"/>
    <m/>
    <m/>
    <m/>
    <s v="CONGO"/>
    <m/>
    <m/>
    <m/>
  </r>
  <r>
    <d v="2021-07-01T00:00:00"/>
    <s v="P29"/>
    <x v="2"/>
    <m/>
    <m/>
    <n v="30000"/>
    <n v="17837281"/>
    <x v="1"/>
    <m/>
    <m/>
    <m/>
    <s v="CONGO"/>
    <m/>
    <m/>
    <m/>
  </r>
  <r>
    <d v="2021-07-01T00:00:00"/>
    <s v="I23C"/>
    <x v="2"/>
    <m/>
    <m/>
    <n v="120000"/>
    <n v="17717281"/>
    <x v="1"/>
    <m/>
    <m/>
    <m/>
    <s v="CONGO"/>
    <m/>
    <m/>
    <m/>
  </r>
  <r>
    <d v="2021-07-01T00:00:00"/>
    <s v="Crépin"/>
    <x v="2"/>
    <m/>
    <m/>
    <n v="50000"/>
    <n v="17667281"/>
    <x v="1"/>
    <m/>
    <m/>
    <m/>
    <s v="CONGO"/>
    <m/>
    <m/>
    <m/>
  </r>
  <r>
    <d v="2021-07-01T00:00:00"/>
    <s v="Achat billet d'avion Brazzaville-Pointe-Noire (compagnie aérienne Canadian Airways Congo)"/>
    <x v="3"/>
    <s v="Legal"/>
    <m/>
    <n v="40000"/>
    <n v="17627281"/>
    <x v="2"/>
    <s v="Oui"/>
    <s v="UE"/>
    <s v="RALFF"/>
    <s v="CONGO"/>
    <m/>
    <s v="2.2"/>
    <m/>
  </r>
  <r>
    <d v="2021-07-01T00:00:00"/>
    <s v="Recu de la caisse"/>
    <x v="2"/>
    <s v="Management"/>
    <n v="50000"/>
    <m/>
    <n v="17677281"/>
    <x v="3"/>
    <s v="Decharge"/>
    <m/>
    <m/>
    <s v="CONGO"/>
    <m/>
    <m/>
    <m/>
  </r>
  <r>
    <d v="2021-07-01T00:00:00"/>
    <s v="Reçu caisse"/>
    <x v="2"/>
    <s v="Investigations"/>
    <n v="120000"/>
    <m/>
    <n v="17797281"/>
    <x v="4"/>
    <s v="Decharge"/>
    <m/>
    <m/>
    <s v="CONGO"/>
    <m/>
    <m/>
    <m/>
  </r>
  <r>
    <d v="2021-07-01T00:00:00"/>
    <s v="Achat billet BZ-PN (Mission Pn)"/>
    <x v="4"/>
    <s v="Investigations"/>
    <m/>
    <n v="15000"/>
    <n v="17782281"/>
    <x v="4"/>
    <s v="Oui"/>
    <s v="UE"/>
    <s v="RALFF"/>
    <s v="CONGO"/>
    <m/>
    <s v="2.2"/>
    <m/>
  </r>
  <r>
    <d v="2021-07-01T00:00:00"/>
    <s v="Reçu de la caisse"/>
    <x v="2"/>
    <s v="Media"/>
    <n v="10000"/>
    <m/>
    <n v="17792281"/>
    <x v="5"/>
    <s v="Decharge"/>
    <m/>
    <m/>
    <s v="CONGO"/>
    <m/>
    <m/>
    <m/>
  </r>
  <r>
    <d v="2021-07-01T00:00:00"/>
    <s v="Recu de caisse"/>
    <x v="2"/>
    <s v="Investigations"/>
    <n v="30000"/>
    <m/>
    <n v="17822281"/>
    <x v="6"/>
    <s v="Decharge"/>
    <m/>
    <m/>
    <s v="CONGO"/>
    <m/>
    <m/>
    <m/>
  </r>
  <r>
    <d v="2021-07-01T00:00:00"/>
    <s v="Achat billet BZV-Loudima"/>
    <x v="4"/>
    <s v="Investigations"/>
    <m/>
    <n v="10000"/>
    <n v="17812281"/>
    <x v="6"/>
    <s v="Oui"/>
    <s v="UE"/>
    <s v="RALFF"/>
    <s v="CONGO"/>
    <m/>
    <s v="2.2"/>
    <m/>
  </r>
  <r>
    <d v="2021-07-02T00:00:00"/>
    <s v="BCI/3643489-56"/>
    <x v="2"/>
    <s v="Office"/>
    <n v="1000000"/>
    <m/>
    <e v="#REF!"/>
    <x v="1"/>
    <m/>
    <m/>
    <m/>
    <s v="CONGO"/>
    <m/>
    <m/>
    <m/>
  </r>
  <r>
    <d v="2021-07-02T00:00:00"/>
    <s v="JB"/>
    <x v="2"/>
    <m/>
    <m/>
    <n v="71000"/>
    <e v="#REF!"/>
    <x v="1"/>
    <m/>
    <m/>
    <m/>
    <s v="CONGO"/>
    <m/>
    <m/>
    <m/>
  </r>
  <r>
    <d v="2021-07-02T00:00:00"/>
    <s v="Crépin"/>
    <x v="2"/>
    <m/>
    <m/>
    <n v="104000"/>
    <e v="#REF!"/>
    <x v="1"/>
    <m/>
    <m/>
    <m/>
    <s v="CONGO"/>
    <m/>
    <m/>
    <m/>
  </r>
  <r>
    <d v="2021-07-02T00:00:00"/>
    <s v="Frais de transfert Charden Farell /Crépin JB"/>
    <x v="5"/>
    <s v="Office"/>
    <m/>
    <n v="5250"/>
    <e v="#REF!"/>
    <x v="1"/>
    <s v="Oui"/>
    <s v="UE"/>
    <s v="RALFF"/>
    <s v="CONGO"/>
    <m/>
    <s v="5.6"/>
    <m/>
  </r>
  <r>
    <d v="2021-07-02T00:00:00"/>
    <s v="Reglement factures Zanne LABUSCHAGNE/Production newsletter"/>
    <x v="6"/>
    <s v="Office"/>
    <m/>
    <n v="175000"/>
    <e v="#REF!"/>
    <x v="1"/>
    <s v="Oui"/>
    <s v="UE"/>
    <s v="RALFF"/>
    <s v="CONGO"/>
    <m/>
    <s v="5.1"/>
    <m/>
  </r>
  <r>
    <d v="2021-07-02T00:00:00"/>
    <s v="Frais de transfert western Union/zanne"/>
    <x v="5"/>
    <s v="Office"/>
    <m/>
    <n v="11386"/>
    <e v="#REF!"/>
    <x v="1"/>
    <s v="Oui"/>
    <s v="UE"/>
    <s v="RALFF"/>
    <s v="CONGO"/>
    <m/>
    <s v="5.6"/>
    <m/>
  </r>
  <r>
    <d v="2021-07-02T00:00:00"/>
    <s v="Reglement Facture Internet/mois de Juillet 2021/congo telecom"/>
    <x v="7"/>
    <s v="Office"/>
    <m/>
    <n v="89175"/>
    <e v="#REF!"/>
    <x v="1"/>
    <s v="Oui"/>
    <s v="UE"/>
    <s v="RALFF"/>
    <s v="CONGO"/>
    <m/>
    <s v="4.5"/>
    <m/>
  </r>
  <r>
    <d v="2021-07-02T00:00:00"/>
    <s v="Achat eau bureau"/>
    <x v="8"/>
    <s v="Office"/>
    <m/>
    <n v="18000"/>
    <e v="#REF!"/>
    <x v="1"/>
    <s v="Oui"/>
    <s v="AVAAZ 2020"/>
    <s v="PALF"/>
    <s v="CONGO"/>
    <m/>
    <m/>
    <m/>
  </r>
  <r>
    <d v="2021-07-02T00:00:00"/>
    <s v="MOD/reparation imprimante bureau"/>
    <x v="9"/>
    <s v="Office"/>
    <m/>
    <n v="10000"/>
    <e v="#REF!"/>
    <x v="1"/>
    <s v="Oui"/>
    <s v="AVAAZ 2020"/>
    <s v="PALF"/>
    <s v="CONGO"/>
    <m/>
    <m/>
    <m/>
  </r>
  <r>
    <d v="2021-07-02T00:00:00"/>
    <s v="Caisse"/>
    <x v="2"/>
    <s v="Legal"/>
    <n v="71000"/>
    <m/>
    <e v="#REF!"/>
    <x v="2"/>
    <s v="Decharge"/>
    <m/>
    <m/>
    <s v="CONGO"/>
    <m/>
    <m/>
    <m/>
  </r>
  <r>
    <d v="2021-07-02T00:00:00"/>
    <s v="Billet- Brazzaville-Dolisie"/>
    <x v="4"/>
    <s v="Management"/>
    <m/>
    <n v="10000"/>
    <e v="#REF!"/>
    <x v="3"/>
    <s v="Oui"/>
    <s v="UE"/>
    <s v="RALFF"/>
    <s v="CONGO"/>
    <m/>
    <s v="2.2"/>
    <m/>
  </r>
  <r>
    <d v="2021-07-02T00:00:00"/>
    <s v="Food-Allowance du 02 au 21/07/2021"/>
    <x v="10"/>
    <s v="Management"/>
    <m/>
    <n v="190000"/>
    <e v="#REF!"/>
    <x v="3"/>
    <s v="Decharge"/>
    <s v="UE"/>
    <s v="RALFF"/>
    <s v="CONGO"/>
    <m/>
    <s v="1.3.2"/>
    <m/>
  </r>
  <r>
    <d v="2021-07-02T00:00:00"/>
    <s v="Food allowance mission PN-Nkayi-Madingou du 2 au 10 Juillet 2021"/>
    <x v="10"/>
    <s v="Investigations"/>
    <m/>
    <n v="80000"/>
    <e v="#REF!"/>
    <x v="4"/>
    <s v="Decharge"/>
    <s v="UE"/>
    <s v="RALFF"/>
    <s v="CONGO"/>
    <m/>
    <s v="1.3.2"/>
    <m/>
  </r>
  <r>
    <d v="2021-07-02T00:00:00"/>
    <s v="Food allowance mission du 02 au 10/07"/>
    <x v="10"/>
    <s v="Investigations"/>
    <m/>
    <n v="80000"/>
    <e v="#REF!"/>
    <x v="6"/>
    <s v="Decharge"/>
    <s v="UE"/>
    <s v="RALFF"/>
    <s v="CONGO"/>
    <m/>
    <s v="1.3.2"/>
    <m/>
  </r>
  <r>
    <d v="2021-07-02T00:00:00"/>
    <s v="Frais de transport   LOUDIMA-SIBITI"/>
    <x v="4"/>
    <s v="Investigations"/>
    <m/>
    <n v="4000"/>
    <e v="#REF!"/>
    <x v="6"/>
    <s v="Oui"/>
    <s v="AVAAZ 2020"/>
    <s v="PALF"/>
    <s v="CONGO"/>
    <m/>
    <s v="2.2"/>
    <m/>
  </r>
  <r>
    <d v="2021-07-02T00:00:00"/>
    <s v="Fond Reçu de UE"/>
    <x v="11"/>
    <m/>
    <n v="31201251"/>
    <m/>
    <e v="#REF!"/>
    <x v="7"/>
    <s v="Relevé"/>
    <s v="UE"/>
    <m/>
    <s v="CONGO"/>
    <m/>
    <m/>
    <m/>
  </r>
  <r>
    <d v="2021-07-02T00:00:00"/>
    <s v="Retrait especes/appro caisse/bord n°3643489"/>
    <x v="2"/>
    <s v="Office"/>
    <m/>
    <n v="1000000"/>
    <e v="#REF!"/>
    <x v="7"/>
    <n v="3643489"/>
    <m/>
    <m/>
    <s v="CONGO"/>
    <m/>
    <m/>
    <m/>
  </r>
  <r>
    <d v="2021-07-02T00:00:00"/>
    <s v="Frais s/virement emis"/>
    <x v="12"/>
    <s v="Office"/>
    <m/>
    <n v="2600"/>
    <e v="#REF!"/>
    <x v="7"/>
    <s v="Releve"/>
    <s v="UE"/>
    <s v="RALFF"/>
    <s v="CONGO"/>
    <m/>
    <s v="5.6"/>
    <m/>
  </r>
  <r>
    <d v="2021-07-02T00:00:00"/>
    <s v="Reglement gardiennage mois de JUIN  2021"/>
    <x v="9"/>
    <s v="Office"/>
    <m/>
    <n v="260000"/>
    <e v="#REF!"/>
    <x v="7"/>
    <s v="Virement"/>
    <s v="AVAAZ 2020"/>
    <s v="PALF"/>
    <s v="CONGO"/>
    <m/>
    <m/>
    <m/>
  </r>
  <r>
    <d v="2021-07-02T00:00:00"/>
    <s v="Frais extrait de compte siege BCI Congo"/>
    <x v="12"/>
    <s v="Office"/>
    <m/>
    <n v="2663"/>
    <e v="#REF!"/>
    <x v="7"/>
    <s v="Releve"/>
    <s v="UE"/>
    <s v="RALFF"/>
    <s v="CONGO"/>
    <m/>
    <s v="5.6"/>
    <m/>
  </r>
  <r>
    <d v="2021-07-03T00:00:00"/>
    <s v="Frais hôtel mission PN du 01 au 03 juillet 2021 (2 nuitées)"/>
    <x v="10"/>
    <s v="Legal"/>
    <m/>
    <n v="30000"/>
    <e v="#REF!"/>
    <x v="2"/>
    <s v="Oui"/>
    <s v="UE"/>
    <s v="RALFF"/>
    <s v="CONGO"/>
    <m/>
    <s v="1.3.2"/>
    <m/>
  </r>
  <r>
    <d v="2021-07-03T00:00:00"/>
    <s v="Foodallowance mission PN du 01  juillet 2021 au 01 Août 2021"/>
    <x v="10"/>
    <s v="Legal"/>
    <m/>
    <n v="310000"/>
    <e v="#REF!"/>
    <x v="2"/>
    <s v="Decharge"/>
    <s v="UE"/>
    <s v="RALFF"/>
    <s v="CONGO"/>
    <m/>
    <s v="1.3.2"/>
    <m/>
  </r>
  <r>
    <d v="2021-07-03T00:00:00"/>
    <s v="Achat billet Pointe-Noire-Dolisie"/>
    <x v="4"/>
    <s v="Legal"/>
    <m/>
    <n v="5000"/>
    <e v="#REF!"/>
    <x v="2"/>
    <s v="Oui"/>
    <s v="UE"/>
    <s v="RALFF"/>
    <s v="CONGO"/>
    <m/>
    <s v="2.2"/>
    <m/>
  </r>
  <r>
    <d v="2021-07-03T00:00:00"/>
    <s v="Reçu de caisse"/>
    <x v="2"/>
    <s v="Management"/>
    <n v="104000"/>
    <m/>
    <e v="#REF!"/>
    <x v="3"/>
    <s v="Decharge"/>
    <m/>
    <m/>
    <s v="CONGO"/>
    <m/>
    <m/>
    <m/>
  </r>
  <r>
    <d v="2021-07-05T00:00:00"/>
    <s v="I23C"/>
    <x v="2"/>
    <m/>
    <m/>
    <n v="159000"/>
    <e v="#REF!"/>
    <x v="1"/>
    <m/>
    <m/>
    <m/>
    <s v="CONGO"/>
    <m/>
    <m/>
    <m/>
  </r>
  <r>
    <d v="2021-07-05T00:00:00"/>
    <s v="P29"/>
    <x v="2"/>
    <m/>
    <m/>
    <n v="107000"/>
    <e v="#REF!"/>
    <x v="1"/>
    <m/>
    <m/>
    <m/>
    <s v="CONGO"/>
    <m/>
    <m/>
    <m/>
  </r>
  <r>
    <d v="2021-07-05T00:00:00"/>
    <s v="JB"/>
    <x v="2"/>
    <m/>
    <m/>
    <n v="158000"/>
    <e v="#REF!"/>
    <x v="1"/>
    <m/>
    <m/>
    <m/>
    <s v="CONGO"/>
    <m/>
    <m/>
    <m/>
  </r>
  <r>
    <d v="2021-07-05T00:00:00"/>
    <s v="Crépin"/>
    <x v="2"/>
    <m/>
    <m/>
    <n v="92000"/>
    <e v="#REF!"/>
    <x v="1"/>
    <m/>
    <m/>
    <m/>
    <s v="CONGO"/>
    <m/>
    <m/>
    <m/>
  </r>
  <r>
    <d v="2021-07-05T00:00:00"/>
    <s v="Frais transfert Charden Farell/JB"/>
    <x v="5"/>
    <s v="Office"/>
    <m/>
    <n v="15480"/>
    <e v="#REF!"/>
    <x v="1"/>
    <m/>
    <s v="UE"/>
    <s v="RALFF"/>
    <s v="CONGO"/>
    <m/>
    <s v="5.6"/>
    <m/>
  </r>
  <r>
    <d v="2021-07-05T00:00:00"/>
    <s v="Ted"/>
    <x v="2"/>
    <m/>
    <m/>
    <n v="10000"/>
    <e v="#REF!"/>
    <x v="1"/>
    <m/>
    <m/>
    <m/>
    <s v="CONGO"/>
    <m/>
    <m/>
    <m/>
  </r>
  <r>
    <d v="2021-07-05T00:00:00"/>
    <s v="Reglement facture E²C/Mai-Juin 2021/bureau PALF"/>
    <x v="13"/>
    <s v="Office"/>
    <m/>
    <n v="57912"/>
    <e v="#REF!"/>
    <x v="1"/>
    <s v="Oui"/>
    <s v="UE"/>
    <s v="RALFF"/>
    <s v="CONGO"/>
    <m/>
    <s v="4.4"/>
    <m/>
  </r>
  <r>
    <d v="2021-07-05T00:00:00"/>
    <s v="Frais de mission à Dolisie maitre MOUYETI du 06 au 08/07/2021"/>
    <x v="14"/>
    <s v="Legal"/>
    <m/>
    <n v="76000"/>
    <e v="#REF!"/>
    <x v="1"/>
    <m/>
    <s v="UE"/>
    <s v="RALFF"/>
    <s v="CONGO"/>
    <m/>
    <s v="5.2.2"/>
    <m/>
  </r>
  <r>
    <d v="2021-07-05T00:00:00"/>
    <s v="Réçu de caisse"/>
    <x v="2"/>
    <s v="Investigations"/>
    <n v="159000"/>
    <m/>
    <e v="#REF!"/>
    <x v="4"/>
    <s v="Decharge"/>
    <m/>
    <m/>
    <s v="CONGO"/>
    <m/>
    <m/>
    <m/>
  </r>
  <r>
    <d v="2021-07-05T00:00:00"/>
    <s v="Reçu caisse/Ted"/>
    <x v="2"/>
    <m/>
    <n v="10000"/>
    <m/>
    <e v="#REF!"/>
    <x v="8"/>
    <s v="Decharge"/>
    <m/>
    <m/>
    <s v="CONGO"/>
    <m/>
    <m/>
    <m/>
  </r>
  <r>
    <d v="2021-07-05T00:00:00"/>
    <s v="Recu de caisse"/>
    <x v="2"/>
    <s v="Investigations"/>
    <n v="107000"/>
    <m/>
    <e v="#REF!"/>
    <x v="6"/>
    <s v="Decharge"/>
    <m/>
    <m/>
    <s v="CONGO"/>
    <m/>
    <m/>
    <m/>
  </r>
  <r>
    <d v="2021-07-06T00:00:00"/>
    <s v="Bonus mois de Juin 2021/Evariste"/>
    <x v="1"/>
    <s v="Media"/>
    <m/>
    <n v="20000"/>
    <e v="#REF!"/>
    <x v="1"/>
    <s v="Decharge"/>
    <s v="AVAAZ 2020"/>
    <s v="PALF"/>
    <s v="CONGO"/>
    <m/>
    <m/>
    <m/>
  </r>
  <r>
    <d v="2021-07-06T00:00:00"/>
    <s v="Bonus operation/Evariste"/>
    <x v="1"/>
    <s v="Operations"/>
    <m/>
    <n v="30000"/>
    <e v="#REF!"/>
    <x v="1"/>
    <s v="Decharge"/>
    <s v="AVAAZ 2020"/>
    <s v="PALF"/>
    <s v="CONGO"/>
    <m/>
    <m/>
    <m/>
  </r>
  <r>
    <d v="2021-07-06T00:00:00"/>
    <s v="Tiffany"/>
    <x v="2"/>
    <m/>
    <m/>
    <n v="20000"/>
    <e v="#REF!"/>
    <x v="1"/>
    <m/>
    <m/>
    <m/>
    <s v="CONGO"/>
    <m/>
    <m/>
    <m/>
  </r>
  <r>
    <d v="2021-07-06T00:00:00"/>
    <s v="Evariste"/>
    <x v="2"/>
    <m/>
    <m/>
    <n v="10000"/>
    <e v="#REF!"/>
    <x v="1"/>
    <m/>
    <m/>
    <m/>
    <s v="CONGO"/>
    <m/>
    <m/>
    <m/>
  </r>
  <r>
    <d v="2021-07-06T00:00:00"/>
    <s v="Bonus média"/>
    <x v="1"/>
    <s v="Media"/>
    <m/>
    <n v="33000"/>
    <e v="#REF!"/>
    <x v="1"/>
    <s v="Decharge"/>
    <s v="AVAAZ 2020"/>
    <s v="PALF"/>
    <s v="CONGO"/>
    <m/>
    <m/>
    <m/>
  </r>
  <r>
    <d v="2021-07-06T00:00:00"/>
    <s v="Frais de transfert Charden Farell /Crépin "/>
    <x v="5"/>
    <s v="Office"/>
    <m/>
    <n v="1200"/>
    <e v="#REF!"/>
    <x v="1"/>
    <s v="Oui"/>
    <s v="UE"/>
    <s v="RALFF"/>
    <s v="CONGO"/>
    <m/>
    <s v="5.6"/>
    <m/>
  </r>
  <r>
    <d v="2021-07-06T00:00:00"/>
    <s v="BCI/3654451-34"/>
    <x v="2"/>
    <s v="Office"/>
    <n v="1000000"/>
    <m/>
    <e v="#REF!"/>
    <x v="1"/>
    <m/>
    <m/>
    <m/>
    <s v="CONGO"/>
    <m/>
    <m/>
    <m/>
  </r>
  <r>
    <d v="2021-07-06T00:00:00"/>
    <s v="Telechargement des pilotes imprimante Ricoh sp 311"/>
    <x v="15"/>
    <s v="Office"/>
    <m/>
    <n v="35000"/>
    <e v="#REF!"/>
    <x v="1"/>
    <s v="Oui"/>
    <s v="UE"/>
    <s v="RALFF"/>
    <s v="CONGO"/>
    <m/>
    <s v="4.4"/>
    <m/>
  </r>
  <r>
    <d v="2021-07-06T00:00:00"/>
    <s v="Merveille"/>
    <x v="2"/>
    <m/>
    <m/>
    <n v="17000"/>
    <e v="#REF!"/>
    <x v="1"/>
    <m/>
    <m/>
    <m/>
    <s v="CONGO"/>
    <m/>
    <m/>
    <m/>
  </r>
  <r>
    <d v="2021-07-06T00:00:00"/>
    <s v="Caisse"/>
    <x v="2"/>
    <m/>
    <n v="158000"/>
    <m/>
    <e v="#REF!"/>
    <x v="2"/>
    <s v="Decharge"/>
    <m/>
    <m/>
    <s v="CONGO"/>
    <m/>
    <m/>
    <m/>
  </r>
  <r>
    <d v="2021-07-06T00:00:00"/>
    <s v="Achat billet Dolisie-PN"/>
    <x v="4"/>
    <s v="Legal"/>
    <m/>
    <n v="5000"/>
    <e v="#REF!"/>
    <x v="2"/>
    <s v="Oui"/>
    <s v="UE"/>
    <s v="RALFF"/>
    <s v="CONGO"/>
    <m/>
    <s v="2.2"/>
    <m/>
  </r>
  <r>
    <d v="2021-07-06T00:00:00"/>
    <s v="Frais hôtel mission Dolisie du 03 au 06 juillet 2021 (3 nuitées)"/>
    <x v="10"/>
    <s v="Legal"/>
    <m/>
    <n v="45000"/>
    <e v="#REF!"/>
    <x v="2"/>
    <s v="Oui"/>
    <s v="UE"/>
    <s v="RALFF"/>
    <s v="CONGO"/>
    <m/>
    <s v="1.3.2"/>
    <m/>
  </r>
  <r>
    <d v="2021-07-06T00:00:00"/>
    <s v="Reçu de Caisse"/>
    <x v="2"/>
    <s v="Management"/>
    <n v="92000"/>
    <m/>
    <e v="#REF!"/>
    <x v="3"/>
    <s v="Decharge"/>
    <m/>
    <m/>
    <s v="CONGO"/>
    <m/>
    <m/>
    <m/>
  </r>
  <r>
    <d v="2021-07-06T00:00:00"/>
    <s v="Reçu caisse/Tiffany"/>
    <x v="2"/>
    <m/>
    <n v="20000"/>
    <m/>
    <e v="#REF!"/>
    <x v="9"/>
    <s v="Decharge"/>
    <m/>
    <m/>
    <s v="CONGO"/>
    <m/>
    <m/>
    <m/>
  </r>
  <r>
    <d v="2021-07-06T00:00:00"/>
    <s v="Reçu caisse"/>
    <x v="2"/>
    <m/>
    <n v="17000"/>
    <m/>
    <e v="#REF!"/>
    <x v="10"/>
    <s v="Decharge"/>
    <m/>
    <m/>
    <s v="CONGO"/>
    <m/>
    <m/>
    <m/>
  </r>
  <r>
    <d v="2021-07-06T00:00:00"/>
    <s v="Reçu de la caisse"/>
    <x v="2"/>
    <s v="Media"/>
    <n v="10000"/>
    <m/>
    <e v="#REF!"/>
    <x v="5"/>
    <s v="Decharge"/>
    <m/>
    <m/>
    <s v="CONGO"/>
    <m/>
    <m/>
    <m/>
  </r>
  <r>
    <d v="2021-07-06T00:00:00"/>
    <s v="Retrait especes/appro caisse/bord n°3654451"/>
    <x v="2"/>
    <s v="Office"/>
    <m/>
    <n v="1000000"/>
    <e v="#REF!"/>
    <x v="11"/>
    <n v="3654451"/>
    <m/>
    <m/>
    <s v="CONGO"/>
    <m/>
    <m/>
    <m/>
  </r>
  <r>
    <d v="2021-07-06T00:00:00"/>
    <s v="cotisation Web bank"/>
    <x v="12"/>
    <s v="Office"/>
    <m/>
    <n v="8644"/>
    <e v="#REF!"/>
    <x v="11"/>
    <s v="Releve"/>
    <s v="AVAAZ 2020"/>
    <s v="PALF"/>
    <s v="CONGO"/>
    <m/>
    <m/>
    <m/>
  </r>
  <r>
    <d v="2021-07-07T00:00:00"/>
    <s v="Paiement attestation d'hebergement pour Luc"/>
    <x v="16"/>
    <s v="CCU"/>
    <m/>
    <n v="30000"/>
    <e v="#REF!"/>
    <x v="1"/>
    <s v="Oui"/>
    <s v="AVAAZ 2020"/>
    <s v="PALF"/>
    <s v="CONGO"/>
    <m/>
    <m/>
    <m/>
  </r>
  <r>
    <d v="2021-07-07T00:00:00"/>
    <s v="Achat lait sucre café,javel,sac poubelle,papier toilette et produit nettoyant"/>
    <x v="8"/>
    <s v="Office"/>
    <m/>
    <n v="30450"/>
    <e v="#REF!"/>
    <x v="1"/>
    <s v="Oui"/>
    <s v="AVAAZ 2020"/>
    <s v="PALF"/>
    <s v="CONGO"/>
    <m/>
    <m/>
    <m/>
  </r>
  <r>
    <d v="2021-07-07T00:00:00"/>
    <s v="Frais de transfert charden farell/crepin"/>
    <x v="5"/>
    <s v="Office"/>
    <m/>
    <n v="1860"/>
    <e v="#REF!"/>
    <x v="1"/>
    <s v="Oui"/>
    <s v="UE"/>
    <s v="RALFF"/>
    <s v="CONGO"/>
    <m/>
    <s v="5.6"/>
    <m/>
  </r>
  <r>
    <d v="2021-07-07T00:00:00"/>
    <s v="Crépin"/>
    <x v="2"/>
    <m/>
    <m/>
    <n v="62000"/>
    <e v="#REF!"/>
    <x v="1"/>
    <m/>
    <m/>
    <m/>
    <s v="CONGO"/>
    <m/>
    <m/>
    <m/>
  </r>
  <r>
    <d v="2021-07-07T00:00:00"/>
    <s v="Evariste"/>
    <x v="2"/>
    <m/>
    <m/>
    <n v="8000"/>
    <e v="#REF!"/>
    <x v="1"/>
    <m/>
    <m/>
    <m/>
    <s v="CONGO"/>
    <m/>
    <m/>
    <m/>
  </r>
  <r>
    <d v="2021-07-07T00:00:00"/>
    <s v="Achat Jus + Gâteau coktail au bureau"/>
    <x v="8"/>
    <s v="Team Building"/>
    <m/>
    <n v="21000"/>
    <e v="#REF!"/>
    <x v="1"/>
    <s v="Oui"/>
    <s v="AVAAZ 2020"/>
    <s v="PALF"/>
    <s v="CONGO"/>
    <m/>
    <m/>
    <m/>
  </r>
  <r>
    <d v="2021-07-07T00:00:00"/>
    <s v="Paiement hôtel 5 nuitées du 2 au 7 juillet 2021"/>
    <x v="10"/>
    <s v="Investigations"/>
    <m/>
    <n v="75000"/>
    <e v="#REF!"/>
    <x v="4"/>
    <s v="Oui"/>
    <s v="UE"/>
    <s v="RALFF"/>
    <s v="CONGO"/>
    <m/>
    <s v="1.3.2"/>
    <m/>
  </r>
  <r>
    <d v="2021-07-07T00:00:00"/>
    <s v="Achat billet PN-Dolisie"/>
    <x v="4"/>
    <s v="Investigations"/>
    <m/>
    <n v="5000"/>
    <e v="#REF!"/>
    <x v="4"/>
    <s v="Oui"/>
    <s v="UE"/>
    <s v="RALFF"/>
    <s v="CONGO"/>
    <m/>
    <s v="2.2"/>
    <m/>
  </r>
  <r>
    <d v="2021-07-07T00:00:00"/>
    <s v="Taxi Dolisie-Nkayi"/>
    <x v="4"/>
    <s v="Investigations"/>
    <m/>
    <n v="3000"/>
    <e v="#REF!"/>
    <x v="4"/>
    <s v="Oui"/>
    <s v="AVAAZ 2020"/>
    <s v="PALF"/>
    <s v="CONGO"/>
    <m/>
    <m/>
    <m/>
  </r>
  <r>
    <d v="2021-07-07T00:00:00"/>
    <s v="Reçu de la caisse "/>
    <x v="2"/>
    <s v="Media"/>
    <n v="8000"/>
    <m/>
    <e v="#REF!"/>
    <x v="5"/>
    <s v="Decharge"/>
    <m/>
    <m/>
    <s v="CONGO"/>
    <m/>
    <m/>
    <m/>
  </r>
  <r>
    <d v="2021-07-07T00:00:00"/>
    <s v="Frais d'hotel à Sibiti  du 02/07 au 07/07/2021"/>
    <x v="10"/>
    <s v="Investigations"/>
    <m/>
    <n v="75000"/>
    <e v="#REF!"/>
    <x v="6"/>
    <s v="Oui"/>
    <s v="UE"/>
    <s v="RALFF"/>
    <s v="CONGO"/>
    <m/>
    <s v="1.3.2"/>
    <m/>
  </r>
  <r>
    <d v="2021-07-07T00:00:00"/>
    <s v="Achat billet sibiti-dolisie"/>
    <x v="4"/>
    <s v="Investigations"/>
    <m/>
    <n v="8000"/>
    <e v="#REF!"/>
    <x v="6"/>
    <s v="Oui"/>
    <s v="UE"/>
    <s v="RALFF"/>
    <s v="CONGO"/>
    <m/>
    <s v="2.2"/>
    <m/>
  </r>
  <r>
    <d v="2021-07-08T00:00:00"/>
    <s v="Reçu de caisse"/>
    <x v="2"/>
    <s v="Management"/>
    <n v="62000"/>
    <m/>
    <e v="#REF!"/>
    <x v="3"/>
    <s v="Oui"/>
    <m/>
    <m/>
    <s v="CONGO"/>
    <m/>
    <m/>
    <m/>
  </r>
  <r>
    <d v="2021-07-08T00:00:00"/>
    <s v="Acompte honoraires contrat n°36/Dolisie/maitre Scrutin/3643494"/>
    <x v="14"/>
    <s v="Legal"/>
    <m/>
    <n v="200000"/>
    <e v="#REF!"/>
    <x v="7"/>
    <n v="3643494"/>
    <s v="UE"/>
    <s v="RALFF"/>
    <s v="CONGO"/>
    <m/>
    <s v="5.2.2"/>
    <m/>
  </r>
  <r>
    <d v="2021-07-08T00:00:00"/>
    <s v="Acompte honoraires contrat n°35/Brazzaville/maitre marie Hélène /3643493"/>
    <x v="14"/>
    <s v="Legal"/>
    <m/>
    <n v="200000"/>
    <e v="#REF!"/>
    <x v="7"/>
    <n v="3643493"/>
    <s v="UE"/>
    <s v="RALFF"/>
    <s v="CONGO"/>
    <m/>
    <s v="5.2.2"/>
    <m/>
  </r>
  <r>
    <d v="2021-07-08T00:00:00"/>
    <s v="Frais de consultation avocat Mois de Juillet 2021/LOCKO Christian/3643492"/>
    <x v="14"/>
    <s v="Legal"/>
    <m/>
    <n v="150000"/>
    <e v="#REF!"/>
    <x v="7"/>
    <n v="3643492"/>
    <s v="UE"/>
    <s v="RALFF"/>
    <s v="CONGO"/>
    <m/>
    <s v="5.2.2"/>
    <m/>
  </r>
  <r>
    <d v="2021-07-09T00:00:00"/>
    <s v="Achat eponge,balai,nescafé,brosse toilette et savon liquide/bureau"/>
    <x v="8"/>
    <s v="Office"/>
    <m/>
    <n v="18850"/>
    <e v="#REF!"/>
    <x v="1"/>
    <s v="Oui"/>
    <s v="AVAAZ 2020"/>
    <s v="PALF"/>
    <s v="CONGO"/>
    <m/>
    <m/>
    <m/>
  </r>
  <r>
    <d v="2021-07-09T00:00:00"/>
    <s v="JB"/>
    <x v="2"/>
    <m/>
    <m/>
    <n v="145000"/>
    <e v="#REF!"/>
    <x v="1"/>
    <m/>
    <m/>
    <m/>
    <s v="CONGO"/>
    <m/>
    <m/>
    <m/>
  </r>
  <r>
    <d v="2021-07-09T00:00:00"/>
    <s v="Frais de mission à Pointe-Noire/Maitre Séverin du 12 au 14/07/2021"/>
    <x v="14"/>
    <s v="Legal"/>
    <m/>
    <n v="86000"/>
    <e v="#REF!"/>
    <x v="1"/>
    <s v="Oui"/>
    <s v="UE"/>
    <s v="RALFF"/>
    <s v="CONGO"/>
    <m/>
    <s v="5.2.2"/>
    <m/>
  </r>
  <r>
    <d v="2021-07-09T00:00:00"/>
    <s v="Frais de transfert Charden Farell /Crépin "/>
    <x v="5"/>
    <s v="Office"/>
    <m/>
    <n v="9030"/>
    <e v="#REF!"/>
    <x v="1"/>
    <s v="Oui"/>
    <s v="UE"/>
    <s v="RALFF"/>
    <s v="CONGO"/>
    <m/>
    <s v="5.6"/>
    <m/>
  </r>
  <r>
    <d v="2021-07-09T00:00:00"/>
    <s v="Crépin"/>
    <x v="2"/>
    <m/>
    <m/>
    <n v="111000"/>
    <e v="#REF!"/>
    <x v="1"/>
    <m/>
    <m/>
    <m/>
    <s v="CONGO"/>
    <m/>
    <m/>
    <m/>
  </r>
  <r>
    <d v="2021-07-09T00:00:00"/>
    <s v="Recharge telephone Tiffany/credit MTN"/>
    <x v="17"/>
    <s v="Management"/>
    <m/>
    <n v="5000"/>
    <e v="#REF!"/>
    <x v="1"/>
    <s v="Decharge"/>
    <s v="AVAAZ 2020"/>
    <s v="PALF"/>
    <s v="CONGO"/>
    <m/>
    <m/>
    <m/>
  </r>
  <r>
    <d v="2021-07-09T00:00:00"/>
    <s v="Caisse"/>
    <x v="2"/>
    <s v="Legal"/>
    <n v="145000"/>
    <m/>
    <e v="#REF!"/>
    <x v="2"/>
    <s v="Decharge"/>
    <m/>
    <m/>
    <s v="CONGO"/>
    <m/>
    <m/>
    <m/>
  </r>
  <r>
    <d v="2021-07-09T00:00:00"/>
    <s v="Reçu de caisse"/>
    <x v="2"/>
    <s v="Management"/>
    <n v="111000"/>
    <m/>
    <e v="#REF!"/>
    <x v="3"/>
    <s v="Oui"/>
    <m/>
    <m/>
    <s v="CONGO"/>
    <m/>
    <m/>
    <m/>
  </r>
  <r>
    <d v="2021-07-09T00:00:00"/>
    <s v="Paiement 2 nuitées du 7 au 9 juillet 2021"/>
    <x v="10"/>
    <s v="Investigations"/>
    <m/>
    <n v="30000"/>
    <e v="#REF!"/>
    <x v="4"/>
    <s v="Oui"/>
    <s v="UE"/>
    <s v="RALFF"/>
    <s v="CONGO"/>
    <m/>
    <s v="1.3.2"/>
    <m/>
  </r>
  <r>
    <d v="2021-07-09T00:00:00"/>
    <s v="Taxi Nkayi-Madingou (départ pour Madingou)"/>
    <x v="4"/>
    <s v="Investigations"/>
    <m/>
    <n v="3000"/>
    <e v="#REF!"/>
    <x v="4"/>
    <s v="Oui"/>
    <s v="AVAAZ 2020"/>
    <s v="PALF"/>
    <s v="CONGO"/>
    <m/>
    <m/>
    <m/>
  </r>
  <r>
    <d v="2021-07-09T00:00:00"/>
    <s v="Achat billet dolisie-brazza"/>
    <x v="4"/>
    <s v="Investigations"/>
    <m/>
    <n v="10000"/>
    <e v="#REF!"/>
    <x v="6"/>
    <s v="Oui"/>
    <s v="UE"/>
    <s v="RALFF"/>
    <s v="CONGO"/>
    <m/>
    <s v="2.2"/>
    <m/>
  </r>
  <r>
    <d v="2021-07-10T00:00:00"/>
    <s v="Paiement Hôtel du 9 au 10 Juillet 2021"/>
    <x v="10"/>
    <s v="Investigations"/>
    <m/>
    <n v="15000"/>
    <e v="#REF!"/>
    <x v="4"/>
    <s v="Oui"/>
    <s v="UE"/>
    <s v="RALFF"/>
    <s v="CONGO"/>
    <m/>
    <s v="1.3.2"/>
    <m/>
  </r>
  <r>
    <d v="2021-07-10T00:00:00"/>
    <s v="Taxi Madingou-Brazzaville (départ pour BZ)"/>
    <x v="4"/>
    <s v="Investigations"/>
    <m/>
    <n v="8000"/>
    <e v="#REF!"/>
    <x v="4"/>
    <s v="Oui"/>
    <s v="UE"/>
    <s v="RALFF"/>
    <s v="CONGO"/>
    <m/>
    <s v="2.2"/>
    <m/>
  </r>
  <r>
    <d v="2021-07-10T00:00:00"/>
    <s v="Paiement 3 nuitées du 07/07 au 10/07"/>
    <x v="10"/>
    <s v="Investigations"/>
    <m/>
    <n v="45000"/>
    <e v="#REF!"/>
    <x v="6"/>
    <s v="Oui"/>
    <s v="UE"/>
    <s v="RALFF"/>
    <s v="CONGO"/>
    <m/>
    <s v="1.3.2"/>
    <m/>
  </r>
  <r>
    <d v="2021-07-11T00:00:00"/>
    <s v="Raffraichissement pendant le positionnement avec 4 gendarmes en civil et le chef faune"/>
    <x v="10"/>
    <s v="Operations"/>
    <m/>
    <n v="6000"/>
    <e v="#REF!"/>
    <x v="3"/>
    <s v="Decharge"/>
    <s v="AVAAZ 2020"/>
    <s v="PALF"/>
    <s v="CONGO"/>
    <m/>
    <m/>
    <m/>
  </r>
  <r>
    <d v="2021-07-12T00:00:00"/>
    <s v="Bonus mois de juin 2021/P29"/>
    <x v="1"/>
    <s v="Investigations"/>
    <m/>
    <n v="20000"/>
    <e v="#REF!"/>
    <x v="1"/>
    <s v="Decharge"/>
    <s v="AVAAZ 2020"/>
    <s v="PALF"/>
    <s v="CONGO"/>
    <m/>
    <m/>
    <m/>
  </r>
  <r>
    <d v="2021-07-12T00:00:00"/>
    <s v="Bonus mois de juin 2021/i23c"/>
    <x v="1"/>
    <s v="Investigations"/>
    <m/>
    <n v="50000"/>
    <e v="#REF!"/>
    <x v="1"/>
    <s v="Decharge"/>
    <s v="AVAAZ 2020"/>
    <s v="PALF"/>
    <s v="CONGO"/>
    <m/>
    <m/>
    <m/>
  </r>
  <r>
    <d v="2021-07-12T00:00:00"/>
    <s v="Consultation de Roussel à l'hopital militaire"/>
    <x v="18"/>
    <s v="Legal"/>
    <m/>
    <n v="1000"/>
    <e v="#REF!"/>
    <x v="3"/>
    <s v="Oui"/>
    <s v="AVAAZ 2020"/>
    <s v="PALF"/>
    <s v="CONGO"/>
    <m/>
    <m/>
    <m/>
  </r>
  <r>
    <d v="2021-07-12T00:00:00"/>
    <s v="Achat des produits pharmaceutiques pour Roussel"/>
    <x v="18"/>
    <s v="Legal"/>
    <m/>
    <n v="9665"/>
    <e v="#REF!"/>
    <x v="3"/>
    <s v="Oui"/>
    <s v="AVAAZ 2020"/>
    <s v="PALF"/>
    <s v="CONGO"/>
    <m/>
    <m/>
    <m/>
  </r>
  <r>
    <d v="2021-07-12T00:00:00"/>
    <s v="Paiemet CNSS deuxième trimestre et mois de juillet  Hérick TCHIKAYA"/>
    <x v="19"/>
    <s v="Legal"/>
    <m/>
    <n v="314187"/>
    <e v="#REF!"/>
    <x v="7"/>
    <n v="3643495"/>
    <s v="UE"/>
    <s v="RALFF"/>
    <s v="CONGO"/>
    <m/>
    <s v="1.1.1.7"/>
    <m/>
  </r>
  <r>
    <d v="2021-07-12T00:00:00"/>
    <s v="Paiemet CNSS deuxième trimestre /Avril,Mai et Juin 2021/Ted"/>
    <x v="19"/>
    <s v="Management"/>
    <m/>
    <n v="253422"/>
    <e v="#REF!"/>
    <x v="7"/>
    <n v="3643495"/>
    <s v="UE"/>
    <s v="RALFF"/>
    <s v="CONGO"/>
    <m/>
    <s v="1.1.2.1"/>
    <m/>
  </r>
  <r>
    <d v="2021-07-12T00:00:00"/>
    <s v="Paiemet CNSS deuxième trimestre /Avril,Mai et Juin 2021/Merveille"/>
    <x v="19"/>
    <s v="Management"/>
    <m/>
    <n v="158580"/>
    <e v="#REF!"/>
    <x v="7"/>
    <n v="3643495"/>
    <s v="UE"/>
    <s v="RALFF"/>
    <s v="CONGO"/>
    <m/>
    <s v="1.1.2.1"/>
    <m/>
  </r>
  <r>
    <d v="2021-07-12T00:00:00"/>
    <s v="Paiemet CNSS deuxième trimestre /Avril,Mai et Juin 2021/Geisner"/>
    <x v="19"/>
    <s v="Legal"/>
    <m/>
    <n v="125002"/>
    <e v="#REF!"/>
    <x v="7"/>
    <n v="3643495"/>
    <s v="UE"/>
    <s v="RALFF"/>
    <s v="CONGO"/>
    <m/>
    <s v="1.1.1.7"/>
    <m/>
  </r>
  <r>
    <d v="2021-07-12T00:00:00"/>
    <s v="Paiemet CNSS deuxième trimestre /Avril,Mai et Juin 2021/P29"/>
    <x v="19"/>
    <s v="Investigations"/>
    <m/>
    <n v="94692"/>
    <e v="#REF!"/>
    <x v="7"/>
    <n v="3643495"/>
    <s v="UE"/>
    <s v="RALFF"/>
    <s v="CONGO"/>
    <m/>
    <s v="1.1.1.9"/>
    <m/>
  </r>
  <r>
    <d v="2021-07-12T00:00:00"/>
    <s v="Paiemet CNSS deuxième trimestre /Avril,Mai et Juin 2021/Evariste"/>
    <x v="19"/>
    <s v="Media"/>
    <m/>
    <n v="121401"/>
    <e v="#REF!"/>
    <x v="7"/>
    <n v="3643495"/>
    <s v="UE"/>
    <s v="RALFF"/>
    <s v="CONGO"/>
    <m/>
    <s v="1.1.1.4"/>
    <m/>
  </r>
  <r>
    <d v="2021-07-12T00:00:00"/>
    <s v="Paiemet CNSS deuxième trimestre /Avril,Mai et Juin 2021/MALONGA MERSY Jack-Bénisson"/>
    <x v="19"/>
    <s v="Legal"/>
    <m/>
    <n v="183444"/>
    <e v="#REF!"/>
    <x v="7"/>
    <n v="3643495"/>
    <s v="UE"/>
    <s v="RALFF"/>
    <s v="CONGO"/>
    <m/>
    <s v="1.1.1.7"/>
    <m/>
  </r>
  <r>
    <d v="2021-07-12T00:00:00"/>
    <s v="Paiemet CNSS deuxième trimestre /Avril,Mai et Juin 2021/Crepin IBOUILI-IBOUILI"/>
    <x v="19"/>
    <s v="Legal"/>
    <m/>
    <n v="220377"/>
    <e v="#REF!"/>
    <x v="7"/>
    <n v="3643495"/>
    <s v="UE"/>
    <s v="RALFF"/>
    <s v="CONGO"/>
    <m/>
    <s v="1.1.1.7"/>
    <m/>
  </r>
  <r>
    <d v="2021-07-12T00:00:00"/>
    <s v="Paiemet CNSS deuxième trimestre /Avril,Mai et Juin 2021/Christian"/>
    <x v="19"/>
    <s v="Legal"/>
    <m/>
    <n v="125005"/>
    <e v="#REF!"/>
    <x v="7"/>
    <n v="3643495"/>
    <s v="UE"/>
    <s v="RALFF"/>
    <s v="CONGO"/>
    <m/>
    <s v="1.1.1.7"/>
    <m/>
  </r>
  <r>
    <d v="2021-07-13T00:00:00"/>
    <s v="Achat agenda pour I23C"/>
    <x v="8"/>
    <s v="Office"/>
    <m/>
    <n v="5000"/>
    <e v="#REF!"/>
    <x v="1"/>
    <s v="Oui"/>
    <s v="AVAAZ 2020"/>
    <s v="PALF"/>
    <s v="CONGO"/>
    <m/>
    <m/>
    <m/>
  </r>
  <r>
    <d v="2021-07-13T00:00:00"/>
    <s v="Trust building/achat carte sim pour I23C"/>
    <x v="20"/>
    <s v="Investigations"/>
    <m/>
    <n v="10500"/>
    <e v="#REF!"/>
    <x v="1"/>
    <m/>
    <s v="AVAAZ 2020"/>
    <s v="PALF"/>
    <s v="CONGO"/>
    <m/>
    <m/>
    <m/>
  </r>
  <r>
    <d v="2021-07-13T00:00:00"/>
    <s v="Evariste"/>
    <x v="2"/>
    <m/>
    <m/>
    <n v="10000"/>
    <e v="#REF!"/>
    <x v="1"/>
    <m/>
    <m/>
    <m/>
    <s v="CONGO"/>
    <m/>
    <m/>
    <m/>
  </r>
  <r>
    <d v="2021-07-13T00:00:00"/>
    <s v="Crépin"/>
    <x v="2"/>
    <m/>
    <m/>
    <n v="258000"/>
    <e v="#REF!"/>
    <x v="1"/>
    <m/>
    <m/>
    <m/>
    <s v="CONGO"/>
    <m/>
    <m/>
    <m/>
  </r>
  <r>
    <d v="2021-07-13T00:00:00"/>
    <s v="Frais de Transfert charden farell/Crépin"/>
    <x v="5"/>
    <s v="Office"/>
    <m/>
    <n v="7740"/>
    <e v="#REF!"/>
    <x v="1"/>
    <s v="Oui"/>
    <s v="UE"/>
    <s v="RALFF"/>
    <s v="CONGO"/>
    <m/>
    <s v="5.6"/>
    <m/>
  </r>
  <r>
    <d v="2021-07-13T00:00:00"/>
    <s v="I23C"/>
    <x v="2"/>
    <m/>
    <m/>
    <n v="124000"/>
    <e v="#REF!"/>
    <x v="1"/>
    <m/>
    <m/>
    <m/>
    <s v="CONGO"/>
    <m/>
    <m/>
    <m/>
  </r>
  <r>
    <d v="2021-07-13T00:00:00"/>
    <s v="P29"/>
    <x v="2"/>
    <m/>
    <m/>
    <n v="121000"/>
    <e v="#REF!"/>
    <x v="1"/>
    <m/>
    <m/>
    <m/>
    <s v="CONGO"/>
    <m/>
    <m/>
    <m/>
  </r>
  <r>
    <d v="2021-07-13T00:00:00"/>
    <s v="BCI/3643496-56"/>
    <x v="2"/>
    <s v="Office"/>
    <n v="1000000"/>
    <m/>
    <e v="#REF!"/>
    <x v="1"/>
    <m/>
    <m/>
    <m/>
    <s v="CONGO"/>
    <m/>
    <m/>
    <m/>
  </r>
  <r>
    <d v="2021-07-13T00:00:00"/>
    <s v="Reçu de caisse"/>
    <x v="2"/>
    <s v="Management"/>
    <n v="258000"/>
    <m/>
    <e v="#REF!"/>
    <x v="3"/>
    <s v="Oui"/>
    <m/>
    <m/>
    <s v="CONGO"/>
    <m/>
    <m/>
    <m/>
  </r>
  <r>
    <d v="2021-07-13T00:00:00"/>
    <s v="Bonus 10 OPJ pour opération"/>
    <x v="1"/>
    <s v="Operations"/>
    <m/>
    <n v="100000"/>
    <e v="#REF!"/>
    <x v="3"/>
    <s v="Decharge"/>
    <s v="AVAAZ 2020"/>
    <s v="PALF"/>
    <s v="CONGO"/>
    <m/>
    <m/>
    <m/>
  </r>
  <r>
    <d v="2021-07-13T00:00:00"/>
    <s v="Carburant de la BJ"/>
    <x v="4"/>
    <s v="Operations"/>
    <m/>
    <n v="25000"/>
    <e v="#REF!"/>
    <x v="3"/>
    <s v="Oui"/>
    <s v="UE"/>
    <s v="RALFF"/>
    <s v="CONGO"/>
    <m/>
    <s v="4.1"/>
    <m/>
  </r>
  <r>
    <d v="2021-07-13T00:00:00"/>
    <s v="Réçu caisse"/>
    <x v="2"/>
    <s v="Investigations"/>
    <n v="124000"/>
    <m/>
    <e v="#REF!"/>
    <x v="4"/>
    <s v="Decharge"/>
    <m/>
    <m/>
    <s v="CONGO"/>
    <m/>
    <m/>
    <m/>
  </r>
  <r>
    <d v="2021-07-13T00:00:00"/>
    <s v="Achat billet BZ-PN (Mission Pn)"/>
    <x v="4"/>
    <s v="Investigations"/>
    <m/>
    <n v="15000"/>
    <e v="#REF!"/>
    <x v="4"/>
    <s v="Oui"/>
    <s v="UE"/>
    <s v="RALFF"/>
    <s v="CONGO"/>
    <m/>
    <s v="2.2"/>
    <m/>
  </r>
  <r>
    <d v="2021-07-13T00:00:00"/>
    <s v="Reçu de la caisse"/>
    <x v="2"/>
    <s v="Media"/>
    <n v="10000"/>
    <m/>
    <e v="#REF!"/>
    <x v="5"/>
    <s v="Decharge"/>
    <m/>
    <m/>
    <s v="CONGO"/>
    <m/>
    <m/>
    <m/>
  </r>
  <r>
    <d v="2021-07-13T00:00:00"/>
    <s v="Recu de caisse"/>
    <x v="2"/>
    <s v="Investigations"/>
    <n v="121000"/>
    <m/>
    <e v="#REF!"/>
    <x v="6"/>
    <s v="Decharge"/>
    <m/>
    <m/>
    <s v="CONGO"/>
    <m/>
    <m/>
    <m/>
  </r>
  <r>
    <d v="2021-07-13T00:00:00"/>
    <s v="Retrait especes/appro caisse/bord n°3643496"/>
    <x v="2"/>
    <s v="Office"/>
    <m/>
    <n v="1000000"/>
    <e v="#REF!"/>
    <x v="7"/>
    <n v="3643496"/>
    <m/>
    <m/>
    <s v="CONGO"/>
    <m/>
    <m/>
    <m/>
  </r>
  <r>
    <d v="2021-07-14T00:00:00"/>
    <s v="Bonus média"/>
    <x v="1"/>
    <s v="Media"/>
    <m/>
    <n v="27000"/>
    <e v="#REF!"/>
    <x v="1"/>
    <s v="Decharge"/>
    <s v="AVAAZ 2020"/>
    <s v="PALF"/>
    <s v="CONGO"/>
    <m/>
    <m/>
    <m/>
  </r>
  <r>
    <d v="2021-07-14T00:00:00"/>
    <s v="Achat credit  teléphonique Airtel/staff PALF/2ème partie juillet 2021/management"/>
    <x v="17"/>
    <s v="Management"/>
    <m/>
    <n v="10000"/>
    <e v="#REF!"/>
    <x v="1"/>
    <s v="Oui"/>
    <s v="UE"/>
    <s v="RALFF"/>
    <s v="CONGO"/>
    <m/>
    <s v="4.6"/>
    <m/>
  </r>
  <r>
    <d v="2021-07-14T00:00:00"/>
    <s v="Achat credit  teléphonique Airtel/staff PALF/2ème partie juillet 2021/légel"/>
    <x v="17"/>
    <s v="Legal"/>
    <m/>
    <n v="10000"/>
    <e v="#REF!"/>
    <x v="1"/>
    <s v="Oui"/>
    <s v="UE"/>
    <s v="RALFF"/>
    <s v="CONGO"/>
    <m/>
    <s v="4.6"/>
    <m/>
  </r>
  <r>
    <d v="2021-07-14T00:00:00"/>
    <s v="Achat credit  teléphonique Airtel/staff PALF/2ème partie juillet 2021/investigation"/>
    <x v="17"/>
    <s v="Investigations"/>
    <m/>
    <n v="5000"/>
    <e v="#REF!"/>
    <x v="1"/>
    <s v="Oui"/>
    <s v="UE"/>
    <s v="RALFF"/>
    <s v="CONGO"/>
    <m/>
    <s v="4.6"/>
    <m/>
  </r>
  <r>
    <d v="2021-07-14T00:00:00"/>
    <s v="Achat credit  teléphonique MTN/staff PALF/2ème partie juillet 2021/Management"/>
    <x v="17"/>
    <s v="Management"/>
    <m/>
    <n v="25000"/>
    <e v="#REF!"/>
    <x v="1"/>
    <s v="Oui"/>
    <s v="UE"/>
    <s v="RALFF"/>
    <s v="CONGO"/>
    <m/>
    <s v="4.6"/>
    <m/>
  </r>
  <r>
    <d v="2021-07-14T00:00:00"/>
    <s v="Achat credit  teléphonique MTN/staff PALF/2ème partie juillet 2021/Investigation"/>
    <x v="17"/>
    <s v="Investigations"/>
    <m/>
    <n v="20000"/>
    <e v="#REF!"/>
    <x v="1"/>
    <s v="Oui"/>
    <s v="UE"/>
    <s v="RALFF"/>
    <s v="CONGO"/>
    <m/>
    <s v="4.6"/>
    <m/>
  </r>
  <r>
    <d v="2021-07-14T00:00:00"/>
    <s v="Achat credit  teléphonique MTN/staff PALF/2ème partie juillet 2021/Légal"/>
    <x v="17"/>
    <s v="Legal"/>
    <m/>
    <n v="10000"/>
    <e v="#REF!"/>
    <x v="1"/>
    <s v="Oui"/>
    <s v="UE"/>
    <s v="RALFF"/>
    <s v="CONGO"/>
    <m/>
    <s v="4.6"/>
    <m/>
  </r>
  <r>
    <d v="2021-07-14T00:00:00"/>
    <s v="Achat credit  teléphonique MTN/staff PALF/2ème partie juillet 2021/Média"/>
    <x v="17"/>
    <s v="Media"/>
    <m/>
    <n v="10000"/>
    <e v="#REF!"/>
    <x v="1"/>
    <s v="Oui"/>
    <s v="UE"/>
    <s v="RALFF"/>
    <s v="CONGO"/>
    <m/>
    <s v="4.6"/>
    <m/>
  </r>
  <r>
    <d v="2021-07-14T00:00:00"/>
    <s v="JB"/>
    <x v="2"/>
    <m/>
    <m/>
    <n v="58000"/>
    <e v="#REF!"/>
    <x v="1"/>
    <m/>
    <m/>
    <m/>
    <s v="CONGO"/>
    <m/>
    <m/>
    <m/>
  </r>
  <r>
    <d v="2021-07-14T00:00:00"/>
    <s v="Frais de transfert charden farell/JB"/>
    <x v="5"/>
    <s v="Office"/>
    <m/>
    <n v="1740"/>
    <e v="#REF!"/>
    <x v="1"/>
    <s v="Oui"/>
    <s v="UE"/>
    <s v="RALFF"/>
    <s v="CONGO"/>
    <m/>
    <s v="5.6"/>
    <m/>
  </r>
  <r>
    <d v="2021-07-14T00:00:00"/>
    <s v="Achat billet bzv-bouansa"/>
    <x v="4"/>
    <s v="Investigations"/>
    <m/>
    <n v="8000"/>
    <e v="#REF!"/>
    <x v="6"/>
    <s v="Oui"/>
    <s v="UE"/>
    <s v="RALFF"/>
    <s v="CONGO"/>
    <m/>
    <s v="2.2"/>
    <m/>
  </r>
  <r>
    <d v="2021-07-14T00:00:00"/>
    <s v="Food allowance mission du 15 au 21/07/2021"/>
    <x v="10"/>
    <s v="Investigations"/>
    <m/>
    <n v="60000"/>
    <e v="#REF!"/>
    <x v="6"/>
    <s v="Decharge"/>
    <s v="UE"/>
    <s v="RALFF"/>
    <s v="CONGO"/>
    <m/>
    <s v="1.3.2"/>
    <m/>
  </r>
  <r>
    <d v="2021-07-15T00:00:00"/>
    <s v="Achat 05 carton rame papier A4"/>
    <x v="8"/>
    <s v="Office"/>
    <m/>
    <n v="70000"/>
    <e v="#REF!"/>
    <x v="1"/>
    <s v="Oui"/>
    <s v="AVAAZ 2020"/>
    <s v="PALF"/>
    <s v="CONGO"/>
    <m/>
    <m/>
    <m/>
  </r>
  <r>
    <d v="2021-07-15T00:00:00"/>
    <s v="Achat 03 cartouches HP63/02 noir et 01 couleur"/>
    <x v="8"/>
    <s v="Office"/>
    <m/>
    <n v="54000"/>
    <e v="#REF!"/>
    <x v="1"/>
    <s v="Oui"/>
    <s v="AVAAZ 2020"/>
    <s v="PALF"/>
    <s v="CONGO"/>
    <m/>
    <m/>
    <m/>
  </r>
  <r>
    <d v="2021-07-15T00:00:00"/>
    <s v="Bonus informateur"/>
    <x v="1"/>
    <s v="Operations"/>
    <m/>
    <n v="80000"/>
    <e v="#REF!"/>
    <x v="1"/>
    <s v="Decharge"/>
    <s v="AVAAZ 2020"/>
    <s v="PALF"/>
    <s v="CONGO"/>
    <m/>
    <m/>
    <m/>
  </r>
  <r>
    <d v="2021-07-15T00:00:00"/>
    <s v="Evariste"/>
    <x v="2"/>
    <m/>
    <m/>
    <n v="10000"/>
    <e v="#REF!"/>
    <x v="1"/>
    <m/>
    <m/>
    <m/>
    <s v="CONGO"/>
    <m/>
    <m/>
    <m/>
  </r>
  <r>
    <d v="2021-07-15T00:00:00"/>
    <s v="Caisse"/>
    <x v="2"/>
    <s v="Legal"/>
    <n v="58000"/>
    <m/>
    <e v="#REF!"/>
    <x v="2"/>
    <s v="Decharge"/>
    <m/>
    <m/>
    <s v="CONGO"/>
    <m/>
    <m/>
    <m/>
  </r>
  <r>
    <d v="2021-07-15T00:00:00"/>
    <s v="Food allowance mission PN-Dolisie du 15 au 21 Juillet 2021"/>
    <x v="10"/>
    <s v="Investigations"/>
    <m/>
    <n v="60000"/>
    <e v="#REF!"/>
    <x v="4"/>
    <s v="Decharge"/>
    <s v="UE"/>
    <s v="RALFF"/>
    <s v="CONGO"/>
    <m/>
    <s v="1.3.2"/>
    <m/>
  </r>
  <r>
    <d v="2021-07-15T00:00:00"/>
    <s v="Reçu de la caisse"/>
    <x v="2"/>
    <s v="Media"/>
    <n v="10000"/>
    <m/>
    <e v="#REF!"/>
    <x v="5"/>
    <s v="Decharge"/>
    <m/>
    <m/>
    <s v="CONGO"/>
    <m/>
    <m/>
    <m/>
  </r>
  <r>
    <d v="2021-07-15T00:00:00"/>
    <s v="Frais de transport  bouansa-mouyondzi"/>
    <x v="4"/>
    <s v="Investigations"/>
    <m/>
    <n v="4000"/>
    <e v="#REF!"/>
    <x v="6"/>
    <s v="Oui"/>
    <s v="AVAAZ 2020"/>
    <s v="PALF"/>
    <s v="CONGO"/>
    <m/>
    <m/>
    <m/>
  </r>
  <r>
    <d v="2021-07-16T00:00:00"/>
    <s v="JB"/>
    <x v="2"/>
    <m/>
    <m/>
    <n v="87000"/>
    <e v="#REF!"/>
    <x v="1"/>
    <m/>
    <m/>
    <m/>
    <s v="CONGO"/>
    <m/>
    <m/>
    <m/>
  </r>
  <r>
    <d v="2021-07-16T00:00:00"/>
    <s v="Crépin"/>
    <x v="2"/>
    <m/>
    <m/>
    <n v="156000"/>
    <e v="#REF!"/>
    <x v="1"/>
    <m/>
    <m/>
    <m/>
    <s v="CONGO"/>
    <m/>
    <m/>
    <m/>
  </r>
  <r>
    <d v="2021-07-16T00:00:00"/>
    <s v="Frais de transfert charden farell/JB &amp; Crépin"/>
    <x v="5"/>
    <s v="Office"/>
    <m/>
    <n v="7290"/>
    <e v="#REF!"/>
    <x v="1"/>
    <s v="Oui"/>
    <s v="UE"/>
    <s v="RALFF"/>
    <s v="CONGO"/>
    <m/>
    <s v="5.6"/>
    <m/>
  </r>
  <r>
    <d v="2021-07-16T00:00:00"/>
    <s v="Caisse"/>
    <x v="2"/>
    <s v="Legal"/>
    <n v="87000"/>
    <m/>
    <e v="#REF!"/>
    <x v="2"/>
    <s v="Decharge"/>
    <m/>
    <m/>
    <s v="CONGO"/>
    <m/>
    <m/>
    <m/>
  </r>
  <r>
    <d v="2021-07-16T00:00:00"/>
    <s v="Reçu de caisse"/>
    <x v="2"/>
    <s v="Management"/>
    <n v="156000"/>
    <m/>
    <e v="#REF!"/>
    <x v="3"/>
    <s v="Decharge"/>
    <m/>
    <m/>
    <s v="CONGO"/>
    <m/>
    <m/>
    <m/>
  </r>
  <r>
    <d v="2021-07-18T00:00:00"/>
    <s v="Impression et photocopie procédure"/>
    <x v="8"/>
    <s v="Office"/>
    <m/>
    <n v="2275"/>
    <e v="#REF!"/>
    <x v="2"/>
    <s v="Oui"/>
    <s v="UE"/>
    <s v="RALFF"/>
    <s v="CONGO"/>
    <m/>
    <s v="4.3"/>
    <m/>
  </r>
  <r>
    <d v="2021-07-18T00:00:00"/>
    <s v="Frais de transport mouyondzi-madingou"/>
    <x v="4"/>
    <s v="Investigations"/>
    <m/>
    <n v="4000"/>
    <e v="#REF!"/>
    <x v="6"/>
    <s v="Oui"/>
    <s v="AVAAZ 2020"/>
    <s v="PALF"/>
    <s v="CONGO"/>
    <m/>
    <m/>
    <m/>
  </r>
  <r>
    <d v="2021-07-18T00:00:00"/>
    <s v="Paiement 3 nuitées du 15 au 18/07"/>
    <x v="10"/>
    <s v="Investigations"/>
    <m/>
    <n v="45000"/>
    <e v="#REF!"/>
    <x v="6"/>
    <s v="Oui"/>
    <s v="UE"/>
    <s v="RALFF"/>
    <s v="CONGO"/>
    <m/>
    <s v="1.3.2"/>
    <m/>
  </r>
  <r>
    <d v="2021-07-19T00:00:00"/>
    <s v="P29"/>
    <x v="2"/>
    <m/>
    <m/>
    <n v="80000"/>
    <e v="#REF!"/>
    <x v="1"/>
    <m/>
    <m/>
    <m/>
    <s v="CONGO"/>
    <m/>
    <m/>
    <m/>
  </r>
  <r>
    <d v="2021-07-19T00:00:00"/>
    <s v="I23C"/>
    <x v="2"/>
    <m/>
    <m/>
    <n v="90000"/>
    <e v="#REF!"/>
    <x v="1"/>
    <m/>
    <m/>
    <m/>
    <s v="CONGO"/>
    <m/>
    <m/>
    <m/>
  </r>
  <r>
    <d v="2021-07-19T00:00:00"/>
    <s v="Frais de mission à Dolisie maitre MOUYETI du 18 au 21/07/2021"/>
    <x v="14"/>
    <s v="Legal"/>
    <m/>
    <n v="103000"/>
    <e v="#REF!"/>
    <x v="1"/>
    <s v="Oui"/>
    <s v="UE"/>
    <s v="RALFF"/>
    <s v="CONGO"/>
    <m/>
    <s v="5.2.2"/>
    <m/>
  </r>
  <r>
    <d v="2021-07-19T00:00:00"/>
    <s v="JB"/>
    <x v="2"/>
    <m/>
    <m/>
    <n v="58000"/>
    <e v="#REF!"/>
    <x v="1"/>
    <m/>
    <m/>
    <m/>
    <s v="CONGO"/>
    <m/>
    <m/>
    <m/>
  </r>
  <r>
    <d v="2021-07-19T00:00:00"/>
    <s v="BCI/3643497-56"/>
    <x v="2"/>
    <s v="Office"/>
    <n v="1000000"/>
    <m/>
    <e v="#REF!"/>
    <x v="1"/>
    <m/>
    <m/>
    <m/>
    <s v="CONGO"/>
    <m/>
    <m/>
    <m/>
  </r>
  <r>
    <d v="2021-07-19T00:00:00"/>
    <s v="Crépin"/>
    <x v="2"/>
    <m/>
    <m/>
    <n v="39000"/>
    <e v="#REF!"/>
    <x v="1"/>
    <m/>
    <m/>
    <m/>
    <s v="CONGO"/>
    <m/>
    <m/>
    <m/>
  </r>
  <r>
    <d v="2021-07-19T00:00:00"/>
    <s v="Frais de transfert charden farell/jb,i23c,crépin et P29"/>
    <x v="5"/>
    <s v="Office"/>
    <m/>
    <n v="11100"/>
    <e v="#REF!"/>
    <x v="1"/>
    <s v="Oui"/>
    <s v="UE"/>
    <s v="RALFF"/>
    <s v="CONGO"/>
    <m/>
    <s v="5.6"/>
    <m/>
  </r>
  <r>
    <d v="2021-07-19T00:00:00"/>
    <s v="Reçu de caisse"/>
    <x v="2"/>
    <s v="Management"/>
    <n v="39000"/>
    <m/>
    <e v="#REF!"/>
    <x v="3"/>
    <s v="Decharge"/>
    <m/>
    <m/>
    <s v="CONGO"/>
    <m/>
    <m/>
    <m/>
  </r>
  <r>
    <d v="2021-07-19T00:00:00"/>
    <s v="Paiement hôtel 4 nuitées du 15 au 19 juillet"/>
    <x v="10"/>
    <s v="Investigations"/>
    <m/>
    <n v="60000"/>
    <e v="#REF!"/>
    <x v="4"/>
    <s v="Oui"/>
    <s v="UE"/>
    <s v="RALFF"/>
    <s v="CONGO"/>
    <m/>
    <s v="1.3.2"/>
    <m/>
  </r>
  <r>
    <d v="2021-07-19T00:00:00"/>
    <s v="Achat billet PN-Dolisie (départ pour Dolisie)"/>
    <x v="4"/>
    <s v="Investigations"/>
    <m/>
    <n v="5000"/>
    <e v="#REF!"/>
    <x v="4"/>
    <s v="Oui"/>
    <s v="UE"/>
    <s v="RALFF"/>
    <s v="CONGO"/>
    <m/>
    <s v="2.2"/>
    <m/>
  </r>
  <r>
    <d v="2021-07-19T00:00:00"/>
    <s v="Réçu caisse"/>
    <x v="2"/>
    <s v="Investigations"/>
    <n v="90000"/>
    <m/>
    <e v="#REF!"/>
    <x v="4"/>
    <s v="Decharge"/>
    <m/>
    <m/>
    <s v="CONGO"/>
    <m/>
    <m/>
    <m/>
  </r>
  <r>
    <d v="2021-07-19T00:00:00"/>
    <s v="Recu de caisse"/>
    <x v="2"/>
    <s v="Investigations"/>
    <n v="80000"/>
    <m/>
    <e v="#REF!"/>
    <x v="6"/>
    <s v="Decharge"/>
    <m/>
    <m/>
    <s v="CONGO"/>
    <m/>
    <m/>
    <m/>
  </r>
  <r>
    <d v="2021-07-19T00:00:00"/>
    <s v="Retrait especes/appro caisse/bord n°3643497"/>
    <x v="2"/>
    <s v="Office"/>
    <m/>
    <n v="1000000"/>
    <e v="#REF!"/>
    <x v="7"/>
    <n v="3643497"/>
    <m/>
    <m/>
    <s v="CONGO"/>
    <m/>
    <m/>
    <m/>
  </r>
  <r>
    <d v="2021-07-20T00:00:00"/>
    <s v="Merveille"/>
    <x v="2"/>
    <m/>
    <m/>
    <n v="15000"/>
    <e v="#REF!"/>
    <x v="1"/>
    <m/>
    <m/>
    <m/>
    <s v="CONGO"/>
    <m/>
    <m/>
    <m/>
  </r>
  <r>
    <d v="2021-07-20T00:00:00"/>
    <s v="Achat carte sim et Credit téléphonique /pour LUC"/>
    <x v="17"/>
    <s v="CCU"/>
    <m/>
    <n v="5500"/>
    <e v="#REF!"/>
    <x v="1"/>
    <s v="Oui"/>
    <s v="AVAAZ 2020"/>
    <s v="PALF"/>
    <s v="CONGO"/>
    <m/>
    <m/>
    <m/>
  </r>
  <r>
    <d v="2021-07-20T00:00:00"/>
    <s v="Paiement inscription et frais de formation 1er mois pour Crépin/formation bureautique"/>
    <x v="19"/>
    <s v="Team Building"/>
    <m/>
    <n v="30000"/>
    <e v="#REF!"/>
    <x v="1"/>
    <s v="Oui"/>
    <s v="AVAAZ 2020"/>
    <s v="PALF"/>
    <s v="CONGO"/>
    <m/>
    <m/>
    <m/>
  </r>
  <r>
    <d v="2021-07-20T00:00:00"/>
    <s v="Caisse"/>
    <x v="2"/>
    <s v="Legal"/>
    <n v="58000"/>
    <m/>
    <e v="#REF!"/>
    <x v="2"/>
    <s v="Decharge"/>
    <m/>
    <m/>
    <s v="CONGO"/>
    <m/>
    <m/>
    <m/>
  </r>
  <r>
    <d v="2021-07-20T00:00:00"/>
    <s v="Bonus opération du 11/07/2021 pour le chef faune"/>
    <x v="1"/>
    <s v="Operations"/>
    <m/>
    <n v="10000"/>
    <e v="#REF!"/>
    <x v="3"/>
    <s v="Decharge"/>
    <s v="AVAAZ 2020"/>
    <s v="PALF"/>
    <s v="CONGO"/>
    <m/>
    <m/>
    <m/>
  </r>
  <r>
    <d v="2021-07-20T00:00:00"/>
    <s v="Billet- Dolisie-Brazzaville"/>
    <x v="4"/>
    <s v="Management"/>
    <m/>
    <n v="10000"/>
    <e v="#REF!"/>
    <x v="3"/>
    <s v="Oui"/>
    <s v="UE"/>
    <s v="RALFF"/>
    <s v="CONGO"/>
    <m/>
    <s v="2.2"/>
    <m/>
  </r>
  <r>
    <d v="2021-07-20T00:00:00"/>
    <s v="Cumul frais de Jail visit mois de Juillet 2021/Crépin"/>
    <x v="18"/>
    <s v="Legal"/>
    <m/>
    <n v="139000"/>
    <e v="#REF!"/>
    <x v="3"/>
    <s v="Decharge"/>
    <s v="AVAAZ 2020"/>
    <s v="PALF"/>
    <s v="CONGO"/>
    <m/>
    <m/>
    <m/>
  </r>
  <r>
    <d v="2021-07-20T00:00:00"/>
    <s v="Achat billet Dolisie-Brazzaville (retour à Brazzaville)"/>
    <x v="4"/>
    <s v="Investigations"/>
    <m/>
    <n v="10000"/>
    <e v="#REF!"/>
    <x v="4"/>
    <s v="Oui"/>
    <s v="UE"/>
    <s v="RALFF"/>
    <s v="CONGO"/>
    <m/>
    <s v="2.2"/>
    <m/>
  </r>
  <r>
    <d v="2021-07-20T00:00:00"/>
    <s v="Reçu caisse"/>
    <x v="2"/>
    <m/>
    <n v="15000"/>
    <m/>
    <e v="#REF!"/>
    <x v="10"/>
    <s v="Decharge"/>
    <m/>
    <m/>
    <s v="CONGO"/>
    <m/>
    <m/>
    <m/>
  </r>
  <r>
    <d v="2021-07-21T00:00:00"/>
    <s v="Achat paquet papier Ministre"/>
    <x v="8"/>
    <s v="Office"/>
    <m/>
    <n v="2500"/>
    <e v="#REF!"/>
    <x v="1"/>
    <s v="Oui"/>
    <s v="AVAAZ 2020"/>
    <s v="PALF"/>
    <s v="CONGO"/>
    <m/>
    <m/>
    <m/>
  </r>
  <r>
    <d v="2021-07-21T00:00:00"/>
    <s v="Bonus mois de Juin 2021/Crépin"/>
    <x v="1"/>
    <s v="Legal"/>
    <m/>
    <n v="50000"/>
    <e v="#REF!"/>
    <x v="1"/>
    <s v="Decharge"/>
    <s v="AVAAZ 2020"/>
    <s v="PALF"/>
    <s v="CONGO"/>
    <m/>
    <m/>
    <m/>
  </r>
  <r>
    <d v="2021-07-21T00:00:00"/>
    <s v="Bonus Operation/crepin"/>
    <x v="1"/>
    <s v="Legal"/>
    <m/>
    <n v="50000"/>
    <e v="#REF!"/>
    <x v="1"/>
    <s v="Decharge"/>
    <s v="AVAAZ 2020"/>
    <s v="PALF"/>
    <s v="CONGO"/>
    <m/>
    <m/>
    <m/>
  </r>
  <r>
    <d v="2021-07-21T00:00:00"/>
    <s v="19 Nuitées du 02 au 21/07/2021"/>
    <x v="10"/>
    <s v="Management"/>
    <m/>
    <n v="285000"/>
    <e v="#REF!"/>
    <x v="3"/>
    <s v="Oui"/>
    <s v="UE"/>
    <s v="RALFF"/>
    <s v="CONGO"/>
    <m/>
    <s v="1.3.2"/>
    <m/>
  </r>
  <r>
    <d v="2021-07-21T00:00:00"/>
    <s v="Paiement 2 nuitées mission Dolisie du 19 au 21 juillet 2021"/>
    <x v="10"/>
    <s v="Investigations"/>
    <m/>
    <n v="30000"/>
    <e v="#REF!"/>
    <x v="4"/>
    <s v="Decharge"/>
    <s v="UE"/>
    <s v="RALFF"/>
    <s v="CONGO"/>
    <m/>
    <s v="1.3.2"/>
    <m/>
  </r>
  <r>
    <d v="2021-07-21T00:00:00"/>
    <s v="Frais d'hotel à Madingou du 18 au 21/07/2021"/>
    <x v="10"/>
    <s v="Investigations"/>
    <m/>
    <n v="45000"/>
    <e v="#REF!"/>
    <x v="6"/>
    <s v="Oui"/>
    <s v="UE"/>
    <s v="RALFF"/>
    <s v="CONGO"/>
    <m/>
    <s v="1.3.2"/>
    <m/>
  </r>
  <r>
    <d v="2021-07-21T00:00:00"/>
    <s v="Achat billet bz-madingou"/>
    <x v="4"/>
    <s v="Investigations"/>
    <m/>
    <n v="8000"/>
    <e v="#REF!"/>
    <x v="6"/>
    <s v="Oui"/>
    <s v="UE"/>
    <s v="RALFF"/>
    <s v="CONGO"/>
    <m/>
    <s v="2.2"/>
    <m/>
  </r>
  <r>
    <d v="2021-07-22T00:00:00"/>
    <s v="Food allowance du 22 au 28/07/2021/LUC MATHOT"/>
    <x v="10"/>
    <s v="CCU"/>
    <m/>
    <n v="60000"/>
    <e v="#REF!"/>
    <x v="1"/>
    <s v="Decharge"/>
    <s v="UE"/>
    <s v="RALFF"/>
    <s v="CONGO"/>
    <m/>
    <s v="1.3.2"/>
    <m/>
  </r>
  <r>
    <d v="2021-07-22T00:00:00"/>
    <s v="JB"/>
    <x v="2"/>
    <m/>
    <m/>
    <n v="213000"/>
    <e v="#REF!"/>
    <x v="1"/>
    <m/>
    <m/>
    <m/>
    <s v="CONGO"/>
    <m/>
    <m/>
    <m/>
  </r>
  <r>
    <d v="2021-07-22T00:00:00"/>
    <s v="Crépin"/>
    <x v="2"/>
    <m/>
    <m/>
    <n v="58765"/>
    <e v="#REF!"/>
    <x v="1"/>
    <m/>
    <m/>
    <m/>
    <s v="CONGO"/>
    <m/>
    <m/>
    <m/>
  </r>
  <r>
    <d v="2021-07-22T00:00:00"/>
    <s v="Crépin"/>
    <x v="2"/>
    <m/>
    <m/>
    <n v="10000"/>
    <e v="#REF!"/>
    <x v="1"/>
    <m/>
    <m/>
    <m/>
    <s v="CONGO"/>
    <m/>
    <m/>
    <m/>
  </r>
  <r>
    <d v="2021-07-22T00:00:00"/>
    <s v="P29"/>
    <x v="2"/>
    <m/>
    <m/>
    <n v="71000"/>
    <e v="#REF!"/>
    <x v="1"/>
    <m/>
    <m/>
    <m/>
    <s v="CONGO"/>
    <m/>
    <m/>
    <m/>
  </r>
  <r>
    <d v="2021-07-22T00:00:00"/>
    <s v="P29"/>
    <x v="2"/>
    <m/>
    <m/>
    <n v="6000"/>
    <e v="#REF!"/>
    <x v="1"/>
    <m/>
    <m/>
    <m/>
    <s v="CONGO"/>
    <m/>
    <m/>
    <m/>
  </r>
  <r>
    <d v="2021-07-22T00:00:00"/>
    <s v="I23C"/>
    <x v="2"/>
    <m/>
    <m/>
    <n v="10000"/>
    <e v="#REF!"/>
    <x v="1"/>
    <m/>
    <m/>
    <m/>
    <s v="CONGO"/>
    <m/>
    <m/>
    <m/>
  </r>
  <r>
    <d v="2021-07-22T00:00:00"/>
    <s v="Frais de transfert charden farell/JB"/>
    <x v="5"/>
    <s v="Office"/>
    <m/>
    <n v="6390"/>
    <e v="#REF!"/>
    <x v="1"/>
    <m/>
    <s v="UE"/>
    <s v="RALFF"/>
    <s v="CONGO"/>
    <m/>
    <s v="5.6"/>
    <m/>
  </r>
  <r>
    <d v="2021-07-22T00:00:00"/>
    <s v="Indemnité de stage Grace MOLENDE/Du 15 juillet au 15 Août"/>
    <x v="19"/>
    <s v="Management"/>
    <m/>
    <n v="200000"/>
    <e v="#REF!"/>
    <x v="1"/>
    <s v="Decharge"/>
    <s v="AVAAZ 2020"/>
    <s v="PALF"/>
    <s v="CONGO"/>
    <m/>
    <m/>
    <m/>
  </r>
  <r>
    <d v="2021-07-22T00:00:00"/>
    <s v="Frais de mission à Pointe-Noire/Maitre Séverin du 26 au 28/07/2021"/>
    <x v="14"/>
    <s v="Legal"/>
    <m/>
    <n v="111000"/>
    <e v="#REF!"/>
    <x v="1"/>
    <s v="Oui"/>
    <s v="UE"/>
    <s v="RALFF"/>
    <s v="CONGO"/>
    <m/>
    <s v="5.2.2"/>
    <m/>
  </r>
  <r>
    <d v="2021-07-22T00:00:00"/>
    <s v="Achat 02 serviettes"/>
    <x v="8"/>
    <s v="Office"/>
    <m/>
    <n v="8000"/>
    <e v="#REF!"/>
    <x v="1"/>
    <s v="Oui"/>
    <s v="AVAAZ 2020"/>
    <s v="PALF"/>
    <s v="CONGO"/>
    <m/>
    <m/>
    <m/>
  </r>
  <r>
    <d v="2021-07-22T00:00:00"/>
    <s v="Reçu de caisse"/>
    <x v="2"/>
    <s v="Management"/>
    <n v="58765"/>
    <m/>
    <e v="#REF!"/>
    <x v="3"/>
    <s v="Decharge"/>
    <m/>
    <m/>
    <s v="CONGO"/>
    <m/>
    <m/>
    <m/>
  </r>
  <r>
    <d v="2021-07-22T00:00:00"/>
    <s v="Reçu de caisse"/>
    <x v="2"/>
    <s v="Management"/>
    <n v="10000"/>
    <m/>
    <e v="#REF!"/>
    <x v="3"/>
    <s v="Decharge"/>
    <m/>
    <m/>
    <s v="CONGO"/>
    <m/>
    <m/>
    <m/>
  </r>
  <r>
    <d v="2021-07-22T00:00:00"/>
    <s v="Récu de caisse"/>
    <x v="2"/>
    <s v="Investigations"/>
    <n v="10000"/>
    <m/>
    <e v="#REF!"/>
    <x v="4"/>
    <s v="Decharge"/>
    <m/>
    <m/>
    <s v="CONGO"/>
    <m/>
    <m/>
    <m/>
  </r>
  <r>
    <d v="2021-07-22T00:00:00"/>
    <s v="Recu de caisse"/>
    <x v="2"/>
    <s v="Investigations"/>
    <n v="71000"/>
    <m/>
    <e v="#REF!"/>
    <x v="6"/>
    <s v="Decharge"/>
    <m/>
    <m/>
    <s v="CONGO"/>
    <m/>
    <m/>
    <m/>
  </r>
  <r>
    <d v="2021-07-22T00:00:00"/>
    <s v="Recu de caisse"/>
    <x v="2"/>
    <s v="Investigations"/>
    <n v="6000"/>
    <m/>
    <e v="#REF!"/>
    <x v="6"/>
    <s v="Decharge"/>
    <m/>
    <m/>
    <s v="CONGO"/>
    <m/>
    <m/>
    <m/>
  </r>
  <r>
    <d v="2021-07-22T00:00:00"/>
    <s v="Solde honoraires contrat n°33/Dolisie/Maitre MOUYETI Scrutin"/>
    <x v="14"/>
    <s v="Legal"/>
    <m/>
    <n v="300000"/>
    <e v="#REF!"/>
    <x v="7"/>
    <n v="3643498"/>
    <s v="UE"/>
    <s v="RALFF"/>
    <s v="CONGO"/>
    <m/>
    <s v="5.2.2"/>
    <m/>
  </r>
  <r>
    <d v="2021-07-23T00:00:00"/>
    <s v="BCI/364349-56"/>
    <x v="2"/>
    <s v="Office"/>
    <n v="1000000"/>
    <m/>
    <e v="#REF!"/>
    <x v="1"/>
    <m/>
    <m/>
    <m/>
    <s v="CONGO"/>
    <m/>
    <m/>
    <m/>
  </r>
  <r>
    <d v="2021-07-23T00:00:00"/>
    <s v="Frais de transfert charden farell/JB"/>
    <x v="5"/>
    <s v="Office"/>
    <m/>
    <n v="1350"/>
    <e v="#REF!"/>
    <x v="1"/>
    <s v="Oui"/>
    <s v="UE"/>
    <s v="RALFF"/>
    <s v="CONGO"/>
    <m/>
    <s v="5.6"/>
    <m/>
  </r>
  <r>
    <d v="2021-07-23T00:00:00"/>
    <s v="Merveille"/>
    <x v="2"/>
    <m/>
    <m/>
    <n v="10000"/>
    <e v="#REF!"/>
    <x v="1"/>
    <m/>
    <m/>
    <m/>
    <s v="CONGO"/>
    <m/>
    <m/>
    <m/>
  </r>
  <r>
    <d v="2021-07-23T00:00:00"/>
    <s v="Caisse"/>
    <x v="2"/>
    <s v="Legal"/>
    <n v="213000"/>
    <m/>
    <e v="#REF!"/>
    <x v="2"/>
    <s v="Decharge"/>
    <m/>
    <m/>
    <s v="CONGO"/>
    <m/>
    <m/>
    <m/>
  </r>
  <r>
    <d v="2021-07-23T00:00:00"/>
    <s v="Reçu caisse"/>
    <x v="2"/>
    <m/>
    <n v="10000"/>
    <m/>
    <e v="#REF!"/>
    <x v="10"/>
    <s v="Decharge"/>
    <m/>
    <m/>
    <s v="CONGO"/>
    <m/>
    <m/>
    <m/>
  </r>
  <r>
    <d v="2021-07-23T00:00:00"/>
    <s v="Retrait especes/appro caisse/bord n°3654452"/>
    <x v="2"/>
    <s v="Office"/>
    <m/>
    <n v="1000000"/>
    <e v="#REF!"/>
    <x v="11"/>
    <n v="3654452"/>
    <m/>
    <m/>
    <s v="CONGO"/>
    <m/>
    <m/>
    <m/>
  </r>
  <r>
    <d v="2021-07-23T00:00:00"/>
    <s v="Reglement loyer mois de Juillet 2021/Bureau PALF"/>
    <x v="13"/>
    <s v="Office"/>
    <m/>
    <n v="500000"/>
    <e v="#REF!"/>
    <x v="7"/>
    <s v="Virement"/>
    <s v="UE"/>
    <s v="RALFF"/>
    <s v="CONGO"/>
    <m/>
    <s v="4.2"/>
    <m/>
  </r>
  <r>
    <d v="2021-07-23T00:00:00"/>
    <s v="Paiement salaire du mois de Juillet 2021/Tiffany GOBERT/chq n°3643507"/>
    <x v="19"/>
    <s v="Management"/>
    <m/>
    <n v="827671"/>
    <e v="#REF!"/>
    <x v="7"/>
    <n v="3643507"/>
    <s v="UE"/>
    <s v="RALFF"/>
    <s v="CONGO"/>
    <m/>
    <s v="1.1.1.1"/>
    <m/>
  </r>
  <r>
    <d v="2021-07-24T00:00:00"/>
    <s v="Impression procédure (plainte, soit transmis et planche photo)"/>
    <x v="8"/>
    <s v="Legal"/>
    <m/>
    <n v="2550"/>
    <e v="#REF!"/>
    <x v="2"/>
    <s v="Oui"/>
    <s v="UE"/>
    <s v="RALFF"/>
    <s v="CONGO"/>
    <m/>
    <s v="4.3"/>
    <m/>
  </r>
  <r>
    <d v="2021-07-26T00:00:00"/>
    <s v="Achat Credit MTN Pour LUC"/>
    <x v="17"/>
    <s v="Management"/>
    <m/>
    <n v="10000"/>
    <e v="#REF!"/>
    <x v="1"/>
    <m/>
    <s v="AVAAZ 2020"/>
    <s v="PALF"/>
    <s v="CONGO"/>
    <m/>
    <m/>
    <m/>
  </r>
  <r>
    <d v="2021-07-26T00:00:00"/>
    <s v="Achat credit MTN Pour Tiffany"/>
    <x v="17"/>
    <s v="Management"/>
    <m/>
    <n v="5000"/>
    <e v="#REF!"/>
    <x v="1"/>
    <m/>
    <s v="AVAAZ 2020"/>
    <s v="PALF"/>
    <s v="CONGO"/>
    <m/>
    <m/>
    <m/>
  </r>
  <r>
    <d v="2021-07-26T00:00:00"/>
    <s v="Renouvelement carte de Séjour I23C/un an"/>
    <x v="19"/>
    <s v="Investigations"/>
    <m/>
    <n v="106000"/>
    <e v="#REF!"/>
    <x v="1"/>
    <s v="Oui"/>
    <s v="AVAAZ 2020"/>
    <s v="PALF"/>
    <s v="CONGO"/>
    <m/>
    <m/>
    <m/>
  </r>
  <r>
    <d v="2021-07-26T00:00:00"/>
    <s v="Evariste"/>
    <x v="2"/>
    <m/>
    <m/>
    <n v="10000"/>
    <e v="#REF!"/>
    <x v="1"/>
    <m/>
    <m/>
    <m/>
    <s v="CONGO"/>
    <m/>
    <m/>
    <m/>
  </r>
  <r>
    <d v="2021-07-26T00:00:00"/>
    <s v="Reçu de la caisse"/>
    <x v="2"/>
    <s v="Media"/>
    <n v="10000"/>
    <m/>
    <e v="#REF!"/>
    <x v="5"/>
    <s v="Decharge"/>
    <m/>
    <m/>
    <s v="CONGO"/>
    <m/>
    <m/>
    <m/>
  </r>
  <r>
    <d v="2021-07-26T00:00:00"/>
    <s v="Achat billet bzv-oyo"/>
    <x v="4"/>
    <s v="Investigations"/>
    <m/>
    <n v="10000"/>
    <e v="#REF!"/>
    <x v="6"/>
    <s v="Oui"/>
    <s v="UE"/>
    <s v="RALFF"/>
    <s v="CONGO"/>
    <m/>
    <s v="2.2"/>
    <m/>
  </r>
  <r>
    <d v="2021-07-26T00:00:00"/>
    <s v="Food allowance mission du 26 au 31/07"/>
    <x v="10"/>
    <s v="Investigations"/>
    <m/>
    <n v="50000"/>
    <e v="#REF!"/>
    <x v="6"/>
    <s v="Decharge"/>
    <s v="UE"/>
    <s v="RALFF"/>
    <s v="CONGO"/>
    <m/>
    <s v="1.3.2"/>
    <m/>
  </r>
  <r>
    <d v="2021-07-26T00:00:00"/>
    <s v="Paiement salaire du mois de Juillet 2021/IBOUILI CREPIN/chq n°3643500"/>
    <x v="19"/>
    <s v="Legal"/>
    <m/>
    <n v="356500"/>
    <e v="#REF!"/>
    <x v="7"/>
    <n v="3643500"/>
    <s v="UE"/>
    <s v="RALFF"/>
    <s v="CONGO"/>
    <m/>
    <s v="1.1.1.7"/>
    <m/>
  </r>
  <r>
    <d v="2021-07-26T00:00:00"/>
    <s v="Paiement salaire du mois de Juillet 2021/ MALONGA MERSY/chq n°3643501"/>
    <x v="19"/>
    <s v="Legal"/>
    <m/>
    <n v="308000"/>
    <e v="#REF!"/>
    <x v="7"/>
    <n v="3643501"/>
    <s v="UE"/>
    <s v="RALFF"/>
    <s v="CONGO"/>
    <m/>
    <s v="1.1.1.7"/>
    <m/>
  </r>
  <r>
    <d v="2021-07-26T00:00:00"/>
    <s v="Paiement salaire du mois de Juillet 2021/ Evariste LELOUSSI/chq n°3643502"/>
    <x v="19"/>
    <s v="Media"/>
    <m/>
    <n v="230000"/>
    <e v="#REF!"/>
    <x v="7"/>
    <n v="3643502"/>
    <s v="UE"/>
    <s v="RALFF"/>
    <s v="CONGO"/>
    <m/>
    <s v="1.1.1.4"/>
    <m/>
  </r>
  <r>
    <d v="2021-07-26T00:00:00"/>
    <s v="Paiement salaire du mois de Juillet 2021/P29 /chq n°3643503"/>
    <x v="19"/>
    <s v="Investigations"/>
    <m/>
    <n v="191000"/>
    <e v="#REF!"/>
    <x v="7"/>
    <n v="3643503"/>
    <s v="UE"/>
    <s v="RALFF"/>
    <s v="CONGO"/>
    <m/>
    <s v="1.1.1.9"/>
    <m/>
  </r>
  <r>
    <d v="2021-07-26T00:00:00"/>
    <s v="Reglement facture honoraire du mois de Juillet 2021/I23C/chq n°3643504"/>
    <x v="19"/>
    <s v="Investigations"/>
    <m/>
    <n v="400000"/>
    <e v="#REF!"/>
    <x v="7"/>
    <n v="3643504"/>
    <s v="UE"/>
    <s v="RALFF"/>
    <s v="CONGO"/>
    <m/>
    <s v="1.1.1.9"/>
    <m/>
  </r>
  <r>
    <d v="2021-07-26T00:00:00"/>
    <s v="Reglement salaire du mois de Juillet 2021/ KOUENITOUKA TED/chq n°3643508"/>
    <x v="19"/>
    <s v="Management"/>
    <m/>
    <n v="400000"/>
    <e v="#REF!"/>
    <x v="7"/>
    <n v="3643508"/>
    <s v="UE"/>
    <s v="RALFF"/>
    <s v="CONGO"/>
    <m/>
    <s v="1.1.2.1"/>
    <m/>
  </r>
  <r>
    <d v="2021-07-26T00:00:00"/>
    <s v="Paiement salaire du mois de Juillet 2021/MAHANGA Merveille/chq n°3643509"/>
    <x v="19"/>
    <s v="Management"/>
    <m/>
    <n v="275000"/>
    <e v="#REF!"/>
    <x v="7"/>
    <n v="3643509"/>
    <s v="UE"/>
    <s v="RALFF"/>
    <s v="CONGO"/>
    <m/>
    <s v="1.1.2.1"/>
    <m/>
  </r>
  <r>
    <d v="2021-07-26T00:00:00"/>
    <s v="Frais de virement"/>
    <x v="12"/>
    <s v="Office"/>
    <m/>
    <n v="5000"/>
    <e v="#REF!"/>
    <x v="7"/>
    <s v="Releve"/>
    <s v="UE"/>
    <s v="RALFF"/>
    <s v="CONGO"/>
    <m/>
    <s v="5.6"/>
    <m/>
  </r>
  <r>
    <d v="2021-07-27T00:00:00"/>
    <s v="Ted"/>
    <x v="2"/>
    <m/>
    <n v="500"/>
    <m/>
    <e v="#REF!"/>
    <x v="1"/>
    <m/>
    <m/>
    <m/>
    <s v="CONGO"/>
    <m/>
    <m/>
    <m/>
  </r>
  <r>
    <d v="2021-07-27T00:00:00"/>
    <s v="Solde de tout compte/fin de contrat Ted"/>
    <x v="19"/>
    <s v="Management"/>
    <m/>
    <n v="401239"/>
    <e v="#REF!"/>
    <x v="1"/>
    <m/>
    <s v="AVAAZ 2020"/>
    <s v="PALF"/>
    <s v="CONGO"/>
    <m/>
    <m/>
    <m/>
  </r>
  <r>
    <d v="2021-07-27T00:00:00"/>
    <s v="Achat Baguettes pour bureau PALF"/>
    <x v="8"/>
    <s v="Office"/>
    <m/>
    <n v="1500"/>
    <e v="#REF!"/>
    <x v="1"/>
    <s v="Oui"/>
    <s v="AVAAZ 2020"/>
    <s v="PALF"/>
    <s v="CONGO"/>
    <m/>
    <m/>
    <m/>
  </r>
  <r>
    <d v="2021-07-27T00:00:00"/>
    <s v="Frais de test covid 19 pour LUC"/>
    <x v="16"/>
    <s v="CCU"/>
    <m/>
    <n v="20000"/>
    <e v="#REF!"/>
    <x v="1"/>
    <m/>
    <s v="AVAAZ 2020"/>
    <s v="PALF"/>
    <s v="CONGO"/>
    <m/>
    <m/>
    <m/>
  </r>
  <r>
    <d v="2021-07-27T00:00:00"/>
    <s v="Paiement carte consulaire"/>
    <x v="19"/>
    <s v="Team Building"/>
    <m/>
    <n v="11000"/>
    <e v="#REF!"/>
    <x v="4"/>
    <s v="Oui"/>
    <s v="AVAAZ 2020"/>
    <s v="PALF"/>
    <s v="CONGO"/>
    <m/>
    <m/>
    <m/>
  </r>
  <r>
    <d v="2021-07-27T00:00:00"/>
    <s v="Cumul frais de Transport local mois de Juillet 2021/Ted"/>
    <x v="4"/>
    <s v="Management"/>
    <m/>
    <n v="15300"/>
    <e v="#REF!"/>
    <x v="8"/>
    <s v="Decharge"/>
    <s v="UE"/>
    <s v="RALFF"/>
    <s v="CONGO"/>
    <m/>
    <s v="2.2"/>
    <m/>
  </r>
  <r>
    <d v="2021-07-27T00:00:00"/>
    <s v="Retour caisse"/>
    <x v="2"/>
    <m/>
    <m/>
    <n v="500"/>
    <e v="#REF!"/>
    <x v="8"/>
    <s v="Decharge"/>
    <m/>
    <m/>
    <s v="CONGO"/>
    <m/>
    <m/>
    <m/>
  </r>
  <r>
    <d v="2021-07-28T00:00:00"/>
    <s v="Reglement prestation Technicienne de Surface mois de Juillet 2021/MFIELO"/>
    <x v="9"/>
    <s v="Office"/>
    <m/>
    <n v="75625"/>
    <e v="#REF!"/>
    <x v="1"/>
    <s v="Oui"/>
    <s v="AVAAZ 2020"/>
    <s v="PALF"/>
    <s v="CONGO"/>
    <m/>
    <m/>
    <m/>
  </r>
  <r>
    <d v="2021-07-28T00:00:00"/>
    <s v="P29"/>
    <x v="2"/>
    <m/>
    <m/>
    <n v="100000"/>
    <e v="#REF!"/>
    <x v="1"/>
    <m/>
    <m/>
    <m/>
    <s v="CONGO"/>
    <m/>
    <m/>
    <m/>
  </r>
  <r>
    <d v="2021-07-28T00:00:00"/>
    <s v="Frais de transfert charden farell/P29 et JB"/>
    <x v="5"/>
    <s v="Office"/>
    <m/>
    <n v="4830"/>
    <e v="#REF!"/>
    <x v="1"/>
    <s v="Oui"/>
    <s v="UE"/>
    <s v="RALFF"/>
    <s v="CONGO"/>
    <m/>
    <s v="5.6"/>
    <m/>
  </r>
  <r>
    <d v="2021-07-28T00:00:00"/>
    <s v="Bonus média"/>
    <x v="1"/>
    <s v="Media"/>
    <m/>
    <n v="39000"/>
    <e v="#REF!"/>
    <x v="1"/>
    <s v="Decharge"/>
    <s v="AVAAZ 2020"/>
    <s v="PALF"/>
    <s v="CONGO"/>
    <m/>
    <m/>
    <m/>
  </r>
  <r>
    <d v="2021-07-28T00:00:00"/>
    <s v="Bonus média"/>
    <x v="1"/>
    <s v="Media"/>
    <m/>
    <n v="23000"/>
    <e v="#REF!"/>
    <x v="1"/>
    <s v="Decharge"/>
    <s v="AVAAZ 2020"/>
    <s v="PALF"/>
    <s v="CONGO"/>
    <m/>
    <m/>
    <m/>
  </r>
  <r>
    <d v="2021-07-28T00:00:00"/>
    <s v="Achat cadre A3"/>
    <x v="8"/>
    <s v="Office"/>
    <m/>
    <n v="7000"/>
    <e v="#REF!"/>
    <x v="1"/>
    <s v="Oui"/>
    <s v="AVAAZ 2020"/>
    <s v="PALF"/>
    <s v="CONGO"/>
    <m/>
    <m/>
    <m/>
  </r>
  <r>
    <d v="2021-07-28T00:00:00"/>
    <s v="impression photo"/>
    <x v="8"/>
    <s v="Office"/>
    <m/>
    <n v="3000"/>
    <e v="#REF!"/>
    <x v="1"/>
    <s v="Oui"/>
    <s v="AVAAZ 2020"/>
    <s v="PALF"/>
    <s v="CONGO"/>
    <m/>
    <m/>
    <m/>
  </r>
  <r>
    <d v="2021-07-28T00:00:00"/>
    <s v="I23C"/>
    <x v="2"/>
    <m/>
    <m/>
    <n v="26150"/>
    <e v="#REF!"/>
    <x v="1"/>
    <m/>
    <m/>
    <m/>
    <s v="CONGO"/>
    <m/>
    <m/>
    <m/>
  </r>
  <r>
    <d v="2021-07-28T00:00:00"/>
    <s v="JB"/>
    <x v="2"/>
    <m/>
    <m/>
    <n v="61000"/>
    <e v="#REF!"/>
    <x v="1"/>
    <m/>
    <m/>
    <m/>
    <s v="CONGO"/>
    <m/>
    <m/>
    <m/>
  </r>
  <r>
    <d v="2021-07-28T00:00:00"/>
    <s v="Achat credit  teléphonique MTN/staff PALF/1ere partie Aout 2021/Management"/>
    <x v="17"/>
    <s v="Management"/>
    <m/>
    <n v="37000"/>
    <e v="#REF!"/>
    <x v="1"/>
    <s v="Oui"/>
    <s v="UE"/>
    <s v="RALFF"/>
    <s v="CONGO"/>
    <m/>
    <s v="4.6"/>
    <m/>
  </r>
  <r>
    <d v="2021-07-28T00:00:00"/>
    <s v="Achat credit  teléphonique MTN/staff PALF/1ere partie Aout 2021/Investingation"/>
    <x v="17"/>
    <s v="Investigations"/>
    <m/>
    <n v="25000"/>
    <e v="#REF!"/>
    <x v="1"/>
    <m/>
    <s v="UE"/>
    <s v="RALFF"/>
    <s v="CONGO"/>
    <m/>
    <s v="4.6"/>
    <m/>
  </r>
  <r>
    <d v="2021-07-28T00:00:00"/>
    <s v="Achat credit  teléphonique MTN/staff PALF/1ere partie Aout 2021/Legal"/>
    <x v="17"/>
    <s v="Legal"/>
    <m/>
    <n v="21000"/>
    <e v="#REF!"/>
    <x v="1"/>
    <m/>
    <s v="UE"/>
    <s v="RALFF"/>
    <s v="CONGO"/>
    <m/>
    <s v="4.6"/>
    <m/>
  </r>
  <r>
    <d v="2021-07-28T00:00:00"/>
    <s v="Achat credit  teléphonique Airtel/staff PALF/1 ere partie Août 2021/Legal"/>
    <x v="17"/>
    <s v="Legal"/>
    <m/>
    <n v="21000"/>
    <e v="#REF!"/>
    <x v="1"/>
    <m/>
    <s v="UE"/>
    <s v="RALFF"/>
    <s v="CONGO"/>
    <m/>
    <s v="4.6"/>
    <m/>
  </r>
  <r>
    <d v="2021-07-28T00:00:00"/>
    <s v="Achat credit  teléphonique Airtel/staff PALF/1 ere partie Août 2021/Investingation"/>
    <x v="17"/>
    <s v="Investigations"/>
    <m/>
    <n v="32000"/>
    <e v="#REF!"/>
    <x v="1"/>
    <s v="Oui"/>
    <s v="UE"/>
    <s v="RALFF"/>
    <s v="CONGO"/>
    <m/>
    <s v="4.6"/>
    <m/>
  </r>
  <r>
    <d v="2021-07-28T00:00:00"/>
    <s v="I23C"/>
    <x v="2"/>
    <m/>
    <m/>
    <n v="28000"/>
    <e v="#REF!"/>
    <x v="1"/>
    <m/>
    <m/>
    <m/>
    <s v="CONGO"/>
    <m/>
    <m/>
    <m/>
  </r>
  <r>
    <d v="2021-07-28T00:00:00"/>
    <s v="Achat billet Pointe-noire/Dolisie"/>
    <x v="4"/>
    <s v="Legal"/>
    <m/>
    <n v="5000"/>
    <e v="#REF!"/>
    <x v="2"/>
    <s v="Oui"/>
    <s v="UE"/>
    <s v="RALFF"/>
    <s v="CONGO"/>
    <m/>
    <s v="2.2"/>
    <m/>
  </r>
  <r>
    <d v="2021-07-28T00:00:00"/>
    <s v="Frais mission PN Hôtel du 06 au 28 juillet 2021 (22 nuitées)"/>
    <x v="10"/>
    <s v="Legal"/>
    <m/>
    <n v="330000"/>
    <e v="#REF!"/>
    <x v="2"/>
    <s v="Oui"/>
    <s v="UE"/>
    <s v="RALFF"/>
    <s v="CONGO"/>
    <m/>
    <s v="1.3.2"/>
    <m/>
  </r>
  <r>
    <d v="2021-07-28T00:00:00"/>
    <s v="Caisse"/>
    <x v="2"/>
    <s v="Legal"/>
    <n v="61000"/>
    <m/>
    <e v="#REF!"/>
    <x v="2"/>
    <s v="Decharge"/>
    <m/>
    <m/>
    <s v="CONGO"/>
    <m/>
    <m/>
    <m/>
  </r>
  <r>
    <d v="2021-07-28T00:00:00"/>
    <s v="Achat supports cours d'informatique"/>
    <x v="19"/>
    <s v="Team Building"/>
    <m/>
    <n v="3000"/>
    <e v="#REF!"/>
    <x v="3"/>
    <s v="Oui"/>
    <s v="AVAAZ 2020"/>
    <s v="PALF"/>
    <s v="CONGO"/>
    <m/>
    <m/>
    <m/>
  </r>
  <r>
    <d v="2021-07-28T00:00:00"/>
    <s v="Récu de caisse"/>
    <x v="2"/>
    <s v="Investigations"/>
    <n v="26150"/>
    <m/>
    <e v="#REF!"/>
    <x v="4"/>
    <s v="Decharge"/>
    <m/>
    <m/>
    <s v="CONGO"/>
    <m/>
    <m/>
    <m/>
  </r>
  <r>
    <d v="2021-07-28T00:00:00"/>
    <s v="Récu de caisse"/>
    <x v="2"/>
    <s v="Investigations"/>
    <n v="28000"/>
    <m/>
    <e v="#REF!"/>
    <x v="4"/>
    <s v="Decharge"/>
    <m/>
    <m/>
    <s v="CONGO"/>
    <m/>
    <m/>
    <m/>
  </r>
  <r>
    <d v="2021-07-28T00:00:00"/>
    <s v=":Cumul frais de transport local mois de juillet 2021/Evariste"/>
    <x v="4"/>
    <s v="Media"/>
    <m/>
    <n v="59500"/>
    <e v="#REF!"/>
    <x v="5"/>
    <s v="Decharge"/>
    <s v="UE"/>
    <s v="RALFF"/>
    <s v="CONGO"/>
    <m/>
    <s v="2.2"/>
    <m/>
  </r>
  <r>
    <d v="2021-07-28T00:00:00"/>
    <s v="Recu de caisse"/>
    <x v="2"/>
    <s v="Investigations"/>
    <n v="100000"/>
    <m/>
    <e v="#REF!"/>
    <x v="6"/>
    <s v="Decharge"/>
    <m/>
    <m/>
    <s v="CONGO"/>
    <m/>
    <m/>
    <m/>
  </r>
  <r>
    <d v="2021-07-29T00:00:00"/>
    <s v="BCI/363510-56"/>
    <x v="2"/>
    <s v="Office"/>
    <n v="1000000"/>
    <m/>
    <e v="#REF!"/>
    <x v="1"/>
    <m/>
    <m/>
    <m/>
    <s v="CONGO"/>
    <m/>
    <m/>
    <m/>
  </r>
  <r>
    <d v="2021-07-29T00:00:00"/>
    <s v="JB"/>
    <x v="2"/>
    <m/>
    <m/>
    <n v="90000"/>
    <e v="#REF!"/>
    <x v="1"/>
    <m/>
    <m/>
    <m/>
    <s v="CONGO"/>
    <m/>
    <m/>
    <m/>
  </r>
  <r>
    <d v="2021-07-29T00:00:00"/>
    <s v="Crépin"/>
    <x v="2"/>
    <m/>
    <m/>
    <n v="10000"/>
    <e v="#REF!"/>
    <x v="1"/>
    <m/>
    <m/>
    <m/>
    <s v="CONGO"/>
    <m/>
    <m/>
    <m/>
  </r>
  <r>
    <d v="2021-07-29T00:00:00"/>
    <s v="Frais de transfert charden farell/JB"/>
    <x v="5"/>
    <s v="Office"/>
    <m/>
    <n v="2700"/>
    <e v="#REF!"/>
    <x v="1"/>
    <s v="Oui"/>
    <s v="UE"/>
    <s v="RALFF"/>
    <s v="CONGO"/>
    <m/>
    <s v="5.6"/>
    <m/>
  </r>
  <r>
    <d v="2021-07-29T00:00:00"/>
    <s v="Bonus mois de Juin 2021"/>
    <x v="1"/>
    <s v="Legal"/>
    <m/>
    <n v="20000"/>
    <e v="#REF!"/>
    <x v="1"/>
    <s v="Decharge"/>
    <s v="AVAAZ 2020"/>
    <s v="PALF"/>
    <s v="CONGO"/>
    <m/>
    <m/>
    <m/>
  </r>
  <r>
    <d v="2021-07-29T00:00:00"/>
    <s v="Frais notification d'ordonnance et ordonance de renvoi par le 2ème cabinet d'instruction"/>
    <x v="21"/>
    <s v="Legal"/>
    <m/>
    <n v="25000"/>
    <e v="#REF!"/>
    <x v="2"/>
    <s v="Oui"/>
    <s v="AVAAZ 2020"/>
    <s v="PALF"/>
    <s v="CONGO"/>
    <m/>
    <m/>
    <m/>
  </r>
  <r>
    <d v="2021-07-29T00:00:00"/>
    <s v="Photocopie 12 pages (ordonance et notification)"/>
    <x v="8"/>
    <s v="Legal"/>
    <m/>
    <n v="200"/>
    <e v="#REF!"/>
    <x v="2"/>
    <s v="Oui"/>
    <s v="AVAAZ 2020"/>
    <s v="PALF"/>
    <s v="CONGO"/>
    <m/>
    <m/>
    <m/>
  </r>
  <r>
    <d v="2021-07-29T00:00:00"/>
    <s v="Caisse"/>
    <x v="2"/>
    <s v="Legal"/>
    <n v="90000"/>
    <m/>
    <e v="#REF!"/>
    <x v="2"/>
    <s v="Decharge"/>
    <m/>
    <m/>
    <s v="CONGO"/>
    <m/>
    <m/>
    <m/>
  </r>
  <r>
    <d v="2021-07-29T00:00:00"/>
    <s v="Reçu de caisse"/>
    <x v="2"/>
    <s v="Management"/>
    <n v="10000"/>
    <m/>
    <e v="#REF!"/>
    <x v="3"/>
    <s v="Decharge"/>
    <m/>
    <m/>
    <s v="CONGO"/>
    <m/>
    <m/>
    <m/>
  </r>
  <r>
    <d v="2021-07-29T00:00:00"/>
    <s v="Frais d'hotel à Oyo  du 26 au 29/07"/>
    <x v="10"/>
    <s v="Investigations"/>
    <m/>
    <n v="45000"/>
    <e v="#REF!"/>
    <x v="6"/>
    <s v="Oui"/>
    <s v="UE"/>
    <s v="RALFF"/>
    <s v="CONGO"/>
    <m/>
    <s v="1.3.2"/>
    <m/>
  </r>
  <r>
    <d v="2021-07-29T00:00:00"/>
    <s v="Achat billet oyo-gamboma"/>
    <x v="4"/>
    <s v="Investigations"/>
    <m/>
    <n v="4000"/>
    <e v="#REF!"/>
    <x v="6"/>
    <s v="Oui"/>
    <s v="AVAAZ 2020"/>
    <s v="PALF"/>
    <s v="CONGO"/>
    <m/>
    <s v="2.2"/>
    <m/>
  </r>
  <r>
    <d v="2021-07-29T00:00:00"/>
    <s v="Retrait especes/appro caisse/bord n°3643510"/>
    <x v="2"/>
    <s v="Office"/>
    <m/>
    <n v="1000000"/>
    <e v="#REF!"/>
    <x v="7"/>
    <n v="3643510"/>
    <m/>
    <m/>
    <s v="CONGO"/>
    <m/>
    <m/>
    <m/>
  </r>
  <r>
    <d v="2021-07-30T00:00:00"/>
    <s v="Reglement Facture Internet/mois de Août  2021/congo telecom"/>
    <x v="7"/>
    <s v="Office"/>
    <m/>
    <n v="89175"/>
    <e v="#REF!"/>
    <x v="1"/>
    <s v="Oui"/>
    <s v="UE"/>
    <s v="RALFF"/>
    <s v="CONGO"/>
    <m/>
    <s v="4.5"/>
    <m/>
  </r>
  <r>
    <d v="2021-07-30T00:00:00"/>
    <s v="Merveille"/>
    <x v="2"/>
    <m/>
    <m/>
    <n v="10000"/>
    <e v="#REF!"/>
    <x v="1"/>
    <m/>
    <m/>
    <m/>
    <s v="CONGO"/>
    <m/>
    <m/>
    <m/>
  </r>
  <r>
    <d v="2021-07-30T00:00:00"/>
    <s v="Achat carte sim et Credit téléphonique/pour Danielle"/>
    <x v="17"/>
    <s v="CCU"/>
    <m/>
    <n v="10500"/>
    <e v="#REF!"/>
    <x v="1"/>
    <s v="Oui"/>
    <s v="AVAAZ 2020"/>
    <s v="PALF"/>
    <s v="CONGO"/>
    <m/>
    <m/>
    <m/>
  </r>
  <r>
    <d v="2021-07-30T00:00:00"/>
    <s v="Remboursement frais loyer à Tiffany la coordinatrice PALF"/>
    <x v="19"/>
    <s v="Management"/>
    <m/>
    <n v="441425"/>
    <e v="#REF!"/>
    <x v="1"/>
    <s v="Oui"/>
    <s v="AVAAZ 2020"/>
    <s v="PALF"/>
    <s v="CONGO"/>
    <m/>
    <m/>
    <m/>
  </r>
  <r>
    <d v="2021-07-30T00:00:00"/>
    <s v="Retour sur frais de mission maitre Scrutin MOUYETI"/>
    <x v="14"/>
    <s v="Legal"/>
    <m/>
    <n v="-20000"/>
    <e v="#REF!"/>
    <x v="1"/>
    <m/>
    <s v="UE"/>
    <s v="RALFF"/>
    <s v="CONGO"/>
    <m/>
    <m/>
    <m/>
  </r>
  <r>
    <d v="2021-07-30T00:00:00"/>
    <s v="Crépin"/>
    <x v="2"/>
    <m/>
    <m/>
    <n v="20000"/>
    <e v="#REF!"/>
    <x v="1"/>
    <m/>
    <m/>
    <m/>
    <s v="CONGO"/>
    <m/>
    <m/>
    <m/>
  </r>
  <r>
    <d v="2021-07-30T00:00:00"/>
    <s v="Cumul frais de Jail Visite mois de Juillet 2021"/>
    <x v="18"/>
    <s v="Legal"/>
    <m/>
    <n v="29000"/>
    <e v="#REF!"/>
    <x v="2"/>
    <s v="Decharge"/>
    <s v="AVAAZ 2020"/>
    <s v="PALF"/>
    <s v="CONGO"/>
    <m/>
    <m/>
    <m/>
  </r>
  <r>
    <d v="2021-07-30T00:00:00"/>
    <s v="Cumul frais de transport local mois de juillet 2021/Crépin"/>
    <x v="4"/>
    <s v="Management"/>
    <m/>
    <n v="191500"/>
    <e v="#REF!"/>
    <x v="3"/>
    <s v="Decharge"/>
    <s v="UE"/>
    <s v="RALFF"/>
    <s v="CONGO"/>
    <m/>
    <s v="2.2"/>
    <m/>
  </r>
  <r>
    <d v="2021-07-30T00:00:00"/>
    <s v="Reçu caisse"/>
    <x v="2"/>
    <s v="Management"/>
    <n v="20000"/>
    <m/>
    <e v="#REF!"/>
    <x v="3"/>
    <s v="Decharge"/>
    <m/>
    <m/>
    <s v="CONGO"/>
    <m/>
    <m/>
    <m/>
  </r>
  <r>
    <d v="2021-07-30T00:00:00"/>
    <s v="Cumul frais de transport local mois de juillet 2021/Tiffany"/>
    <x v="4"/>
    <s v="Management"/>
    <m/>
    <n v="28000"/>
    <e v="#REF!"/>
    <x v="9"/>
    <s v="Decharge"/>
    <s v="UE"/>
    <s v="RALFF"/>
    <s v="CONGO"/>
    <m/>
    <s v="2.2"/>
    <m/>
  </r>
  <r>
    <d v="2021-07-30T00:00:00"/>
    <s v="Reçu caisse"/>
    <x v="2"/>
    <m/>
    <n v="10000"/>
    <m/>
    <e v="#REF!"/>
    <x v="10"/>
    <s v="Decharge"/>
    <m/>
    <m/>
    <s v="CONGO"/>
    <m/>
    <m/>
    <m/>
  </r>
  <r>
    <d v="2021-07-30T00:00:00"/>
    <s v="Cumul frais de transport local mois de juillet 2021/Merveille"/>
    <x v="4"/>
    <s v="Management"/>
    <m/>
    <n v="67000"/>
    <e v="#REF!"/>
    <x v="10"/>
    <s v="Decharge"/>
    <s v="UE"/>
    <s v="RALFF"/>
    <s v="CONGO"/>
    <m/>
    <s v="2.2"/>
    <m/>
  </r>
  <r>
    <d v="2021-07-30T00:00:00"/>
    <s v="Cumul frais achat boisson mois de Juillet 2021 /P29"/>
    <x v="20"/>
    <s v="Investigations"/>
    <m/>
    <n v="17500"/>
    <e v="#REF!"/>
    <x v="6"/>
    <s v="Decharge"/>
    <s v="AVAAZ 2020"/>
    <s v="PALF"/>
    <s v="CONGO"/>
    <m/>
    <m/>
    <m/>
  </r>
  <r>
    <d v="2021-07-30T00:00:00"/>
    <s v="Reglement gardiennage mois de Juillet   2021"/>
    <x v="9"/>
    <s v="Office"/>
    <m/>
    <n v="260000"/>
    <e v="#REF!"/>
    <x v="11"/>
    <s v="Virement"/>
    <s v="AVAAZ 2020"/>
    <s v="PALF"/>
    <s v="CONGO"/>
    <m/>
    <m/>
    <m/>
  </r>
  <r>
    <d v="2021-07-30T00:00:00"/>
    <s v=" frais bancaire "/>
    <x v="12"/>
    <s v="Office"/>
    <m/>
    <n v="2600"/>
    <e v="#REF!"/>
    <x v="11"/>
    <s v="Releve"/>
    <s v="AVAAZ 2020"/>
    <s v="PALF"/>
    <s v="CONGO"/>
    <m/>
    <m/>
    <m/>
  </r>
  <r>
    <d v="2021-07-31T00:00:00"/>
    <s v="Cumul frais de transport local mois de Juillet 2021/Jack-Bénisson"/>
    <x v="4"/>
    <s v="Legal"/>
    <m/>
    <n v="195700"/>
    <e v="#REF!"/>
    <x v="2"/>
    <s v="Decharge"/>
    <s v="UE"/>
    <s v="RALFF"/>
    <s v="CONGO"/>
    <m/>
    <s v="2.2"/>
    <m/>
  </r>
  <r>
    <d v="2021-07-31T00:00:00"/>
    <s v="Frais d'hôtel mission Dolisie du 28/07 au 01/08 (4 nuitées)"/>
    <x v="10"/>
    <s v="Legal"/>
    <m/>
    <n v="60000"/>
    <e v="#REF!"/>
    <x v="2"/>
    <s v="Oui"/>
    <s v="UE"/>
    <s v="RALFF"/>
    <s v="CONGO"/>
    <m/>
    <s v="1.3.2"/>
    <m/>
  </r>
  <r>
    <d v="2021-07-31T00:00:00"/>
    <s v="Cumul frais Trust building mois de Juillet 2021/I23C"/>
    <x v="20"/>
    <s v="Investigations"/>
    <m/>
    <n v="23750"/>
    <e v="#REF!"/>
    <x v="4"/>
    <s v="Decharge"/>
    <s v="AVAAZ 2020"/>
    <s v="PALF"/>
    <s v="CONGO"/>
    <m/>
    <m/>
    <m/>
  </r>
  <r>
    <d v="2021-07-31T00:00:00"/>
    <s v="Cumul frais de transport local mois de Juillet 2021/I23c"/>
    <x v="4"/>
    <s v="Investigations"/>
    <m/>
    <n v="107900"/>
    <e v="#REF!"/>
    <x v="4"/>
    <s v="Decharge"/>
    <s v="UE"/>
    <s v="RALFF"/>
    <s v="CONGO"/>
    <m/>
    <s v="2.2"/>
    <m/>
  </r>
  <r>
    <d v="2021-07-31T00:00:00"/>
    <s v="Frais d'hotel à Gamboma du 29/07 au 31/07"/>
    <x v="10"/>
    <s v="Investigations"/>
    <m/>
    <n v="30000"/>
    <e v="#REF!"/>
    <x v="6"/>
    <s v="Oui"/>
    <s v="UE"/>
    <s v="RALFF"/>
    <s v="CONGO"/>
    <m/>
    <s v="1.3.2"/>
    <m/>
  </r>
  <r>
    <d v="2021-07-31T00:00:00"/>
    <s v="Achat billet gamboma-bzv"/>
    <x v="4"/>
    <s v="Investigations"/>
    <m/>
    <n v="8000"/>
    <e v="#REF!"/>
    <x v="6"/>
    <s v="Oui"/>
    <s v="UE"/>
    <s v="RALFF"/>
    <s v="CONGO"/>
    <m/>
    <s v="2.2"/>
    <m/>
  </r>
  <r>
    <d v="2021-07-31T00:00:00"/>
    <s v="Cumul frais de transport local mois de Juillet 2021/P29"/>
    <x v="4"/>
    <s v="Investigations"/>
    <m/>
    <n v="85000"/>
    <e v="#REF!"/>
    <x v="6"/>
    <s v="Decharge"/>
    <s v="UE"/>
    <s v="RALFF"/>
    <s v="CONGO"/>
    <m/>
    <s v="2.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97">
  <r>
    <d v="2021-07-01T00:00:00"/>
    <s v="Solde au 01/07/2021"/>
    <m/>
    <m/>
    <n v="18027281"/>
    <m/>
    <n v="18027281"/>
    <m/>
    <m/>
    <x v="0"/>
    <m/>
    <s v="CONGO"/>
    <m/>
    <m/>
    <m/>
  </r>
  <r>
    <d v="2021-07-01T00:00:00"/>
    <s v="Bonus média"/>
    <s v="Bonus"/>
    <s v="Media"/>
    <m/>
    <n v="150000"/>
    <n v="17877281"/>
    <s v="Caisse"/>
    <s v="Decharge"/>
    <x v="1"/>
    <s v="PALF"/>
    <s v="CONGO"/>
    <m/>
    <m/>
    <m/>
  </r>
  <r>
    <d v="2021-07-01T00:00:00"/>
    <s v="Evariste"/>
    <s v="Versement"/>
    <m/>
    <m/>
    <n v="10000"/>
    <n v="17867281"/>
    <s v="Caisse"/>
    <m/>
    <x v="0"/>
    <m/>
    <s v="CONGO"/>
    <m/>
    <m/>
    <m/>
  </r>
  <r>
    <d v="2021-07-01T00:00:00"/>
    <s v="P29"/>
    <s v="Versement"/>
    <m/>
    <m/>
    <n v="30000"/>
    <n v="17837281"/>
    <s v="Caisse"/>
    <m/>
    <x v="0"/>
    <m/>
    <s v="CONGO"/>
    <m/>
    <m/>
    <m/>
  </r>
  <r>
    <d v="2021-07-01T00:00:00"/>
    <s v="I23C"/>
    <s v="Versement"/>
    <m/>
    <m/>
    <n v="120000"/>
    <n v="17717281"/>
    <s v="Caisse"/>
    <m/>
    <x v="0"/>
    <m/>
    <s v="CONGO"/>
    <m/>
    <m/>
    <m/>
  </r>
  <r>
    <d v="2021-07-01T00:00:00"/>
    <s v="Crépin"/>
    <s v="Versement"/>
    <m/>
    <m/>
    <n v="50000"/>
    <n v="17667281"/>
    <s v="Caisse"/>
    <m/>
    <x v="0"/>
    <m/>
    <s v="CONGO"/>
    <m/>
    <m/>
    <m/>
  </r>
  <r>
    <d v="2021-07-01T00:00:00"/>
    <s v="Achat billet d'avion Brazzaville-Pointe-Noire (compagnie aérienne Canadian Airways Congo)"/>
    <s v="Flight"/>
    <s v="Legal"/>
    <m/>
    <n v="40000"/>
    <n v="17627281"/>
    <s v="Jack-Bénisson"/>
    <s v="Oui"/>
    <x v="2"/>
    <s v="RALFF"/>
    <s v="CONGO"/>
    <m/>
    <s v="2.2"/>
    <m/>
  </r>
  <r>
    <d v="2021-07-01T00:00:00"/>
    <s v="Recu de la caisse"/>
    <s v="Versement"/>
    <s v="Management"/>
    <n v="50000"/>
    <m/>
    <n v="17677281"/>
    <s v="Crépin"/>
    <s v="Decharge"/>
    <x v="0"/>
    <m/>
    <s v="CONGO"/>
    <m/>
    <m/>
    <m/>
  </r>
  <r>
    <d v="2021-07-01T00:00:00"/>
    <s v="Reçu caisse"/>
    <s v="Versement"/>
    <s v="Investigations"/>
    <n v="120000"/>
    <m/>
    <n v="17797281"/>
    <s v="I23C"/>
    <s v="Decharge"/>
    <x v="0"/>
    <m/>
    <s v="CONGO"/>
    <m/>
    <m/>
    <m/>
  </r>
  <r>
    <d v="2021-07-01T00:00:00"/>
    <s v="Achat billet BZ-PN (Mission Pn)"/>
    <s v="Transport"/>
    <s v="Investigations"/>
    <m/>
    <n v="15000"/>
    <n v="17782281"/>
    <s v="I23C"/>
    <s v="Oui"/>
    <x v="2"/>
    <s v="RALFF"/>
    <s v="CONGO"/>
    <m/>
    <s v="2.2"/>
    <m/>
  </r>
  <r>
    <d v="2021-07-01T00:00:00"/>
    <s v="Reçu de la caisse"/>
    <s v="Versement"/>
    <s v="Media"/>
    <n v="10000"/>
    <m/>
    <n v="17792281"/>
    <s v="Evariste"/>
    <s v="Decharge"/>
    <x v="0"/>
    <m/>
    <s v="CONGO"/>
    <m/>
    <m/>
    <m/>
  </r>
  <r>
    <d v="2021-07-01T00:00:00"/>
    <s v="Recu de caisse"/>
    <s v="Versement"/>
    <s v="Investigations"/>
    <n v="30000"/>
    <m/>
    <n v="17822281"/>
    <s v="P29"/>
    <s v="Decharge"/>
    <x v="0"/>
    <m/>
    <s v="CONGO"/>
    <m/>
    <m/>
    <m/>
  </r>
  <r>
    <d v="2021-07-01T00:00:00"/>
    <s v="Achat billet BZV-Loudima"/>
    <s v="Transport"/>
    <s v="Investigations"/>
    <m/>
    <n v="10000"/>
    <n v="17812281"/>
    <s v="P29"/>
    <s v="Oui"/>
    <x v="2"/>
    <s v="RALFF"/>
    <s v="CONGO"/>
    <m/>
    <s v="2.2"/>
    <m/>
  </r>
  <r>
    <d v="2021-07-02T00:00:00"/>
    <s v="BCI/3643489-56"/>
    <s v="Versement"/>
    <s v="Office"/>
    <n v="1000000"/>
    <m/>
    <e v="#REF!"/>
    <s v="Caisse"/>
    <m/>
    <x v="0"/>
    <m/>
    <s v="CONGO"/>
    <m/>
    <m/>
    <m/>
  </r>
  <r>
    <d v="2021-07-02T00:00:00"/>
    <s v="JB"/>
    <s v="Versement"/>
    <m/>
    <m/>
    <n v="71000"/>
    <e v="#REF!"/>
    <s v="Caisse"/>
    <m/>
    <x v="0"/>
    <m/>
    <s v="CONGO"/>
    <m/>
    <m/>
    <m/>
  </r>
  <r>
    <d v="2021-07-02T00:00:00"/>
    <s v="Crépin"/>
    <s v="Versement"/>
    <m/>
    <m/>
    <n v="104000"/>
    <e v="#REF!"/>
    <s v="Caisse"/>
    <m/>
    <x v="0"/>
    <m/>
    <s v="CONGO"/>
    <m/>
    <m/>
    <m/>
  </r>
  <r>
    <d v="2021-07-02T00:00:00"/>
    <s v="Frais de transfert Charden Farell /Crépin JB"/>
    <s v="Transfer Fees"/>
    <s v="Office"/>
    <m/>
    <n v="5250"/>
    <e v="#REF!"/>
    <s v="Caisse"/>
    <s v="Oui"/>
    <x v="2"/>
    <s v="RALFF"/>
    <s v="CONGO"/>
    <m/>
    <s v="5.6"/>
    <m/>
  </r>
  <r>
    <d v="2021-07-02T00:00:00"/>
    <s v="Reglement factures Zanne LABUSCHAGNE/Production newsletter"/>
    <s v="Publications"/>
    <s v="Office"/>
    <m/>
    <n v="175000"/>
    <e v="#REF!"/>
    <s v="Caisse"/>
    <s v="Oui"/>
    <x v="2"/>
    <s v="RALFF"/>
    <s v="CONGO"/>
    <m/>
    <s v="5.1"/>
    <m/>
  </r>
  <r>
    <d v="2021-07-02T00:00:00"/>
    <s v="Frais de transfert western Union/zanne"/>
    <s v="Transfer Fees"/>
    <s v="Office"/>
    <m/>
    <n v="11386"/>
    <e v="#REF!"/>
    <s v="Caisse"/>
    <s v="Oui"/>
    <x v="2"/>
    <s v="RALFF"/>
    <s v="CONGO"/>
    <m/>
    <s v="5.6"/>
    <m/>
  </r>
  <r>
    <d v="2021-07-02T00:00:00"/>
    <s v="Reglement Facture Internet/mois de Juillet 2021/congo telecom"/>
    <s v="Internet"/>
    <s v="Office"/>
    <m/>
    <n v="89175"/>
    <e v="#REF!"/>
    <s v="Caisse"/>
    <s v="Oui"/>
    <x v="2"/>
    <s v="RALFF"/>
    <s v="CONGO"/>
    <m/>
    <s v="4.5"/>
    <m/>
  </r>
  <r>
    <d v="2021-07-02T00:00:00"/>
    <s v="Achat eau bureau"/>
    <s v="Office Materials"/>
    <s v="Office"/>
    <m/>
    <n v="18000"/>
    <e v="#REF!"/>
    <s v="Caisse"/>
    <s v="Oui"/>
    <x v="1"/>
    <s v="PALF"/>
    <s v="CONGO"/>
    <m/>
    <m/>
    <m/>
  </r>
  <r>
    <d v="2021-07-02T00:00:00"/>
    <s v="MOD/reparation imprimante bureau"/>
    <s v="Services"/>
    <s v="Office"/>
    <m/>
    <n v="10000"/>
    <e v="#REF!"/>
    <s v="Caisse"/>
    <s v="Oui"/>
    <x v="1"/>
    <s v="PALF"/>
    <s v="CONGO"/>
    <m/>
    <m/>
    <m/>
  </r>
  <r>
    <d v="2021-07-02T00:00:00"/>
    <s v="Caisse"/>
    <s v="Versement"/>
    <s v="Legal"/>
    <n v="71000"/>
    <m/>
    <e v="#REF!"/>
    <s v="Jack-Bénisson"/>
    <s v="Decharge"/>
    <x v="0"/>
    <m/>
    <s v="CONGO"/>
    <m/>
    <m/>
    <m/>
  </r>
  <r>
    <d v="2021-07-02T00:00:00"/>
    <s v="Billet- Brazzaville-Dolisie"/>
    <s v="Transport"/>
    <s v="Management"/>
    <m/>
    <n v="10000"/>
    <e v="#REF!"/>
    <s v="Crépin"/>
    <s v="Oui"/>
    <x v="2"/>
    <s v="RALFF"/>
    <s v="CONGO"/>
    <m/>
    <s v="2.2"/>
    <m/>
  </r>
  <r>
    <d v="2021-07-02T00:00:00"/>
    <s v="Food-Allowance du 02 au 21/07/2021"/>
    <s v="Travel Subsistence"/>
    <s v="Management"/>
    <m/>
    <n v="190000"/>
    <e v="#REF!"/>
    <s v="Crépin"/>
    <s v="Decharge"/>
    <x v="2"/>
    <s v="RALFF"/>
    <s v="CONGO"/>
    <m/>
    <s v="1.3.2"/>
    <m/>
  </r>
  <r>
    <d v="2021-07-02T00:00:00"/>
    <s v="Food allowance mission PN-Nkayi-Madingou du 2 au 10 Juillet 2021"/>
    <s v="Travel Subsistence"/>
    <s v="Investigations"/>
    <m/>
    <n v="80000"/>
    <e v="#REF!"/>
    <s v="I23C"/>
    <s v="Decharge"/>
    <x v="2"/>
    <s v="RALFF"/>
    <s v="CONGO"/>
    <m/>
    <s v="1.3.2"/>
    <m/>
  </r>
  <r>
    <d v="2021-07-02T00:00:00"/>
    <s v="Food allowance mission du 02 au 10/07"/>
    <s v="Travel Subsistence"/>
    <s v="Investigations"/>
    <m/>
    <n v="80000"/>
    <e v="#REF!"/>
    <s v="P29"/>
    <s v="Decharge"/>
    <x v="2"/>
    <s v="RALFF"/>
    <s v="CONGO"/>
    <m/>
    <s v="1.3.2"/>
    <m/>
  </r>
  <r>
    <d v="2021-07-02T00:00:00"/>
    <s v="Frais de transport   LOUDIMA-SIBITI"/>
    <s v="Transport"/>
    <s v="Investigations"/>
    <m/>
    <n v="4000"/>
    <e v="#REF!"/>
    <s v="P29"/>
    <s v="Oui"/>
    <x v="1"/>
    <s v="PALF"/>
    <s v="CONGO"/>
    <m/>
    <s v="2.2"/>
    <m/>
  </r>
  <r>
    <d v="2021-07-02T00:00:00"/>
    <s v="Fond Reçu de UE"/>
    <s v="Grant"/>
    <m/>
    <n v="31201251"/>
    <m/>
    <e v="#REF!"/>
    <s v="BCI Sous-Compte"/>
    <s v="Relevé"/>
    <x v="2"/>
    <m/>
    <s v="CONGO"/>
    <m/>
    <m/>
    <m/>
  </r>
  <r>
    <d v="2021-07-02T00:00:00"/>
    <s v="Retrait especes/appro caisse/bord n°3643489"/>
    <s v="Versement"/>
    <s v="Office"/>
    <m/>
    <n v="1000000"/>
    <e v="#REF!"/>
    <s v="BCI Sous-Compte"/>
    <n v="3643489"/>
    <x v="0"/>
    <m/>
    <s v="CONGO"/>
    <m/>
    <m/>
    <m/>
  </r>
  <r>
    <d v="2021-07-02T00:00:00"/>
    <s v="Frais s/virement emis"/>
    <s v="Bank Fees"/>
    <s v="Office"/>
    <m/>
    <n v="2600"/>
    <e v="#REF!"/>
    <s v="BCI Sous-Compte"/>
    <s v="Releve"/>
    <x v="2"/>
    <s v="RALFF"/>
    <s v="CONGO"/>
    <m/>
    <s v="5.6"/>
    <m/>
  </r>
  <r>
    <d v="2021-07-02T00:00:00"/>
    <s v="Reglement gardiennage mois de JUIN  2021"/>
    <s v="Services"/>
    <s v="Office"/>
    <m/>
    <n v="260000"/>
    <e v="#REF!"/>
    <s v="BCI Sous-Compte"/>
    <s v="Virement"/>
    <x v="1"/>
    <s v="PALF"/>
    <s v="CONGO"/>
    <m/>
    <m/>
    <m/>
  </r>
  <r>
    <d v="2021-07-02T00:00:00"/>
    <s v="Frais extrait de compte siege BCI Congo"/>
    <s v="Bank Fees"/>
    <s v="Office"/>
    <m/>
    <n v="2663"/>
    <e v="#REF!"/>
    <s v="BCI Sous-Compte"/>
    <s v="Releve"/>
    <x v="2"/>
    <s v="RALFF"/>
    <s v="CONGO"/>
    <m/>
    <s v="5.6"/>
    <m/>
  </r>
  <r>
    <d v="2021-07-03T00:00:00"/>
    <s v="Frais hôtel mission PN du 01 au 03 juillet 2021 (2 nuitées)"/>
    <s v="Travel Subsistence"/>
    <s v="Legal"/>
    <m/>
    <n v="30000"/>
    <e v="#REF!"/>
    <s v="Jack-Bénisson"/>
    <s v="Oui"/>
    <x v="2"/>
    <s v="RALFF"/>
    <s v="CONGO"/>
    <m/>
    <s v="1.3.2"/>
    <m/>
  </r>
  <r>
    <d v="2021-07-03T00:00:00"/>
    <s v="Foodallowance mission PN du 01  juillet 2021 au 01 Août 2021"/>
    <s v="Travel Subsistence"/>
    <s v="Legal"/>
    <m/>
    <n v="310000"/>
    <e v="#REF!"/>
    <s v="Jack-Bénisson"/>
    <s v="Decharge"/>
    <x v="2"/>
    <s v="RALFF"/>
    <s v="CONGO"/>
    <m/>
    <s v="1.3.2"/>
    <m/>
  </r>
  <r>
    <d v="2021-07-03T00:00:00"/>
    <s v="Achat billet Pointe-Noire-Dolisie"/>
    <s v="Transport"/>
    <s v="Legal"/>
    <m/>
    <n v="5000"/>
    <e v="#REF!"/>
    <s v="Jack-Bénisson"/>
    <s v="Oui"/>
    <x v="2"/>
    <s v="RALFF"/>
    <s v="CONGO"/>
    <m/>
    <s v="2.2"/>
    <m/>
  </r>
  <r>
    <d v="2021-07-03T00:00:00"/>
    <s v="Reçu de caisse"/>
    <s v="Versement"/>
    <s v="Management"/>
    <n v="104000"/>
    <m/>
    <e v="#REF!"/>
    <s v="Crépin"/>
    <s v="Decharge"/>
    <x v="0"/>
    <m/>
    <s v="CONGO"/>
    <m/>
    <m/>
    <m/>
  </r>
  <r>
    <d v="2021-07-05T00:00:00"/>
    <s v="I23C"/>
    <s v="Versement"/>
    <m/>
    <m/>
    <n v="159000"/>
    <e v="#REF!"/>
    <s v="Caisse"/>
    <m/>
    <x v="0"/>
    <m/>
    <s v="CONGO"/>
    <m/>
    <m/>
    <m/>
  </r>
  <r>
    <d v="2021-07-05T00:00:00"/>
    <s v="P29"/>
    <s v="Versement"/>
    <m/>
    <m/>
    <n v="107000"/>
    <e v="#REF!"/>
    <s v="Caisse"/>
    <m/>
    <x v="0"/>
    <m/>
    <s v="CONGO"/>
    <m/>
    <m/>
    <m/>
  </r>
  <r>
    <d v="2021-07-05T00:00:00"/>
    <s v="JB"/>
    <s v="Versement"/>
    <m/>
    <m/>
    <n v="158000"/>
    <e v="#REF!"/>
    <s v="Caisse"/>
    <m/>
    <x v="0"/>
    <m/>
    <s v="CONGO"/>
    <m/>
    <m/>
    <m/>
  </r>
  <r>
    <d v="2021-07-05T00:00:00"/>
    <s v="Crépin"/>
    <s v="Versement"/>
    <m/>
    <m/>
    <n v="92000"/>
    <e v="#REF!"/>
    <s v="Caisse"/>
    <m/>
    <x v="0"/>
    <m/>
    <s v="CONGO"/>
    <m/>
    <m/>
    <m/>
  </r>
  <r>
    <d v="2021-07-05T00:00:00"/>
    <s v="Frais transfert Charden Farell/JB"/>
    <s v="Transfer Fees"/>
    <s v="Office"/>
    <m/>
    <n v="15480"/>
    <e v="#REF!"/>
    <s v="Caisse"/>
    <m/>
    <x v="2"/>
    <s v="RALFF"/>
    <s v="CONGO"/>
    <m/>
    <s v="5.6"/>
    <m/>
  </r>
  <r>
    <d v="2021-07-05T00:00:00"/>
    <s v="Ted"/>
    <s v="Versement"/>
    <m/>
    <m/>
    <n v="10000"/>
    <e v="#REF!"/>
    <s v="Caisse"/>
    <m/>
    <x v="0"/>
    <m/>
    <s v="CONGO"/>
    <m/>
    <m/>
    <m/>
  </r>
  <r>
    <d v="2021-07-05T00:00:00"/>
    <s v="Reglement facture E²C/Mai-Juin 2021/bureau PALF"/>
    <s v="Rent &amp; Utilities"/>
    <s v="Office"/>
    <m/>
    <n v="57912"/>
    <e v="#REF!"/>
    <s v="Caisse"/>
    <s v="Oui"/>
    <x v="2"/>
    <s v="RALFF"/>
    <s v="CONGO"/>
    <m/>
    <s v="4.4"/>
    <m/>
  </r>
  <r>
    <d v="2021-07-05T00:00:00"/>
    <s v="Frais de mission à Dolisie maitre MOUYETI du 06 au 08/07/2021"/>
    <s v="Lawyer Fees"/>
    <s v="Legal"/>
    <m/>
    <n v="76000"/>
    <e v="#REF!"/>
    <s v="Caisse"/>
    <m/>
    <x v="2"/>
    <s v="RALFF"/>
    <s v="CONGO"/>
    <m/>
    <s v="5.2.2"/>
    <m/>
  </r>
  <r>
    <d v="2021-07-05T00:00:00"/>
    <s v="Réçu de caisse"/>
    <s v="Versement"/>
    <s v="Investigations"/>
    <n v="159000"/>
    <m/>
    <e v="#REF!"/>
    <s v="I23C"/>
    <s v="Decharge"/>
    <x v="0"/>
    <m/>
    <s v="CONGO"/>
    <m/>
    <m/>
    <m/>
  </r>
  <r>
    <d v="2021-07-05T00:00:00"/>
    <s v="Reçu caisse/Ted"/>
    <s v="Versement"/>
    <m/>
    <n v="10000"/>
    <m/>
    <e v="#REF!"/>
    <s v="Ted"/>
    <s v="Decharge"/>
    <x v="0"/>
    <m/>
    <s v="CONGO"/>
    <m/>
    <m/>
    <m/>
  </r>
  <r>
    <d v="2021-07-05T00:00:00"/>
    <s v="Recu de caisse"/>
    <s v="Versement"/>
    <s v="Investigations"/>
    <n v="107000"/>
    <m/>
    <e v="#REF!"/>
    <s v="P29"/>
    <s v="Decharge"/>
    <x v="0"/>
    <m/>
    <s v="CONGO"/>
    <m/>
    <m/>
    <m/>
  </r>
  <r>
    <d v="2021-07-06T00:00:00"/>
    <s v="Bonus mois de Juin 2021/Evariste"/>
    <s v="Bonus"/>
    <s v="Media"/>
    <m/>
    <n v="20000"/>
    <e v="#REF!"/>
    <s v="Caisse"/>
    <s v="Decharge"/>
    <x v="1"/>
    <s v="PALF"/>
    <s v="CONGO"/>
    <m/>
    <m/>
    <m/>
  </r>
  <r>
    <d v="2021-07-06T00:00:00"/>
    <s v="Bonus operation/Evariste"/>
    <s v="Bonus"/>
    <s v="Operations"/>
    <m/>
    <n v="30000"/>
    <e v="#REF!"/>
    <s v="Caisse"/>
    <s v="Decharge"/>
    <x v="1"/>
    <s v="PALF"/>
    <s v="CONGO"/>
    <m/>
    <m/>
    <m/>
  </r>
  <r>
    <d v="2021-07-06T00:00:00"/>
    <s v="Tiffany"/>
    <s v="Versement"/>
    <m/>
    <m/>
    <n v="20000"/>
    <e v="#REF!"/>
    <s v="Caisse"/>
    <m/>
    <x v="0"/>
    <m/>
    <s v="CONGO"/>
    <m/>
    <m/>
    <m/>
  </r>
  <r>
    <d v="2021-07-06T00:00:00"/>
    <s v="Evariste"/>
    <s v="Versement"/>
    <m/>
    <m/>
    <n v="10000"/>
    <e v="#REF!"/>
    <s v="Caisse"/>
    <m/>
    <x v="0"/>
    <m/>
    <s v="CONGO"/>
    <m/>
    <m/>
    <m/>
  </r>
  <r>
    <d v="2021-07-06T00:00:00"/>
    <s v="Bonus média"/>
    <s v="Bonus"/>
    <s v="Media"/>
    <m/>
    <n v="33000"/>
    <e v="#REF!"/>
    <s v="Caisse"/>
    <s v="Decharge"/>
    <x v="1"/>
    <s v="PALF"/>
    <s v="CONGO"/>
    <m/>
    <m/>
    <m/>
  </r>
  <r>
    <d v="2021-07-06T00:00:00"/>
    <s v="Frais de transfert Charden Farell /Crépin "/>
    <s v="Transfer Fees"/>
    <s v="Office"/>
    <m/>
    <n v="1200"/>
    <e v="#REF!"/>
    <s v="Caisse"/>
    <s v="Oui"/>
    <x v="2"/>
    <s v="RALFF"/>
    <s v="CONGO"/>
    <m/>
    <s v="5.6"/>
    <m/>
  </r>
  <r>
    <d v="2021-07-06T00:00:00"/>
    <s v="BCI/3654451-34"/>
    <s v="Versement"/>
    <s v="Office"/>
    <n v="1000000"/>
    <m/>
    <e v="#REF!"/>
    <s v="Caisse"/>
    <m/>
    <x v="0"/>
    <m/>
    <s v="CONGO"/>
    <m/>
    <m/>
    <m/>
  </r>
  <r>
    <d v="2021-07-06T00:00:00"/>
    <s v="Telechargement des pilotes imprimante Ricoh sp 311"/>
    <s v="Website"/>
    <s v="Office"/>
    <m/>
    <n v="35000"/>
    <e v="#REF!"/>
    <s v="Caisse"/>
    <s v="Oui"/>
    <x v="2"/>
    <s v="RALFF"/>
    <s v="CONGO"/>
    <m/>
    <s v="4.4"/>
    <m/>
  </r>
  <r>
    <d v="2021-07-06T00:00:00"/>
    <s v="Merveille"/>
    <s v="Versement"/>
    <m/>
    <m/>
    <n v="17000"/>
    <e v="#REF!"/>
    <s v="Caisse"/>
    <m/>
    <x v="0"/>
    <m/>
    <s v="CONGO"/>
    <m/>
    <m/>
    <m/>
  </r>
  <r>
    <d v="2021-07-06T00:00:00"/>
    <s v="Caisse"/>
    <s v="Versement"/>
    <m/>
    <n v="158000"/>
    <m/>
    <e v="#REF!"/>
    <s v="Jack-Bénisson"/>
    <s v="Decharge"/>
    <x v="0"/>
    <m/>
    <s v="CONGO"/>
    <m/>
    <m/>
    <m/>
  </r>
  <r>
    <d v="2021-07-06T00:00:00"/>
    <s v="Achat billet Dolisie-PN"/>
    <s v="Transport"/>
    <s v="Legal"/>
    <m/>
    <n v="5000"/>
    <e v="#REF!"/>
    <s v="Jack-Bénisson"/>
    <s v="Oui"/>
    <x v="2"/>
    <s v="RALFF"/>
    <s v="CONGO"/>
    <m/>
    <s v="2.2"/>
    <m/>
  </r>
  <r>
    <d v="2021-07-06T00:00:00"/>
    <s v="Frais hôtel mission Dolisie du 03 au 06 juillet 2021 (3 nuitées)"/>
    <s v="Travel Subsistence"/>
    <s v="Legal"/>
    <m/>
    <n v="45000"/>
    <e v="#REF!"/>
    <s v="Jack-Bénisson"/>
    <s v="Oui"/>
    <x v="2"/>
    <s v="RALFF"/>
    <s v="CONGO"/>
    <m/>
    <s v="1.3.2"/>
    <m/>
  </r>
  <r>
    <d v="2021-07-06T00:00:00"/>
    <s v="Reçu de Caisse"/>
    <s v="Versement"/>
    <s v="Management"/>
    <n v="92000"/>
    <m/>
    <e v="#REF!"/>
    <s v="Crépin"/>
    <s v="Decharge"/>
    <x v="0"/>
    <m/>
    <s v="CONGO"/>
    <m/>
    <m/>
    <m/>
  </r>
  <r>
    <d v="2021-07-06T00:00:00"/>
    <s v="Reçu caisse/Tiffany"/>
    <s v="Versement"/>
    <m/>
    <n v="20000"/>
    <m/>
    <e v="#REF!"/>
    <s v="Tiffany"/>
    <s v="Decharge"/>
    <x v="0"/>
    <m/>
    <s v="CONGO"/>
    <m/>
    <m/>
    <m/>
  </r>
  <r>
    <d v="2021-07-06T00:00:00"/>
    <s v="Reçu caisse"/>
    <s v="Versement"/>
    <m/>
    <n v="17000"/>
    <m/>
    <e v="#REF!"/>
    <s v="Merveille"/>
    <s v="Decharge"/>
    <x v="0"/>
    <m/>
    <s v="CONGO"/>
    <m/>
    <m/>
    <m/>
  </r>
  <r>
    <d v="2021-07-06T00:00:00"/>
    <s v="Reçu de la caisse"/>
    <s v="Versement"/>
    <s v="Media"/>
    <n v="10000"/>
    <m/>
    <e v="#REF!"/>
    <s v="Evariste"/>
    <s v="Decharge"/>
    <x v="0"/>
    <m/>
    <s v="CONGO"/>
    <m/>
    <m/>
    <m/>
  </r>
  <r>
    <d v="2021-07-06T00:00:00"/>
    <s v="Retrait especes/appro caisse/bord n°3654451"/>
    <s v="Versement"/>
    <s v="Office"/>
    <m/>
    <n v="1000000"/>
    <e v="#REF!"/>
    <s v="BCI"/>
    <n v="3654451"/>
    <x v="0"/>
    <m/>
    <s v="CONGO"/>
    <m/>
    <m/>
    <m/>
  </r>
  <r>
    <d v="2021-07-06T00:00:00"/>
    <s v="cotisation Web bank"/>
    <s v="Bank Fees"/>
    <s v="Office"/>
    <m/>
    <n v="8644"/>
    <e v="#REF!"/>
    <s v="BCI"/>
    <s v="Releve"/>
    <x v="1"/>
    <s v="PALF"/>
    <s v="CONGO"/>
    <m/>
    <m/>
    <m/>
  </r>
  <r>
    <d v="2021-07-07T00:00:00"/>
    <s v="Paiement attestation d'hebergement pour Luc"/>
    <s v="Travel Expenses"/>
    <s v="CCU"/>
    <m/>
    <n v="30000"/>
    <e v="#REF!"/>
    <s v="Caisse"/>
    <s v="Oui"/>
    <x v="1"/>
    <s v="PALF"/>
    <s v="CONGO"/>
    <m/>
    <m/>
    <m/>
  </r>
  <r>
    <d v="2021-07-07T00:00:00"/>
    <s v="Achat lait sucre café,javel,sac poubelle,papier toilette et produit nettoyant"/>
    <s v="Office Materials"/>
    <s v="Office"/>
    <m/>
    <n v="30450"/>
    <e v="#REF!"/>
    <s v="Caisse"/>
    <s v="Oui"/>
    <x v="1"/>
    <s v="PALF"/>
    <s v="CONGO"/>
    <m/>
    <m/>
    <m/>
  </r>
  <r>
    <d v="2021-07-07T00:00:00"/>
    <s v="Frais de transfert charden farell/crepin"/>
    <s v="Transfer Fees"/>
    <s v="Office"/>
    <m/>
    <n v="1860"/>
    <e v="#REF!"/>
    <s v="Caisse"/>
    <s v="Oui"/>
    <x v="2"/>
    <s v="RALFF"/>
    <s v="CONGO"/>
    <m/>
    <s v="5.6"/>
    <m/>
  </r>
  <r>
    <d v="2021-07-07T00:00:00"/>
    <s v="Crépin"/>
    <s v="Versement"/>
    <m/>
    <m/>
    <n v="62000"/>
    <e v="#REF!"/>
    <s v="Caisse"/>
    <m/>
    <x v="0"/>
    <m/>
    <s v="CONGO"/>
    <m/>
    <m/>
    <m/>
  </r>
  <r>
    <d v="2021-07-07T00:00:00"/>
    <s v="Evariste"/>
    <s v="Versement"/>
    <m/>
    <m/>
    <n v="8000"/>
    <e v="#REF!"/>
    <s v="Caisse"/>
    <m/>
    <x v="0"/>
    <m/>
    <s v="CONGO"/>
    <m/>
    <m/>
    <m/>
  </r>
  <r>
    <d v="2021-07-07T00:00:00"/>
    <s v="Achat Jus + Gâteau coktail au bureau"/>
    <s v="Office Materials"/>
    <s v="Team Building"/>
    <m/>
    <n v="21000"/>
    <e v="#REF!"/>
    <s v="Caisse"/>
    <s v="Oui"/>
    <x v="1"/>
    <s v="PALF"/>
    <s v="CONGO"/>
    <m/>
    <m/>
    <m/>
  </r>
  <r>
    <d v="2021-07-07T00:00:00"/>
    <s v="Paiement hôtel 5 nuitées du 2 au 7 juillet 2021"/>
    <s v="Travel Subsistence"/>
    <s v="Investigations"/>
    <m/>
    <n v="75000"/>
    <e v="#REF!"/>
    <s v="I23C"/>
    <s v="Oui"/>
    <x v="2"/>
    <s v="RALFF"/>
    <s v="CONGO"/>
    <m/>
    <s v="1.3.2"/>
    <m/>
  </r>
  <r>
    <d v="2021-07-07T00:00:00"/>
    <s v="Achat billet PN-Dolisie"/>
    <s v="Transport"/>
    <s v="Investigations"/>
    <m/>
    <n v="5000"/>
    <e v="#REF!"/>
    <s v="I23C"/>
    <s v="Oui"/>
    <x v="2"/>
    <s v="RALFF"/>
    <s v="CONGO"/>
    <m/>
    <s v="2.2"/>
    <m/>
  </r>
  <r>
    <d v="2021-07-07T00:00:00"/>
    <s v="Taxi Dolisie-Nkayi"/>
    <s v="Transport"/>
    <s v="Investigations"/>
    <m/>
    <n v="3000"/>
    <e v="#REF!"/>
    <s v="I23C"/>
    <s v="Oui"/>
    <x v="1"/>
    <s v="PALF"/>
    <s v="CONGO"/>
    <m/>
    <m/>
    <m/>
  </r>
  <r>
    <d v="2021-07-07T00:00:00"/>
    <s v="Reçu de la caisse "/>
    <s v="Versement"/>
    <s v="Media"/>
    <n v="8000"/>
    <m/>
    <e v="#REF!"/>
    <s v="Evariste"/>
    <s v="Decharge"/>
    <x v="0"/>
    <m/>
    <s v="CONGO"/>
    <m/>
    <m/>
    <m/>
  </r>
  <r>
    <d v="2021-07-07T00:00:00"/>
    <s v="Frais d'hotel à Sibiti  du 02/07 au 07/07/2021"/>
    <s v="Travel Subsistence"/>
    <s v="Investigations"/>
    <m/>
    <n v="75000"/>
    <e v="#REF!"/>
    <s v="P29"/>
    <s v="Oui"/>
    <x v="2"/>
    <s v="RALFF"/>
    <s v="CONGO"/>
    <m/>
    <s v="1.3.2"/>
    <m/>
  </r>
  <r>
    <d v="2021-07-07T00:00:00"/>
    <s v="Achat billet sibiti-dolisie"/>
    <s v="Transport"/>
    <s v="Investigations"/>
    <m/>
    <n v="8000"/>
    <e v="#REF!"/>
    <s v="P29"/>
    <s v="Oui"/>
    <x v="2"/>
    <s v="RALFF"/>
    <s v="CONGO"/>
    <m/>
    <s v="2.2"/>
    <m/>
  </r>
  <r>
    <d v="2021-07-08T00:00:00"/>
    <s v="Reçu de caisse"/>
    <s v="Versement"/>
    <s v="Management"/>
    <n v="62000"/>
    <m/>
    <e v="#REF!"/>
    <s v="Crépin"/>
    <s v="Oui"/>
    <x v="0"/>
    <m/>
    <s v="CONGO"/>
    <m/>
    <m/>
    <m/>
  </r>
  <r>
    <d v="2021-07-08T00:00:00"/>
    <s v="Acompte honoraires contrat n°36/Dolisie/maitre Scrutin/3643494"/>
    <s v="Lawyer Fees"/>
    <s v="Legal"/>
    <m/>
    <n v="200000"/>
    <e v="#REF!"/>
    <s v="BCI Sous-Compte"/>
    <n v="3643494"/>
    <x v="2"/>
    <s v="RALFF"/>
    <s v="CONGO"/>
    <m/>
    <s v="5.2.2"/>
    <m/>
  </r>
  <r>
    <d v="2021-07-08T00:00:00"/>
    <s v="Acompte honoraires contrat n°35/Brazzaville/maitre marie Hélène /3643493"/>
    <s v="Lawyer Fees"/>
    <s v="Legal"/>
    <m/>
    <n v="200000"/>
    <e v="#REF!"/>
    <s v="BCI Sous-Compte"/>
    <n v="3643493"/>
    <x v="2"/>
    <s v="RALFF"/>
    <s v="CONGO"/>
    <m/>
    <s v="5.2.2"/>
    <m/>
  </r>
  <r>
    <d v="2021-07-08T00:00:00"/>
    <s v="Frais de consultation avocat Mois de Juillet 2021/LOCKO Christian/3643492"/>
    <s v="Lawyer Fees"/>
    <s v="Legal"/>
    <m/>
    <n v="150000"/>
    <e v="#REF!"/>
    <s v="BCI Sous-Compte"/>
    <n v="3643492"/>
    <x v="2"/>
    <s v="RALFF"/>
    <s v="CONGO"/>
    <m/>
    <s v="5.2.2"/>
    <m/>
  </r>
  <r>
    <d v="2021-07-09T00:00:00"/>
    <s v="Achat eponge,balai,nescafé,brosse toilette et savon liquide/bureau"/>
    <s v="Office Materials"/>
    <s v="Office"/>
    <m/>
    <n v="18850"/>
    <e v="#REF!"/>
    <s v="Caisse"/>
    <s v="Oui"/>
    <x v="1"/>
    <s v="PALF"/>
    <s v="CONGO"/>
    <m/>
    <m/>
    <m/>
  </r>
  <r>
    <d v="2021-07-09T00:00:00"/>
    <s v="JB"/>
    <s v="Versement"/>
    <m/>
    <m/>
    <n v="145000"/>
    <e v="#REF!"/>
    <s v="Caisse"/>
    <m/>
    <x v="0"/>
    <m/>
    <s v="CONGO"/>
    <m/>
    <m/>
    <m/>
  </r>
  <r>
    <d v="2021-07-09T00:00:00"/>
    <s v="Frais de mission à Pointe-Noire/Maitre Séverin du 12 au 14/07/2021"/>
    <s v="Lawyer Fees"/>
    <s v="Legal"/>
    <m/>
    <n v="86000"/>
    <e v="#REF!"/>
    <s v="Caisse"/>
    <s v="Oui"/>
    <x v="2"/>
    <s v="RALFF"/>
    <s v="CONGO"/>
    <m/>
    <s v="5.2.2"/>
    <m/>
  </r>
  <r>
    <d v="2021-07-09T00:00:00"/>
    <s v="Frais de transfert Charden Farell /Crépin "/>
    <s v="Transfer Fees"/>
    <s v="Office"/>
    <m/>
    <n v="9030"/>
    <e v="#REF!"/>
    <s v="Caisse"/>
    <s v="Oui"/>
    <x v="2"/>
    <s v="RALFF"/>
    <s v="CONGO"/>
    <m/>
    <s v="5.6"/>
    <m/>
  </r>
  <r>
    <d v="2021-07-09T00:00:00"/>
    <s v="Crépin"/>
    <s v="Versement"/>
    <m/>
    <m/>
    <n v="111000"/>
    <e v="#REF!"/>
    <s v="Caisse"/>
    <m/>
    <x v="0"/>
    <m/>
    <s v="CONGO"/>
    <m/>
    <m/>
    <m/>
  </r>
  <r>
    <d v="2021-07-09T00:00:00"/>
    <s v="Recharge telephone Tiffany/credit MTN"/>
    <s v="Telephone"/>
    <s v="Management"/>
    <m/>
    <n v="5000"/>
    <e v="#REF!"/>
    <s v="Caisse"/>
    <s v="Decharge"/>
    <x v="1"/>
    <s v="PALF"/>
    <s v="CONGO"/>
    <m/>
    <m/>
    <m/>
  </r>
  <r>
    <d v="2021-07-09T00:00:00"/>
    <s v="Caisse"/>
    <s v="Versement"/>
    <s v="Legal"/>
    <n v="145000"/>
    <m/>
    <e v="#REF!"/>
    <s v="Jack-Bénisson"/>
    <s v="Decharge"/>
    <x v="0"/>
    <m/>
    <s v="CONGO"/>
    <m/>
    <m/>
    <m/>
  </r>
  <r>
    <d v="2021-07-09T00:00:00"/>
    <s v="Reçu de caisse"/>
    <s v="Versement"/>
    <s v="Management"/>
    <n v="111000"/>
    <m/>
    <e v="#REF!"/>
    <s v="Crépin"/>
    <s v="Oui"/>
    <x v="0"/>
    <m/>
    <s v="CONGO"/>
    <m/>
    <m/>
    <m/>
  </r>
  <r>
    <d v="2021-07-09T00:00:00"/>
    <s v="Paiement 2 nuitées du 7 au 9 juillet 2021"/>
    <s v="Travel Subsistence"/>
    <s v="Investigations"/>
    <m/>
    <n v="30000"/>
    <e v="#REF!"/>
    <s v="I23C"/>
    <s v="Oui"/>
    <x v="2"/>
    <s v="RALFF"/>
    <s v="CONGO"/>
    <m/>
    <s v="1.3.2"/>
    <m/>
  </r>
  <r>
    <d v="2021-07-09T00:00:00"/>
    <s v="Taxi Nkayi-Madingou (départ pour Madingou)"/>
    <s v="Transport"/>
    <s v="Investigations"/>
    <m/>
    <n v="3000"/>
    <e v="#REF!"/>
    <s v="I23C"/>
    <s v="Oui"/>
    <x v="1"/>
    <s v="PALF"/>
    <s v="CONGO"/>
    <m/>
    <m/>
    <m/>
  </r>
  <r>
    <d v="2021-07-09T00:00:00"/>
    <s v="Achat billet dolisie-brazza"/>
    <s v="Transport"/>
    <s v="Investigations"/>
    <m/>
    <n v="10000"/>
    <e v="#REF!"/>
    <s v="P29"/>
    <s v="Oui"/>
    <x v="2"/>
    <s v="RALFF"/>
    <s v="CONGO"/>
    <m/>
    <s v="2.2"/>
    <m/>
  </r>
  <r>
    <d v="2021-07-10T00:00:00"/>
    <s v="Paiement Hôtel du 9 au 10 Juillet 2021"/>
    <s v="Travel Subsistence"/>
    <s v="Investigations"/>
    <m/>
    <n v="15000"/>
    <e v="#REF!"/>
    <s v="I23C"/>
    <s v="Oui"/>
    <x v="2"/>
    <s v="RALFF"/>
    <s v="CONGO"/>
    <m/>
    <s v="1.3.2"/>
    <m/>
  </r>
  <r>
    <d v="2021-07-10T00:00:00"/>
    <s v="Taxi Madingou-Brazzaville (départ pour BZ)"/>
    <s v="Transport"/>
    <s v="Investigations"/>
    <m/>
    <n v="8000"/>
    <e v="#REF!"/>
    <s v="I23C"/>
    <s v="Oui"/>
    <x v="2"/>
    <s v="RALFF"/>
    <s v="CONGO"/>
    <m/>
    <s v="2.2"/>
    <m/>
  </r>
  <r>
    <d v="2021-07-10T00:00:00"/>
    <s v="Paiement 3 nuitées du 07/07 au 10/07"/>
    <s v="Travel Subsistence"/>
    <s v="Investigations"/>
    <m/>
    <n v="45000"/>
    <e v="#REF!"/>
    <s v="P29"/>
    <s v="Oui"/>
    <x v="2"/>
    <s v="RALFF"/>
    <s v="CONGO"/>
    <m/>
    <s v="1.3.2"/>
    <m/>
  </r>
  <r>
    <d v="2021-07-11T00:00:00"/>
    <s v="Raffraichissement pendant le positionnement avec 4 gendarmes en civil et le chef faune"/>
    <s v="Travel Subsistence"/>
    <s v="Operations"/>
    <m/>
    <n v="6000"/>
    <e v="#REF!"/>
    <s v="Crépin"/>
    <s v="Decharge"/>
    <x v="1"/>
    <s v="PALF"/>
    <s v="CONGO"/>
    <m/>
    <m/>
    <m/>
  </r>
  <r>
    <d v="2021-07-12T00:00:00"/>
    <s v="Bonus mois de juin 2021/P29"/>
    <s v="Bonus"/>
    <s v="Investigations"/>
    <m/>
    <n v="20000"/>
    <e v="#REF!"/>
    <s v="Caisse"/>
    <s v="Decharge"/>
    <x v="1"/>
    <s v="PALF"/>
    <s v="CONGO"/>
    <m/>
    <m/>
    <m/>
  </r>
  <r>
    <d v="2021-07-12T00:00:00"/>
    <s v="Bonus mois de juin 2021/i23c"/>
    <s v="Bonus"/>
    <s v="Investigations"/>
    <m/>
    <n v="50000"/>
    <e v="#REF!"/>
    <s v="Caisse"/>
    <s v="Decharge"/>
    <x v="1"/>
    <s v="PALF"/>
    <s v="CONGO"/>
    <m/>
    <m/>
    <m/>
  </r>
  <r>
    <d v="2021-07-12T00:00:00"/>
    <s v="Consultation de Roussel à l'hopital militaire"/>
    <s v="Jail Visits"/>
    <s v="Legal"/>
    <m/>
    <n v="1000"/>
    <e v="#REF!"/>
    <s v="Crépin"/>
    <s v="Oui"/>
    <x v="1"/>
    <s v="PALF"/>
    <s v="CONGO"/>
    <m/>
    <m/>
    <m/>
  </r>
  <r>
    <d v="2021-07-12T00:00:00"/>
    <s v="Achat des produits pharmaceutiques pour Roussel"/>
    <s v="Jail Visits"/>
    <s v="Legal"/>
    <m/>
    <n v="9665"/>
    <e v="#REF!"/>
    <s v="Crépin"/>
    <s v="Oui"/>
    <x v="1"/>
    <s v="PALF"/>
    <s v="CONGO"/>
    <m/>
    <m/>
    <m/>
  </r>
  <r>
    <d v="2021-07-12T00:00:00"/>
    <s v="Paiemet CNSS deuxième trimestre et mois de juillet  Hérick TCHIKAYA"/>
    <s v="Personnel"/>
    <s v="Legal"/>
    <m/>
    <n v="314187"/>
    <e v="#REF!"/>
    <s v="BCI Sous-Compte"/>
    <n v="3643495"/>
    <x v="2"/>
    <s v="RALFF"/>
    <s v="CONGO"/>
    <m/>
    <s v="1.1.1.7"/>
    <m/>
  </r>
  <r>
    <d v="2021-07-12T00:00:00"/>
    <s v="Paiemet CNSS deuxième trimestre /Avril,Mai et Juin 2021/Ted"/>
    <s v="Personnel"/>
    <s v="Management"/>
    <m/>
    <n v="253422"/>
    <e v="#REF!"/>
    <s v="BCI Sous-Compte"/>
    <n v="3643495"/>
    <x v="2"/>
    <s v="RALFF"/>
    <s v="CONGO"/>
    <m/>
    <s v="1.1.2.1"/>
    <m/>
  </r>
  <r>
    <d v="2021-07-12T00:00:00"/>
    <s v="Paiemet CNSS deuxième trimestre /Avril,Mai et Juin 2021/Merveille"/>
    <s v="Personnel"/>
    <s v="Management"/>
    <m/>
    <n v="158580"/>
    <e v="#REF!"/>
    <s v="BCI Sous-Compte"/>
    <n v="3643495"/>
    <x v="2"/>
    <s v="RALFF"/>
    <s v="CONGO"/>
    <m/>
    <s v="1.1.2.1"/>
    <m/>
  </r>
  <r>
    <d v="2021-07-12T00:00:00"/>
    <s v="Paiemet CNSS deuxième trimestre /Avril,Mai et Juin 2021/Geisner"/>
    <s v="Personnel"/>
    <s v="Legal"/>
    <m/>
    <n v="125002"/>
    <e v="#REF!"/>
    <s v="BCI Sous-Compte"/>
    <n v="3643495"/>
    <x v="2"/>
    <s v="RALFF"/>
    <s v="CONGO"/>
    <m/>
    <s v="1.1.1.7"/>
    <m/>
  </r>
  <r>
    <d v="2021-07-12T00:00:00"/>
    <s v="Paiemet CNSS deuxième trimestre /Avril,Mai et Juin 2021/P29"/>
    <s v="Personnel"/>
    <s v="Investigations"/>
    <m/>
    <n v="94692"/>
    <e v="#REF!"/>
    <s v="BCI Sous-Compte"/>
    <n v="3643495"/>
    <x v="2"/>
    <s v="RALFF"/>
    <s v="CONGO"/>
    <m/>
    <s v="1.1.1.9"/>
    <m/>
  </r>
  <r>
    <d v="2021-07-12T00:00:00"/>
    <s v="Paiemet CNSS deuxième trimestre /Avril,Mai et Juin 2021/Evariste"/>
    <s v="Personnel"/>
    <s v="Media"/>
    <m/>
    <n v="121401"/>
    <e v="#REF!"/>
    <s v="BCI Sous-Compte"/>
    <n v="3643495"/>
    <x v="2"/>
    <s v="RALFF"/>
    <s v="CONGO"/>
    <m/>
    <s v="1.1.1.4"/>
    <m/>
  </r>
  <r>
    <d v="2021-07-12T00:00:00"/>
    <s v="Paiemet CNSS deuxième trimestre /Avril,Mai et Juin 2021/MALONGA MERSY Jack-Bénisson"/>
    <s v="Personnel"/>
    <s v="Legal"/>
    <m/>
    <n v="183444"/>
    <e v="#REF!"/>
    <s v="BCI Sous-Compte"/>
    <n v="3643495"/>
    <x v="2"/>
    <s v="RALFF"/>
    <s v="CONGO"/>
    <m/>
    <s v="1.1.1.7"/>
    <m/>
  </r>
  <r>
    <d v="2021-07-12T00:00:00"/>
    <s v="Paiemet CNSS deuxième trimestre /Avril,Mai et Juin 2021/Crepin IBOUILI-IBOUILI"/>
    <s v="Personnel"/>
    <s v="Legal"/>
    <m/>
    <n v="220377"/>
    <e v="#REF!"/>
    <s v="BCI Sous-Compte"/>
    <n v="3643495"/>
    <x v="2"/>
    <s v="RALFF"/>
    <s v="CONGO"/>
    <m/>
    <s v="1.1.1.7"/>
    <m/>
  </r>
  <r>
    <d v="2021-07-12T00:00:00"/>
    <s v="Paiemet CNSS deuxième trimestre /Avril,Mai et Juin 2021/Christian"/>
    <s v="Personnel"/>
    <s v="Legal"/>
    <m/>
    <n v="125005"/>
    <e v="#REF!"/>
    <s v="BCI Sous-Compte"/>
    <n v="3643495"/>
    <x v="2"/>
    <s v="RALFF"/>
    <s v="CONGO"/>
    <m/>
    <s v="1.1.1.7"/>
    <m/>
  </r>
  <r>
    <d v="2021-07-13T00:00:00"/>
    <s v="Achat agenda pour I23C"/>
    <s v="Office Materials"/>
    <s v="Office"/>
    <m/>
    <n v="5000"/>
    <e v="#REF!"/>
    <s v="Caisse"/>
    <s v="Oui"/>
    <x v="1"/>
    <s v="PALF"/>
    <s v="CONGO"/>
    <m/>
    <m/>
    <m/>
  </r>
  <r>
    <d v="2021-07-13T00:00:00"/>
    <s v="Trust building/achat carte sim pour I23C"/>
    <s v="Trust Building"/>
    <s v="Investigations"/>
    <m/>
    <n v="10500"/>
    <e v="#REF!"/>
    <s v="Caisse"/>
    <m/>
    <x v="1"/>
    <s v="PALF"/>
    <s v="CONGO"/>
    <m/>
    <m/>
    <m/>
  </r>
  <r>
    <d v="2021-07-13T00:00:00"/>
    <s v="Evariste"/>
    <s v="Versement"/>
    <m/>
    <m/>
    <n v="10000"/>
    <e v="#REF!"/>
    <s v="Caisse"/>
    <m/>
    <x v="0"/>
    <m/>
    <s v="CONGO"/>
    <m/>
    <m/>
    <m/>
  </r>
  <r>
    <d v="2021-07-13T00:00:00"/>
    <s v="Crépin"/>
    <s v="Versement"/>
    <m/>
    <m/>
    <n v="258000"/>
    <e v="#REF!"/>
    <s v="Caisse"/>
    <m/>
    <x v="0"/>
    <m/>
    <s v="CONGO"/>
    <m/>
    <m/>
    <m/>
  </r>
  <r>
    <d v="2021-07-13T00:00:00"/>
    <s v="Frais de Transfert charden farell/Crépin"/>
    <s v="Transfer Fees"/>
    <s v="Office"/>
    <m/>
    <n v="7740"/>
    <e v="#REF!"/>
    <s v="Caisse"/>
    <s v="Oui"/>
    <x v="2"/>
    <s v="RALFF"/>
    <s v="CONGO"/>
    <m/>
    <s v="5.6"/>
    <m/>
  </r>
  <r>
    <d v="2021-07-13T00:00:00"/>
    <s v="I23C"/>
    <s v="Versement"/>
    <m/>
    <m/>
    <n v="124000"/>
    <e v="#REF!"/>
    <s v="Caisse"/>
    <m/>
    <x v="0"/>
    <m/>
    <s v="CONGO"/>
    <m/>
    <m/>
    <m/>
  </r>
  <r>
    <d v="2021-07-13T00:00:00"/>
    <s v="P29"/>
    <s v="Versement"/>
    <m/>
    <m/>
    <n v="121000"/>
    <e v="#REF!"/>
    <s v="Caisse"/>
    <m/>
    <x v="0"/>
    <m/>
    <s v="CONGO"/>
    <m/>
    <m/>
    <m/>
  </r>
  <r>
    <d v="2021-07-13T00:00:00"/>
    <s v="BCI/3643496-56"/>
    <s v="Versement"/>
    <s v="Office"/>
    <n v="1000000"/>
    <m/>
    <e v="#REF!"/>
    <s v="Caisse"/>
    <m/>
    <x v="0"/>
    <m/>
    <s v="CONGO"/>
    <m/>
    <m/>
    <m/>
  </r>
  <r>
    <d v="2021-07-13T00:00:00"/>
    <s v="Reçu de caisse"/>
    <s v="Versement"/>
    <s v="Management"/>
    <n v="258000"/>
    <m/>
    <e v="#REF!"/>
    <s v="Crépin"/>
    <s v="Oui"/>
    <x v="0"/>
    <m/>
    <s v="CONGO"/>
    <m/>
    <m/>
    <m/>
  </r>
  <r>
    <d v="2021-07-13T00:00:00"/>
    <s v="Bonus 10 OPJ pour opération"/>
    <s v="Bonus"/>
    <s v="Operations"/>
    <m/>
    <n v="100000"/>
    <e v="#REF!"/>
    <s v="Crépin"/>
    <s v="Decharge"/>
    <x v="1"/>
    <s v="PALF"/>
    <s v="CONGO"/>
    <m/>
    <m/>
    <m/>
  </r>
  <r>
    <d v="2021-07-13T00:00:00"/>
    <s v="Carburant de la BJ"/>
    <s v="Transport"/>
    <s v="Operations"/>
    <m/>
    <n v="25000"/>
    <e v="#REF!"/>
    <s v="Crépin"/>
    <s v="Oui"/>
    <x v="2"/>
    <s v="RALFF"/>
    <s v="CONGO"/>
    <m/>
    <s v="4.1"/>
    <m/>
  </r>
  <r>
    <d v="2021-07-13T00:00:00"/>
    <s v="Réçu caisse"/>
    <s v="Versement"/>
    <s v="Investigations"/>
    <n v="124000"/>
    <m/>
    <e v="#REF!"/>
    <s v="I23C"/>
    <s v="Decharge"/>
    <x v="0"/>
    <m/>
    <s v="CONGO"/>
    <m/>
    <m/>
    <m/>
  </r>
  <r>
    <d v="2021-07-13T00:00:00"/>
    <s v="Achat billet BZ-PN (Mission Pn)"/>
    <s v="Transport"/>
    <s v="Investigations"/>
    <m/>
    <n v="15000"/>
    <e v="#REF!"/>
    <s v="I23C"/>
    <s v="Oui"/>
    <x v="2"/>
    <s v="RALFF"/>
    <s v="CONGO"/>
    <m/>
    <s v="2.2"/>
    <m/>
  </r>
  <r>
    <d v="2021-07-13T00:00:00"/>
    <s v="Reçu de la caisse"/>
    <s v="Versement"/>
    <s v="Media"/>
    <n v="10000"/>
    <m/>
    <e v="#REF!"/>
    <s v="Evariste"/>
    <s v="Decharge"/>
    <x v="0"/>
    <m/>
    <s v="CONGO"/>
    <m/>
    <m/>
    <m/>
  </r>
  <r>
    <d v="2021-07-13T00:00:00"/>
    <s v="Recu de caisse"/>
    <s v="Versement"/>
    <s v="Investigations"/>
    <n v="121000"/>
    <m/>
    <e v="#REF!"/>
    <s v="P29"/>
    <s v="Decharge"/>
    <x v="0"/>
    <m/>
    <s v="CONGO"/>
    <m/>
    <m/>
    <m/>
  </r>
  <r>
    <d v="2021-07-13T00:00:00"/>
    <s v="Retrait especes/appro caisse/bord n°3643496"/>
    <s v="Versement"/>
    <s v="Office"/>
    <m/>
    <n v="1000000"/>
    <e v="#REF!"/>
    <s v="BCI Sous-Compte"/>
    <n v="3643496"/>
    <x v="0"/>
    <m/>
    <s v="CONGO"/>
    <m/>
    <m/>
    <m/>
  </r>
  <r>
    <d v="2021-07-14T00:00:00"/>
    <s v="Bonus média"/>
    <s v="Bonus"/>
    <s v="Media"/>
    <m/>
    <n v="27000"/>
    <e v="#REF!"/>
    <s v="Caisse"/>
    <s v="Decharge"/>
    <x v="1"/>
    <s v="PALF"/>
    <s v="CONGO"/>
    <m/>
    <m/>
    <m/>
  </r>
  <r>
    <d v="2021-07-14T00:00:00"/>
    <s v="Achat credit  teléphonique Airtel/staff PALF/2ème partie juillet 2021/management"/>
    <s v="Telephone"/>
    <s v="Management"/>
    <m/>
    <n v="10000"/>
    <e v="#REF!"/>
    <s v="Caisse"/>
    <s v="Oui"/>
    <x v="2"/>
    <s v="RALFF"/>
    <s v="CONGO"/>
    <m/>
    <s v="4.6"/>
    <m/>
  </r>
  <r>
    <d v="2021-07-14T00:00:00"/>
    <s v="Achat credit  teléphonique Airtel/staff PALF/2ème partie juillet 2021/légel"/>
    <s v="Telephone"/>
    <s v="Legal"/>
    <m/>
    <n v="10000"/>
    <e v="#REF!"/>
    <s v="Caisse"/>
    <s v="Oui"/>
    <x v="2"/>
    <s v="RALFF"/>
    <s v="CONGO"/>
    <m/>
    <s v="4.6"/>
    <m/>
  </r>
  <r>
    <d v="2021-07-14T00:00:00"/>
    <s v="Achat credit  teléphonique Airtel/staff PALF/2ème partie juillet 2021/investigation"/>
    <s v="Telephone"/>
    <s v="Investigations"/>
    <m/>
    <n v="5000"/>
    <e v="#REF!"/>
    <s v="Caisse"/>
    <s v="Oui"/>
    <x v="2"/>
    <s v="RALFF"/>
    <s v="CONGO"/>
    <m/>
    <s v="4.6"/>
    <m/>
  </r>
  <r>
    <d v="2021-07-14T00:00:00"/>
    <s v="Achat credit  teléphonique MTN/staff PALF/2ème partie juillet 2021/Management"/>
    <s v="Telephone"/>
    <s v="Management"/>
    <m/>
    <n v="25000"/>
    <e v="#REF!"/>
    <s v="Caisse"/>
    <s v="Oui"/>
    <x v="2"/>
    <s v="RALFF"/>
    <s v="CONGO"/>
    <m/>
    <s v="4.6"/>
    <m/>
  </r>
  <r>
    <d v="2021-07-14T00:00:00"/>
    <s v="Achat credit  teléphonique MTN/staff PALF/2ème partie juillet 2021/Investigation"/>
    <s v="Telephone"/>
    <s v="Investigations"/>
    <m/>
    <n v="20000"/>
    <e v="#REF!"/>
    <s v="Caisse"/>
    <s v="Oui"/>
    <x v="2"/>
    <s v="RALFF"/>
    <s v="CONGO"/>
    <m/>
    <s v="4.6"/>
    <m/>
  </r>
  <r>
    <d v="2021-07-14T00:00:00"/>
    <s v="Achat credit  teléphonique MTN/staff PALF/2ème partie juillet 2021/Légal"/>
    <s v="Telephone"/>
    <s v="Legal"/>
    <m/>
    <n v="10000"/>
    <e v="#REF!"/>
    <s v="Caisse"/>
    <s v="Oui"/>
    <x v="2"/>
    <s v="RALFF"/>
    <s v="CONGO"/>
    <m/>
    <s v="4.6"/>
    <m/>
  </r>
  <r>
    <d v="2021-07-14T00:00:00"/>
    <s v="Achat credit  teléphonique MTN/staff PALF/2ème partie juillet 2021/Média"/>
    <s v="Telephone"/>
    <s v="Media"/>
    <m/>
    <n v="10000"/>
    <e v="#REF!"/>
    <s v="Caisse"/>
    <s v="Oui"/>
    <x v="2"/>
    <s v="RALFF"/>
    <s v="CONGO"/>
    <m/>
    <s v="4.6"/>
    <m/>
  </r>
  <r>
    <d v="2021-07-14T00:00:00"/>
    <s v="JB"/>
    <s v="Versement"/>
    <m/>
    <m/>
    <n v="58000"/>
    <e v="#REF!"/>
    <s v="Caisse"/>
    <m/>
    <x v="0"/>
    <m/>
    <s v="CONGO"/>
    <m/>
    <m/>
    <m/>
  </r>
  <r>
    <d v="2021-07-14T00:00:00"/>
    <s v="Frais de transfert charden farell/JB"/>
    <s v="Transfer Fees"/>
    <s v="Office"/>
    <m/>
    <n v="1740"/>
    <e v="#REF!"/>
    <s v="Caisse"/>
    <s v="Oui"/>
    <x v="2"/>
    <s v="RALFF"/>
    <s v="CONGO"/>
    <m/>
    <s v="5.6"/>
    <m/>
  </r>
  <r>
    <d v="2021-07-14T00:00:00"/>
    <s v="Achat billet bzv-bouansa"/>
    <s v="Transport"/>
    <s v="Investigations"/>
    <m/>
    <n v="8000"/>
    <e v="#REF!"/>
    <s v="P29"/>
    <s v="Oui"/>
    <x v="2"/>
    <s v="RALFF"/>
    <s v="CONGO"/>
    <m/>
    <s v="2.2"/>
    <m/>
  </r>
  <r>
    <d v="2021-07-14T00:00:00"/>
    <s v="Food allowance mission du 15 au 21/07/2021"/>
    <s v="Travel Subsistence"/>
    <s v="Investigations"/>
    <m/>
    <n v="60000"/>
    <e v="#REF!"/>
    <s v="P29"/>
    <s v="Decharge"/>
    <x v="2"/>
    <s v="RALFF"/>
    <s v="CONGO"/>
    <m/>
    <s v="1.3.2"/>
    <m/>
  </r>
  <r>
    <d v="2021-07-15T00:00:00"/>
    <s v="Achat 05 carton rame papier A4"/>
    <s v="Office Materials"/>
    <s v="Office"/>
    <m/>
    <n v="70000"/>
    <e v="#REF!"/>
    <s v="Caisse"/>
    <s v="Oui"/>
    <x v="1"/>
    <s v="PALF"/>
    <s v="CONGO"/>
    <m/>
    <m/>
    <m/>
  </r>
  <r>
    <d v="2021-07-15T00:00:00"/>
    <s v="Achat 03 cartouches HP63/02 noir et 01 couleur"/>
    <s v="Office Materials"/>
    <s v="Office"/>
    <m/>
    <n v="54000"/>
    <e v="#REF!"/>
    <s v="Caisse"/>
    <s v="Oui"/>
    <x v="1"/>
    <s v="PALF"/>
    <s v="CONGO"/>
    <m/>
    <m/>
    <m/>
  </r>
  <r>
    <d v="2021-07-15T00:00:00"/>
    <s v="Bonus informateur"/>
    <s v="Bonus"/>
    <s v="Operations"/>
    <m/>
    <n v="80000"/>
    <e v="#REF!"/>
    <s v="Caisse"/>
    <s v="Decharge"/>
    <x v="1"/>
    <s v="PALF"/>
    <s v="CONGO"/>
    <m/>
    <m/>
    <m/>
  </r>
  <r>
    <d v="2021-07-15T00:00:00"/>
    <s v="Evariste"/>
    <s v="Versement"/>
    <m/>
    <m/>
    <n v="10000"/>
    <e v="#REF!"/>
    <s v="Caisse"/>
    <m/>
    <x v="0"/>
    <m/>
    <s v="CONGO"/>
    <m/>
    <m/>
    <m/>
  </r>
  <r>
    <d v="2021-07-15T00:00:00"/>
    <s v="Caisse"/>
    <s v="Versement"/>
    <s v="Legal"/>
    <n v="58000"/>
    <m/>
    <e v="#REF!"/>
    <s v="Jack-Bénisson"/>
    <s v="Decharge"/>
    <x v="0"/>
    <m/>
    <s v="CONGO"/>
    <m/>
    <m/>
    <m/>
  </r>
  <r>
    <d v="2021-07-15T00:00:00"/>
    <s v="Food allowance mission PN-Dolisie du 15 au 21 Juillet 2021"/>
    <s v="Travel Subsistence"/>
    <s v="Investigations"/>
    <m/>
    <n v="60000"/>
    <e v="#REF!"/>
    <s v="I23C"/>
    <s v="Decharge"/>
    <x v="2"/>
    <s v="RALFF"/>
    <s v="CONGO"/>
    <m/>
    <s v="1.3.2"/>
    <m/>
  </r>
  <r>
    <d v="2021-07-15T00:00:00"/>
    <s v="Reçu de la caisse"/>
    <s v="Versement"/>
    <s v="Media"/>
    <n v="10000"/>
    <m/>
    <e v="#REF!"/>
    <s v="Evariste"/>
    <s v="Decharge"/>
    <x v="0"/>
    <m/>
    <s v="CONGO"/>
    <m/>
    <m/>
    <m/>
  </r>
  <r>
    <d v="2021-07-15T00:00:00"/>
    <s v="Frais de transport  bouansa-mouyondzi"/>
    <s v="Transport"/>
    <s v="Investigations"/>
    <m/>
    <n v="4000"/>
    <e v="#REF!"/>
    <s v="P29"/>
    <s v="Oui"/>
    <x v="1"/>
    <s v="PALF"/>
    <s v="CONGO"/>
    <m/>
    <m/>
    <m/>
  </r>
  <r>
    <d v="2021-07-16T00:00:00"/>
    <s v="JB"/>
    <s v="Versement"/>
    <m/>
    <m/>
    <n v="87000"/>
    <e v="#REF!"/>
    <s v="Caisse"/>
    <m/>
    <x v="0"/>
    <m/>
    <s v="CONGO"/>
    <m/>
    <m/>
    <m/>
  </r>
  <r>
    <d v="2021-07-16T00:00:00"/>
    <s v="Crépin"/>
    <s v="Versement"/>
    <m/>
    <m/>
    <n v="156000"/>
    <e v="#REF!"/>
    <s v="Caisse"/>
    <m/>
    <x v="0"/>
    <m/>
    <s v="CONGO"/>
    <m/>
    <m/>
    <m/>
  </r>
  <r>
    <d v="2021-07-16T00:00:00"/>
    <s v="Frais de transfert charden farell/JB &amp; Crépin"/>
    <s v="Transfer Fees"/>
    <s v="Office"/>
    <m/>
    <n v="7290"/>
    <e v="#REF!"/>
    <s v="Caisse"/>
    <s v="Oui"/>
    <x v="2"/>
    <s v="RALFF"/>
    <s v="CONGO"/>
    <m/>
    <s v="5.6"/>
    <m/>
  </r>
  <r>
    <d v="2021-07-16T00:00:00"/>
    <s v="Caisse"/>
    <s v="Versement"/>
    <s v="Legal"/>
    <n v="87000"/>
    <m/>
    <e v="#REF!"/>
    <s v="Jack-Bénisson"/>
    <s v="Decharge"/>
    <x v="0"/>
    <m/>
    <s v="CONGO"/>
    <m/>
    <m/>
    <m/>
  </r>
  <r>
    <d v="2021-07-16T00:00:00"/>
    <s v="Reçu de caisse"/>
    <s v="Versement"/>
    <s v="Management"/>
    <n v="156000"/>
    <m/>
    <e v="#REF!"/>
    <s v="Crépin"/>
    <s v="Decharge"/>
    <x v="0"/>
    <m/>
    <s v="CONGO"/>
    <m/>
    <m/>
    <m/>
  </r>
  <r>
    <d v="2021-07-18T00:00:00"/>
    <s v="Impression et photocopie procédure"/>
    <s v="Office Materials"/>
    <s v="Office"/>
    <m/>
    <n v="2275"/>
    <e v="#REF!"/>
    <s v="Jack-Bénisson"/>
    <s v="Oui"/>
    <x v="2"/>
    <s v="RALFF"/>
    <s v="CONGO"/>
    <m/>
    <s v="4.3"/>
    <m/>
  </r>
  <r>
    <d v="2021-07-18T00:00:00"/>
    <s v="Frais de transport mouyondzi-madingou"/>
    <s v="Transport"/>
    <s v="Investigations"/>
    <m/>
    <n v="4000"/>
    <e v="#REF!"/>
    <s v="P29"/>
    <s v="Oui"/>
    <x v="1"/>
    <s v="PALF"/>
    <s v="CONGO"/>
    <m/>
    <m/>
    <m/>
  </r>
  <r>
    <d v="2021-07-18T00:00:00"/>
    <s v="Paiement 3 nuitées du 15 au 18/07"/>
    <s v="Travel Subsistence"/>
    <s v="Investigations"/>
    <m/>
    <n v="45000"/>
    <e v="#REF!"/>
    <s v="P29"/>
    <s v="Oui"/>
    <x v="2"/>
    <s v="RALFF"/>
    <s v="CONGO"/>
    <m/>
    <s v="1.3.2"/>
    <m/>
  </r>
  <r>
    <d v="2021-07-19T00:00:00"/>
    <s v="P29"/>
    <s v="Versement"/>
    <m/>
    <m/>
    <n v="80000"/>
    <e v="#REF!"/>
    <s v="Caisse"/>
    <m/>
    <x v="0"/>
    <m/>
    <s v="CONGO"/>
    <m/>
    <m/>
    <m/>
  </r>
  <r>
    <d v="2021-07-19T00:00:00"/>
    <s v="I23C"/>
    <s v="Versement"/>
    <m/>
    <m/>
    <n v="90000"/>
    <e v="#REF!"/>
    <s v="Caisse"/>
    <m/>
    <x v="0"/>
    <m/>
    <s v="CONGO"/>
    <m/>
    <m/>
    <m/>
  </r>
  <r>
    <d v="2021-07-19T00:00:00"/>
    <s v="Frais de mission à Dolisie maitre MOUYETI du 18 au 21/07/2021"/>
    <s v="Lawyer Fees"/>
    <s v="Legal"/>
    <m/>
    <n v="103000"/>
    <e v="#REF!"/>
    <s v="Caisse"/>
    <s v="Oui"/>
    <x v="2"/>
    <s v="RALFF"/>
    <s v="CONGO"/>
    <m/>
    <s v="5.2.2"/>
    <m/>
  </r>
  <r>
    <d v="2021-07-19T00:00:00"/>
    <s v="JB"/>
    <s v="Versement"/>
    <m/>
    <m/>
    <n v="58000"/>
    <e v="#REF!"/>
    <s v="Caisse"/>
    <m/>
    <x v="0"/>
    <m/>
    <s v="CONGO"/>
    <m/>
    <m/>
    <m/>
  </r>
  <r>
    <d v="2021-07-19T00:00:00"/>
    <s v="BCI/3643497-56"/>
    <s v="Versement"/>
    <s v="Office"/>
    <n v="1000000"/>
    <m/>
    <e v="#REF!"/>
    <s v="Caisse"/>
    <m/>
    <x v="0"/>
    <m/>
    <s v="CONGO"/>
    <m/>
    <m/>
    <m/>
  </r>
  <r>
    <d v="2021-07-19T00:00:00"/>
    <s v="Crépin"/>
    <s v="Versement"/>
    <m/>
    <m/>
    <n v="39000"/>
    <e v="#REF!"/>
    <s v="Caisse"/>
    <m/>
    <x v="0"/>
    <m/>
    <s v="CONGO"/>
    <m/>
    <m/>
    <m/>
  </r>
  <r>
    <d v="2021-07-19T00:00:00"/>
    <s v="Frais de transfert charden farell/jb,i23c,crépin et P29"/>
    <s v="Transfer Fees"/>
    <s v="Office"/>
    <m/>
    <n v="11100"/>
    <e v="#REF!"/>
    <s v="Caisse"/>
    <s v="Oui"/>
    <x v="2"/>
    <s v="RALFF"/>
    <s v="CONGO"/>
    <m/>
    <s v="5.6"/>
    <m/>
  </r>
  <r>
    <d v="2021-07-19T00:00:00"/>
    <s v="Reçu de caisse"/>
    <s v="Versement"/>
    <s v="Management"/>
    <n v="39000"/>
    <m/>
    <e v="#REF!"/>
    <s v="Crépin"/>
    <s v="Decharge"/>
    <x v="0"/>
    <m/>
    <s v="CONGO"/>
    <m/>
    <m/>
    <m/>
  </r>
  <r>
    <d v="2021-07-19T00:00:00"/>
    <s v="Paiement hôtel 4 nuitées du 15 au 19 juillet"/>
    <s v="Travel Subsistence"/>
    <s v="Investigations"/>
    <m/>
    <n v="60000"/>
    <e v="#REF!"/>
    <s v="I23C"/>
    <s v="Oui"/>
    <x v="2"/>
    <s v="RALFF"/>
    <s v="CONGO"/>
    <m/>
    <s v="1.3.2"/>
    <m/>
  </r>
  <r>
    <d v="2021-07-19T00:00:00"/>
    <s v="Achat billet PN-Dolisie (départ pour Dolisie)"/>
    <s v="Transport"/>
    <s v="Investigations"/>
    <m/>
    <n v="5000"/>
    <e v="#REF!"/>
    <s v="I23C"/>
    <s v="Oui"/>
    <x v="2"/>
    <s v="RALFF"/>
    <s v="CONGO"/>
    <m/>
    <s v="2.2"/>
    <m/>
  </r>
  <r>
    <d v="2021-07-19T00:00:00"/>
    <s v="Réçu caisse"/>
    <s v="Versement"/>
    <s v="Investigations"/>
    <n v="90000"/>
    <m/>
    <e v="#REF!"/>
    <s v="I23C"/>
    <s v="Decharge"/>
    <x v="0"/>
    <m/>
    <s v="CONGO"/>
    <m/>
    <m/>
    <m/>
  </r>
  <r>
    <d v="2021-07-19T00:00:00"/>
    <s v="Recu de caisse"/>
    <s v="Versement"/>
    <s v="Investigations"/>
    <n v="80000"/>
    <m/>
    <e v="#REF!"/>
    <s v="P29"/>
    <s v="Decharge"/>
    <x v="0"/>
    <m/>
    <s v="CONGO"/>
    <m/>
    <m/>
    <m/>
  </r>
  <r>
    <d v="2021-07-19T00:00:00"/>
    <s v="Retrait especes/appro caisse/bord n°3643497"/>
    <s v="Versement"/>
    <s v="Office"/>
    <m/>
    <n v="1000000"/>
    <e v="#REF!"/>
    <s v="BCI Sous-Compte"/>
    <n v="3643497"/>
    <x v="0"/>
    <m/>
    <s v="CONGO"/>
    <m/>
    <m/>
    <m/>
  </r>
  <r>
    <d v="2021-07-20T00:00:00"/>
    <s v="Merveille"/>
    <s v="Versement"/>
    <m/>
    <m/>
    <n v="15000"/>
    <e v="#REF!"/>
    <s v="Caisse"/>
    <m/>
    <x v="0"/>
    <m/>
    <s v="CONGO"/>
    <m/>
    <m/>
    <m/>
  </r>
  <r>
    <d v="2021-07-20T00:00:00"/>
    <s v="Achat carte sim et Credit téléphonique /pour LUC"/>
    <s v="Telephone"/>
    <s v="CCU"/>
    <m/>
    <n v="5500"/>
    <e v="#REF!"/>
    <s v="Caisse"/>
    <s v="Oui"/>
    <x v="1"/>
    <s v="PALF"/>
    <s v="CONGO"/>
    <m/>
    <m/>
    <m/>
  </r>
  <r>
    <d v="2021-07-20T00:00:00"/>
    <s v="Paiement inscription et frais de formation 1er mois pour Crépin/formation bureautique"/>
    <s v="Personnel"/>
    <s v="Team Building"/>
    <m/>
    <n v="30000"/>
    <e v="#REF!"/>
    <s v="Caisse"/>
    <s v="Oui"/>
    <x v="1"/>
    <s v="PALF"/>
    <s v="CONGO"/>
    <m/>
    <m/>
    <m/>
  </r>
  <r>
    <d v="2021-07-20T00:00:00"/>
    <s v="Caisse"/>
    <s v="Versement"/>
    <s v="Legal"/>
    <n v="58000"/>
    <m/>
    <e v="#REF!"/>
    <s v="Jack-Bénisson"/>
    <s v="Decharge"/>
    <x v="0"/>
    <m/>
    <s v="CONGO"/>
    <m/>
    <m/>
    <m/>
  </r>
  <r>
    <d v="2021-07-20T00:00:00"/>
    <s v="Bonus opération du 11/07/2021 pour le chef faune"/>
    <s v="Bonus"/>
    <s v="Operations"/>
    <m/>
    <n v="10000"/>
    <e v="#REF!"/>
    <s v="Crépin"/>
    <s v="Decharge"/>
    <x v="1"/>
    <s v="PALF"/>
    <s v="CONGO"/>
    <m/>
    <m/>
    <m/>
  </r>
  <r>
    <d v="2021-07-20T00:00:00"/>
    <s v="Billet- Dolisie-Brazzaville"/>
    <s v="Transport"/>
    <s v="Management"/>
    <m/>
    <n v="10000"/>
    <e v="#REF!"/>
    <s v="Crépin"/>
    <s v="Oui"/>
    <x v="2"/>
    <s v="RALFF"/>
    <s v="CONGO"/>
    <m/>
    <s v="2.2"/>
    <m/>
  </r>
  <r>
    <d v="2021-07-20T00:00:00"/>
    <s v="Cumul frais de Jail visit mois de Juillet 2021/Crépin"/>
    <s v="Jail Visits"/>
    <s v="Legal"/>
    <m/>
    <n v="139000"/>
    <e v="#REF!"/>
    <s v="Crépin"/>
    <s v="Decharge"/>
    <x v="1"/>
    <s v="PALF"/>
    <s v="CONGO"/>
    <m/>
    <m/>
    <m/>
  </r>
  <r>
    <d v="2021-07-20T00:00:00"/>
    <s v="Achat billet Dolisie-Brazzaville (retour à Brazzaville)"/>
    <s v="Transport"/>
    <s v="Investigations"/>
    <m/>
    <n v="10000"/>
    <e v="#REF!"/>
    <s v="I23C"/>
    <s v="Oui"/>
    <x v="2"/>
    <s v="RALFF"/>
    <s v="CONGO"/>
    <m/>
    <s v="2.2"/>
    <m/>
  </r>
  <r>
    <d v="2021-07-20T00:00:00"/>
    <s v="Reçu caisse"/>
    <s v="Versement"/>
    <m/>
    <n v="15000"/>
    <m/>
    <e v="#REF!"/>
    <s v="Merveille"/>
    <s v="Decharge"/>
    <x v="0"/>
    <m/>
    <s v="CONGO"/>
    <m/>
    <m/>
    <m/>
  </r>
  <r>
    <d v="2021-07-21T00:00:00"/>
    <s v="Achat paquet papier Ministre"/>
    <s v="Office Materials"/>
    <s v="Office"/>
    <m/>
    <n v="2500"/>
    <e v="#REF!"/>
    <s v="Caisse"/>
    <s v="Oui"/>
    <x v="1"/>
    <s v="PALF"/>
    <s v="CONGO"/>
    <m/>
    <m/>
    <m/>
  </r>
  <r>
    <d v="2021-07-21T00:00:00"/>
    <s v="Bonus mois de Juin 2021/Crépin"/>
    <s v="Bonus"/>
    <s v="Legal"/>
    <m/>
    <n v="50000"/>
    <e v="#REF!"/>
    <s v="Caisse"/>
    <s v="Decharge"/>
    <x v="1"/>
    <s v="PALF"/>
    <s v="CONGO"/>
    <m/>
    <m/>
    <m/>
  </r>
  <r>
    <d v="2021-07-21T00:00:00"/>
    <s v="Bonus Operation/crepin"/>
    <s v="Bonus"/>
    <s v="Legal"/>
    <m/>
    <n v="50000"/>
    <e v="#REF!"/>
    <s v="Caisse"/>
    <s v="Decharge"/>
    <x v="1"/>
    <s v="PALF"/>
    <s v="CONGO"/>
    <m/>
    <m/>
    <m/>
  </r>
  <r>
    <d v="2021-07-21T00:00:00"/>
    <s v="19 Nuitées du 02 au 21/07/2021"/>
    <s v="Travel Subsistence"/>
    <s v="Management"/>
    <m/>
    <n v="285000"/>
    <e v="#REF!"/>
    <s v="Crépin"/>
    <s v="Oui"/>
    <x v="2"/>
    <s v="RALFF"/>
    <s v="CONGO"/>
    <m/>
    <s v="1.3.2"/>
    <m/>
  </r>
  <r>
    <d v="2021-07-21T00:00:00"/>
    <s v="Paiement 2 nuitées mission Dolisie du 19 au 21 juillet 2021"/>
    <s v="Travel Subsistence"/>
    <s v="Investigations"/>
    <m/>
    <n v="30000"/>
    <e v="#REF!"/>
    <s v="I23C"/>
    <s v="Decharge"/>
    <x v="2"/>
    <s v="RALFF"/>
    <s v="CONGO"/>
    <m/>
    <s v="1.3.2"/>
    <m/>
  </r>
  <r>
    <d v="2021-07-21T00:00:00"/>
    <s v="Frais d'hotel à Madingou du 18 au 21/07/2021"/>
    <s v="Travel Subsistence"/>
    <s v="Investigations"/>
    <m/>
    <n v="45000"/>
    <e v="#REF!"/>
    <s v="P29"/>
    <s v="Oui"/>
    <x v="2"/>
    <s v="RALFF"/>
    <s v="CONGO"/>
    <m/>
    <s v="1.3.2"/>
    <m/>
  </r>
  <r>
    <d v="2021-07-21T00:00:00"/>
    <s v="Achat billet bz-madingou"/>
    <s v="Transport"/>
    <s v="Investigations"/>
    <m/>
    <n v="8000"/>
    <e v="#REF!"/>
    <s v="P29"/>
    <s v="Oui"/>
    <x v="2"/>
    <s v="RALFF"/>
    <s v="CONGO"/>
    <m/>
    <s v="2.2"/>
    <m/>
  </r>
  <r>
    <d v="2021-07-22T00:00:00"/>
    <s v="Food allowance du 22 au 28/07/2021/LUC MATHOT"/>
    <s v="Travel Subsistence"/>
    <s v="CCU"/>
    <m/>
    <n v="60000"/>
    <e v="#REF!"/>
    <s v="Caisse"/>
    <s v="Decharge"/>
    <x v="2"/>
    <s v="RALFF"/>
    <s v="CONGO"/>
    <m/>
    <s v="1.3.2"/>
    <m/>
  </r>
  <r>
    <d v="2021-07-22T00:00:00"/>
    <s v="JB"/>
    <s v="Versement"/>
    <m/>
    <m/>
    <n v="213000"/>
    <e v="#REF!"/>
    <s v="Caisse"/>
    <m/>
    <x v="0"/>
    <m/>
    <s v="CONGO"/>
    <m/>
    <m/>
    <m/>
  </r>
  <r>
    <d v="2021-07-22T00:00:00"/>
    <s v="Crépin"/>
    <s v="Versement"/>
    <m/>
    <m/>
    <n v="58765"/>
    <e v="#REF!"/>
    <s v="Caisse"/>
    <m/>
    <x v="0"/>
    <m/>
    <s v="CONGO"/>
    <m/>
    <m/>
    <m/>
  </r>
  <r>
    <d v="2021-07-22T00:00:00"/>
    <s v="Crépin"/>
    <s v="Versement"/>
    <m/>
    <m/>
    <n v="10000"/>
    <e v="#REF!"/>
    <s v="Caisse"/>
    <m/>
    <x v="0"/>
    <m/>
    <s v="CONGO"/>
    <m/>
    <m/>
    <m/>
  </r>
  <r>
    <d v="2021-07-22T00:00:00"/>
    <s v="P29"/>
    <s v="Versement"/>
    <m/>
    <m/>
    <n v="71000"/>
    <e v="#REF!"/>
    <s v="Caisse"/>
    <m/>
    <x v="0"/>
    <m/>
    <s v="CONGO"/>
    <m/>
    <m/>
    <m/>
  </r>
  <r>
    <d v="2021-07-22T00:00:00"/>
    <s v="P29"/>
    <s v="Versement"/>
    <m/>
    <m/>
    <n v="6000"/>
    <e v="#REF!"/>
    <s v="Caisse"/>
    <m/>
    <x v="0"/>
    <m/>
    <s v="CONGO"/>
    <m/>
    <m/>
    <m/>
  </r>
  <r>
    <d v="2021-07-22T00:00:00"/>
    <s v="I23C"/>
    <s v="Versement"/>
    <m/>
    <m/>
    <n v="10000"/>
    <e v="#REF!"/>
    <s v="Caisse"/>
    <m/>
    <x v="0"/>
    <m/>
    <s v="CONGO"/>
    <m/>
    <m/>
    <m/>
  </r>
  <r>
    <d v="2021-07-22T00:00:00"/>
    <s v="Frais de transfert charden farell/JB"/>
    <s v="Transfer Fees"/>
    <s v="Office"/>
    <m/>
    <n v="6390"/>
    <e v="#REF!"/>
    <s v="Caisse"/>
    <m/>
    <x v="2"/>
    <s v="RALFF"/>
    <s v="CONGO"/>
    <m/>
    <s v="5.6"/>
    <m/>
  </r>
  <r>
    <d v="2021-07-22T00:00:00"/>
    <s v="Indemnité de stage Grace MOLENDE/Du 15 juillet au 15 Août"/>
    <s v="Personnel"/>
    <s v="Management"/>
    <m/>
    <n v="200000"/>
    <e v="#REF!"/>
    <s v="Caisse"/>
    <s v="Decharge"/>
    <x v="1"/>
    <s v="PALF"/>
    <s v="CONGO"/>
    <m/>
    <m/>
    <m/>
  </r>
  <r>
    <d v="2021-07-22T00:00:00"/>
    <s v="Frais de mission à Pointe-Noire/Maitre Séverin du 26 au 28/07/2021"/>
    <s v="Lawyer Fees"/>
    <s v="Legal"/>
    <m/>
    <n v="111000"/>
    <e v="#REF!"/>
    <s v="Caisse"/>
    <s v="Oui"/>
    <x v="2"/>
    <s v="RALFF"/>
    <s v="CONGO"/>
    <m/>
    <s v="5.2.2"/>
    <m/>
  </r>
  <r>
    <d v="2021-07-22T00:00:00"/>
    <s v="Achat 02 serviettes"/>
    <s v="Office Materials"/>
    <s v="Office"/>
    <m/>
    <n v="8000"/>
    <e v="#REF!"/>
    <s v="Caisse"/>
    <s v="Oui"/>
    <x v="1"/>
    <s v="PALF"/>
    <s v="CONGO"/>
    <m/>
    <m/>
    <m/>
  </r>
  <r>
    <d v="2021-07-22T00:00:00"/>
    <s v="Reçu de caisse"/>
    <s v="Versement"/>
    <s v="Management"/>
    <n v="58765"/>
    <m/>
    <e v="#REF!"/>
    <s v="Crépin"/>
    <s v="Decharge"/>
    <x v="0"/>
    <m/>
    <s v="CONGO"/>
    <m/>
    <m/>
    <m/>
  </r>
  <r>
    <d v="2021-07-22T00:00:00"/>
    <s v="Reçu de caisse"/>
    <s v="Versement"/>
    <s v="Management"/>
    <n v="10000"/>
    <m/>
    <e v="#REF!"/>
    <s v="Crépin"/>
    <s v="Decharge"/>
    <x v="0"/>
    <m/>
    <s v="CONGO"/>
    <m/>
    <m/>
    <m/>
  </r>
  <r>
    <d v="2021-07-22T00:00:00"/>
    <s v="Récu de caisse"/>
    <s v="Versement"/>
    <s v="Investigations"/>
    <n v="10000"/>
    <m/>
    <e v="#REF!"/>
    <s v="I23C"/>
    <s v="Decharge"/>
    <x v="0"/>
    <m/>
    <s v="CONGO"/>
    <m/>
    <m/>
    <m/>
  </r>
  <r>
    <d v="2021-07-22T00:00:00"/>
    <s v="Recu de caisse"/>
    <s v="Versement"/>
    <s v="Investigations"/>
    <n v="71000"/>
    <m/>
    <e v="#REF!"/>
    <s v="P29"/>
    <s v="Decharge"/>
    <x v="0"/>
    <m/>
    <s v="CONGO"/>
    <m/>
    <m/>
    <m/>
  </r>
  <r>
    <d v="2021-07-22T00:00:00"/>
    <s v="Recu de caisse"/>
    <s v="Versement"/>
    <s v="Investigations"/>
    <n v="6000"/>
    <m/>
    <e v="#REF!"/>
    <s v="P29"/>
    <s v="Decharge"/>
    <x v="0"/>
    <m/>
    <s v="CONGO"/>
    <m/>
    <m/>
    <m/>
  </r>
  <r>
    <d v="2021-07-22T00:00:00"/>
    <s v="Solde honoraires contrat n°33/Dolisie/Maitre MOUYETI Scrutin"/>
    <s v="Lawyer Fees"/>
    <s v="Legal"/>
    <m/>
    <n v="300000"/>
    <e v="#REF!"/>
    <s v="BCI Sous-Compte"/>
    <n v="3643498"/>
    <x v="2"/>
    <s v="RALFF"/>
    <s v="CONGO"/>
    <m/>
    <s v="5.2.2"/>
    <m/>
  </r>
  <r>
    <d v="2021-07-23T00:00:00"/>
    <s v="BCI/364349-56"/>
    <s v="Versement"/>
    <s v="Office"/>
    <n v="1000000"/>
    <m/>
    <e v="#REF!"/>
    <s v="Caisse"/>
    <m/>
    <x v="0"/>
    <m/>
    <s v="CONGO"/>
    <m/>
    <m/>
    <m/>
  </r>
  <r>
    <d v="2021-07-23T00:00:00"/>
    <s v="Frais de transfert charden farell/JB"/>
    <s v="Transfer Fees"/>
    <s v="Office"/>
    <m/>
    <n v="1350"/>
    <e v="#REF!"/>
    <s v="Caisse"/>
    <s v="Oui"/>
    <x v="2"/>
    <s v="RALFF"/>
    <s v="CONGO"/>
    <m/>
    <s v="5.6"/>
    <m/>
  </r>
  <r>
    <d v="2021-07-23T00:00:00"/>
    <s v="Merveille"/>
    <s v="Versement"/>
    <m/>
    <m/>
    <n v="10000"/>
    <e v="#REF!"/>
    <s v="Caisse"/>
    <m/>
    <x v="0"/>
    <m/>
    <s v="CONGO"/>
    <m/>
    <m/>
    <m/>
  </r>
  <r>
    <d v="2021-07-23T00:00:00"/>
    <s v="Caisse"/>
    <s v="Versement"/>
    <s v="Legal"/>
    <n v="213000"/>
    <m/>
    <e v="#REF!"/>
    <s v="Jack-Bénisson"/>
    <s v="Decharge"/>
    <x v="0"/>
    <m/>
    <s v="CONGO"/>
    <m/>
    <m/>
    <m/>
  </r>
  <r>
    <d v="2021-07-23T00:00:00"/>
    <s v="Reçu caisse"/>
    <s v="Versement"/>
    <m/>
    <n v="10000"/>
    <m/>
    <e v="#REF!"/>
    <s v="Merveille"/>
    <s v="Decharge"/>
    <x v="0"/>
    <m/>
    <s v="CONGO"/>
    <m/>
    <m/>
    <m/>
  </r>
  <r>
    <d v="2021-07-23T00:00:00"/>
    <s v="Retrait especes/appro caisse/bord n°3654452"/>
    <s v="Versement"/>
    <s v="Office"/>
    <m/>
    <n v="1000000"/>
    <e v="#REF!"/>
    <s v="BCI"/>
    <n v="3654452"/>
    <x v="0"/>
    <m/>
    <s v="CONGO"/>
    <m/>
    <m/>
    <m/>
  </r>
  <r>
    <d v="2021-07-23T00:00:00"/>
    <s v="Reglement loyer mois de Juillet 2021/Bureau PALF"/>
    <s v="Rent &amp; Utilities"/>
    <s v="Office"/>
    <m/>
    <n v="500000"/>
    <e v="#REF!"/>
    <s v="BCI Sous-Compte"/>
    <s v="Virement"/>
    <x v="2"/>
    <s v="RALFF"/>
    <s v="CONGO"/>
    <m/>
    <s v="4.2"/>
    <m/>
  </r>
  <r>
    <d v="2021-07-23T00:00:00"/>
    <s v="Paiement salaire du mois de Juillet 2021/Tiffany GOBERT/chq n°3643507"/>
    <s v="Personnel"/>
    <s v="Management"/>
    <m/>
    <n v="827671"/>
    <e v="#REF!"/>
    <s v="BCI Sous-Compte"/>
    <n v="3643507"/>
    <x v="2"/>
    <s v="RALFF"/>
    <s v="CONGO"/>
    <m/>
    <s v="1.1.1.1"/>
    <m/>
  </r>
  <r>
    <d v="2021-07-24T00:00:00"/>
    <s v="Impression procédure (plainte, soit transmis et planche photo)"/>
    <s v="Office Materials"/>
    <s v="Legal"/>
    <m/>
    <n v="2550"/>
    <e v="#REF!"/>
    <s v="Jack-Bénisson"/>
    <s v="Oui"/>
    <x v="2"/>
    <s v="RALFF"/>
    <s v="CONGO"/>
    <m/>
    <s v="4.3"/>
    <m/>
  </r>
  <r>
    <d v="2021-07-26T00:00:00"/>
    <s v="Achat Credit MTN Pour LUC"/>
    <s v="Telephone"/>
    <s v="Management"/>
    <m/>
    <n v="10000"/>
    <e v="#REF!"/>
    <s v="Caisse"/>
    <m/>
    <x v="1"/>
    <s v="PALF"/>
    <s v="CONGO"/>
    <m/>
    <m/>
    <m/>
  </r>
  <r>
    <d v="2021-07-26T00:00:00"/>
    <s v="Achat credit MTN Pour Tiffany"/>
    <s v="Telephone"/>
    <s v="Management"/>
    <m/>
    <n v="5000"/>
    <e v="#REF!"/>
    <s v="Caisse"/>
    <m/>
    <x v="1"/>
    <s v="PALF"/>
    <s v="CONGO"/>
    <m/>
    <m/>
    <m/>
  </r>
  <r>
    <d v="2021-07-26T00:00:00"/>
    <s v="Renouvelement carte de Séjour I23C/un an"/>
    <s v="Personnel"/>
    <s v="Investigations"/>
    <m/>
    <n v="106000"/>
    <e v="#REF!"/>
    <s v="Caisse"/>
    <s v="Oui"/>
    <x v="1"/>
    <s v="PALF"/>
    <s v="CONGO"/>
    <m/>
    <m/>
    <m/>
  </r>
  <r>
    <d v="2021-07-26T00:00:00"/>
    <s v="Evariste"/>
    <s v="Versement"/>
    <m/>
    <m/>
    <n v="10000"/>
    <e v="#REF!"/>
    <s v="Caisse"/>
    <m/>
    <x v="0"/>
    <m/>
    <s v="CONGO"/>
    <m/>
    <m/>
    <m/>
  </r>
  <r>
    <d v="2021-07-26T00:00:00"/>
    <s v="Reçu de la caisse"/>
    <s v="Versement"/>
    <s v="Media"/>
    <n v="10000"/>
    <m/>
    <e v="#REF!"/>
    <s v="Evariste"/>
    <s v="Decharge"/>
    <x v="0"/>
    <m/>
    <s v="CONGO"/>
    <m/>
    <m/>
    <m/>
  </r>
  <r>
    <d v="2021-07-26T00:00:00"/>
    <s v="Achat billet bzv-oyo"/>
    <s v="Transport"/>
    <s v="Investigations"/>
    <m/>
    <n v="10000"/>
    <e v="#REF!"/>
    <s v="P29"/>
    <s v="Oui"/>
    <x v="2"/>
    <s v="RALFF"/>
    <s v="CONGO"/>
    <m/>
    <s v="2.2"/>
    <m/>
  </r>
  <r>
    <d v="2021-07-26T00:00:00"/>
    <s v="Food allowance mission du 26 au 31/07"/>
    <s v="Travel Subsistence"/>
    <s v="Investigations"/>
    <m/>
    <n v="50000"/>
    <e v="#REF!"/>
    <s v="P29"/>
    <s v="Decharge"/>
    <x v="2"/>
    <s v="RALFF"/>
    <s v="CONGO"/>
    <m/>
    <s v="1.3.2"/>
    <m/>
  </r>
  <r>
    <d v="2021-07-26T00:00:00"/>
    <s v="Paiement salaire du mois de Juillet 2021/IBOUILI CREPIN/chq n°3643500"/>
    <s v="Personnel"/>
    <s v="Legal"/>
    <m/>
    <n v="356500"/>
    <e v="#REF!"/>
    <s v="BCI Sous-Compte"/>
    <n v="3643500"/>
    <x v="2"/>
    <s v="RALFF"/>
    <s v="CONGO"/>
    <m/>
    <s v="1.1.1.7"/>
    <m/>
  </r>
  <r>
    <d v="2021-07-26T00:00:00"/>
    <s v="Paiement salaire du mois de Juillet 2021/ MALONGA MERSY/chq n°3643501"/>
    <s v="Personnel"/>
    <s v="Legal"/>
    <m/>
    <n v="308000"/>
    <e v="#REF!"/>
    <s v="BCI Sous-Compte"/>
    <n v="3643501"/>
    <x v="2"/>
    <s v="RALFF"/>
    <s v="CONGO"/>
    <m/>
    <s v="1.1.1.7"/>
    <m/>
  </r>
  <r>
    <d v="2021-07-26T00:00:00"/>
    <s v="Paiement salaire du mois de Juillet 2021/ Evariste LELOUSSI/chq n°3643502"/>
    <s v="Personnel"/>
    <s v="Media"/>
    <m/>
    <n v="230000"/>
    <e v="#REF!"/>
    <s v="BCI Sous-Compte"/>
    <n v="3643502"/>
    <x v="2"/>
    <s v="RALFF"/>
    <s v="CONGO"/>
    <m/>
    <s v="1.1.1.4"/>
    <m/>
  </r>
  <r>
    <d v="2021-07-26T00:00:00"/>
    <s v="Paiement salaire du mois de Juillet 2021/P29 /chq n°3643503"/>
    <s v="Personnel"/>
    <s v="Investigations"/>
    <m/>
    <n v="191000"/>
    <e v="#REF!"/>
    <s v="BCI Sous-Compte"/>
    <n v="3643503"/>
    <x v="2"/>
    <s v="RALFF"/>
    <s v="CONGO"/>
    <m/>
    <s v="1.1.1.9"/>
    <m/>
  </r>
  <r>
    <d v="2021-07-26T00:00:00"/>
    <s v="Reglement facture honoraire du mois de Juillet 2021/I23C/chq n°3643504"/>
    <s v="Personnel"/>
    <s v="Investigations"/>
    <m/>
    <n v="400000"/>
    <e v="#REF!"/>
    <s v="BCI Sous-Compte"/>
    <n v="3643504"/>
    <x v="2"/>
    <s v="RALFF"/>
    <s v="CONGO"/>
    <m/>
    <s v="1.1.1.9"/>
    <m/>
  </r>
  <r>
    <d v="2021-07-26T00:00:00"/>
    <s v="Reglement salaire du mois de Juillet 2021/ KOUENITOUKA TED/chq n°3643508"/>
    <s v="Personnel"/>
    <s v="Management"/>
    <m/>
    <n v="400000"/>
    <e v="#REF!"/>
    <s v="BCI Sous-Compte"/>
    <n v="3643508"/>
    <x v="2"/>
    <s v="RALFF"/>
    <s v="CONGO"/>
    <m/>
    <s v="1.1.2.1"/>
    <m/>
  </r>
  <r>
    <d v="2021-07-26T00:00:00"/>
    <s v="Paiement salaire du mois de Juillet 2021/MAHANGA Merveille/chq n°3643509"/>
    <s v="Personnel"/>
    <s v="Management"/>
    <m/>
    <n v="275000"/>
    <e v="#REF!"/>
    <s v="BCI Sous-Compte"/>
    <n v="3643509"/>
    <x v="2"/>
    <s v="RALFF"/>
    <s v="CONGO"/>
    <m/>
    <s v="1.1.2.1"/>
    <m/>
  </r>
  <r>
    <d v="2021-07-26T00:00:00"/>
    <s v="Frais de virement"/>
    <s v="Bank Fees"/>
    <s v="Office"/>
    <m/>
    <n v="5000"/>
    <e v="#REF!"/>
    <s v="BCI Sous-Compte"/>
    <s v="Releve"/>
    <x v="2"/>
    <s v="RALFF"/>
    <s v="CONGO"/>
    <m/>
    <s v="5.6"/>
    <m/>
  </r>
  <r>
    <d v="2021-07-27T00:00:00"/>
    <s v="Ted"/>
    <s v="Versement"/>
    <m/>
    <n v="500"/>
    <m/>
    <e v="#REF!"/>
    <s v="Caisse"/>
    <m/>
    <x v="0"/>
    <m/>
    <s v="CONGO"/>
    <m/>
    <m/>
    <m/>
  </r>
  <r>
    <d v="2021-07-27T00:00:00"/>
    <s v="Solde de tout compte/fin de contrat Ted"/>
    <s v="Personnel"/>
    <s v="Management"/>
    <m/>
    <n v="401239"/>
    <e v="#REF!"/>
    <s v="Caisse"/>
    <m/>
    <x v="1"/>
    <s v="PALF"/>
    <s v="CONGO"/>
    <m/>
    <m/>
    <m/>
  </r>
  <r>
    <d v="2021-07-27T00:00:00"/>
    <s v="Achat Baguettes pour bureau PALF"/>
    <s v="Office Materials"/>
    <s v="Office"/>
    <m/>
    <n v="1500"/>
    <e v="#REF!"/>
    <s v="Caisse"/>
    <s v="Oui"/>
    <x v="1"/>
    <s v="PALF"/>
    <s v="CONGO"/>
    <m/>
    <m/>
    <m/>
  </r>
  <r>
    <d v="2021-07-27T00:00:00"/>
    <s v="Frais de test covid 19 pour LUC"/>
    <s v="Travel Expenses"/>
    <s v="CCU"/>
    <m/>
    <n v="20000"/>
    <e v="#REF!"/>
    <s v="Caisse"/>
    <m/>
    <x v="1"/>
    <s v="PALF"/>
    <s v="CONGO"/>
    <m/>
    <m/>
    <m/>
  </r>
  <r>
    <d v="2021-07-27T00:00:00"/>
    <s v="Paiement carte consulaire"/>
    <s v="Personnel"/>
    <s v="Team Building"/>
    <m/>
    <n v="11000"/>
    <e v="#REF!"/>
    <s v="I23C"/>
    <s v="Oui"/>
    <x v="1"/>
    <s v="PALF"/>
    <s v="CONGO"/>
    <m/>
    <m/>
    <m/>
  </r>
  <r>
    <d v="2021-07-27T00:00:00"/>
    <s v="Cumul frais de Transport local mois de Juillet 2021/Ted"/>
    <s v="Transport"/>
    <s v="Management"/>
    <m/>
    <n v="15300"/>
    <e v="#REF!"/>
    <s v="Ted"/>
    <s v="Decharge"/>
    <x v="2"/>
    <s v="RALFF"/>
    <s v="CONGO"/>
    <m/>
    <s v="2.2"/>
    <m/>
  </r>
  <r>
    <d v="2021-07-27T00:00:00"/>
    <s v="Retour caisse"/>
    <s v="Versement"/>
    <m/>
    <m/>
    <n v="500"/>
    <e v="#REF!"/>
    <s v="Ted"/>
    <s v="Decharge"/>
    <x v="0"/>
    <m/>
    <s v="CONGO"/>
    <m/>
    <m/>
    <m/>
  </r>
  <r>
    <d v="2021-07-28T00:00:00"/>
    <s v="Reglement prestation Technicienne de Surface mois de Juillet 2021/MFIELO"/>
    <s v="Services"/>
    <s v="Office"/>
    <m/>
    <n v="75625"/>
    <e v="#REF!"/>
    <s v="Caisse"/>
    <s v="Oui"/>
    <x v="1"/>
    <s v="PALF"/>
    <s v="CONGO"/>
    <m/>
    <m/>
    <m/>
  </r>
  <r>
    <d v="2021-07-28T00:00:00"/>
    <s v="P29"/>
    <s v="Versement"/>
    <m/>
    <m/>
    <n v="100000"/>
    <e v="#REF!"/>
    <s v="Caisse"/>
    <m/>
    <x v="0"/>
    <m/>
    <s v="CONGO"/>
    <m/>
    <m/>
    <m/>
  </r>
  <r>
    <d v="2021-07-28T00:00:00"/>
    <s v="Frais de transfert charden farell/P29 et JB"/>
    <s v="Transfer Fees"/>
    <s v="Office"/>
    <m/>
    <n v="4830"/>
    <e v="#REF!"/>
    <s v="Caisse"/>
    <s v="Oui"/>
    <x v="2"/>
    <s v="RALFF"/>
    <s v="CONGO"/>
    <m/>
    <s v="5.6"/>
    <m/>
  </r>
  <r>
    <d v="2021-07-28T00:00:00"/>
    <s v="Bonus média"/>
    <s v="Bonus"/>
    <s v="Media"/>
    <m/>
    <n v="39000"/>
    <e v="#REF!"/>
    <s v="Caisse"/>
    <s v="Decharge"/>
    <x v="1"/>
    <s v="PALF"/>
    <s v="CONGO"/>
    <m/>
    <m/>
    <m/>
  </r>
  <r>
    <d v="2021-07-28T00:00:00"/>
    <s v="Bonus média"/>
    <s v="Bonus"/>
    <s v="Media"/>
    <m/>
    <n v="23000"/>
    <e v="#REF!"/>
    <s v="Caisse"/>
    <s v="Decharge"/>
    <x v="1"/>
    <s v="PALF"/>
    <s v="CONGO"/>
    <m/>
    <m/>
    <m/>
  </r>
  <r>
    <d v="2021-07-28T00:00:00"/>
    <s v="Achat cadre A3"/>
    <s v="Office Materials"/>
    <s v="Office"/>
    <m/>
    <n v="7000"/>
    <e v="#REF!"/>
    <s v="Caisse"/>
    <s v="Oui"/>
    <x v="1"/>
    <s v="PALF"/>
    <s v="CONGO"/>
    <m/>
    <m/>
    <m/>
  </r>
  <r>
    <d v="2021-07-28T00:00:00"/>
    <s v="impression photo"/>
    <s v="Office Materials"/>
    <s v="Office"/>
    <m/>
    <n v="3000"/>
    <e v="#REF!"/>
    <s v="Caisse"/>
    <s v="Oui"/>
    <x v="1"/>
    <s v="PALF"/>
    <s v="CONGO"/>
    <m/>
    <m/>
    <m/>
  </r>
  <r>
    <d v="2021-07-28T00:00:00"/>
    <s v="I23C"/>
    <s v="Versement"/>
    <m/>
    <m/>
    <n v="26150"/>
    <e v="#REF!"/>
    <s v="Caisse"/>
    <m/>
    <x v="0"/>
    <m/>
    <s v="CONGO"/>
    <m/>
    <m/>
    <m/>
  </r>
  <r>
    <d v="2021-07-28T00:00:00"/>
    <s v="JB"/>
    <s v="Versement"/>
    <m/>
    <m/>
    <n v="61000"/>
    <e v="#REF!"/>
    <s v="Caisse"/>
    <m/>
    <x v="0"/>
    <m/>
    <s v="CONGO"/>
    <m/>
    <m/>
    <m/>
  </r>
  <r>
    <d v="2021-07-28T00:00:00"/>
    <s v="Achat credit  teléphonique MTN/staff PALF/1ere partie Aout 2021/Management"/>
    <s v="Telephone"/>
    <s v="Management"/>
    <m/>
    <n v="37000"/>
    <e v="#REF!"/>
    <s v="Caisse"/>
    <s v="Oui"/>
    <x v="2"/>
    <s v="RALFF"/>
    <s v="CONGO"/>
    <m/>
    <s v="4.6"/>
    <m/>
  </r>
  <r>
    <d v="2021-07-28T00:00:00"/>
    <s v="Achat credit  teléphonique MTN/staff PALF/1ere partie Aout 2021/Investingation"/>
    <s v="Telephone"/>
    <s v="Investigations"/>
    <m/>
    <n v="25000"/>
    <e v="#REF!"/>
    <s v="Caisse"/>
    <m/>
    <x v="2"/>
    <s v="RALFF"/>
    <s v="CONGO"/>
    <m/>
    <s v="4.6"/>
    <m/>
  </r>
  <r>
    <d v="2021-07-28T00:00:00"/>
    <s v="Achat credit  teléphonique MTN/staff PALF/1ere partie Aout 2021/Legal"/>
    <s v="Telephone"/>
    <s v="Legal"/>
    <m/>
    <n v="21000"/>
    <e v="#REF!"/>
    <s v="Caisse"/>
    <m/>
    <x v="2"/>
    <s v="RALFF"/>
    <s v="CONGO"/>
    <m/>
    <s v="4.6"/>
    <m/>
  </r>
  <r>
    <d v="2021-07-28T00:00:00"/>
    <s v="Achat credit  teléphonique Airtel/staff PALF/1 ere partie Août 2021/Legal"/>
    <s v="Telephone"/>
    <s v="Legal"/>
    <m/>
    <n v="21000"/>
    <e v="#REF!"/>
    <s v="Caisse"/>
    <m/>
    <x v="2"/>
    <s v="RALFF"/>
    <s v="CONGO"/>
    <m/>
    <s v="4.6"/>
    <m/>
  </r>
  <r>
    <d v="2021-07-28T00:00:00"/>
    <s v="Achat credit  teléphonique Airtel/staff PALF/1 ere partie Août 2021/Investingation"/>
    <s v="Telephone"/>
    <s v="Investigations"/>
    <m/>
    <n v="32000"/>
    <e v="#REF!"/>
    <s v="Caisse"/>
    <s v="Oui"/>
    <x v="2"/>
    <s v="RALFF"/>
    <s v="CONGO"/>
    <m/>
    <s v="4.6"/>
    <m/>
  </r>
  <r>
    <d v="2021-07-28T00:00:00"/>
    <s v="I23C"/>
    <s v="Versement"/>
    <m/>
    <m/>
    <n v="28000"/>
    <e v="#REF!"/>
    <s v="Caisse"/>
    <m/>
    <x v="0"/>
    <m/>
    <s v="CONGO"/>
    <m/>
    <m/>
    <m/>
  </r>
  <r>
    <d v="2021-07-28T00:00:00"/>
    <s v="Achat billet Pointe-noire/Dolisie"/>
    <s v="Transport"/>
    <s v="Legal"/>
    <m/>
    <n v="5000"/>
    <e v="#REF!"/>
    <s v="Jack-Bénisson"/>
    <s v="Oui"/>
    <x v="2"/>
    <s v="RALFF"/>
    <s v="CONGO"/>
    <m/>
    <s v="2.2"/>
    <m/>
  </r>
  <r>
    <d v="2021-07-28T00:00:00"/>
    <s v="Frais mission PN Hôtel du 06 au 28 juillet 2021 (22 nuitées)"/>
    <s v="Travel Subsistence"/>
    <s v="Legal"/>
    <m/>
    <n v="330000"/>
    <e v="#REF!"/>
    <s v="Jack-Bénisson"/>
    <s v="Oui"/>
    <x v="2"/>
    <s v="RALFF"/>
    <s v="CONGO"/>
    <m/>
    <s v="1.3.2"/>
    <m/>
  </r>
  <r>
    <d v="2021-07-28T00:00:00"/>
    <s v="Caisse"/>
    <s v="Versement"/>
    <s v="Legal"/>
    <n v="61000"/>
    <m/>
    <e v="#REF!"/>
    <s v="Jack-Bénisson"/>
    <s v="Decharge"/>
    <x v="0"/>
    <m/>
    <s v="CONGO"/>
    <m/>
    <m/>
    <m/>
  </r>
  <r>
    <d v="2021-07-28T00:00:00"/>
    <s v="Achat supports cours d'informatique"/>
    <s v="Personnel"/>
    <s v="Team Building"/>
    <m/>
    <n v="3000"/>
    <e v="#REF!"/>
    <s v="Crépin"/>
    <s v="Oui"/>
    <x v="1"/>
    <s v="PALF"/>
    <s v="CONGO"/>
    <m/>
    <m/>
    <m/>
  </r>
  <r>
    <d v="2021-07-28T00:00:00"/>
    <s v="Récu de caisse"/>
    <s v="Versement"/>
    <s v="Investigations"/>
    <n v="26150"/>
    <m/>
    <e v="#REF!"/>
    <s v="I23C"/>
    <s v="Decharge"/>
    <x v="0"/>
    <m/>
    <s v="CONGO"/>
    <m/>
    <m/>
    <m/>
  </r>
  <r>
    <d v="2021-07-28T00:00:00"/>
    <s v="Récu de caisse"/>
    <s v="Versement"/>
    <s v="Investigations"/>
    <n v="28000"/>
    <m/>
    <e v="#REF!"/>
    <s v="I23C"/>
    <s v="Decharge"/>
    <x v="0"/>
    <m/>
    <s v="CONGO"/>
    <m/>
    <m/>
    <m/>
  </r>
  <r>
    <d v="2021-07-28T00:00:00"/>
    <s v=":Cumul frais de transport local mois de juillet 2021/Evariste"/>
    <s v="Transport"/>
    <s v="Media"/>
    <m/>
    <n v="59500"/>
    <e v="#REF!"/>
    <s v="Evariste"/>
    <s v="Decharge"/>
    <x v="2"/>
    <s v="RALFF"/>
    <s v="CONGO"/>
    <m/>
    <s v="2.2"/>
    <m/>
  </r>
  <r>
    <d v="2021-07-28T00:00:00"/>
    <s v="Recu de caisse"/>
    <s v="Versement"/>
    <s v="Investigations"/>
    <n v="100000"/>
    <m/>
    <e v="#REF!"/>
    <s v="P29"/>
    <s v="Decharge"/>
    <x v="0"/>
    <m/>
    <s v="CONGO"/>
    <m/>
    <m/>
    <m/>
  </r>
  <r>
    <d v="2021-07-29T00:00:00"/>
    <s v="BCI/363510-56"/>
    <s v="Versement"/>
    <s v="Office"/>
    <n v="1000000"/>
    <m/>
    <e v="#REF!"/>
    <s v="Caisse"/>
    <m/>
    <x v="0"/>
    <m/>
    <s v="CONGO"/>
    <m/>
    <m/>
    <m/>
  </r>
  <r>
    <d v="2021-07-29T00:00:00"/>
    <s v="JB"/>
    <s v="Versement"/>
    <m/>
    <m/>
    <n v="90000"/>
    <e v="#REF!"/>
    <s v="Caisse"/>
    <m/>
    <x v="0"/>
    <m/>
    <s v="CONGO"/>
    <m/>
    <m/>
    <m/>
  </r>
  <r>
    <d v="2021-07-29T00:00:00"/>
    <s v="Crépin"/>
    <s v="Versement"/>
    <m/>
    <m/>
    <n v="10000"/>
    <e v="#REF!"/>
    <s v="Caisse"/>
    <m/>
    <x v="0"/>
    <m/>
    <s v="CONGO"/>
    <m/>
    <m/>
    <m/>
  </r>
  <r>
    <d v="2021-07-29T00:00:00"/>
    <s v="Frais de transfert charden farell/JB"/>
    <s v="Transfer Fees"/>
    <s v="Office"/>
    <m/>
    <n v="2700"/>
    <e v="#REF!"/>
    <s v="Caisse"/>
    <s v="Oui"/>
    <x v="2"/>
    <s v="RALFF"/>
    <s v="CONGO"/>
    <m/>
    <s v="5.6"/>
    <m/>
  </r>
  <r>
    <d v="2021-07-29T00:00:00"/>
    <s v="Bonus mois de Juin 2021"/>
    <s v="Bonus"/>
    <s v="Legal"/>
    <m/>
    <n v="20000"/>
    <e v="#REF!"/>
    <s v="Caisse"/>
    <s v="Decharge"/>
    <x v="1"/>
    <s v="PALF"/>
    <s v="CONGO"/>
    <m/>
    <m/>
    <m/>
  </r>
  <r>
    <d v="2021-07-29T00:00:00"/>
    <s v="Frais notification d'ordonnance et ordonance de renvoi par le 2ème cabinet d'instruction"/>
    <s v="Court Fees"/>
    <s v="Legal"/>
    <m/>
    <n v="25000"/>
    <e v="#REF!"/>
    <s v="Jack-Bénisson"/>
    <s v="Oui"/>
    <x v="1"/>
    <s v="PALF"/>
    <s v="CONGO"/>
    <m/>
    <m/>
    <m/>
  </r>
  <r>
    <d v="2021-07-29T00:00:00"/>
    <s v="Photocopie 12 pages (ordonance et notification)"/>
    <s v="Office Materials"/>
    <s v="Legal"/>
    <m/>
    <n v="200"/>
    <e v="#REF!"/>
    <s v="Jack-Bénisson"/>
    <s v="Oui"/>
    <x v="1"/>
    <s v="PALF"/>
    <s v="CONGO"/>
    <m/>
    <m/>
    <m/>
  </r>
  <r>
    <d v="2021-07-29T00:00:00"/>
    <s v="Caisse"/>
    <s v="Versement"/>
    <s v="Legal"/>
    <n v="90000"/>
    <m/>
    <e v="#REF!"/>
    <s v="Jack-Bénisson"/>
    <s v="Decharge"/>
    <x v="0"/>
    <m/>
    <s v="CONGO"/>
    <m/>
    <m/>
    <m/>
  </r>
  <r>
    <d v="2021-07-29T00:00:00"/>
    <s v="Reçu de caisse"/>
    <s v="Versement"/>
    <s v="Management"/>
    <n v="10000"/>
    <m/>
    <e v="#REF!"/>
    <s v="Crépin"/>
    <s v="Decharge"/>
    <x v="0"/>
    <m/>
    <s v="CONGO"/>
    <m/>
    <m/>
    <m/>
  </r>
  <r>
    <d v="2021-07-29T00:00:00"/>
    <s v="Frais d'hotel à Oyo  du 26 au 29/07"/>
    <s v="Travel Subsistence"/>
    <s v="Investigations"/>
    <m/>
    <n v="45000"/>
    <e v="#REF!"/>
    <s v="P29"/>
    <s v="Oui"/>
    <x v="2"/>
    <s v="RALFF"/>
    <s v="CONGO"/>
    <m/>
    <s v="1.3.2"/>
    <m/>
  </r>
  <r>
    <d v="2021-07-29T00:00:00"/>
    <s v="Achat billet oyo-gamboma"/>
    <s v="Transport"/>
    <s v="Investigations"/>
    <m/>
    <n v="4000"/>
    <e v="#REF!"/>
    <s v="P29"/>
    <s v="Oui"/>
    <x v="1"/>
    <s v="PALF"/>
    <s v="CONGO"/>
    <m/>
    <s v="2.2"/>
    <m/>
  </r>
  <r>
    <d v="2021-07-29T00:00:00"/>
    <s v="Retrait especes/appro caisse/bord n°3643510"/>
    <s v="Versement"/>
    <s v="Office"/>
    <m/>
    <n v="1000000"/>
    <e v="#REF!"/>
    <s v="BCI Sous-Compte"/>
    <n v="3643510"/>
    <x v="0"/>
    <m/>
    <s v="CONGO"/>
    <m/>
    <m/>
    <m/>
  </r>
  <r>
    <d v="2021-07-30T00:00:00"/>
    <s v="Reglement Facture Internet/mois de Août  2021/congo telecom"/>
    <s v="Internet"/>
    <s v="Office"/>
    <m/>
    <n v="89175"/>
    <e v="#REF!"/>
    <s v="Caisse"/>
    <s v="Oui"/>
    <x v="2"/>
    <s v="RALFF"/>
    <s v="CONGO"/>
    <m/>
    <s v="4.5"/>
    <m/>
  </r>
  <r>
    <d v="2021-07-30T00:00:00"/>
    <s v="Merveille"/>
    <s v="Versement"/>
    <m/>
    <m/>
    <n v="10000"/>
    <e v="#REF!"/>
    <s v="Caisse"/>
    <m/>
    <x v="0"/>
    <m/>
    <s v="CONGO"/>
    <m/>
    <m/>
    <m/>
  </r>
  <r>
    <d v="2021-07-30T00:00:00"/>
    <s v="Achat carte sim et Credit téléphonique/pour Danielle"/>
    <s v="Telephone"/>
    <s v="CCU"/>
    <m/>
    <n v="10500"/>
    <e v="#REF!"/>
    <s v="Caisse"/>
    <s v="Oui"/>
    <x v="1"/>
    <s v="PALF"/>
    <s v="CONGO"/>
    <m/>
    <m/>
    <m/>
  </r>
  <r>
    <d v="2021-07-30T00:00:00"/>
    <s v="Remboursement frais loyer à Tiffany la coordinatrice PALF"/>
    <s v="Personnel"/>
    <s v="Management"/>
    <m/>
    <n v="441425"/>
    <e v="#REF!"/>
    <s v="Caisse"/>
    <s v="Oui"/>
    <x v="1"/>
    <s v="PALF"/>
    <s v="CONGO"/>
    <m/>
    <m/>
    <m/>
  </r>
  <r>
    <d v="2021-07-30T00:00:00"/>
    <s v="Retour sur frais de mission maitre Scrutin MOUYETI"/>
    <s v="Lawyer Fees"/>
    <s v="Legal"/>
    <m/>
    <n v="-20000"/>
    <e v="#REF!"/>
    <s v="Caisse"/>
    <m/>
    <x v="2"/>
    <s v="RALFF"/>
    <s v="CONGO"/>
    <m/>
    <m/>
    <m/>
  </r>
  <r>
    <d v="2021-07-30T00:00:00"/>
    <s v="Crépin"/>
    <s v="Versement"/>
    <m/>
    <m/>
    <n v="20000"/>
    <e v="#REF!"/>
    <s v="Caisse"/>
    <m/>
    <x v="0"/>
    <m/>
    <s v="CONGO"/>
    <m/>
    <m/>
    <m/>
  </r>
  <r>
    <d v="2021-07-30T00:00:00"/>
    <s v="Cumul frais de Jail Visite mois de Juillet 2021"/>
    <s v="Jail Visits"/>
    <s v="Legal"/>
    <m/>
    <n v="29000"/>
    <e v="#REF!"/>
    <s v="Jack-Bénisson"/>
    <s v="Decharge"/>
    <x v="1"/>
    <s v="PALF"/>
    <s v="CONGO"/>
    <m/>
    <m/>
    <m/>
  </r>
  <r>
    <d v="2021-07-30T00:00:00"/>
    <s v="Cumul frais de transport local mois de juillet 2021/Crépin"/>
    <s v="Transport"/>
    <s v="Management"/>
    <m/>
    <n v="191500"/>
    <e v="#REF!"/>
    <s v="Crépin"/>
    <s v="Decharge"/>
    <x v="2"/>
    <s v="RALFF"/>
    <s v="CONGO"/>
    <m/>
    <s v="2.2"/>
    <m/>
  </r>
  <r>
    <d v="2021-07-30T00:00:00"/>
    <s v="Reçu caisse"/>
    <s v="Versement"/>
    <s v="Management"/>
    <n v="20000"/>
    <m/>
    <e v="#REF!"/>
    <s v="Crépin"/>
    <s v="Decharge"/>
    <x v="0"/>
    <m/>
    <s v="CONGO"/>
    <m/>
    <m/>
    <m/>
  </r>
  <r>
    <d v="2021-07-30T00:00:00"/>
    <s v="Cumul frais de transport local mois de juillet 2021/Tiffany"/>
    <s v="Transport"/>
    <s v="Management"/>
    <m/>
    <n v="28000"/>
    <e v="#REF!"/>
    <s v="Tiffany"/>
    <s v="Decharge"/>
    <x v="2"/>
    <s v="RALFF"/>
    <s v="CONGO"/>
    <m/>
    <s v="2.2"/>
    <m/>
  </r>
  <r>
    <d v="2021-07-30T00:00:00"/>
    <s v="Reçu caisse"/>
    <s v="Versement"/>
    <m/>
    <n v="10000"/>
    <m/>
    <e v="#REF!"/>
    <s v="Merveille"/>
    <s v="Decharge"/>
    <x v="0"/>
    <m/>
    <s v="CONGO"/>
    <m/>
    <m/>
    <m/>
  </r>
  <r>
    <d v="2021-07-30T00:00:00"/>
    <s v="Cumul frais de transport local mois de juillet 2021/Merveille"/>
    <s v="Transport"/>
    <s v="Management"/>
    <m/>
    <n v="67000"/>
    <e v="#REF!"/>
    <s v="Merveille"/>
    <s v="Decharge"/>
    <x v="2"/>
    <s v="RALFF"/>
    <s v="CONGO"/>
    <m/>
    <s v="2.2"/>
    <m/>
  </r>
  <r>
    <d v="2021-07-30T00:00:00"/>
    <s v="Cumul frais achat boisson mois de Juillet 2021 /P29"/>
    <s v="Trust Building"/>
    <s v="Investigations"/>
    <m/>
    <n v="17500"/>
    <e v="#REF!"/>
    <s v="P29"/>
    <s v="Decharge"/>
    <x v="1"/>
    <s v="PALF"/>
    <s v="CONGO"/>
    <m/>
    <m/>
    <m/>
  </r>
  <r>
    <d v="2021-07-30T00:00:00"/>
    <s v="Reglement gardiennage mois de Juillet   2021"/>
    <s v="Services"/>
    <s v="Office"/>
    <m/>
    <n v="260000"/>
    <e v="#REF!"/>
    <s v="BCI"/>
    <s v="Virement"/>
    <x v="1"/>
    <s v="PALF"/>
    <s v="CONGO"/>
    <m/>
    <m/>
    <m/>
  </r>
  <r>
    <d v="2021-07-30T00:00:00"/>
    <s v=" frais bancaire "/>
    <s v="Bank Fees"/>
    <s v="Office"/>
    <m/>
    <n v="2600"/>
    <e v="#REF!"/>
    <s v="BCI"/>
    <s v="Releve"/>
    <x v="1"/>
    <s v="PALF"/>
    <s v="CONGO"/>
    <m/>
    <m/>
    <m/>
  </r>
  <r>
    <d v="2021-07-31T00:00:00"/>
    <s v="Cumul frais de transport local mois de Juillet 2021/Jack-Bénisson"/>
    <s v="Transport"/>
    <s v="Legal"/>
    <m/>
    <n v="195700"/>
    <e v="#REF!"/>
    <s v="Jack-Bénisson"/>
    <s v="Decharge"/>
    <x v="2"/>
    <s v="RALFF"/>
    <s v="CONGO"/>
    <m/>
    <s v="2.2"/>
    <m/>
  </r>
  <r>
    <d v="2021-07-31T00:00:00"/>
    <s v="Frais d'hôtel mission Dolisie du 28/07 au 01/08 (4 nuitées)"/>
    <s v="Travel Subsistence"/>
    <s v="Legal"/>
    <m/>
    <n v="60000"/>
    <e v="#REF!"/>
    <s v="Jack-Bénisson"/>
    <s v="Oui"/>
    <x v="2"/>
    <s v="RALFF"/>
    <s v="CONGO"/>
    <m/>
    <s v="1.3.2"/>
    <m/>
  </r>
  <r>
    <d v="2021-07-31T00:00:00"/>
    <s v="Cumul frais Trust building mois de Juillet 2021/I23C"/>
    <s v="Trust Building"/>
    <s v="Investigations"/>
    <m/>
    <n v="23750"/>
    <e v="#REF!"/>
    <s v="I23C"/>
    <s v="Decharge"/>
    <x v="1"/>
    <s v="PALF"/>
    <s v="CONGO"/>
    <m/>
    <m/>
    <m/>
  </r>
  <r>
    <d v="2021-07-31T00:00:00"/>
    <s v="Cumul frais de transport local mois de Juillet 2021/I23c"/>
    <s v="Transport"/>
    <s v="Investigations"/>
    <m/>
    <n v="107900"/>
    <e v="#REF!"/>
    <s v="I23C"/>
    <s v="Decharge"/>
    <x v="2"/>
    <s v="RALFF"/>
    <s v="CONGO"/>
    <m/>
    <s v="2.2"/>
    <m/>
  </r>
  <r>
    <d v="2021-07-31T00:00:00"/>
    <s v="Frais d'hotel à Gamboma du 29/07 au 31/07"/>
    <s v="Travel Subsistence"/>
    <s v="Investigations"/>
    <m/>
    <n v="30000"/>
    <e v="#REF!"/>
    <s v="P29"/>
    <s v="Oui"/>
    <x v="2"/>
    <s v="RALFF"/>
    <s v="CONGO"/>
    <m/>
    <s v="1.3.2"/>
    <m/>
  </r>
  <r>
    <d v="2021-07-31T00:00:00"/>
    <s v="Achat billet gamboma-bzv"/>
    <s v="Transport"/>
    <s v="Investigations"/>
    <m/>
    <n v="8000"/>
    <e v="#REF!"/>
    <s v="P29"/>
    <s v="Oui"/>
    <x v="2"/>
    <s v="RALFF"/>
    <s v="CONGO"/>
    <m/>
    <s v="2.2"/>
    <m/>
  </r>
  <r>
    <d v="2021-07-31T00:00:00"/>
    <s v="Cumul frais de transport local mois de Juillet 2021/P29"/>
    <s v="Transport"/>
    <s v="Investigations"/>
    <m/>
    <n v="85000"/>
    <e v="#REF!"/>
    <s v="P29"/>
    <s v="Decharge"/>
    <x v="2"/>
    <s v="RALFF"/>
    <s v="CONGO"/>
    <m/>
    <s v="2.2"/>
    <m/>
  </r>
  <r>
    <m/>
    <m/>
    <m/>
    <m/>
    <m/>
    <m/>
    <e v="#REF!"/>
    <m/>
    <m/>
    <x v="0"/>
    <m/>
    <s v="CONGO"/>
    <m/>
    <m/>
    <m/>
  </r>
  <r>
    <m/>
    <m/>
    <m/>
    <m/>
    <m/>
    <m/>
    <e v="#REF!"/>
    <m/>
    <m/>
    <x v="0"/>
    <m/>
    <s v="CONGO"/>
    <m/>
    <m/>
    <m/>
  </r>
  <r>
    <m/>
    <m/>
    <m/>
    <m/>
    <m/>
    <m/>
    <e v="#REF!"/>
    <m/>
    <m/>
    <x v="0"/>
    <m/>
    <s v="CONGO"/>
    <m/>
    <m/>
    <m/>
  </r>
  <r>
    <m/>
    <m/>
    <m/>
    <m/>
    <m/>
    <m/>
    <e v="#REF!"/>
    <m/>
    <m/>
    <x v="0"/>
    <m/>
    <s v="CONGO"/>
    <m/>
    <m/>
    <m/>
  </r>
  <r>
    <m/>
    <m/>
    <m/>
    <m/>
    <m/>
    <m/>
    <e v="#REF!"/>
    <m/>
    <m/>
    <x v="0"/>
    <m/>
    <s v="CONGO"/>
    <m/>
    <m/>
    <m/>
  </r>
  <r>
    <m/>
    <m/>
    <m/>
    <m/>
    <m/>
    <m/>
    <e v="#REF!"/>
    <m/>
    <m/>
    <x v="0"/>
    <m/>
    <s v="CONGO"/>
    <m/>
    <m/>
    <m/>
  </r>
  <r>
    <m/>
    <m/>
    <m/>
    <m/>
    <m/>
    <m/>
    <e v="#REF!"/>
    <m/>
    <m/>
    <x v="0"/>
    <m/>
    <s v="CONGO"/>
    <m/>
    <m/>
    <m/>
  </r>
  <r>
    <m/>
    <m/>
    <m/>
    <m/>
    <m/>
    <m/>
    <e v="#REF!"/>
    <m/>
    <m/>
    <x v="0"/>
    <m/>
    <s v="CONGO"/>
    <m/>
    <m/>
    <m/>
  </r>
  <r>
    <m/>
    <m/>
    <m/>
    <m/>
    <m/>
    <m/>
    <m/>
    <m/>
    <m/>
    <x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3" minRefreshableVersion="3" useAutoFormatting="1" itemPrintTitles="1" createdVersion="5" indent="0" outline="1" outlineData="1" multipleFieldFilters="0">
  <location ref="A3:AS17" firstHeaderRow="1" firstDataRow="3" firstDataCol="1"/>
  <pivotFields count="15">
    <pivotField numFmtId="15" showAll="0"/>
    <pivotField showAll="0"/>
    <pivotField axis="axisCol" showAll="0">
      <items count="25">
        <item x="12"/>
        <item x="1"/>
        <item x="21"/>
        <item x="3"/>
        <item x="11"/>
        <item x="7"/>
        <item x="18"/>
        <item x="14"/>
        <item x="8"/>
        <item x="19"/>
        <item x="6"/>
        <item x="13"/>
        <item x="9"/>
        <item x="17"/>
        <item m="1" x="22"/>
        <item m="1" x="23"/>
        <item x="5"/>
        <item x="4"/>
        <item x="16"/>
        <item x="10"/>
        <item x="20"/>
        <item x="2"/>
        <item x="15"/>
        <item x="0"/>
        <item t="default"/>
      </items>
    </pivotField>
    <pivotField showAll="0"/>
    <pivotField dataField="1" showAll="0"/>
    <pivotField dataField="1" showAll="0"/>
    <pivotField numFmtId="165" showAll="0"/>
    <pivotField axis="axisRow" showAll="0">
      <items count="13">
        <item x="11"/>
        <item x="7"/>
        <item x="1"/>
        <item x="3"/>
        <item x="5"/>
        <item x="4"/>
        <item x="2"/>
        <item x="10"/>
        <item x="6"/>
        <item x="8"/>
        <item x="9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2">
    <field x="2"/>
    <field x="-2"/>
  </colFields>
  <colItems count="44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6"/>
      <x/>
    </i>
    <i r="1" i="1">
      <x v="1"/>
    </i>
    <i>
      <x v="17"/>
      <x/>
    </i>
    <i r="1" i="1">
      <x v="1"/>
    </i>
    <i>
      <x v="18"/>
      <x/>
    </i>
    <i r="1" i="1">
      <x v="1"/>
    </i>
    <i>
      <x v="19"/>
      <x/>
    </i>
    <i r="1" i="1">
      <x v="1"/>
    </i>
    <i>
      <x v="20"/>
      <x/>
    </i>
    <i r="1" i="1">
      <x v="1"/>
    </i>
    <i>
      <x v="21"/>
      <x/>
    </i>
    <i r="1" i="1">
      <x v="1"/>
    </i>
    <i>
      <x v="22"/>
      <x/>
    </i>
    <i r="1" i="1">
      <x v="1"/>
    </i>
    <i t="grand">
      <x/>
    </i>
    <i t="grand" i="1">
      <x/>
    </i>
  </colItems>
  <dataFields count="2">
    <dataField name="Somme de Received" fld="4" baseField="7" baseItem="3"/>
    <dataField name="Somme de Spent" fld="5" baseField="7" baseItem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2" cacheId="1" applyNumberFormats="0" applyBorderFormats="0" applyFontFormats="0" applyPatternFormats="0" applyAlignmentFormats="0" applyWidthHeightFormats="1" dataCaption="Valeurs" updatedVersion="3" minRefreshableVersion="3" useAutoFormatting="1" itemPrintTitles="1" createdVersion="5" indent="0" outline="1" outlineData="1" multipleFieldFilters="0">
  <location ref="A3:B6" firstHeaderRow="1" firstDataRow="1" firstDataCol="1"/>
  <pivotFields count="15"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showAll="0">
      <items count="4">
        <item x="1"/>
        <item x="2"/>
        <item h="1" x="0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3">
    <i>
      <x/>
    </i>
    <i>
      <x v="1"/>
    </i>
    <i t="grand">
      <x/>
    </i>
  </rowItems>
  <colItems count="1">
    <i/>
  </colItems>
  <dataFields count="1">
    <dataField name="Somme de Spent" fld="5" baseField="9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O360"/>
  <sheetViews>
    <sheetView tabSelected="1" zoomScale="84" zoomScaleNormal="84" workbookViewId="0">
      <pane xSplit="1" topLeftCell="C1" activePane="topRight" state="frozen"/>
      <selection pane="topRight" activeCell="J45" sqref="J45"/>
    </sheetView>
  </sheetViews>
  <sheetFormatPr baseColWidth="10" defaultColWidth="11.42578125" defaultRowHeight="15"/>
  <cols>
    <col min="1" max="1" width="34.28515625" style="11" customWidth="1"/>
    <col min="2" max="2" width="21.42578125" style="11" customWidth="1"/>
    <col min="3" max="3" width="26" style="11" customWidth="1"/>
    <col min="4" max="4" width="23.7109375" style="11" customWidth="1"/>
    <col min="5" max="5" width="19.5703125" style="11" customWidth="1"/>
    <col min="6" max="6" width="21" style="11" customWidth="1"/>
    <col min="7" max="7" width="21.85546875" style="11" customWidth="1"/>
    <col min="8" max="8" width="20.5703125" style="11" customWidth="1"/>
    <col min="9" max="9" width="19.7109375" style="11" customWidth="1"/>
    <col min="10" max="10" width="16.7109375" style="11" customWidth="1"/>
    <col min="11" max="11" width="18.7109375" style="11" customWidth="1"/>
    <col min="12" max="12" width="16" style="55" customWidth="1"/>
    <col min="13" max="13" width="18.7109375" style="55" customWidth="1"/>
    <col min="14" max="14" width="14.140625" style="55" customWidth="1"/>
    <col min="15" max="15" width="14.85546875" style="55" customWidth="1"/>
    <col min="16" max="16384" width="11.42578125" style="11"/>
  </cols>
  <sheetData>
    <row r="1" spans="1:15">
      <c r="A1" s="10">
        <v>44408</v>
      </c>
    </row>
    <row r="2" spans="1:15" ht="15.75">
      <c r="A2" s="12" t="s">
        <v>47</v>
      </c>
      <c r="B2" s="12" t="s">
        <v>1</v>
      </c>
      <c r="C2" s="12">
        <v>44378</v>
      </c>
      <c r="D2" s="13" t="s">
        <v>48</v>
      </c>
      <c r="E2" s="13" t="s">
        <v>49</v>
      </c>
      <c r="F2" s="13" t="s">
        <v>50</v>
      </c>
      <c r="G2" s="13" t="s">
        <v>51</v>
      </c>
      <c r="H2" s="12">
        <v>44408</v>
      </c>
      <c r="I2" s="13" t="s">
        <v>52</v>
      </c>
      <c r="K2" s="54"/>
      <c r="L2" s="54" t="s">
        <v>53</v>
      </c>
      <c r="M2" s="54" t="s">
        <v>54</v>
      </c>
      <c r="N2" s="54" t="s">
        <v>55</v>
      </c>
      <c r="O2" s="54" t="s">
        <v>56</v>
      </c>
    </row>
    <row r="3" spans="1:15" ht="16.5">
      <c r="A3" s="67" t="str">
        <f>+K3</f>
        <v xml:space="preserve">BCI </v>
      </c>
      <c r="B3" s="68" t="s">
        <v>57</v>
      </c>
      <c r="C3" s="69">
        <v>8216265</v>
      </c>
      <c r="D3" s="139">
        <f>+L3</f>
        <v>0</v>
      </c>
      <c r="E3" s="70">
        <f>+N3</f>
        <v>271244</v>
      </c>
      <c r="F3" s="70">
        <f>+M3</f>
        <v>2000000</v>
      </c>
      <c r="G3" s="70"/>
      <c r="H3" s="70">
        <v>5945021</v>
      </c>
      <c r="I3" s="70">
        <f>+C3+D3-E3-F3+G3</f>
        <v>5945021</v>
      </c>
      <c r="J3" s="15">
        <f>I3-H3</f>
        <v>0</v>
      </c>
      <c r="K3" s="54" t="s">
        <v>58</v>
      </c>
      <c r="L3" s="56">
        <v>0</v>
      </c>
      <c r="M3" s="56">
        <v>2000000</v>
      </c>
      <c r="N3" s="56">
        <v>271244</v>
      </c>
      <c r="O3" s="56">
        <v>31201251</v>
      </c>
    </row>
    <row r="4" spans="1:15" ht="16.5">
      <c r="A4" s="67" t="str">
        <f>+K4</f>
        <v>BCI  sous-compte</v>
      </c>
      <c r="B4" s="68" t="s">
        <v>57</v>
      </c>
      <c r="C4" s="69">
        <v>8214324</v>
      </c>
      <c r="D4" s="70">
        <f>+L4</f>
        <v>0</v>
      </c>
      <c r="E4" s="70">
        <f>+N4</f>
        <v>6204544</v>
      </c>
      <c r="F4" s="70">
        <f>+M4</f>
        <v>4000000</v>
      </c>
      <c r="G4" s="70">
        <f>+O3</f>
        <v>31201251</v>
      </c>
      <c r="H4" s="70">
        <v>29211031</v>
      </c>
      <c r="I4" s="70">
        <f>+C4+D4-E4-F4+G4</f>
        <v>29211031</v>
      </c>
      <c r="J4" s="15">
        <f t="shared" ref="J4:J11" si="0">I4-H4</f>
        <v>0</v>
      </c>
      <c r="K4" s="54" t="s">
        <v>59</v>
      </c>
      <c r="L4" s="56">
        <v>0</v>
      </c>
      <c r="M4" s="56">
        <v>4000000</v>
      </c>
      <c r="N4" s="56">
        <v>6204544</v>
      </c>
      <c r="O4" s="56">
        <v>0</v>
      </c>
    </row>
    <row r="5" spans="1:15" ht="16.5">
      <c r="A5" s="67" t="str">
        <f t="shared" ref="A5:A7" si="1">+K5</f>
        <v>Caisse</v>
      </c>
      <c r="B5" s="68" t="s">
        <v>34</v>
      </c>
      <c r="C5" s="69">
        <v>821749</v>
      </c>
      <c r="D5" s="70">
        <f>+L5</f>
        <v>6000500</v>
      </c>
      <c r="E5" s="70">
        <f>+N5</f>
        <v>3367697</v>
      </c>
      <c r="F5" s="70">
        <f>+M5</f>
        <v>3123915</v>
      </c>
      <c r="G5" s="70">
        <f t="shared" ref="G5:G15" si="2">+O5</f>
        <v>0</v>
      </c>
      <c r="H5" s="70">
        <v>330637</v>
      </c>
      <c r="I5" s="70">
        <f>+C5+D5-E5-F5+G5</f>
        <v>330637</v>
      </c>
      <c r="J5" s="117">
        <f t="shared" si="0"/>
        <v>0</v>
      </c>
      <c r="K5" s="54" t="s">
        <v>34</v>
      </c>
      <c r="L5" s="56">
        <v>6000500</v>
      </c>
      <c r="M5" s="56">
        <v>3123915</v>
      </c>
      <c r="N5" s="56">
        <v>3367697</v>
      </c>
      <c r="O5" s="56">
        <v>0</v>
      </c>
    </row>
    <row r="6" spans="1:15" ht="16.5">
      <c r="A6" s="67" t="str">
        <f t="shared" si="1"/>
        <v>Crépin</v>
      </c>
      <c r="B6" s="68" t="s">
        <v>3</v>
      </c>
      <c r="C6" s="69">
        <v>27200</v>
      </c>
      <c r="D6" s="70">
        <f>+L6</f>
        <v>970765</v>
      </c>
      <c r="E6" s="70">
        <f t="shared" ref="E6:E15" si="3">+N6</f>
        <v>980165</v>
      </c>
      <c r="F6" s="70">
        <f t="shared" ref="F6:F13" si="4">+M6</f>
        <v>0</v>
      </c>
      <c r="G6" s="70">
        <f t="shared" si="2"/>
        <v>0</v>
      </c>
      <c r="H6" s="70">
        <v>17800</v>
      </c>
      <c r="I6" s="70">
        <f t="shared" ref="I6:I13" si="5">+C6+D6-E6-F6+G6</f>
        <v>17800</v>
      </c>
      <c r="J6" s="15">
        <f t="shared" si="0"/>
        <v>0</v>
      </c>
      <c r="K6" s="54" t="s">
        <v>60</v>
      </c>
      <c r="L6" s="56">
        <v>970765</v>
      </c>
      <c r="M6" s="56">
        <v>0</v>
      </c>
      <c r="N6" s="56">
        <v>980165</v>
      </c>
      <c r="O6" s="56">
        <v>0</v>
      </c>
    </row>
    <row r="7" spans="1:15" ht="16.5">
      <c r="A7" s="67" t="str">
        <f t="shared" si="1"/>
        <v>Evariste</v>
      </c>
      <c r="B7" s="68" t="s">
        <v>3</v>
      </c>
      <c r="C7" s="69">
        <v>2995</v>
      </c>
      <c r="D7" s="70">
        <f t="shared" ref="D7:D15" si="6">+L7</f>
        <v>58000</v>
      </c>
      <c r="E7" s="70">
        <f>+N7</f>
        <v>59500</v>
      </c>
      <c r="F7" s="70">
        <f t="shared" si="4"/>
        <v>0</v>
      </c>
      <c r="G7" s="70">
        <f t="shared" si="2"/>
        <v>0</v>
      </c>
      <c r="H7" s="70">
        <v>1495</v>
      </c>
      <c r="I7" s="70">
        <f t="shared" si="5"/>
        <v>1495</v>
      </c>
      <c r="J7" s="15">
        <f t="shared" si="0"/>
        <v>0</v>
      </c>
      <c r="K7" s="54" t="s">
        <v>40</v>
      </c>
      <c r="L7" s="56">
        <v>58000</v>
      </c>
      <c r="M7" s="56">
        <v>0</v>
      </c>
      <c r="N7" s="56">
        <v>59500</v>
      </c>
      <c r="O7" s="56">
        <v>0</v>
      </c>
    </row>
    <row r="8" spans="1:15" ht="16.5">
      <c r="A8" s="67" t="str">
        <f>K8</f>
        <v>I23C</v>
      </c>
      <c r="B8" s="68" t="s">
        <v>11</v>
      </c>
      <c r="C8" s="69">
        <v>-500</v>
      </c>
      <c r="D8" s="70">
        <f t="shared" si="6"/>
        <v>557150</v>
      </c>
      <c r="E8" s="70">
        <f t="shared" si="3"/>
        <v>556650</v>
      </c>
      <c r="F8" s="70">
        <f t="shared" si="4"/>
        <v>0</v>
      </c>
      <c r="G8" s="70">
        <f t="shared" si="2"/>
        <v>0</v>
      </c>
      <c r="H8" s="70">
        <v>0</v>
      </c>
      <c r="I8" s="70">
        <f>+C8+D8-E8-F8+G8</f>
        <v>0</v>
      </c>
      <c r="J8" s="15">
        <f t="shared" si="0"/>
        <v>0</v>
      </c>
      <c r="K8" s="54" t="s">
        <v>39</v>
      </c>
      <c r="L8" s="56">
        <v>557150</v>
      </c>
      <c r="M8" s="56">
        <v>0</v>
      </c>
      <c r="N8" s="56">
        <v>556650</v>
      </c>
      <c r="O8" s="56">
        <v>0</v>
      </c>
    </row>
    <row r="9" spans="1:15" ht="16.5">
      <c r="A9" s="151" t="str">
        <f t="shared" ref="A9:A12" si="7">+K9</f>
        <v>I55S</v>
      </c>
      <c r="B9" s="152" t="s">
        <v>11</v>
      </c>
      <c r="C9" s="153">
        <v>233614</v>
      </c>
      <c r="D9" s="154">
        <f t="shared" si="6"/>
        <v>0</v>
      </c>
      <c r="E9" s="154">
        <f t="shared" si="3"/>
        <v>0</v>
      </c>
      <c r="F9" s="154">
        <f t="shared" si="4"/>
        <v>0</v>
      </c>
      <c r="G9" s="154">
        <f t="shared" si="2"/>
        <v>0</v>
      </c>
      <c r="H9" s="154">
        <v>233614</v>
      </c>
      <c r="I9" s="154">
        <f t="shared" si="5"/>
        <v>233614</v>
      </c>
      <c r="J9" s="15">
        <f t="shared" si="0"/>
        <v>0</v>
      </c>
      <c r="K9" s="54" t="s">
        <v>98</v>
      </c>
      <c r="L9" s="56">
        <v>0</v>
      </c>
      <c r="M9" s="56">
        <v>0</v>
      </c>
      <c r="N9" s="56">
        <v>0</v>
      </c>
      <c r="O9" s="56">
        <v>0</v>
      </c>
    </row>
    <row r="10" spans="1:15" ht="16.5">
      <c r="A10" s="151" t="str">
        <f t="shared" si="7"/>
        <v>I73X</v>
      </c>
      <c r="B10" s="152" t="s">
        <v>11</v>
      </c>
      <c r="C10" s="153">
        <v>249769</v>
      </c>
      <c r="D10" s="154">
        <f t="shared" si="6"/>
        <v>0</v>
      </c>
      <c r="E10" s="154">
        <f t="shared" si="3"/>
        <v>0</v>
      </c>
      <c r="F10" s="154">
        <f t="shared" si="4"/>
        <v>0</v>
      </c>
      <c r="G10" s="154">
        <f t="shared" si="2"/>
        <v>0</v>
      </c>
      <c r="H10" s="154">
        <v>249769</v>
      </c>
      <c r="I10" s="154">
        <f t="shared" si="5"/>
        <v>249769</v>
      </c>
      <c r="J10" s="15">
        <f t="shared" si="0"/>
        <v>0</v>
      </c>
      <c r="K10" s="54" t="s">
        <v>97</v>
      </c>
      <c r="L10" s="56">
        <v>0</v>
      </c>
      <c r="M10" s="56">
        <v>0</v>
      </c>
      <c r="N10" s="56">
        <v>0</v>
      </c>
      <c r="O10" s="56">
        <v>0</v>
      </c>
    </row>
    <row r="11" spans="1:15" ht="16.5">
      <c r="A11" s="67" t="str">
        <f t="shared" si="7"/>
        <v>Jack-Bénisson</v>
      </c>
      <c r="B11" s="113" t="s">
        <v>3</v>
      </c>
      <c r="C11" s="69">
        <v>105075</v>
      </c>
      <c r="D11" s="70">
        <f t="shared" si="6"/>
        <v>941000</v>
      </c>
      <c r="E11" s="70">
        <f t="shared" si="3"/>
        <v>1084725</v>
      </c>
      <c r="F11" s="70">
        <f t="shared" si="4"/>
        <v>0</v>
      </c>
      <c r="G11" s="70">
        <f t="shared" si="2"/>
        <v>0</v>
      </c>
      <c r="H11" s="70">
        <v>-38650</v>
      </c>
      <c r="I11" s="70">
        <f t="shared" si="5"/>
        <v>-38650</v>
      </c>
      <c r="J11" s="15">
        <f t="shared" si="0"/>
        <v>0</v>
      </c>
      <c r="K11" s="54" t="s">
        <v>46</v>
      </c>
      <c r="L11" s="56">
        <v>941000</v>
      </c>
      <c r="M11" s="56">
        <v>0</v>
      </c>
      <c r="N11" s="56">
        <v>1084725</v>
      </c>
      <c r="O11" s="56">
        <v>0</v>
      </c>
    </row>
    <row r="12" spans="1:15" ht="16.5">
      <c r="A12" s="67" t="str">
        <f t="shared" si="7"/>
        <v>Merveille</v>
      </c>
      <c r="B12" s="68" t="s">
        <v>6</v>
      </c>
      <c r="C12" s="69">
        <v>17000</v>
      </c>
      <c r="D12" s="70">
        <f t="shared" si="6"/>
        <v>52000</v>
      </c>
      <c r="E12" s="70">
        <f t="shared" si="3"/>
        <v>67000</v>
      </c>
      <c r="F12" s="70">
        <f t="shared" si="4"/>
        <v>0</v>
      </c>
      <c r="G12" s="70">
        <f t="shared" si="2"/>
        <v>0</v>
      </c>
      <c r="H12" s="70">
        <v>2000</v>
      </c>
      <c r="I12" s="70">
        <f t="shared" si="5"/>
        <v>2000</v>
      </c>
      <c r="J12" s="15">
        <f>I12-H12</f>
        <v>0</v>
      </c>
      <c r="K12" s="54" t="s">
        <v>108</v>
      </c>
      <c r="L12" s="56">
        <v>52000</v>
      </c>
      <c r="M12" s="56">
        <v>0</v>
      </c>
      <c r="N12" s="56">
        <v>67000</v>
      </c>
      <c r="O12" s="56">
        <v>0</v>
      </c>
    </row>
    <row r="13" spans="1:15" ht="16.5">
      <c r="A13" s="67" t="str">
        <f>K13</f>
        <v>P29</v>
      </c>
      <c r="B13" s="68" t="s">
        <v>11</v>
      </c>
      <c r="C13" s="69">
        <v>131100</v>
      </c>
      <c r="D13" s="70">
        <f>+L13</f>
        <v>515000</v>
      </c>
      <c r="E13" s="70">
        <f>+N13</f>
        <v>655500</v>
      </c>
      <c r="F13" s="70">
        <f t="shared" si="4"/>
        <v>0</v>
      </c>
      <c r="G13" s="70">
        <f t="shared" si="2"/>
        <v>0</v>
      </c>
      <c r="H13" s="70">
        <v>-9400</v>
      </c>
      <c r="I13" s="70">
        <f t="shared" si="5"/>
        <v>-9400</v>
      </c>
      <c r="J13" s="15">
        <f t="shared" ref="J13:J15" si="8">I13-H13</f>
        <v>0</v>
      </c>
      <c r="K13" s="54" t="s">
        <v>38</v>
      </c>
      <c r="L13" s="56">
        <v>515000</v>
      </c>
      <c r="M13" s="56">
        <v>0</v>
      </c>
      <c r="N13" s="56">
        <v>655500</v>
      </c>
      <c r="O13" s="56">
        <v>0</v>
      </c>
    </row>
    <row r="14" spans="1:15" ht="16.5">
      <c r="A14" s="67" t="str">
        <f>+K14</f>
        <v>Ted</v>
      </c>
      <c r="B14" s="68" t="s">
        <v>6</v>
      </c>
      <c r="C14" s="69">
        <v>5800</v>
      </c>
      <c r="D14" s="70">
        <f t="shared" si="6"/>
        <v>10000</v>
      </c>
      <c r="E14" s="70">
        <f>+N14</f>
        <v>15300</v>
      </c>
      <c r="F14" s="70">
        <f>+M14</f>
        <v>500</v>
      </c>
      <c r="G14" s="70">
        <f t="shared" si="2"/>
        <v>0</v>
      </c>
      <c r="H14" s="70">
        <v>0</v>
      </c>
      <c r="I14" s="70">
        <f t="shared" ref="I14:I15" si="9">+C14+D14-E14-F14+G14</f>
        <v>0</v>
      </c>
      <c r="J14" s="15">
        <f t="shared" si="8"/>
        <v>0</v>
      </c>
      <c r="K14" s="54" t="s">
        <v>41</v>
      </c>
      <c r="L14" s="56">
        <v>10000</v>
      </c>
      <c r="M14" s="56">
        <v>500</v>
      </c>
      <c r="N14" s="56">
        <v>15300</v>
      </c>
      <c r="O14" s="56">
        <v>0</v>
      </c>
    </row>
    <row r="15" spans="1:15" ht="16.5">
      <c r="A15" s="67" t="str">
        <f>K15</f>
        <v>Tiffany</v>
      </c>
      <c r="B15" s="68" t="s">
        <v>11</v>
      </c>
      <c r="C15" s="69">
        <v>2893</v>
      </c>
      <c r="D15" s="70">
        <f t="shared" si="6"/>
        <v>20000</v>
      </c>
      <c r="E15" s="70">
        <f t="shared" si="3"/>
        <v>28000</v>
      </c>
      <c r="F15" s="70">
        <f t="shared" ref="F15" si="10">+M15</f>
        <v>0</v>
      </c>
      <c r="G15" s="70">
        <f t="shared" si="2"/>
        <v>0</v>
      </c>
      <c r="H15" s="70">
        <v>-5107</v>
      </c>
      <c r="I15" s="70">
        <f t="shared" si="9"/>
        <v>-5107</v>
      </c>
      <c r="J15" s="15">
        <f t="shared" si="8"/>
        <v>0</v>
      </c>
      <c r="K15" s="54" t="s">
        <v>129</v>
      </c>
      <c r="L15" s="56">
        <v>20000</v>
      </c>
      <c r="M15" s="56"/>
      <c r="N15" s="56">
        <v>28000</v>
      </c>
      <c r="O15" s="56">
        <v>0</v>
      </c>
    </row>
    <row r="16" spans="1:15" ht="16.5">
      <c r="A16" s="16" t="s">
        <v>63</v>
      </c>
      <c r="B16" s="17"/>
      <c r="C16" s="18">
        <f t="shared" ref="C16:H16" si="11">SUM(C3:C15)</f>
        <v>18027284</v>
      </c>
      <c r="D16" s="66">
        <f t="shared" si="11"/>
        <v>9124415</v>
      </c>
      <c r="E16" s="66">
        <f t="shared" si="11"/>
        <v>13290325</v>
      </c>
      <c r="F16" s="66">
        <f>SUM(F3:F15)</f>
        <v>9124415</v>
      </c>
      <c r="G16" s="66">
        <f t="shared" si="11"/>
        <v>31201251</v>
      </c>
      <c r="H16" s="66">
        <f t="shared" si="11"/>
        <v>35938210</v>
      </c>
      <c r="I16" s="66">
        <f>SUM(I3:I15)</f>
        <v>35938210</v>
      </c>
      <c r="J16" s="15">
        <f>I16-H16</f>
        <v>0</v>
      </c>
      <c r="K16" s="9"/>
      <c r="L16" s="56">
        <v>9124415</v>
      </c>
      <c r="M16" s="56">
        <v>9124415</v>
      </c>
      <c r="N16" s="56">
        <v>13293136</v>
      </c>
      <c r="O16" s="56">
        <v>31201251</v>
      </c>
    </row>
    <row r="17" spans="1:15" ht="16.5">
      <c r="A17" s="16"/>
      <c r="B17" s="17"/>
      <c r="C17" s="18"/>
      <c r="D17" s="19"/>
      <c r="E17" s="18"/>
      <c r="F17" s="19"/>
      <c r="G17" s="18"/>
      <c r="H17" s="18"/>
      <c r="I17" s="172" t="b">
        <f>I16=D19</f>
        <v>1</v>
      </c>
      <c r="L17" s="11"/>
      <c r="M17" s="11"/>
      <c r="N17" s="11"/>
      <c r="O17" s="11"/>
    </row>
    <row r="18" spans="1:15" ht="16.5">
      <c r="A18" s="16" t="s">
        <v>365</v>
      </c>
      <c r="B18" s="17" t="s">
        <v>172</v>
      </c>
      <c r="C18" s="18" t="s">
        <v>366</v>
      </c>
      <c r="D18" s="18" t="s">
        <v>367</v>
      </c>
      <c r="E18" s="18" t="s">
        <v>64</v>
      </c>
      <c r="F18" s="18"/>
      <c r="G18" s="18">
        <f>+D16-F16</f>
        <v>0</v>
      </c>
      <c r="H18" s="18"/>
      <c r="I18" s="18"/>
    </row>
    <row r="19" spans="1:15" ht="16.5">
      <c r="A19" s="20">
        <f>C16</f>
        <v>18027284</v>
      </c>
      <c r="B19" s="21">
        <f>G16</f>
        <v>31201251</v>
      </c>
      <c r="C19" s="18">
        <f>E16</f>
        <v>13290325</v>
      </c>
      <c r="D19" s="18">
        <f>A19+B19-C19</f>
        <v>35938210</v>
      </c>
      <c r="E19" s="19">
        <f>I16-D19</f>
        <v>0</v>
      </c>
      <c r="F19" s="18"/>
      <c r="G19" s="18"/>
      <c r="H19" s="18"/>
      <c r="I19" s="18"/>
    </row>
    <row r="20" spans="1:15">
      <c r="G20" s="15"/>
    </row>
    <row r="21" spans="1:15">
      <c r="A21" s="22" t="s">
        <v>65</v>
      </c>
      <c r="B21" s="22"/>
      <c r="C21" s="22"/>
      <c r="D21" s="23"/>
      <c r="E21" s="23"/>
      <c r="F21" s="23"/>
      <c r="G21" s="23"/>
      <c r="H21" s="23"/>
      <c r="I21" s="23"/>
    </row>
    <row r="22" spans="1:15">
      <c r="A22" s="24" t="s">
        <v>368</v>
      </c>
      <c r="B22" s="24"/>
      <c r="C22" s="24"/>
      <c r="D22" s="24"/>
      <c r="E22" s="24"/>
      <c r="F22" s="24"/>
      <c r="G22" s="24"/>
      <c r="H22" s="24"/>
      <c r="I22" s="24"/>
      <c r="J22" s="23"/>
    </row>
    <row r="23" spans="1:15">
      <c r="A23" s="25"/>
      <c r="B23" s="26"/>
      <c r="C23" s="27"/>
      <c r="D23" s="27"/>
      <c r="E23" s="27"/>
      <c r="F23" s="27"/>
      <c r="G23" s="27"/>
      <c r="H23" s="26"/>
      <c r="I23" s="26"/>
      <c r="J23" s="24"/>
    </row>
    <row r="24" spans="1:15">
      <c r="A24" s="253" t="s">
        <v>66</v>
      </c>
      <c r="B24" s="255" t="s">
        <v>67</v>
      </c>
      <c r="C24" s="257" t="s">
        <v>369</v>
      </c>
      <c r="D24" s="259" t="s">
        <v>68</v>
      </c>
      <c r="E24" s="260"/>
      <c r="F24" s="260"/>
      <c r="G24" s="261"/>
      <c r="H24" s="262" t="s">
        <v>69</v>
      </c>
      <c r="I24" s="249" t="s">
        <v>70</v>
      </c>
      <c r="J24" s="26"/>
    </row>
    <row r="25" spans="1:15">
      <c r="A25" s="254"/>
      <c r="B25" s="256"/>
      <c r="C25" s="258"/>
      <c r="D25" s="28" t="s">
        <v>31</v>
      </c>
      <c r="E25" s="28" t="s">
        <v>34</v>
      </c>
      <c r="F25" s="220" t="s">
        <v>147</v>
      </c>
      <c r="G25" s="28" t="s">
        <v>71</v>
      </c>
      <c r="H25" s="263"/>
      <c r="I25" s="250"/>
      <c r="J25" s="251" t="s">
        <v>370</v>
      </c>
      <c r="K25" s="195"/>
    </row>
    <row r="26" spans="1:15">
      <c r="A26" s="30"/>
      <c r="B26" s="31" t="s">
        <v>72</v>
      </c>
      <c r="C26" s="32"/>
      <c r="D26" s="32"/>
      <c r="E26" s="32"/>
      <c r="F26" s="32"/>
      <c r="G26" s="32"/>
      <c r="H26" s="32"/>
      <c r="I26" s="33"/>
      <c r="J26" s="252"/>
      <c r="K26" s="195"/>
    </row>
    <row r="27" spans="1:15">
      <c r="A27" s="158" t="s">
        <v>85</v>
      </c>
      <c r="B27" s="163" t="s">
        <v>60</v>
      </c>
      <c r="C27" s="39">
        <f>C6</f>
        <v>27200</v>
      </c>
      <c r="D27" s="38"/>
      <c r="E27" s="39">
        <v>970765</v>
      </c>
      <c r="F27" s="39"/>
      <c r="G27" s="39"/>
      <c r="H27" s="64">
        <v>0</v>
      </c>
      <c r="I27" s="39">
        <v>980165</v>
      </c>
      <c r="J27" s="37">
        <f t="shared" ref="J27:J28" si="12">+SUM(C27:G27)-(H27+I27)</f>
        <v>17800</v>
      </c>
      <c r="K27" s="196" t="b">
        <f>J27=I6</f>
        <v>1</v>
      </c>
    </row>
    <row r="28" spans="1:15">
      <c r="A28" s="158" t="s">
        <v>85</v>
      </c>
      <c r="B28" s="163" t="s">
        <v>40</v>
      </c>
      <c r="C28" s="39">
        <f t="shared" ref="C28:C36" si="13">C7</f>
        <v>2995</v>
      </c>
      <c r="D28" s="38"/>
      <c r="E28" s="39">
        <v>58000</v>
      </c>
      <c r="F28" s="39"/>
      <c r="G28" s="39"/>
      <c r="H28" s="39">
        <v>0</v>
      </c>
      <c r="I28" s="39">
        <v>59500</v>
      </c>
      <c r="J28" s="116">
        <f t="shared" si="12"/>
        <v>1495</v>
      </c>
      <c r="K28" s="196" t="b">
        <f>J28=I7</f>
        <v>1</v>
      </c>
    </row>
    <row r="29" spans="1:15">
      <c r="A29" s="158" t="s">
        <v>85</v>
      </c>
      <c r="B29" s="164" t="s">
        <v>39</v>
      </c>
      <c r="C29" s="39">
        <f t="shared" si="13"/>
        <v>-500</v>
      </c>
      <c r="D29" s="155"/>
      <c r="E29" s="60">
        <v>557150</v>
      </c>
      <c r="F29" s="60"/>
      <c r="G29" s="60"/>
      <c r="H29" s="60">
        <v>0</v>
      </c>
      <c r="I29" s="60">
        <v>556650</v>
      </c>
      <c r="J29" s="160">
        <f>+SUM(C29:G29)-(H29+I29)</f>
        <v>0</v>
      </c>
      <c r="K29" s="196" t="b">
        <f>J29=I8</f>
        <v>1</v>
      </c>
    </row>
    <row r="30" spans="1:15">
      <c r="A30" s="158" t="s">
        <v>85</v>
      </c>
      <c r="B30" s="165" t="s">
        <v>98</v>
      </c>
      <c r="C30" s="156">
        <f t="shared" si="13"/>
        <v>233614</v>
      </c>
      <c r="D30" s="159"/>
      <c r="E30" s="175"/>
      <c r="F30" s="175"/>
      <c r="G30" s="175"/>
      <c r="H30" s="175">
        <v>0</v>
      </c>
      <c r="I30" s="175">
        <v>0</v>
      </c>
      <c r="J30" s="157">
        <f>+SUM(C30:G30)-(H30+I30)</f>
        <v>233614</v>
      </c>
      <c r="K30" s="196" t="b">
        <f>J30=I9</f>
        <v>1</v>
      </c>
    </row>
    <row r="31" spans="1:15">
      <c r="A31" s="158" t="s">
        <v>85</v>
      </c>
      <c r="B31" s="165" t="s">
        <v>97</v>
      </c>
      <c r="C31" s="156">
        <f t="shared" si="13"/>
        <v>249769</v>
      </c>
      <c r="D31" s="159"/>
      <c r="E31" s="175"/>
      <c r="F31" s="175"/>
      <c r="G31" s="175"/>
      <c r="H31" s="175">
        <v>0</v>
      </c>
      <c r="I31" s="175">
        <v>0</v>
      </c>
      <c r="J31" s="157">
        <f t="shared" ref="J31:J36" si="14">+SUM(C31:G31)-(H31+I31)</f>
        <v>249769</v>
      </c>
      <c r="K31" s="196" t="b">
        <f>J31=I10</f>
        <v>1</v>
      </c>
    </row>
    <row r="32" spans="1:15">
      <c r="A32" s="158" t="s">
        <v>85</v>
      </c>
      <c r="B32" s="163" t="s">
        <v>46</v>
      </c>
      <c r="C32" s="39">
        <f t="shared" si="13"/>
        <v>105075</v>
      </c>
      <c r="D32" s="38"/>
      <c r="E32" s="39">
        <v>941000</v>
      </c>
      <c r="F32" s="39"/>
      <c r="G32" s="120"/>
      <c r="H32" s="120">
        <v>0</v>
      </c>
      <c r="I32" s="39">
        <v>1084725</v>
      </c>
      <c r="J32" s="37">
        <f t="shared" si="14"/>
        <v>-38650</v>
      </c>
      <c r="K32" s="196" t="b">
        <f>J32=I11</f>
        <v>1</v>
      </c>
    </row>
    <row r="33" spans="1:15">
      <c r="A33" s="158" t="s">
        <v>85</v>
      </c>
      <c r="B33" s="163" t="s">
        <v>108</v>
      </c>
      <c r="C33" s="39">
        <f t="shared" si="13"/>
        <v>17000</v>
      </c>
      <c r="D33" s="38"/>
      <c r="E33" s="39">
        <v>52000</v>
      </c>
      <c r="F33" s="120"/>
      <c r="G33" s="120"/>
      <c r="H33" s="120">
        <v>0</v>
      </c>
      <c r="I33" s="39">
        <v>67000</v>
      </c>
      <c r="J33" s="37">
        <f t="shared" si="14"/>
        <v>2000</v>
      </c>
      <c r="K33" s="196" t="b">
        <f>J33=I12</f>
        <v>1</v>
      </c>
    </row>
    <row r="34" spans="1:15">
      <c r="A34" s="158" t="s">
        <v>85</v>
      </c>
      <c r="B34" s="163" t="s">
        <v>38</v>
      </c>
      <c r="C34" s="39">
        <f t="shared" si="13"/>
        <v>131100</v>
      </c>
      <c r="D34" s="38"/>
      <c r="E34" s="39">
        <v>515000</v>
      </c>
      <c r="F34" s="120"/>
      <c r="G34" s="120"/>
      <c r="H34" s="120">
        <v>0</v>
      </c>
      <c r="I34" s="39">
        <v>655500</v>
      </c>
      <c r="J34" s="37">
        <f t="shared" si="14"/>
        <v>-9400</v>
      </c>
      <c r="K34" s="196" t="b">
        <f>J34=I13</f>
        <v>1</v>
      </c>
    </row>
    <row r="35" spans="1:15">
      <c r="A35" s="158" t="s">
        <v>85</v>
      </c>
      <c r="B35" s="163" t="s">
        <v>41</v>
      </c>
      <c r="C35" s="39">
        <f t="shared" si="13"/>
        <v>5800</v>
      </c>
      <c r="D35" s="38"/>
      <c r="E35" s="39">
        <v>10000</v>
      </c>
      <c r="F35" s="120"/>
      <c r="G35" s="120"/>
      <c r="H35" s="39">
        <v>500</v>
      </c>
      <c r="I35" s="39">
        <v>15300</v>
      </c>
      <c r="J35" s="37">
        <f t="shared" si="14"/>
        <v>0</v>
      </c>
      <c r="K35" s="196" t="b">
        <f>J35=I14</f>
        <v>1</v>
      </c>
    </row>
    <row r="36" spans="1:15">
      <c r="A36" s="158" t="s">
        <v>85</v>
      </c>
      <c r="B36" s="164" t="s">
        <v>129</v>
      </c>
      <c r="C36" s="39">
        <f t="shared" si="13"/>
        <v>2893</v>
      </c>
      <c r="D36" s="155"/>
      <c r="E36" s="60">
        <v>20000</v>
      </c>
      <c r="F36" s="60"/>
      <c r="G36" s="176"/>
      <c r="H36" s="60">
        <v>0</v>
      </c>
      <c r="I36" s="60">
        <v>28000</v>
      </c>
      <c r="J36" s="37">
        <f t="shared" si="14"/>
        <v>-5107</v>
      </c>
      <c r="K36" s="196" t="b">
        <f>J36=I15</f>
        <v>1</v>
      </c>
    </row>
    <row r="37" spans="1:15">
      <c r="A37" s="41" t="s">
        <v>73</v>
      </c>
      <c r="B37" s="42"/>
      <c r="C37" s="42"/>
      <c r="D37" s="42"/>
      <c r="E37" s="42"/>
      <c r="F37" s="42"/>
      <c r="G37" s="42"/>
      <c r="H37" s="42"/>
      <c r="I37" s="42"/>
      <c r="J37" s="43"/>
      <c r="K37" s="195"/>
    </row>
    <row r="38" spans="1:15">
      <c r="A38" s="158" t="s">
        <v>85</v>
      </c>
      <c r="B38" s="44" t="s">
        <v>74</v>
      </c>
      <c r="C38" s="45">
        <f>C5</f>
        <v>821749</v>
      </c>
      <c r="D38" s="58">
        <v>6000500</v>
      </c>
      <c r="E38" s="119"/>
      <c r="F38" s="58"/>
      <c r="G38" s="177"/>
      <c r="H38" s="60">
        <v>3123915</v>
      </c>
      <c r="I38" s="162">
        <v>3367697</v>
      </c>
      <c r="J38" s="52">
        <f>+SUM(C38:G38)-(H38+I38)</f>
        <v>330637</v>
      </c>
      <c r="K38" s="196" t="b">
        <f>J38=I5</f>
        <v>1</v>
      </c>
    </row>
    <row r="39" spans="1:15">
      <c r="A39" s="50" t="s">
        <v>75</v>
      </c>
      <c r="B39" s="31"/>
      <c r="C39" s="42"/>
      <c r="D39" s="31"/>
      <c r="E39" s="31"/>
      <c r="F39" s="31"/>
      <c r="G39" s="31"/>
      <c r="H39" s="31"/>
      <c r="I39" s="31"/>
      <c r="J39" s="43"/>
      <c r="K39" s="195"/>
    </row>
    <row r="40" spans="1:15">
      <c r="A40" s="158" t="s">
        <v>85</v>
      </c>
      <c r="B40" s="44" t="s">
        <v>76</v>
      </c>
      <c r="C40" s="161">
        <f>C3</f>
        <v>8216265</v>
      </c>
      <c r="D40" s="168"/>
      <c r="E40" s="58"/>
      <c r="F40" s="58"/>
      <c r="G40" s="58"/>
      <c r="H40" s="60">
        <v>2000000</v>
      </c>
      <c r="I40" s="62">
        <v>271244</v>
      </c>
      <c r="J40" s="52">
        <f>+SUM(C40:G40)-(H40+I40)</f>
        <v>5945021</v>
      </c>
      <c r="K40" s="196" t="b">
        <f>+J40=I3</f>
        <v>1</v>
      </c>
    </row>
    <row r="41" spans="1:15">
      <c r="A41" s="158" t="s">
        <v>85</v>
      </c>
      <c r="B41" s="44" t="s">
        <v>77</v>
      </c>
      <c r="C41" s="161">
        <f>C4</f>
        <v>8214324</v>
      </c>
      <c r="D41" s="58">
        <v>31201251</v>
      </c>
      <c r="E41" s="57"/>
      <c r="F41" s="57"/>
      <c r="G41" s="57"/>
      <c r="H41" s="39">
        <v>4000000</v>
      </c>
      <c r="I41" s="59">
        <v>6204544</v>
      </c>
      <c r="J41" s="52">
        <f>SUM(C41:G41)-(H41+I41)</f>
        <v>29211031</v>
      </c>
      <c r="K41" s="196" t="b">
        <f>+J41=I4</f>
        <v>1</v>
      </c>
    </row>
    <row r="42" spans="1:15" ht="15.75">
      <c r="C42" s="182">
        <f>SUM(C27:C41)</f>
        <v>18027284</v>
      </c>
      <c r="I42" s="179">
        <f>SUM(I27:I41)</f>
        <v>13290325</v>
      </c>
      <c r="J42" s="121">
        <f>+SUM(J27:J41)</f>
        <v>35938210</v>
      </c>
      <c r="K42" s="11" t="b">
        <f>J42=I16</f>
        <v>1</v>
      </c>
    </row>
    <row r="43" spans="1:15" s="221" customFormat="1" ht="16.5">
      <c r="A43" s="20"/>
      <c r="B43" s="225"/>
      <c r="C43" s="224"/>
      <c r="D43" s="224"/>
      <c r="E43" s="223"/>
      <c r="F43" s="224"/>
      <c r="G43" s="224">
        <f>+D19-J42</f>
        <v>0</v>
      </c>
      <c r="H43" s="224"/>
      <c r="I43" s="224"/>
      <c r="L43" s="222"/>
      <c r="M43" s="222"/>
      <c r="N43" s="222"/>
      <c r="O43" s="222"/>
    </row>
    <row r="44" spans="1:15" ht="16.5">
      <c r="A44" s="20"/>
      <c r="B44" s="21"/>
      <c r="C44" s="18"/>
      <c r="D44" s="18"/>
      <c r="E44" s="19"/>
      <c r="F44" s="18"/>
      <c r="G44" s="18"/>
      <c r="H44" s="18"/>
      <c r="I44" s="18"/>
    </row>
    <row r="45" spans="1:15">
      <c r="A45" s="22" t="s">
        <v>65</v>
      </c>
      <c r="B45" s="22"/>
      <c r="C45" s="22"/>
      <c r="D45" s="23"/>
      <c r="E45" s="23"/>
      <c r="F45" s="23"/>
      <c r="G45" s="23"/>
      <c r="H45" s="23"/>
      <c r="I45" s="23"/>
    </row>
    <row r="46" spans="1:15">
      <c r="A46" s="24" t="s">
        <v>173</v>
      </c>
      <c r="B46" s="24"/>
      <c r="C46" s="24"/>
      <c r="D46" s="24"/>
      <c r="E46" s="24"/>
      <c r="F46" s="24"/>
      <c r="G46" s="24"/>
      <c r="H46" s="24"/>
      <c r="I46" s="24"/>
      <c r="J46" s="23"/>
    </row>
    <row r="47" spans="1:15">
      <c r="A47" s="25"/>
      <c r="B47" s="26"/>
      <c r="C47" s="27"/>
      <c r="D47" s="27"/>
      <c r="E47" s="27"/>
      <c r="F47" s="27"/>
      <c r="G47" s="27"/>
      <c r="H47" s="26"/>
      <c r="I47" s="26"/>
      <c r="J47" s="24"/>
    </row>
    <row r="48" spans="1:15">
      <c r="A48" s="253" t="s">
        <v>66</v>
      </c>
      <c r="B48" s="255" t="s">
        <v>67</v>
      </c>
      <c r="C48" s="257" t="s">
        <v>175</v>
      </c>
      <c r="D48" s="259" t="s">
        <v>68</v>
      </c>
      <c r="E48" s="260"/>
      <c r="F48" s="260"/>
      <c r="G48" s="261"/>
      <c r="H48" s="262" t="s">
        <v>69</v>
      </c>
      <c r="I48" s="249" t="s">
        <v>70</v>
      </c>
      <c r="J48" s="26"/>
    </row>
    <row r="49" spans="1:11">
      <c r="A49" s="254"/>
      <c r="B49" s="256"/>
      <c r="C49" s="258"/>
      <c r="D49" s="28" t="s">
        <v>31</v>
      </c>
      <c r="E49" s="28" t="s">
        <v>34</v>
      </c>
      <c r="F49" s="215" t="s">
        <v>147</v>
      </c>
      <c r="G49" s="28" t="s">
        <v>71</v>
      </c>
      <c r="H49" s="263"/>
      <c r="I49" s="250"/>
      <c r="J49" s="251" t="s">
        <v>174</v>
      </c>
      <c r="K49" s="195"/>
    </row>
    <row r="50" spans="1:11">
      <c r="A50" s="30"/>
      <c r="B50" s="31" t="s">
        <v>72</v>
      </c>
      <c r="C50" s="32"/>
      <c r="D50" s="32"/>
      <c r="E50" s="32"/>
      <c r="F50" s="32"/>
      <c r="G50" s="32"/>
      <c r="H50" s="32"/>
      <c r="I50" s="33"/>
      <c r="J50" s="252"/>
      <c r="K50" s="195"/>
    </row>
    <row r="51" spans="1:11">
      <c r="A51" s="158" t="s">
        <v>176</v>
      </c>
      <c r="B51" s="163" t="s">
        <v>90</v>
      </c>
      <c r="C51" s="39" t="e">
        <f>+#REF!</f>
        <v>#REF!</v>
      </c>
      <c r="D51" s="38"/>
      <c r="E51" s="39">
        <v>114000</v>
      </c>
      <c r="F51" s="39"/>
      <c r="G51" s="39"/>
      <c r="H51" s="64">
        <v>11050</v>
      </c>
      <c r="I51" s="39">
        <v>112000</v>
      </c>
      <c r="J51" s="37" t="e">
        <f>+SUM(C51:G51)-(H51+I51)</f>
        <v>#REF!</v>
      </c>
      <c r="K51" s="196" t="e">
        <f>J51=#REF!</f>
        <v>#REF!</v>
      </c>
    </row>
    <row r="52" spans="1:11">
      <c r="A52" s="158" t="s">
        <v>176</v>
      </c>
      <c r="B52" s="163" t="s">
        <v>60</v>
      </c>
      <c r="C52" s="39">
        <f t="shared" ref="C52:C62" si="15">+C29</f>
        <v>-500</v>
      </c>
      <c r="D52" s="38"/>
      <c r="E52" s="39">
        <v>87350</v>
      </c>
      <c r="F52" s="39">
        <f>60000+62000</f>
        <v>122000</v>
      </c>
      <c r="G52" s="39"/>
      <c r="H52" s="64">
        <v>161395</v>
      </c>
      <c r="I52" s="39">
        <v>281200</v>
      </c>
      <c r="J52" s="37">
        <f t="shared" ref="J52:J53" si="16">+SUM(C52:G52)-(H52+I52)</f>
        <v>-233745</v>
      </c>
      <c r="K52" s="196" t="b">
        <f t="shared" ref="K52:K62" si="17">J52=I29</f>
        <v>0</v>
      </c>
    </row>
    <row r="53" spans="1:11">
      <c r="A53" s="158" t="s">
        <v>176</v>
      </c>
      <c r="B53" s="163" t="s">
        <v>40</v>
      </c>
      <c r="C53" s="39">
        <f t="shared" si="15"/>
        <v>233614</v>
      </c>
      <c r="D53" s="38"/>
      <c r="E53" s="39">
        <v>371500</v>
      </c>
      <c r="F53" s="39"/>
      <c r="G53" s="39"/>
      <c r="H53" s="39">
        <f>62000+81500+137000</f>
        <v>280500</v>
      </c>
      <c r="I53" s="39">
        <v>177000</v>
      </c>
      <c r="J53" s="116">
        <f t="shared" si="16"/>
        <v>147614</v>
      </c>
      <c r="K53" s="196" t="b">
        <f t="shared" si="17"/>
        <v>0</v>
      </c>
    </row>
    <row r="54" spans="1:11">
      <c r="A54" s="158" t="s">
        <v>176</v>
      </c>
      <c r="B54" s="163" t="s">
        <v>91</v>
      </c>
      <c r="C54" s="39">
        <f t="shared" si="15"/>
        <v>249769</v>
      </c>
      <c r="D54" s="120"/>
      <c r="E54" s="39">
        <v>35560</v>
      </c>
      <c r="F54" s="39">
        <f>10000+81500</f>
        <v>91500</v>
      </c>
      <c r="G54" s="39"/>
      <c r="H54" s="39">
        <v>35000</v>
      </c>
      <c r="I54" s="39">
        <v>159750</v>
      </c>
      <c r="J54" s="116">
        <f>+SUM(C54:G54)-(H54+I54)</f>
        <v>182079</v>
      </c>
      <c r="K54" s="196" t="b">
        <f t="shared" si="17"/>
        <v>0</v>
      </c>
    </row>
    <row r="55" spans="1:11">
      <c r="A55" s="158" t="s">
        <v>176</v>
      </c>
      <c r="B55" s="164" t="s">
        <v>39</v>
      </c>
      <c r="C55" s="39">
        <f t="shared" si="15"/>
        <v>105075</v>
      </c>
      <c r="D55" s="155"/>
      <c r="E55" s="60">
        <v>372085</v>
      </c>
      <c r="F55" s="60"/>
      <c r="G55" s="60"/>
      <c r="H55" s="60"/>
      <c r="I55" s="60">
        <v>336400</v>
      </c>
      <c r="J55" s="160">
        <f>+SUM(C55:G55)-(H55+I55)</f>
        <v>140760</v>
      </c>
      <c r="K55" s="196" t="b">
        <f t="shared" si="17"/>
        <v>0</v>
      </c>
    </row>
    <row r="56" spans="1:11">
      <c r="A56" s="158" t="s">
        <v>176</v>
      </c>
      <c r="B56" s="165" t="s">
        <v>98</v>
      </c>
      <c r="C56" s="156">
        <f t="shared" si="15"/>
        <v>17000</v>
      </c>
      <c r="D56" s="159"/>
      <c r="E56" s="175"/>
      <c r="F56" s="175"/>
      <c r="G56" s="175"/>
      <c r="H56" s="175"/>
      <c r="I56" s="175"/>
      <c r="J56" s="157">
        <f>+SUM(C56:G56)-(H56+I56)</f>
        <v>17000</v>
      </c>
      <c r="K56" s="196" t="b">
        <f t="shared" si="17"/>
        <v>0</v>
      </c>
    </row>
    <row r="57" spans="1:11">
      <c r="A57" s="158" t="s">
        <v>176</v>
      </c>
      <c r="B57" s="165" t="s">
        <v>97</v>
      </c>
      <c r="C57" s="156">
        <f t="shared" si="15"/>
        <v>131100</v>
      </c>
      <c r="D57" s="159"/>
      <c r="E57" s="175"/>
      <c r="F57" s="175"/>
      <c r="G57" s="175"/>
      <c r="H57" s="175"/>
      <c r="I57" s="175"/>
      <c r="J57" s="157">
        <f t="shared" ref="J57:J62" si="18">+SUM(C57:G57)-(H57+I57)</f>
        <v>131100</v>
      </c>
      <c r="K57" s="196" t="b">
        <f t="shared" si="17"/>
        <v>0</v>
      </c>
    </row>
    <row r="58" spans="1:11">
      <c r="A58" s="158" t="s">
        <v>176</v>
      </c>
      <c r="B58" s="163" t="s">
        <v>46</v>
      </c>
      <c r="C58" s="39">
        <f t="shared" si="15"/>
        <v>5800</v>
      </c>
      <c r="D58" s="38"/>
      <c r="E58" s="39">
        <v>400000</v>
      </c>
      <c r="F58" s="39">
        <v>137000</v>
      </c>
      <c r="G58" s="120"/>
      <c r="H58" s="120"/>
      <c r="I58" s="39">
        <v>563500</v>
      </c>
      <c r="J58" s="37">
        <f t="shared" si="18"/>
        <v>-20700</v>
      </c>
      <c r="K58" s="196" t="b">
        <f t="shared" si="17"/>
        <v>0</v>
      </c>
    </row>
    <row r="59" spans="1:11">
      <c r="A59" s="158" t="s">
        <v>176</v>
      </c>
      <c r="B59" s="163" t="s">
        <v>108</v>
      </c>
      <c r="C59" s="39">
        <f t="shared" si="15"/>
        <v>2893</v>
      </c>
      <c r="D59" s="38"/>
      <c r="E59" s="39">
        <v>35000</v>
      </c>
      <c r="F59" s="120"/>
      <c r="G59" s="120"/>
      <c r="H59" s="120"/>
      <c r="I59" s="39">
        <v>23500</v>
      </c>
      <c r="J59" s="37">
        <f t="shared" si="18"/>
        <v>14393</v>
      </c>
      <c r="K59" s="196" t="b">
        <f t="shared" si="17"/>
        <v>0</v>
      </c>
    </row>
    <row r="60" spans="1:11">
      <c r="A60" s="158" t="s">
        <v>176</v>
      </c>
      <c r="B60" s="163" t="s">
        <v>38</v>
      </c>
      <c r="C60" s="39">
        <f t="shared" si="15"/>
        <v>0</v>
      </c>
      <c r="D60" s="38"/>
      <c r="E60" s="39">
        <v>454000</v>
      </c>
      <c r="F60" s="120"/>
      <c r="G60" s="120"/>
      <c r="H60" s="120"/>
      <c r="I60" s="39">
        <v>329100</v>
      </c>
      <c r="J60" s="37">
        <f t="shared" si="18"/>
        <v>124900</v>
      </c>
      <c r="K60" s="196" t="b">
        <f t="shared" si="17"/>
        <v>0</v>
      </c>
    </row>
    <row r="61" spans="1:11">
      <c r="A61" s="158" t="s">
        <v>176</v>
      </c>
      <c r="B61" s="163" t="s">
        <v>41</v>
      </c>
      <c r="C61" s="39">
        <f t="shared" si="15"/>
        <v>821749</v>
      </c>
      <c r="D61" s="38"/>
      <c r="E61" s="39"/>
      <c r="F61" s="120"/>
      <c r="G61" s="120"/>
      <c r="H61" s="39">
        <v>20000</v>
      </c>
      <c r="I61" s="39">
        <v>5000</v>
      </c>
      <c r="J61" s="37">
        <f t="shared" si="18"/>
        <v>796749</v>
      </c>
      <c r="K61" s="196" t="b">
        <f t="shared" si="17"/>
        <v>0</v>
      </c>
    </row>
    <row r="62" spans="1:11">
      <c r="A62" s="158" t="s">
        <v>176</v>
      </c>
      <c r="B62" s="164" t="s">
        <v>129</v>
      </c>
      <c r="C62" s="39">
        <f t="shared" si="15"/>
        <v>0</v>
      </c>
      <c r="D62" s="155"/>
      <c r="E62" s="60">
        <v>231000</v>
      </c>
      <c r="F62" s="60"/>
      <c r="G62" s="176"/>
      <c r="H62" s="60">
        <v>90000</v>
      </c>
      <c r="I62" s="60">
        <v>180000</v>
      </c>
      <c r="J62" s="37">
        <f t="shared" si="18"/>
        <v>-39000</v>
      </c>
      <c r="K62" s="196" t="b">
        <f t="shared" si="17"/>
        <v>0</v>
      </c>
    </row>
    <row r="63" spans="1:11">
      <c r="A63" s="41" t="s">
        <v>73</v>
      </c>
      <c r="B63" s="42"/>
      <c r="C63" s="42"/>
      <c r="D63" s="42"/>
      <c r="E63" s="42"/>
      <c r="F63" s="42"/>
      <c r="G63" s="42"/>
      <c r="H63" s="42"/>
      <c r="I63" s="42"/>
      <c r="J63" s="43"/>
      <c r="K63" s="195"/>
    </row>
    <row r="64" spans="1:11">
      <c r="A64" s="158" t="s">
        <v>176</v>
      </c>
      <c r="B64" s="44" t="s">
        <v>74</v>
      </c>
      <c r="C64" s="45">
        <f>+C28</f>
        <v>2995</v>
      </c>
      <c r="D64" s="58">
        <v>5000000</v>
      </c>
      <c r="E64" s="119"/>
      <c r="F64" s="58">
        <v>217445</v>
      </c>
      <c r="G64" s="177"/>
      <c r="H64" s="167">
        <v>2070495</v>
      </c>
      <c r="I64" s="162">
        <v>3286349</v>
      </c>
      <c r="J64" s="52">
        <f>+SUM(C64:G64)-(H64+I64)</f>
        <v>-136404</v>
      </c>
      <c r="K64" s="196" t="b">
        <f>J64=I28</f>
        <v>0</v>
      </c>
    </row>
    <row r="65" spans="1:11">
      <c r="A65" s="50" t="s">
        <v>75</v>
      </c>
      <c r="B65" s="31"/>
      <c r="C65" s="42"/>
      <c r="D65" s="31"/>
      <c r="E65" s="31"/>
      <c r="F65" s="31"/>
      <c r="G65" s="31"/>
      <c r="H65" s="31"/>
      <c r="I65" s="31"/>
      <c r="J65" s="43"/>
      <c r="K65" s="195"/>
    </row>
    <row r="66" spans="1:11">
      <c r="A66" s="158" t="s">
        <v>176</v>
      </c>
      <c r="B66" s="44" t="s">
        <v>76</v>
      </c>
      <c r="C66" s="161" t="e">
        <f>+#REF!</f>
        <v>#REF!</v>
      </c>
      <c r="D66" s="168">
        <v>7900099</v>
      </c>
      <c r="E66" s="58"/>
      <c r="F66" s="58"/>
      <c r="G66" s="58"/>
      <c r="H66" s="60">
        <v>3000000</v>
      </c>
      <c r="I66" s="62">
        <v>379529</v>
      </c>
      <c r="J66" s="52" t="e">
        <f>+SUM(C66:G66)-(H66+I66)</f>
        <v>#REF!</v>
      </c>
      <c r="K66" s="196" t="e">
        <f>+J66=#REF!</f>
        <v>#REF!</v>
      </c>
    </row>
    <row r="67" spans="1:11">
      <c r="A67" s="158" t="s">
        <v>176</v>
      </c>
      <c r="B67" s="44" t="s">
        <v>77</v>
      </c>
      <c r="C67" s="161">
        <f>+C27</f>
        <v>27200</v>
      </c>
      <c r="D67" s="58"/>
      <c r="E67" s="57"/>
      <c r="F67" s="57"/>
      <c r="G67" s="57"/>
      <c r="H67" s="39">
        <v>2000000</v>
      </c>
      <c r="I67" s="59">
        <v>5392233</v>
      </c>
      <c r="J67" s="52">
        <f>SUM(C67:G67)-(H67+I67)</f>
        <v>-7365033</v>
      </c>
      <c r="K67" s="196" t="b">
        <f>+J67=I27</f>
        <v>0</v>
      </c>
    </row>
    <row r="68" spans="1:11" ht="15.75">
      <c r="C68" s="182" t="e">
        <f>SUM(C51:C67)</f>
        <v>#REF!</v>
      </c>
      <c r="I68" s="179">
        <f>SUM(I51:I67)</f>
        <v>11225561</v>
      </c>
      <c r="J68" s="121" t="e">
        <f>+SUM(J51:J67)</f>
        <v>#REF!</v>
      </c>
      <c r="K68" s="11" t="e">
        <f>J68=I40</f>
        <v>#REF!</v>
      </c>
    </row>
    <row r="69" spans="1:11" ht="16.5">
      <c r="A69" s="20"/>
      <c r="B69" s="21"/>
      <c r="C69" s="18"/>
      <c r="D69" s="18"/>
      <c r="E69" s="19"/>
      <c r="F69" s="18"/>
      <c r="G69" s="18"/>
      <c r="H69" s="18"/>
      <c r="I69" s="18"/>
    </row>
    <row r="70" spans="1:11">
      <c r="A70" s="22" t="s">
        <v>65</v>
      </c>
      <c r="B70" s="22"/>
      <c r="C70" s="22"/>
      <c r="D70" s="23"/>
      <c r="E70" s="23"/>
      <c r="F70" s="23"/>
      <c r="G70" s="23"/>
      <c r="H70" s="23"/>
      <c r="I70" s="23"/>
    </row>
    <row r="71" spans="1:11">
      <c r="A71" s="24" t="s">
        <v>157</v>
      </c>
      <c r="B71" s="24"/>
      <c r="C71" s="24"/>
      <c r="D71" s="24"/>
      <c r="E71" s="24"/>
      <c r="F71" s="24"/>
      <c r="G71" s="24"/>
      <c r="H71" s="24"/>
      <c r="I71" s="24"/>
      <c r="J71" s="23"/>
    </row>
    <row r="72" spans="1:11">
      <c r="A72" s="25"/>
      <c r="B72" s="26"/>
      <c r="C72" s="27"/>
      <c r="D72" s="27"/>
      <c r="E72" s="27"/>
      <c r="F72" s="27"/>
      <c r="G72" s="27"/>
      <c r="H72" s="26"/>
      <c r="I72" s="26"/>
      <c r="J72" s="24"/>
    </row>
    <row r="73" spans="1:11">
      <c r="A73" s="253" t="s">
        <v>66</v>
      </c>
      <c r="B73" s="255" t="s">
        <v>67</v>
      </c>
      <c r="C73" s="257" t="s">
        <v>158</v>
      </c>
      <c r="D73" s="259" t="s">
        <v>68</v>
      </c>
      <c r="E73" s="260"/>
      <c r="F73" s="260"/>
      <c r="G73" s="261"/>
      <c r="H73" s="262" t="s">
        <v>69</v>
      </c>
      <c r="I73" s="249" t="s">
        <v>70</v>
      </c>
      <c r="J73" s="26"/>
    </row>
    <row r="74" spans="1:11">
      <c r="A74" s="254"/>
      <c r="B74" s="256"/>
      <c r="C74" s="258"/>
      <c r="D74" s="28" t="s">
        <v>31</v>
      </c>
      <c r="E74" s="28" t="s">
        <v>34</v>
      </c>
      <c r="F74" s="211" t="s">
        <v>147</v>
      </c>
      <c r="G74" s="28" t="s">
        <v>71</v>
      </c>
      <c r="H74" s="263"/>
      <c r="I74" s="250"/>
      <c r="J74" s="251" t="s">
        <v>159</v>
      </c>
      <c r="K74" s="195"/>
    </row>
    <row r="75" spans="1:11">
      <c r="A75" s="30"/>
      <c r="B75" s="31" t="s">
        <v>72</v>
      </c>
      <c r="C75" s="32"/>
      <c r="D75" s="32"/>
      <c r="E75" s="32"/>
      <c r="F75" s="32"/>
      <c r="G75" s="32"/>
      <c r="H75" s="32"/>
      <c r="I75" s="33"/>
      <c r="J75" s="252"/>
      <c r="K75" s="195"/>
    </row>
    <row r="76" spans="1:11">
      <c r="A76" s="158" t="s">
        <v>160</v>
      </c>
      <c r="B76" s="163" t="s">
        <v>90</v>
      </c>
      <c r="C76" s="39">
        <v>40050</v>
      </c>
      <c r="D76" s="38"/>
      <c r="E76" s="39">
        <v>104000</v>
      </c>
      <c r="F76" s="39"/>
      <c r="G76" s="39"/>
      <c r="H76" s="64">
        <v>54000</v>
      </c>
      <c r="I76" s="39">
        <v>81000</v>
      </c>
      <c r="J76" s="37">
        <f>+SUM(C76:G76)-(H76+I76)</f>
        <v>9050</v>
      </c>
      <c r="K76" s="196" t="e">
        <f>J76=#REF!</f>
        <v>#REF!</v>
      </c>
    </row>
    <row r="77" spans="1:11">
      <c r="A77" s="158" t="s">
        <v>160</v>
      </c>
      <c r="B77" s="163" t="s">
        <v>60</v>
      </c>
      <c r="C77" s="39">
        <v>38845</v>
      </c>
      <c r="D77" s="38"/>
      <c r="E77" s="39">
        <v>1550000</v>
      </c>
      <c r="F77" s="39"/>
      <c r="G77" s="39"/>
      <c r="H77" s="64">
        <v>311000</v>
      </c>
      <c r="I77" s="39">
        <v>1017400</v>
      </c>
      <c r="J77" s="37">
        <f t="shared" ref="J77:J78" si="19">+SUM(C77:G77)-(H77+I77)</f>
        <v>260445</v>
      </c>
      <c r="K77" s="196" t="b">
        <f>J77=I29</f>
        <v>0</v>
      </c>
    </row>
    <row r="78" spans="1:11">
      <c r="A78" s="158" t="s">
        <v>160</v>
      </c>
      <c r="B78" s="163" t="s">
        <v>40</v>
      </c>
      <c r="C78" s="39">
        <v>6895</v>
      </c>
      <c r="D78" s="38"/>
      <c r="E78" s="39">
        <v>581000</v>
      </c>
      <c r="F78" s="39"/>
      <c r="G78" s="39"/>
      <c r="H78" s="39"/>
      <c r="I78" s="39">
        <v>498900</v>
      </c>
      <c r="J78" s="116">
        <f t="shared" si="19"/>
        <v>88995</v>
      </c>
      <c r="K78" s="196" t="b">
        <f>J78=I30</f>
        <v>0</v>
      </c>
    </row>
    <row r="79" spans="1:11">
      <c r="A79" s="158" t="s">
        <v>160</v>
      </c>
      <c r="B79" s="163" t="s">
        <v>91</v>
      </c>
      <c r="C79" s="39">
        <v>28540</v>
      </c>
      <c r="D79" s="120"/>
      <c r="E79" s="39">
        <v>332000</v>
      </c>
      <c r="F79" s="39">
        <v>10000</v>
      </c>
      <c r="G79" s="39"/>
      <c r="H79" s="39"/>
      <c r="I79" s="39">
        <v>302850</v>
      </c>
      <c r="J79" s="116">
        <f>+SUM(C79:G79)-(H79+I79)</f>
        <v>67690</v>
      </c>
      <c r="K79" s="196" t="b">
        <f>J79=I31</f>
        <v>0</v>
      </c>
    </row>
    <row r="80" spans="1:11">
      <c r="A80" s="158" t="s">
        <v>160</v>
      </c>
      <c r="B80" s="163" t="s">
        <v>82</v>
      </c>
      <c r="C80" s="39">
        <v>184</v>
      </c>
      <c r="D80" s="120"/>
      <c r="E80" s="39"/>
      <c r="F80" s="39"/>
      <c r="G80" s="39"/>
      <c r="H80" s="39">
        <v>184</v>
      </c>
      <c r="I80" s="39"/>
      <c r="J80" s="116">
        <f t="shared" ref="J80" si="20">+SUM(C80:G80)-(H80+I80)</f>
        <v>0</v>
      </c>
      <c r="K80" s="196" t="e">
        <f>J80=#REF!</f>
        <v>#REF!</v>
      </c>
    </row>
    <row r="81" spans="1:11">
      <c r="A81" s="158" t="s">
        <v>160</v>
      </c>
      <c r="B81" s="164" t="s">
        <v>39</v>
      </c>
      <c r="C81" s="39">
        <v>68200</v>
      </c>
      <c r="D81" s="155"/>
      <c r="E81" s="60">
        <v>638000</v>
      </c>
      <c r="F81" s="60">
        <v>45000</v>
      </c>
      <c r="G81" s="60"/>
      <c r="H81" s="60"/>
      <c r="I81" s="60">
        <v>787385</v>
      </c>
      <c r="J81" s="160">
        <f>+SUM(C81:G81)-(H81+I81)</f>
        <v>-36185</v>
      </c>
      <c r="K81" s="196" t="b">
        <f t="shared" ref="K81:K88" si="21">J81=I32</f>
        <v>0</v>
      </c>
    </row>
    <row r="82" spans="1:11">
      <c r="A82" s="158" t="s">
        <v>160</v>
      </c>
      <c r="B82" s="165" t="s">
        <v>98</v>
      </c>
      <c r="C82" s="156">
        <v>233614</v>
      </c>
      <c r="D82" s="159"/>
      <c r="E82" s="175"/>
      <c r="F82" s="175"/>
      <c r="G82" s="175"/>
      <c r="H82" s="175"/>
      <c r="I82" s="175"/>
      <c r="J82" s="157">
        <f>+SUM(C82:G82)-(H82+I82)</f>
        <v>233614</v>
      </c>
      <c r="K82" s="196" t="b">
        <f t="shared" si="21"/>
        <v>0</v>
      </c>
    </row>
    <row r="83" spans="1:11">
      <c r="A83" s="158" t="s">
        <v>160</v>
      </c>
      <c r="B83" s="165" t="s">
        <v>97</v>
      </c>
      <c r="C83" s="156">
        <v>249769</v>
      </c>
      <c r="D83" s="159"/>
      <c r="E83" s="175"/>
      <c r="F83" s="175"/>
      <c r="G83" s="175"/>
      <c r="H83" s="175"/>
      <c r="I83" s="175"/>
      <c r="J83" s="157">
        <f t="shared" ref="J83:J88" si="22">+SUM(C83:G83)-(H83+I83)</f>
        <v>249769</v>
      </c>
      <c r="K83" s="196" t="b">
        <f t="shared" si="21"/>
        <v>0</v>
      </c>
    </row>
    <row r="84" spans="1:11">
      <c r="A84" s="158" t="s">
        <v>160</v>
      </c>
      <c r="B84" s="163" t="s">
        <v>46</v>
      </c>
      <c r="C84" s="39">
        <v>-4675</v>
      </c>
      <c r="D84" s="38"/>
      <c r="E84" s="39">
        <v>494000</v>
      </c>
      <c r="F84" s="39">
        <v>256000</v>
      </c>
      <c r="G84" s="120"/>
      <c r="H84" s="120">
        <v>6500</v>
      </c>
      <c r="I84" s="39">
        <v>607250</v>
      </c>
      <c r="J84" s="37">
        <f t="shared" si="22"/>
        <v>131575</v>
      </c>
      <c r="K84" s="196" t="b">
        <f t="shared" si="21"/>
        <v>0</v>
      </c>
    </row>
    <row r="85" spans="1:11">
      <c r="A85" s="158" t="s">
        <v>160</v>
      </c>
      <c r="B85" s="163" t="s">
        <v>108</v>
      </c>
      <c r="C85" s="39">
        <v>5000</v>
      </c>
      <c r="D85" s="38"/>
      <c r="E85" s="39">
        <v>30000</v>
      </c>
      <c r="F85" s="120"/>
      <c r="G85" s="120"/>
      <c r="H85" s="120"/>
      <c r="I85" s="39">
        <v>29500</v>
      </c>
      <c r="J85" s="37">
        <f t="shared" si="22"/>
        <v>5500</v>
      </c>
      <c r="K85" s="196" t="b">
        <f t="shared" si="21"/>
        <v>0</v>
      </c>
    </row>
    <row r="86" spans="1:11">
      <c r="A86" s="158" t="s">
        <v>160</v>
      </c>
      <c r="B86" s="163" t="s">
        <v>38</v>
      </c>
      <c r="C86" s="39">
        <v>72800</v>
      </c>
      <c r="D86" s="38"/>
      <c r="E86" s="39">
        <v>446000</v>
      </c>
      <c r="F86" s="120"/>
      <c r="G86" s="120"/>
      <c r="H86" s="120"/>
      <c r="I86" s="39">
        <v>512600</v>
      </c>
      <c r="J86" s="37">
        <f t="shared" si="22"/>
        <v>6200</v>
      </c>
      <c r="K86" s="196" t="b">
        <f t="shared" si="21"/>
        <v>0</v>
      </c>
    </row>
    <row r="87" spans="1:11">
      <c r="A87" s="158" t="s">
        <v>160</v>
      </c>
      <c r="B87" s="163" t="s">
        <v>41</v>
      </c>
      <c r="C87" s="39">
        <v>47300</v>
      </c>
      <c r="D87" s="38"/>
      <c r="E87" s="39">
        <v>5000</v>
      </c>
      <c r="F87" s="120">
        <v>6500</v>
      </c>
      <c r="G87" s="120"/>
      <c r="H87" s="39">
        <v>20000</v>
      </c>
      <c r="I87" s="39">
        <v>8000</v>
      </c>
      <c r="J87" s="37">
        <f t="shared" si="22"/>
        <v>30800</v>
      </c>
      <c r="K87" s="196" t="b">
        <f t="shared" si="21"/>
        <v>0</v>
      </c>
    </row>
    <row r="88" spans="1:11">
      <c r="A88" s="158" t="s">
        <v>160</v>
      </c>
      <c r="B88" s="164" t="s">
        <v>129</v>
      </c>
      <c r="C88" s="39">
        <v>79600</v>
      </c>
      <c r="D88" s="155"/>
      <c r="E88" s="60"/>
      <c r="F88" s="60"/>
      <c r="G88" s="176"/>
      <c r="H88" s="60"/>
      <c r="I88" s="60">
        <v>37707</v>
      </c>
      <c r="J88" s="37">
        <f t="shared" si="22"/>
        <v>41893</v>
      </c>
      <c r="K88" s="196" t="b">
        <f t="shared" si="21"/>
        <v>0</v>
      </c>
    </row>
    <row r="89" spans="1:11">
      <c r="A89" s="41" t="s">
        <v>73</v>
      </c>
      <c r="B89" s="42"/>
      <c r="C89" s="42"/>
      <c r="D89" s="42"/>
      <c r="E89" s="42"/>
      <c r="F89" s="42"/>
      <c r="G89" s="42"/>
      <c r="H89" s="42"/>
      <c r="I89" s="42"/>
      <c r="J89" s="43"/>
      <c r="K89" s="195"/>
    </row>
    <row r="90" spans="1:11">
      <c r="A90" s="158" t="s">
        <v>160</v>
      </c>
      <c r="B90" s="44" t="s">
        <v>74</v>
      </c>
      <c r="C90" s="45">
        <v>467929</v>
      </c>
      <c r="D90" s="58">
        <v>6310000</v>
      </c>
      <c r="E90" s="119"/>
      <c r="F90" s="58">
        <v>74184</v>
      </c>
      <c r="G90" s="177"/>
      <c r="H90" s="167">
        <v>4180000</v>
      </c>
      <c r="I90" s="162">
        <v>1710965</v>
      </c>
      <c r="J90" s="52">
        <f>+SUM(C90:G90)-(H90+I90)</f>
        <v>961148</v>
      </c>
      <c r="K90" s="196" t="b">
        <f>J90=I28</f>
        <v>0</v>
      </c>
    </row>
    <row r="91" spans="1:11">
      <c r="A91" s="50" t="s">
        <v>75</v>
      </c>
      <c r="B91" s="31"/>
      <c r="C91" s="42"/>
      <c r="D91" s="31"/>
      <c r="E91" s="31"/>
      <c r="F91" s="31"/>
      <c r="G91" s="31"/>
      <c r="H91" s="31"/>
      <c r="I91" s="31"/>
      <c r="J91" s="43"/>
      <c r="K91" s="195"/>
    </row>
    <row r="92" spans="1:11">
      <c r="A92" s="158" t="s">
        <v>160</v>
      </c>
      <c r="B92" s="44" t="s">
        <v>76</v>
      </c>
      <c r="C92" s="161">
        <v>7405927</v>
      </c>
      <c r="D92" s="168"/>
      <c r="E92" s="58"/>
      <c r="F92" s="58"/>
      <c r="G92" s="58"/>
      <c r="H92" s="60">
        <v>2000000</v>
      </c>
      <c r="I92" s="62">
        <v>1710232</v>
      </c>
      <c r="J92" s="52">
        <f>+SUM(C92:G92)-(H92+I92)</f>
        <v>3695695</v>
      </c>
      <c r="K92" s="196" t="e">
        <f>+J92=#REF!</f>
        <v>#REF!</v>
      </c>
    </row>
    <row r="93" spans="1:11">
      <c r="A93" s="158" t="s">
        <v>160</v>
      </c>
      <c r="B93" s="44" t="s">
        <v>77</v>
      </c>
      <c r="C93" s="161">
        <v>22972065</v>
      </c>
      <c r="D93" s="58"/>
      <c r="E93" s="57"/>
      <c r="F93" s="57"/>
      <c r="G93" s="57"/>
      <c r="H93" s="39">
        <v>4310000</v>
      </c>
      <c r="I93" s="59">
        <v>3055511</v>
      </c>
      <c r="J93" s="52">
        <f>SUM(C93:G93)-(H93+I93)</f>
        <v>15606554</v>
      </c>
      <c r="K93" s="196" t="b">
        <f>+J93=I27</f>
        <v>0</v>
      </c>
    </row>
    <row r="94" spans="1:11" ht="15.75">
      <c r="C94" s="182">
        <f>SUM(C76:C93)</f>
        <v>31712043</v>
      </c>
      <c r="I94" s="179">
        <f>SUM(I76:I93)</f>
        <v>10359300</v>
      </c>
      <c r="J94" s="121">
        <f>+SUM(J76:J93)</f>
        <v>21352743</v>
      </c>
      <c r="K94" s="11" t="b">
        <f>J94=I40</f>
        <v>0</v>
      </c>
    </row>
    <row r="95" spans="1:11" ht="16.5">
      <c r="A95" s="20"/>
      <c r="B95" s="21"/>
      <c r="C95" s="18"/>
      <c r="D95" s="18"/>
      <c r="E95" s="19"/>
      <c r="F95" s="18"/>
      <c r="G95" s="18"/>
      <c r="H95" s="18"/>
      <c r="I95" s="18"/>
    </row>
    <row r="96" spans="1:11">
      <c r="A96" s="22" t="s">
        <v>65</v>
      </c>
      <c r="B96" s="22"/>
      <c r="C96" s="22"/>
      <c r="D96" s="23"/>
      <c r="E96" s="23"/>
      <c r="F96" s="23"/>
      <c r="G96" s="23"/>
      <c r="H96" s="23"/>
      <c r="I96" s="23"/>
    </row>
    <row r="97" spans="1:11">
      <c r="A97" s="24" t="s">
        <v>149</v>
      </c>
      <c r="B97" s="24"/>
      <c r="C97" s="24"/>
      <c r="D97" s="24"/>
      <c r="E97" s="24"/>
      <c r="F97" s="24"/>
      <c r="G97" s="24"/>
      <c r="H97" s="24"/>
      <c r="I97" s="24"/>
      <c r="J97" s="23"/>
    </row>
    <row r="98" spans="1:11">
      <c r="A98" s="25"/>
      <c r="B98" s="26"/>
      <c r="C98" s="27"/>
      <c r="D98" s="27"/>
      <c r="E98" s="27"/>
      <c r="F98" s="27"/>
      <c r="G98" s="27"/>
      <c r="H98" s="26"/>
      <c r="I98" s="26"/>
      <c r="J98" s="24"/>
    </row>
    <row r="99" spans="1:11">
      <c r="A99" s="253" t="s">
        <v>66</v>
      </c>
      <c r="B99" s="255" t="s">
        <v>67</v>
      </c>
      <c r="C99" s="257" t="s">
        <v>150</v>
      </c>
      <c r="D99" s="259" t="s">
        <v>68</v>
      </c>
      <c r="E99" s="260"/>
      <c r="F99" s="260"/>
      <c r="G99" s="261"/>
      <c r="H99" s="262" t="s">
        <v>69</v>
      </c>
      <c r="I99" s="249" t="s">
        <v>70</v>
      </c>
      <c r="J99" s="26"/>
    </row>
    <row r="100" spans="1:11">
      <c r="A100" s="254"/>
      <c r="B100" s="256"/>
      <c r="C100" s="258"/>
      <c r="D100" s="28" t="s">
        <v>31</v>
      </c>
      <c r="E100" s="28" t="s">
        <v>34</v>
      </c>
      <c r="F100" s="206" t="s">
        <v>147</v>
      </c>
      <c r="G100" s="28" t="s">
        <v>71</v>
      </c>
      <c r="H100" s="263"/>
      <c r="I100" s="250"/>
      <c r="J100" s="251" t="s">
        <v>151</v>
      </c>
      <c r="K100" s="195"/>
    </row>
    <row r="101" spans="1:11">
      <c r="A101" s="30"/>
      <c r="B101" s="31" t="s">
        <v>72</v>
      </c>
      <c r="C101" s="32"/>
      <c r="D101" s="32"/>
      <c r="E101" s="32"/>
      <c r="F101" s="32"/>
      <c r="G101" s="32"/>
      <c r="H101" s="32"/>
      <c r="I101" s="33"/>
      <c r="J101" s="252"/>
      <c r="K101" s="195"/>
    </row>
    <row r="102" spans="1:11">
      <c r="A102" s="158" t="s">
        <v>152</v>
      </c>
      <c r="B102" s="163" t="s">
        <v>90</v>
      </c>
      <c r="C102" s="39">
        <v>-450</v>
      </c>
      <c r="D102" s="38"/>
      <c r="E102" s="39">
        <v>168000</v>
      </c>
      <c r="F102" s="39">
        <v>55000</v>
      </c>
      <c r="G102" s="39"/>
      <c r="H102" s="64"/>
      <c r="I102" s="39">
        <v>182500</v>
      </c>
      <c r="J102" s="37">
        <f>+SUM(C102:G102)-(H102+I102)</f>
        <v>40050</v>
      </c>
      <c r="K102" s="196"/>
    </row>
    <row r="103" spans="1:11">
      <c r="A103" s="158" t="s">
        <v>152</v>
      </c>
      <c r="B103" s="163" t="s">
        <v>60</v>
      </c>
      <c r="C103" s="39">
        <v>12510</v>
      </c>
      <c r="D103" s="38"/>
      <c r="E103" s="39">
        <v>303000</v>
      </c>
      <c r="F103" s="39"/>
      <c r="G103" s="39"/>
      <c r="H103" s="64"/>
      <c r="I103" s="39">
        <v>276665</v>
      </c>
      <c r="J103" s="37">
        <f t="shared" ref="J103:J104" si="23">+SUM(C103:G103)-(H103+I103)</f>
        <v>38845</v>
      </c>
      <c r="K103" s="196"/>
    </row>
    <row r="104" spans="1:11">
      <c r="A104" s="158" t="s">
        <v>152</v>
      </c>
      <c r="B104" s="163" t="s">
        <v>40</v>
      </c>
      <c r="C104" s="39">
        <v>2895</v>
      </c>
      <c r="D104" s="38"/>
      <c r="E104" s="39">
        <v>40000</v>
      </c>
      <c r="F104" s="39"/>
      <c r="G104" s="39"/>
      <c r="H104" s="39"/>
      <c r="I104" s="39">
        <v>36000</v>
      </c>
      <c r="J104" s="116">
        <f t="shared" si="23"/>
        <v>6895</v>
      </c>
      <c r="K104" s="196"/>
    </row>
    <row r="105" spans="1:11">
      <c r="A105" s="158" t="s">
        <v>152</v>
      </c>
      <c r="B105" s="163" t="s">
        <v>91</v>
      </c>
      <c r="C105" s="39">
        <v>62040</v>
      </c>
      <c r="D105" s="120"/>
      <c r="E105" s="39"/>
      <c r="F105" s="39"/>
      <c r="G105" s="39"/>
      <c r="H105" s="39">
        <v>25000</v>
      </c>
      <c r="I105" s="39">
        <v>8500</v>
      </c>
      <c r="J105" s="116">
        <f>+SUM(C105:G105)-(H105+I105)</f>
        <v>28540</v>
      </c>
      <c r="K105" s="196"/>
    </row>
    <row r="106" spans="1:11">
      <c r="A106" s="158" t="s">
        <v>152</v>
      </c>
      <c r="B106" s="163" t="s">
        <v>82</v>
      </c>
      <c r="C106" s="39">
        <v>184</v>
      </c>
      <c r="D106" s="120"/>
      <c r="E106" s="39">
        <v>0</v>
      </c>
      <c r="F106" s="39"/>
      <c r="G106" s="39"/>
      <c r="H106" s="39"/>
      <c r="I106" s="39">
        <v>0</v>
      </c>
      <c r="J106" s="116">
        <f t="shared" ref="J106" si="24">+SUM(C106:G106)-(H106+I106)</f>
        <v>184</v>
      </c>
      <c r="K106" s="196"/>
    </row>
    <row r="107" spans="1:11">
      <c r="A107" s="158" t="s">
        <v>152</v>
      </c>
      <c r="B107" s="164" t="s">
        <v>39</v>
      </c>
      <c r="C107" s="39">
        <v>-36500</v>
      </c>
      <c r="D107" s="155"/>
      <c r="E107" s="60">
        <v>523500</v>
      </c>
      <c r="F107" s="60"/>
      <c r="G107" s="60"/>
      <c r="H107" s="60"/>
      <c r="I107" s="60">
        <v>418800</v>
      </c>
      <c r="J107" s="160">
        <f>+SUM(C107:G107)-(H107+I107)</f>
        <v>68200</v>
      </c>
      <c r="K107" s="196"/>
    </row>
    <row r="108" spans="1:11">
      <c r="A108" s="158" t="s">
        <v>152</v>
      </c>
      <c r="B108" s="165" t="s">
        <v>98</v>
      </c>
      <c r="C108" s="156">
        <v>233614</v>
      </c>
      <c r="D108" s="159"/>
      <c r="E108" s="175"/>
      <c r="F108" s="175"/>
      <c r="G108" s="175"/>
      <c r="H108" s="175"/>
      <c r="I108" s="175"/>
      <c r="J108" s="157">
        <f>+SUM(C108:G108)-(H108+I108)</f>
        <v>233614</v>
      </c>
      <c r="K108" s="196"/>
    </row>
    <row r="109" spans="1:11">
      <c r="A109" s="158" t="s">
        <v>152</v>
      </c>
      <c r="B109" s="165" t="s">
        <v>97</v>
      </c>
      <c r="C109" s="156">
        <v>249769</v>
      </c>
      <c r="D109" s="159"/>
      <c r="E109" s="175"/>
      <c r="F109" s="175"/>
      <c r="G109" s="175"/>
      <c r="H109" s="175"/>
      <c r="I109" s="175"/>
      <c r="J109" s="157">
        <f t="shared" ref="J109:J114" si="25">+SUM(C109:G109)-(H109+I109)</f>
        <v>249769</v>
      </c>
      <c r="K109" s="196"/>
    </row>
    <row r="110" spans="1:11">
      <c r="A110" s="158" t="s">
        <v>152</v>
      </c>
      <c r="B110" s="163" t="s">
        <v>46</v>
      </c>
      <c r="C110" s="39">
        <v>71200</v>
      </c>
      <c r="D110" s="38"/>
      <c r="E110" s="39">
        <v>1056000</v>
      </c>
      <c r="F110" s="39"/>
      <c r="G110" s="120"/>
      <c r="H110" s="120">
        <v>55000</v>
      </c>
      <c r="I110" s="39">
        <v>1076875</v>
      </c>
      <c r="J110" s="37">
        <f t="shared" si="25"/>
        <v>-4675</v>
      </c>
      <c r="K110" s="196"/>
    </row>
    <row r="111" spans="1:11">
      <c r="A111" s="158" t="s">
        <v>152</v>
      </c>
      <c r="B111" s="163" t="s">
        <v>108</v>
      </c>
      <c r="C111" s="39">
        <v>6000</v>
      </c>
      <c r="D111" s="38"/>
      <c r="E111" s="39">
        <v>20000</v>
      </c>
      <c r="F111" s="120"/>
      <c r="G111" s="120"/>
      <c r="H111" s="120"/>
      <c r="I111" s="39">
        <v>21000</v>
      </c>
      <c r="J111" s="37">
        <f t="shared" si="25"/>
        <v>5000</v>
      </c>
      <c r="K111" s="196"/>
    </row>
    <row r="112" spans="1:11">
      <c r="A112" s="158" t="s">
        <v>152</v>
      </c>
      <c r="B112" s="163" t="s">
        <v>38</v>
      </c>
      <c r="C112" s="39">
        <v>167700</v>
      </c>
      <c r="D112" s="38"/>
      <c r="E112" s="39">
        <v>473000</v>
      </c>
      <c r="F112" s="120"/>
      <c r="G112" s="120"/>
      <c r="H112" s="120"/>
      <c r="I112" s="39">
        <v>567900</v>
      </c>
      <c r="J112" s="37">
        <f t="shared" si="25"/>
        <v>72800</v>
      </c>
      <c r="K112" s="196"/>
    </row>
    <row r="113" spans="1:11">
      <c r="A113" s="158" t="s">
        <v>152</v>
      </c>
      <c r="B113" s="163" t="s">
        <v>41</v>
      </c>
      <c r="C113" s="39">
        <v>65300</v>
      </c>
      <c r="D113" s="38"/>
      <c r="E113" s="39">
        <v>10000</v>
      </c>
      <c r="F113" s="120"/>
      <c r="G113" s="120"/>
      <c r="H113" s="120">
        <v>20000</v>
      </c>
      <c r="I113" s="39">
        <v>8000</v>
      </c>
      <c r="J113" s="37">
        <f t="shared" si="25"/>
        <v>47300</v>
      </c>
      <c r="K113" s="196"/>
    </row>
    <row r="114" spans="1:11">
      <c r="A114" s="158" t="s">
        <v>152</v>
      </c>
      <c r="B114" s="164" t="s">
        <v>129</v>
      </c>
      <c r="C114" s="39">
        <v>-11700</v>
      </c>
      <c r="D114" s="155"/>
      <c r="E114" s="60">
        <v>385800</v>
      </c>
      <c r="F114" s="60"/>
      <c r="G114" s="176"/>
      <c r="H114" s="60"/>
      <c r="I114" s="60">
        <v>294500</v>
      </c>
      <c r="J114" s="37">
        <f t="shared" si="25"/>
        <v>79600</v>
      </c>
      <c r="K114" s="196"/>
    </row>
    <row r="115" spans="1:11">
      <c r="A115" s="41" t="s">
        <v>73</v>
      </c>
      <c r="B115" s="42"/>
      <c r="C115" s="42"/>
      <c r="D115" s="42"/>
      <c r="E115" s="42"/>
      <c r="F115" s="42"/>
      <c r="G115" s="42"/>
      <c r="H115" s="42"/>
      <c r="I115" s="42"/>
      <c r="J115" s="43"/>
      <c r="K115" s="195"/>
    </row>
    <row r="116" spans="1:11">
      <c r="A116" s="158" t="s">
        <v>152</v>
      </c>
      <c r="B116" s="44" t="s">
        <v>74</v>
      </c>
      <c r="C116" s="45">
        <v>1672959</v>
      </c>
      <c r="D116" s="58">
        <v>3341000</v>
      </c>
      <c r="E116" s="119"/>
      <c r="F116" s="119">
        <v>45000</v>
      </c>
      <c r="G116" s="177"/>
      <c r="H116" s="167">
        <v>2979300</v>
      </c>
      <c r="I116" s="162">
        <v>1611730</v>
      </c>
      <c r="J116" s="52">
        <f>+SUM(C116:G116)-(H116+I116)</f>
        <v>467929</v>
      </c>
      <c r="K116" s="196"/>
    </row>
    <row r="117" spans="1:11">
      <c r="A117" s="50" t="s">
        <v>75</v>
      </c>
      <c r="B117" s="31"/>
      <c r="C117" s="42"/>
      <c r="D117" s="31"/>
      <c r="E117" s="31"/>
      <c r="F117" s="31"/>
      <c r="G117" s="31"/>
      <c r="H117" s="31"/>
      <c r="I117" s="31"/>
      <c r="J117" s="43"/>
      <c r="K117" s="195"/>
    </row>
    <row r="118" spans="1:11">
      <c r="A118" s="158" t="s">
        <v>152</v>
      </c>
      <c r="B118" s="44" t="s">
        <v>76</v>
      </c>
      <c r="C118" s="161">
        <v>2957378</v>
      </c>
      <c r="D118" s="168">
        <v>7828953</v>
      </c>
      <c r="E118" s="58"/>
      <c r="F118" s="58"/>
      <c r="G118" s="58"/>
      <c r="H118" s="60">
        <v>3000000</v>
      </c>
      <c r="I118" s="62">
        <v>380404</v>
      </c>
      <c r="J118" s="52">
        <f>+SUM(C118:G118)-(H118+I118)</f>
        <v>7405927</v>
      </c>
      <c r="K118" s="196"/>
    </row>
    <row r="119" spans="1:11">
      <c r="A119" s="158" t="s">
        <v>152</v>
      </c>
      <c r="B119" s="44" t="s">
        <v>77</v>
      </c>
      <c r="C119" s="161">
        <v>28018504</v>
      </c>
      <c r="D119" s="58"/>
      <c r="E119" s="57"/>
      <c r="F119" s="57"/>
      <c r="G119" s="57"/>
      <c r="H119" s="39">
        <v>341000</v>
      </c>
      <c r="I119" s="59">
        <v>4705439</v>
      </c>
      <c r="J119" s="52">
        <f>SUM(C119:G119)-(H119+I119)</f>
        <v>22972065</v>
      </c>
      <c r="K119" s="196"/>
    </row>
    <row r="120" spans="1:11" ht="15.75">
      <c r="C120" s="182">
        <f>SUM(C102:C119)</f>
        <v>33471403</v>
      </c>
      <c r="I120" s="179">
        <f>SUM(I102:I119)</f>
        <v>9588313</v>
      </c>
      <c r="J120" s="121">
        <f>+SUM(J102:J119)</f>
        <v>31712043</v>
      </c>
    </row>
    <row r="121" spans="1:11" ht="16.5">
      <c r="A121" s="20"/>
      <c r="B121" s="21"/>
      <c r="C121" s="18" t="b">
        <f>C120=C40</f>
        <v>0</v>
      </c>
      <c r="D121" s="18"/>
      <c r="E121" s="19"/>
      <c r="F121" s="18"/>
      <c r="G121" s="18"/>
      <c r="H121" s="18"/>
      <c r="I121" s="18"/>
    </row>
    <row r="122" spans="1:11">
      <c r="A122" s="22" t="s">
        <v>65</v>
      </c>
      <c r="B122" s="22"/>
      <c r="C122" s="22"/>
      <c r="D122" s="23"/>
      <c r="E122" s="23"/>
      <c r="F122" s="23"/>
      <c r="G122" s="23"/>
      <c r="H122" s="23"/>
      <c r="I122" s="23"/>
    </row>
    <row r="123" spans="1:11">
      <c r="A123" s="24" t="s">
        <v>143</v>
      </c>
      <c r="B123" s="24"/>
      <c r="C123" s="24"/>
      <c r="D123" s="24"/>
      <c r="E123" s="24"/>
      <c r="F123" s="24"/>
      <c r="G123" s="24"/>
      <c r="H123" s="24"/>
      <c r="I123" s="24"/>
      <c r="J123" s="23"/>
    </row>
    <row r="124" spans="1:11">
      <c r="A124" s="25"/>
      <c r="B124" s="26"/>
      <c r="C124" s="27"/>
      <c r="D124" s="27"/>
      <c r="E124" s="27"/>
      <c r="F124" s="27"/>
      <c r="G124" s="27"/>
      <c r="H124" s="26"/>
      <c r="I124" s="26"/>
      <c r="J124" s="24"/>
    </row>
    <row r="125" spans="1:11">
      <c r="A125" s="253" t="s">
        <v>66</v>
      </c>
      <c r="B125" s="255" t="s">
        <v>67</v>
      </c>
      <c r="C125" s="257" t="s">
        <v>145</v>
      </c>
      <c r="D125" s="259" t="s">
        <v>68</v>
      </c>
      <c r="E125" s="260"/>
      <c r="F125" s="260"/>
      <c r="G125" s="261"/>
      <c r="H125" s="262" t="s">
        <v>69</v>
      </c>
      <c r="I125" s="249" t="s">
        <v>70</v>
      </c>
      <c r="J125" s="26"/>
    </row>
    <row r="126" spans="1:11">
      <c r="A126" s="254"/>
      <c r="B126" s="256"/>
      <c r="C126" s="258"/>
      <c r="D126" s="28" t="s">
        <v>31</v>
      </c>
      <c r="E126" s="28" t="s">
        <v>34</v>
      </c>
      <c r="F126" s="194" t="s">
        <v>147</v>
      </c>
      <c r="G126" s="28" t="s">
        <v>71</v>
      </c>
      <c r="H126" s="263"/>
      <c r="I126" s="250"/>
      <c r="J126" s="251" t="s">
        <v>146</v>
      </c>
      <c r="K126" s="195"/>
    </row>
    <row r="127" spans="1:11">
      <c r="A127" s="30"/>
      <c r="B127" s="31" t="s">
        <v>72</v>
      </c>
      <c r="C127" s="32"/>
      <c r="D127" s="32"/>
      <c r="E127" s="32"/>
      <c r="F127" s="32"/>
      <c r="G127" s="32"/>
      <c r="H127" s="32"/>
      <c r="I127" s="33"/>
      <c r="J127" s="252"/>
      <c r="K127" s="195"/>
    </row>
    <row r="128" spans="1:11">
      <c r="A128" s="158" t="s">
        <v>144</v>
      </c>
      <c r="B128" s="163" t="s">
        <v>90</v>
      </c>
      <c r="C128" s="39">
        <v>7670</v>
      </c>
      <c r="D128" s="38"/>
      <c r="E128" s="39">
        <v>438000</v>
      </c>
      <c r="F128" s="39"/>
      <c r="G128" s="39"/>
      <c r="H128" s="64">
        <v>40000</v>
      </c>
      <c r="I128" s="39">
        <v>406120</v>
      </c>
      <c r="J128" s="37">
        <f>+SUM(C128:G128)-(H128+I128)</f>
        <v>-450</v>
      </c>
      <c r="K128" s="196" t="e">
        <f>J128=#REF!</f>
        <v>#REF!</v>
      </c>
    </row>
    <row r="129" spans="1:11">
      <c r="A129" s="158" t="s">
        <v>144</v>
      </c>
      <c r="B129" s="163" t="s">
        <v>60</v>
      </c>
      <c r="C129" s="39">
        <v>4710</v>
      </c>
      <c r="D129" s="38"/>
      <c r="E129" s="39">
        <v>303000</v>
      </c>
      <c r="F129" s="39">
        <f>25000+91000+62000</f>
        <v>178000</v>
      </c>
      <c r="G129" s="39"/>
      <c r="H129" s="64">
        <v>29000</v>
      </c>
      <c r="I129" s="39">
        <v>444200</v>
      </c>
      <c r="J129" s="37">
        <f t="shared" ref="J129:J130" si="26">+SUM(C129:G129)-(H129+I129)</f>
        <v>12510</v>
      </c>
      <c r="K129" s="196" t="b">
        <f>J129=I29</f>
        <v>0</v>
      </c>
    </row>
    <row r="130" spans="1:11">
      <c r="A130" s="158" t="s">
        <v>144</v>
      </c>
      <c r="B130" s="163" t="s">
        <v>40</v>
      </c>
      <c r="C130" s="39">
        <v>9295</v>
      </c>
      <c r="D130" s="38"/>
      <c r="E130" s="39">
        <v>743000</v>
      </c>
      <c r="F130" s="39">
        <v>2000</v>
      </c>
      <c r="G130" s="39"/>
      <c r="H130" s="39">
        <f>103000+91000+137000+101000+91000</f>
        <v>523000</v>
      </c>
      <c r="I130" s="39">
        <v>228400</v>
      </c>
      <c r="J130" s="116">
        <f t="shared" si="26"/>
        <v>2895</v>
      </c>
      <c r="K130" s="196" t="b">
        <f>J130=I30</f>
        <v>0</v>
      </c>
    </row>
    <row r="131" spans="1:11">
      <c r="A131" s="158" t="s">
        <v>144</v>
      </c>
      <c r="B131" s="163" t="s">
        <v>91</v>
      </c>
      <c r="C131" s="39">
        <v>-25100</v>
      </c>
      <c r="D131" s="120"/>
      <c r="E131" s="39">
        <v>121100</v>
      </c>
      <c r="F131" s="39">
        <f>103000+1000+28000+137000</f>
        <v>269000</v>
      </c>
      <c r="G131" s="39"/>
      <c r="H131" s="39"/>
      <c r="I131" s="39">
        <v>302960</v>
      </c>
      <c r="J131" s="116">
        <f>+SUM(C131:G131)-(H131+I131)</f>
        <v>62040</v>
      </c>
      <c r="K131" s="196" t="b">
        <f>J131=I31</f>
        <v>0</v>
      </c>
    </row>
    <row r="132" spans="1:11">
      <c r="A132" s="158" t="s">
        <v>144</v>
      </c>
      <c r="B132" s="163" t="s">
        <v>82</v>
      </c>
      <c r="C132" s="39">
        <v>7384</v>
      </c>
      <c r="D132" s="120"/>
      <c r="E132" s="39">
        <v>319000</v>
      </c>
      <c r="F132" s="39">
        <v>101000</v>
      </c>
      <c r="G132" s="39"/>
      <c r="H132" s="39">
        <v>62000</v>
      </c>
      <c r="I132" s="39">
        <v>365200</v>
      </c>
      <c r="J132" s="116">
        <f t="shared" ref="J132" si="27">+SUM(C132:G132)-(H132+I132)</f>
        <v>184</v>
      </c>
      <c r="K132" s="196" t="e">
        <f>J132=#REF!</f>
        <v>#REF!</v>
      </c>
    </row>
    <row r="133" spans="1:11">
      <c r="A133" s="158" t="s">
        <v>144</v>
      </c>
      <c r="B133" s="164" t="s">
        <v>39</v>
      </c>
      <c r="C133" s="39">
        <v>61300</v>
      </c>
      <c r="D133" s="155"/>
      <c r="E133" s="60">
        <v>931200</v>
      </c>
      <c r="F133" s="60"/>
      <c r="G133" s="60"/>
      <c r="H133" s="60">
        <v>28000</v>
      </c>
      <c r="I133" s="60">
        <v>1001000</v>
      </c>
      <c r="J133" s="160">
        <f>+SUM(C133:G133)-(H133+I133)</f>
        <v>-36500</v>
      </c>
      <c r="K133" s="196" t="b">
        <f t="shared" ref="K133:K140" si="28">J133=I32</f>
        <v>0</v>
      </c>
    </row>
    <row r="134" spans="1:11">
      <c r="A134" s="158" t="s">
        <v>144</v>
      </c>
      <c r="B134" s="165" t="s">
        <v>98</v>
      </c>
      <c r="C134" s="156">
        <v>233614</v>
      </c>
      <c r="D134" s="159"/>
      <c r="E134" s="175"/>
      <c r="F134" s="175"/>
      <c r="G134" s="175"/>
      <c r="H134" s="175"/>
      <c r="I134" s="175"/>
      <c r="J134" s="157">
        <f>+SUM(C134:G134)-(H134+I134)</f>
        <v>233614</v>
      </c>
      <c r="K134" s="196" t="b">
        <f t="shared" si="28"/>
        <v>0</v>
      </c>
    </row>
    <row r="135" spans="1:11">
      <c r="A135" s="158" t="s">
        <v>144</v>
      </c>
      <c r="B135" s="165" t="s">
        <v>97</v>
      </c>
      <c r="C135" s="156">
        <v>249769</v>
      </c>
      <c r="D135" s="159"/>
      <c r="E135" s="175"/>
      <c r="F135" s="175"/>
      <c r="G135" s="175"/>
      <c r="H135" s="175"/>
      <c r="I135" s="175"/>
      <c r="J135" s="157">
        <f t="shared" ref="J135:J138" si="29">+SUM(C135:G135)-(H135+I135)</f>
        <v>249769</v>
      </c>
      <c r="K135" s="196" t="b">
        <f t="shared" si="28"/>
        <v>0</v>
      </c>
    </row>
    <row r="136" spans="1:11">
      <c r="A136" s="158" t="s">
        <v>144</v>
      </c>
      <c r="B136" s="163" t="s">
        <v>46</v>
      </c>
      <c r="C136" s="39">
        <v>4500</v>
      </c>
      <c r="D136" s="38"/>
      <c r="E136" s="39">
        <v>234000</v>
      </c>
      <c r="F136" s="39">
        <v>40000</v>
      </c>
      <c r="G136" s="120"/>
      <c r="H136" s="120"/>
      <c r="I136" s="39">
        <v>207300</v>
      </c>
      <c r="J136" s="37">
        <f t="shared" si="29"/>
        <v>71200</v>
      </c>
      <c r="K136" s="196" t="b">
        <f t="shared" si="28"/>
        <v>0</v>
      </c>
    </row>
    <row r="137" spans="1:11">
      <c r="A137" s="158" t="s">
        <v>144</v>
      </c>
      <c r="B137" s="163" t="s">
        <v>108</v>
      </c>
      <c r="C137" s="39">
        <v>-6000</v>
      </c>
      <c r="D137" s="38"/>
      <c r="E137" s="39">
        <v>61000</v>
      </c>
      <c r="F137" s="120"/>
      <c r="G137" s="120"/>
      <c r="H137" s="120"/>
      <c r="I137" s="39">
        <v>49000</v>
      </c>
      <c r="J137" s="37">
        <f t="shared" si="29"/>
        <v>6000</v>
      </c>
      <c r="K137" s="196" t="b">
        <f t="shared" si="28"/>
        <v>0</v>
      </c>
    </row>
    <row r="138" spans="1:11">
      <c r="A138" s="158" t="s">
        <v>144</v>
      </c>
      <c r="B138" s="163" t="s">
        <v>38</v>
      </c>
      <c r="C138" s="39">
        <v>72200</v>
      </c>
      <c r="D138" s="38"/>
      <c r="E138" s="39">
        <v>722000</v>
      </c>
      <c r="F138" s="120"/>
      <c r="G138" s="120"/>
      <c r="H138" s="120"/>
      <c r="I138" s="39">
        <v>626500</v>
      </c>
      <c r="J138" s="37">
        <f t="shared" si="29"/>
        <v>167700</v>
      </c>
      <c r="K138" s="196" t="b">
        <f t="shared" si="28"/>
        <v>0</v>
      </c>
    </row>
    <row r="139" spans="1:11">
      <c r="A139" s="158" t="s">
        <v>144</v>
      </c>
      <c r="B139" s="163" t="s">
        <v>41</v>
      </c>
      <c r="C139" s="39">
        <v>9300</v>
      </c>
      <c r="D139" s="38"/>
      <c r="E139" s="39">
        <v>60000</v>
      </c>
      <c r="F139" s="120"/>
      <c r="G139" s="120"/>
      <c r="H139" s="120"/>
      <c r="I139" s="39">
        <v>4000</v>
      </c>
      <c r="J139" s="37">
        <f t="shared" ref="J139:J140" si="30">+SUM(C139:G139)-(H139+I139)</f>
        <v>65300</v>
      </c>
      <c r="K139" s="196" t="b">
        <f t="shared" si="28"/>
        <v>0</v>
      </c>
    </row>
    <row r="140" spans="1:11">
      <c r="A140" s="158" t="s">
        <v>144</v>
      </c>
      <c r="B140" s="164" t="s">
        <v>129</v>
      </c>
      <c r="C140" s="39">
        <v>-14000</v>
      </c>
      <c r="D140" s="155"/>
      <c r="E140" s="60">
        <v>378000</v>
      </c>
      <c r="F140" s="60">
        <f>29000+91000</f>
        <v>120000</v>
      </c>
      <c r="G140" s="176"/>
      <c r="H140" s="60">
        <f>2000+1000+25000</f>
        <v>28000</v>
      </c>
      <c r="I140" s="60">
        <v>467700</v>
      </c>
      <c r="J140" s="37">
        <f t="shared" si="30"/>
        <v>-11700</v>
      </c>
      <c r="K140" s="196" t="b">
        <f t="shared" si="28"/>
        <v>0</v>
      </c>
    </row>
    <row r="141" spans="1:11">
      <c r="A141" s="41" t="s">
        <v>73</v>
      </c>
      <c r="B141" s="42"/>
      <c r="C141" s="42"/>
      <c r="D141" s="42"/>
      <c r="E141" s="42"/>
      <c r="F141" s="42"/>
      <c r="G141" s="42"/>
      <c r="H141" s="42"/>
      <c r="I141" s="42"/>
      <c r="J141" s="43"/>
      <c r="K141" s="195"/>
    </row>
    <row r="142" spans="1:11">
      <c r="A142" s="158" t="s">
        <v>144</v>
      </c>
      <c r="B142" s="44" t="s">
        <v>74</v>
      </c>
      <c r="C142" s="45">
        <v>1148337</v>
      </c>
      <c r="D142" s="58">
        <v>7000000</v>
      </c>
      <c r="E142" s="119"/>
      <c r="F142" s="119"/>
      <c r="G142" s="177"/>
      <c r="H142" s="167">
        <v>4310300</v>
      </c>
      <c r="I142" s="162">
        <v>2165078</v>
      </c>
      <c r="J142" s="52">
        <f>+SUM(C142:G142)-(H142+I142)</f>
        <v>1672959</v>
      </c>
      <c r="K142" s="196" t="b">
        <f>J142=I28</f>
        <v>0</v>
      </c>
    </row>
    <row r="143" spans="1:11">
      <c r="A143" s="50" t="s">
        <v>75</v>
      </c>
      <c r="B143" s="31"/>
      <c r="C143" s="42"/>
      <c r="D143" s="31"/>
      <c r="E143" s="31"/>
      <c r="F143" s="31"/>
      <c r="G143" s="31"/>
      <c r="H143" s="31"/>
      <c r="I143" s="31"/>
      <c r="J143" s="43"/>
      <c r="K143" s="195"/>
    </row>
    <row r="144" spans="1:11">
      <c r="A144" s="158" t="s">
        <v>144</v>
      </c>
      <c r="B144" s="44" t="s">
        <v>76</v>
      </c>
      <c r="C144" s="161">
        <v>10113263</v>
      </c>
      <c r="D144" s="168">
        <v>0</v>
      </c>
      <c r="E144" s="58"/>
      <c r="F144" s="58"/>
      <c r="G144" s="58"/>
      <c r="H144" s="60">
        <v>7000000</v>
      </c>
      <c r="I144" s="62">
        <v>155885</v>
      </c>
      <c r="J144" s="52">
        <f>+SUM(C144:G144)-(H144+I144)</f>
        <v>2957378</v>
      </c>
      <c r="K144" s="196" t="e">
        <f>+J144=#REF!</f>
        <v>#REF!</v>
      </c>
    </row>
    <row r="145" spans="1:11">
      <c r="A145" s="158" t="s">
        <v>144</v>
      </c>
      <c r="B145" s="44" t="s">
        <v>77</v>
      </c>
      <c r="C145" s="161">
        <v>6219904</v>
      </c>
      <c r="D145" s="58">
        <v>28506579</v>
      </c>
      <c r="E145" s="57"/>
      <c r="F145" s="57"/>
      <c r="G145" s="57"/>
      <c r="H145" s="39"/>
      <c r="I145" s="59">
        <v>6707979</v>
      </c>
      <c r="J145" s="52">
        <f>SUM(C145:G145)-(H145+I145)</f>
        <v>28018504</v>
      </c>
      <c r="K145" s="196" t="b">
        <f>+J145=I27</f>
        <v>0</v>
      </c>
    </row>
    <row r="146" spans="1:11" ht="15.75">
      <c r="C146" s="182">
        <f>SUM(C128:C145)</f>
        <v>18096146</v>
      </c>
      <c r="I146" s="179">
        <f>SUM(I128:I145)</f>
        <v>13131322</v>
      </c>
      <c r="J146" s="121">
        <f>+SUM(J128:J145)</f>
        <v>33471403</v>
      </c>
      <c r="K146" s="11" t="b">
        <f>J146=I40</f>
        <v>0</v>
      </c>
    </row>
    <row r="147" spans="1:11" ht="16.5">
      <c r="A147" s="20"/>
      <c r="B147" s="21"/>
      <c r="C147" s="18" t="b">
        <f>C146=C40</f>
        <v>0</v>
      </c>
      <c r="D147" s="18"/>
      <c r="E147" s="19"/>
      <c r="F147" s="18"/>
      <c r="G147" s="18"/>
      <c r="H147" s="18"/>
      <c r="I147" s="18"/>
    </row>
    <row r="148" spans="1:11" ht="16.5">
      <c r="A148" s="20"/>
      <c r="B148" s="21"/>
      <c r="C148" s="18"/>
      <c r="D148" s="18"/>
      <c r="E148" s="19"/>
      <c r="F148" s="18"/>
      <c r="G148" s="18"/>
      <c r="H148" s="18"/>
      <c r="I148" s="18"/>
    </row>
    <row r="149" spans="1:11">
      <c r="A149" s="22" t="s">
        <v>65</v>
      </c>
      <c r="B149" s="22"/>
      <c r="C149" s="22"/>
      <c r="D149" s="23"/>
      <c r="E149" s="23"/>
      <c r="F149" s="23"/>
      <c r="G149" s="23"/>
      <c r="H149" s="23"/>
      <c r="I149" s="23"/>
    </row>
    <row r="150" spans="1:11">
      <c r="A150" s="24" t="s">
        <v>130</v>
      </c>
      <c r="B150" s="24"/>
      <c r="C150" s="24"/>
      <c r="D150" s="24"/>
      <c r="E150" s="24"/>
      <c r="F150" s="24"/>
      <c r="G150" s="24"/>
      <c r="H150" s="24"/>
      <c r="I150" s="24"/>
      <c r="J150" s="23"/>
    </row>
    <row r="151" spans="1:11">
      <c r="A151" s="25"/>
      <c r="B151" s="26"/>
      <c r="C151" s="27"/>
      <c r="D151" s="27"/>
      <c r="E151" s="27"/>
      <c r="F151" s="27"/>
      <c r="G151" s="27"/>
      <c r="H151" s="26"/>
      <c r="I151" s="26"/>
      <c r="J151" s="24"/>
    </row>
    <row r="152" spans="1:11">
      <c r="A152" s="253" t="s">
        <v>66</v>
      </c>
      <c r="B152" s="255" t="s">
        <v>67</v>
      </c>
      <c r="C152" s="257" t="s">
        <v>132</v>
      </c>
      <c r="D152" s="259" t="s">
        <v>68</v>
      </c>
      <c r="E152" s="260"/>
      <c r="F152" s="260"/>
      <c r="G152" s="261"/>
      <c r="H152" s="262" t="s">
        <v>69</v>
      </c>
      <c r="I152" s="249" t="s">
        <v>70</v>
      </c>
      <c r="J152" s="26"/>
    </row>
    <row r="153" spans="1:11">
      <c r="A153" s="254"/>
      <c r="B153" s="256"/>
      <c r="C153" s="258"/>
      <c r="D153" s="28" t="s">
        <v>31</v>
      </c>
      <c r="E153" s="28" t="s">
        <v>34</v>
      </c>
      <c r="F153" s="183" t="s">
        <v>134</v>
      </c>
      <c r="G153" s="28" t="s">
        <v>71</v>
      </c>
      <c r="H153" s="263"/>
      <c r="I153" s="250"/>
      <c r="J153" s="251" t="s">
        <v>133</v>
      </c>
    </row>
    <row r="154" spans="1:11">
      <c r="A154" s="30"/>
      <c r="B154" s="31" t="s">
        <v>72</v>
      </c>
      <c r="C154" s="32"/>
      <c r="D154" s="32"/>
      <c r="E154" s="32"/>
      <c r="F154" s="32"/>
      <c r="G154" s="32"/>
      <c r="H154" s="32"/>
      <c r="I154" s="33"/>
      <c r="J154" s="252"/>
    </row>
    <row r="155" spans="1:11">
      <c r="A155" s="158" t="s">
        <v>131</v>
      </c>
      <c r="B155" s="163" t="s">
        <v>90</v>
      </c>
      <c r="C155" s="39">
        <v>3670</v>
      </c>
      <c r="D155" s="38"/>
      <c r="E155" s="39">
        <v>118000</v>
      </c>
      <c r="F155" s="39">
        <v>4000</v>
      </c>
      <c r="G155" s="39"/>
      <c r="H155" s="64"/>
      <c r="I155" s="39">
        <v>118000</v>
      </c>
      <c r="J155" s="37">
        <f>+SUM(C155:G155)-(H155+I155)</f>
        <v>7670</v>
      </c>
      <c r="K155" s="188"/>
    </row>
    <row r="156" spans="1:11">
      <c r="A156" s="158" t="s">
        <v>131</v>
      </c>
      <c r="B156" s="163" t="s">
        <v>60</v>
      </c>
      <c r="C156" s="39">
        <v>-540</v>
      </c>
      <c r="D156" s="38"/>
      <c r="E156" s="39">
        <v>209750</v>
      </c>
      <c r="F156" s="39">
        <v>5000</v>
      </c>
      <c r="G156" s="39"/>
      <c r="H156" s="64"/>
      <c r="I156" s="39">
        <v>209500</v>
      </c>
      <c r="J156" s="37">
        <f t="shared" ref="J156:J157" si="31">+SUM(C156:G156)-(H156+I156)</f>
        <v>4710</v>
      </c>
      <c r="K156" s="188"/>
    </row>
    <row r="157" spans="1:11">
      <c r="A157" s="158" t="s">
        <v>131</v>
      </c>
      <c r="B157" s="163" t="s">
        <v>40</v>
      </c>
      <c r="C157" s="39">
        <v>2395</v>
      </c>
      <c r="D157" s="38"/>
      <c r="E157" s="39">
        <v>70000</v>
      </c>
      <c r="F157" s="39">
        <v>4000</v>
      </c>
      <c r="G157" s="39"/>
      <c r="H157" s="39"/>
      <c r="I157" s="39">
        <v>67100</v>
      </c>
      <c r="J157" s="116">
        <f t="shared" si="31"/>
        <v>9295</v>
      </c>
      <c r="K157" s="188"/>
    </row>
    <row r="158" spans="1:11">
      <c r="A158" s="158" t="s">
        <v>131</v>
      </c>
      <c r="B158" s="163" t="s">
        <v>91</v>
      </c>
      <c r="C158" s="39">
        <v>96100</v>
      </c>
      <c r="D158" s="120"/>
      <c r="E158" s="39">
        <v>488100</v>
      </c>
      <c r="F158" s="39">
        <v>4000</v>
      </c>
      <c r="G158" s="39"/>
      <c r="H158" s="39">
        <v>61600</v>
      </c>
      <c r="I158" s="39">
        <v>551700</v>
      </c>
      <c r="J158" s="116">
        <f>+SUM(C158:G158)-(H158+I158)</f>
        <v>-25100</v>
      </c>
      <c r="K158" s="188"/>
    </row>
    <row r="159" spans="1:11">
      <c r="A159" s="158" t="s">
        <v>131</v>
      </c>
      <c r="B159" s="163" t="s">
        <v>82</v>
      </c>
      <c r="C159" s="39">
        <v>13884</v>
      </c>
      <c r="D159" s="120"/>
      <c r="E159" s="39">
        <v>194000</v>
      </c>
      <c r="F159" s="39"/>
      <c r="G159" s="39"/>
      <c r="H159" s="39">
        <v>17000</v>
      </c>
      <c r="I159" s="39">
        <v>183500</v>
      </c>
      <c r="J159" s="116">
        <f t="shared" ref="J159" si="32">+SUM(C159:G159)-(H159+I159)</f>
        <v>7384</v>
      </c>
      <c r="K159" s="188"/>
    </row>
    <row r="160" spans="1:11">
      <c r="A160" s="158" t="s">
        <v>131</v>
      </c>
      <c r="B160" s="164" t="s">
        <v>39</v>
      </c>
      <c r="C160" s="39">
        <v>72400</v>
      </c>
      <c r="D160" s="155"/>
      <c r="E160" s="60">
        <v>599900</v>
      </c>
      <c r="F160" s="60"/>
      <c r="G160" s="60"/>
      <c r="H160" s="60"/>
      <c r="I160" s="60">
        <v>611000</v>
      </c>
      <c r="J160" s="160">
        <f>+SUM(C160:G160)-(H160+I160)</f>
        <v>61300</v>
      </c>
      <c r="K160" s="188"/>
    </row>
    <row r="161" spans="1:11">
      <c r="A161" s="158" t="s">
        <v>131</v>
      </c>
      <c r="B161" s="165" t="s">
        <v>98</v>
      </c>
      <c r="C161" s="156">
        <v>233614</v>
      </c>
      <c r="D161" s="159"/>
      <c r="E161" s="175"/>
      <c r="F161" s="175"/>
      <c r="G161" s="175"/>
      <c r="H161" s="175"/>
      <c r="I161" s="175"/>
      <c r="J161" s="157">
        <f>+SUM(C161:G161)-(H161+I161)</f>
        <v>233614</v>
      </c>
      <c r="K161" s="188"/>
    </row>
    <row r="162" spans="1:11">
      <c r="A162" s="158" t="s">
        <v>131</v>
      </c>
      <c r="B162" s="165" t="s">
        <v>97</v>
      </c>
      <c r="C162" s="156">
        <v>249769</v>
      </c>
      <c r="D162" s="159"/>
      <c r="E162" s="175"/>
      <c r="F162" s="175"/>
      <c r="G162" s="175"/>
      <c r="H162" s="175"/>
      <c r="I162" s="175"/>
      <c r="J162" s="157">
        <f t="shared" ref="J162:J169" si="33">+SUM(C162:G162)-(H162+I162)</f>
        <v>249769</v>
      </c>
      <c r="K162" s="188"/>
    </row>
    <row r="163" spans="1:11">
      <c r="A163" s="158" t="s">
        <v>131</v>
      </c>
      <c r="B163" s="163" t="s">
        <v>46</v>
      </c>
      <c r="C163" s="39">
        <v>18490</v>
      </c>
      <c r="D163" s="38"/>
      <c r="E163" s="39">
        <v>796460</v>
      </c>
      <c r="F163" s="39">
        <v>61600</v>
      </c>
      <c r="G163" s="120"/>
      <c r="H163" s="120"/>
      <c r="I163" s="39">
        <v>872050</v>
      </c>
      <c r="J163" s="37">
        <f t="shared" si="33"/>
        <v>4500</v>
      </c>
      <c r="K163" s="188"/>
    </row>
    <row r="164" spans="1:11">
      <c r="A164" s="158" t="s">
        <v>131</v>
      </c>
      <c r="B164" s="163" t="s">
        <v>108</v>
      </c>
      <c r="C164" s="39">
        <v>4500</v>
      </c>
      <c r="D164" s="38"/>
      <c r="E164" s="39">
        <v>40000</v>
      </c>
      <c r="F164" s="120"/>
      <c r="G164" s="120"/>
      <c r="H164" s="120"/>
      <c r="I164" s="39">
        <v>50500</v>
      </c>
      <c r="J164" s="37">
        <f t="shared" si="33"/>
        <v>-6000</v>
      </c>
      <c r="K164" s="188"/>
    </row>
    <row r="165" spans="1:11">
      <c r="A165" s="158" t="s">
        <v>131</v>
      </c>
      <c r="B165" s="163" t="s">
        <v>38</v>
      </c>
      <c r="C165" s="39">
        <v>44200</v>
      </c>
      <c r="D165" s="38"/>
      <c r="E165" s="39">
        <v>60000</v>
      </c>
      <c r="F165" s="120"/>
      <c r="G165" s="120"/>
      <c r="H165" s="120"/>
      <c r="I165" s="39">
        <v>32000</v>
      </c>
      <c r="J165" s="37">
        <f t="shared" si="33"/>
        <v>72200</v>
      </c>
      <c r="K165" s="188"/>
    </row>
    <row r="166" spans="1:11">
      <c r="A166" s="158" t="s">
        <v>131</v>
      </c>
      <c r="B166" s="163" t="s">
        <v>109</v>
      </c>
      <c r="C166" s="39">
        <v>-851709</v>
      </c>
      <c r="D166" s="38"/>
      <c r="E166" s="39">
        <v>851709</v>
      </c>
      <c r="F166" s="120"/>
      <c r="G166" s="120"/>
      <c r="H166" s="120"/>
      <c r="I166" s="39"/>
      <c r="J166" s="37">
        <f>+SUM(C166:G166)-(H166+I166)</f>
        <v>0</v>
      </c>
      <c r="K166" s="188"/>
    </row>
    <row r="167" spans="1:11">
      <c r="A167" s="158" t="s">
        <v>131</v>
      </c>
      <c r="B167" s="163" t="s">
        <v>116</v>
      </c>
      <c r="C167" s="39">
        <v>90300</v>
      </c>
      <c r="D167" s="38"/>
      <c r="E167" s="39">
        <v>69200</v>
      </c>
      <c r="F167" s="120"/>
      <c r="G167" s="120"/>
      <c r="H167" s="120"/>
      <c r="I167" s="39">
        <v>159500</v>
      </c>
      <c r="J167" s="37">
        <f t="shared" si="33"/>
        <v>0</v>
      </c>
      <c r="K167" s="188"/>
    </row>
    <row r="168" spans="1:11">
      <c r="A168" s="158" t="s">
        <v>131</v>
      </c>
      <c r="B168" s="163" t="s">
        <v>41</v>
      </c>
      <c r="C168" s="39">
        <v>300</v>
      </c>
      <c r="D168" s="38"/>
      <c r="E168" s="39">
        <v>20000</v>
      </c>
      <c r="F168" s="120"/>
      <c r="G168" s="120"/>
      <c r="H168" s="120"/>
      <c r="I168" s="39">
        <v>11000</v>
      </c>
      <c r="J168" s="37">
        <f t="shared" si="33"/>
        <v>9300</v>
      </c>
      <c r="K168" s="188"/>
    </row>
    <row r="169" spans="1:11">
      <c r="A169" s="158" t="s">
        <v>131</v>
      </c>
      <c r="B169" s="164" t="s">
        <v>129</v>
      </c>
      <c r="C169" s="39">
        <v>0</v>
      </c>
      <c r="D169" s="155"/>
      <c r="E169" s="174"/>
      <c r="F169" s="174"/>
      <c r="G169" s="176"/>
      <c r="H169" s="174"/>
      <c r="I169" s="60">
        <v>14000</v>
      </c>
      <c r="J169" s="37">
        <f t="shared" si="33"/>
        <v>-14000</v>
      </c>
      <c r="K169" s="188"/>
    </row>
    <row r="170" spans="1:11">
      <c r="A170" s="41" t="s">
        <v>73</v>
      </c>
      <c r="B170" s="42"/>
      <c r="C170" s="42"/>
      <c r="D170" s="42"/>
      <c r="E170" s="42"/>
      <c r="F170" s="42"/>
      <c r="G170" s="42"/>
      <c r="H170" s="42"/>
      <c r="I170" s="42"/>
      <c r="J170" s="43"/>
    </row>
    <row r="171" spans="1:11">
      <c r="A171" s="158" t="s">
        <v>131</v>
      </c>
      <c r="B171" s="44" t="s">
        <v>74</v>
      </c>
      <c r="C171" s="45">
        <f>C28</f>
        <v>2995</v>
      </c>
      <c r="D171" s="58">
        <v>5872000</v>
      </c>
      <c r="E171" s="119"/>
      <c r="F171" s="119"/>
      <c r="G171" s="177"/>
      <c r="H171" s="167">
        <v>3517119</v>
      </c>
      <c r="I171" s="162">
        <v>1523260</v>
      </c>
      <c r="J171" s="52">
        <f>+SUM(C171:G171)-(H171+I171)</f>
        <v>834616</v>
      </c>
      <c r="K171" s="188"/>
    </row>
    <row r="172" spans="1:11">
      <c r="A172" s="50" t="s">
        <v>75</v>
      </c>
      <c r="B172" s="31"/>
      <c r="C172" s="42"/>
      <c r="D172" s="31"/>
      <c r="E172" s="31"/>
      <c r="F172" s="31"/>
      <c r="G172" s="31"/>
      <c r="H172" s="31"/>
      <c r="I172" s="31"/>
      <c r="J172" s="43"/>
    </row>
    <row r="173" spans="1:11">
      <c r="A173" s="158" t="s">
        <v>131</v>
      </c>
      <c r="B173" s="44" t="s">
        <v>76</v>
      </c>
      <c r="C173" s="161" t="e">
        <f>#REF!</f>
        <v>#REF!</v>
      </c>
      <c r="D173" s="168">
        <v>10380044</v>
      </c>
      <c r="E173" s="58"/>
      <c r="F173" s="58"/>
      <c r="G173" s="58"/>
      <c r="H173" s="60">
        <v>5500000</v>
      </c>
      <c r="I173" s="62">
        <v>277455</v>
      </c>
      <c r="J173" s="52" t="e">
        <f>+SUM(C173:G173)-(H173+I173)</f>
        <v>#REF!</v>
      </c>
      <c r="K173" s="188"/>
    </row>
    <row r="174" spans="1:11">
      <c r="A174" s="158" t="s">
        <v>131</v>
      </c>
      <c r="B174" s="44" t="s">
        <v>77</v>
      </c>
      <c r="C174" s="161">
        <f>C27</f>
        <v>27200</v>
      </c>
      <c r="D174" s="58"/>
      <c r="E174" s="57"/>
      <c r="F174" s="57"/>
      <c r="G174" s="57"/>
      <c r="H174" s="39">
        <v>372000</v>
      </c>
      <c r="I174" s="59">
        <v>4601760</v>
      </c>
      <c r="J174" s="52">
        <f>SUM(C174:G174)-(H174+I174)</f>
        <v>-4946560</v>
      </c>
      <c r="K174" s="188"/>
    </row>
    <row r="175" spans="1:11" ht="15.75">
      <c r="C175" s="182" t="e">
        <f>SUM(C155:C174)</f>
        <v>#REF!</v>
      </c>
      <c r="I175" s="179">
        <f>SUM(I155:I174)</f>
        <v>9282325</v>
      </c>
      <c r="J175" s="121" t="e">
        <f>+SUM(J155:J174)</f>
        <v>#REF!</v>
      </c>
    </row>
    <row r="176" spans="1:11" ht="16.5">
      <c r="A176" s="20"/>
      <c r="B176" s="21"/>
      <c r="C176" s="18"/>
      <c r="D176" s="18"/>
      <c r="E176" s="19"/>
      <c r="F176" s="18"/>
      <c r="G176" s="18"/>
      <c r="H176" s="18"/>
      <c r="I176" s="18"/>
    </row>
    <row r="177" spans="1:11">
      <c r="A177" s="22" t="s">
        <v>65</v>
      </c>
      <c r="B177" s="22"/>
      <c r="C177" s="22"/>
      <c r="D177" s="23"/>
      <c r="E177" s="23"/>
      <c r="F177" s="23"/>
      <c r="G177" s="23"/>
      <c r="H177" s="23"/>
      <c r="I177" s="23"/>
    </row>
    <row r="178" spans="1:11">
      <c r="A178" s="24" t="s">
        <v>125</v>
      </c>
      <c r="B178" s="24"/>
      <c r="C178" s="24"/>
      <c r="D178" s="24"/>
      <c r="E178" s="24"/>
      <c r="F178" s="24"/>
      <c r="G178" s="24"/>
      <c r="H178" s="24"/>
      <c r="I178" s="24"/>
      <c r="J178" s="23"/>
    </row>
    <row r="179" spans="1:11">
      <c r="A179" s="25"/>
      <c r="B179" s="26"/>
      <c r="C179" s="27"/>
      <c r="D179" s="27"/>
      <c r="E179" s="27"/>
      <c r="F179" s="27"/>
      <c r="G179" s="27"/>
      <c r="H179" s="26"/>
      <c r="I179" s="26"/>
      <c r="J179" s="24"/>
    </row>
    <row r="180" spans="1:11">
      <c r="A180" s="253" t="s">
        <v>66</v>
      </c>
      <c r="B180" s="255" t="s">
        <v>67</v>
      </c>
      <c r="C180" s="257" t="s">
        <v>126</v>
      </c>
      <c r="D180" s="259" t="s">
        <v>68</v>
      </c>
      <c r="E180" s="260"/>
      <c r="F180" s="260"/>
      <c r="G180" s="261"/>
      <c r="H180" s="262" t="s">
        <v>69</v>
      </c>
      <c r="I180" s="249" t="s">
        <v>70</v>
      </c>
      <c r="J180" s="26"/>
    </row>
    <row r="181" spans="1:11">
      <c r="A181" s="254"/>
      <c r="B181" s="256"/>
      <c r="C181" s="258"/>
      <c r="D181" s="28" t="s">
        <v>31</v>
      </c>
      <c r="E181" s="28" t="s">
        <v>34</v>
      </c>
      <c r="F181" s="181" t="s">
        <v>128</v>
      </c>
      <c r="G181" s="28" t="s">
        <v>71</v>
      </c>
      <c r="H181" s="263"/>
      <c r="I181" s="250"/>
      <c r="J181" s="251" t="s">
        <v>127</v>
      </c>
    </row>
    <row r="182" spans="1:11">
      <c r="A182" s="30"/>
      <c r="B182" s="31" t="s">
        <v>72</v>
      </c>
      <c r="C182" s="32"/>
      <c r="D182" s="32"/>
      <c r="E182" s="32"/>
      <c r="F182" s="32"/>
      <c r="G182" s="32"/>
      <c r="H182" s="32"/>
      <c r="I182" s="33"/>
      <c r="J182" s="252"/>
    </row>
    <row r="183" spans="1:11">
      <c r="A183" s="158" t="s">
        <v>124</v>
      </c>
      <c r="B183" s="163" t="s">
        <v>90</v>
      </c>
      <c r="C183" s="39">
        <v>-11330</v>
      </c>
      <c r="D183" s="38"/>
      <c r="E183" s="39">
        <v>201400</v>
      </c>
      <c r="F183" s="39">
        <v>184300</v>
      </c>
      <c r="G183" s="39"/>
      <c r="H183" s="64"/>
      <c r="I183" s="39">
        <v>370700</v>
      </c>
      <c r="J183" s="37">
        <f>+SUM(C183:G183)-(H183+I183)</f>
        <v>3670</v>
      </c>
      <c r="K183" s="78"/>
    </row>
    <row r="184" spans="1:11">
      <c r="A184" s="158" t="s">
        <v>124</v>
      </c>
      <c r="B184" s="163" t="s">
        <v>60</v>
      </c>
      <c r="C184" s="39">
        <v>8260</v>
      </c>
      <c r="D184" s="38"/>
      <c r="E184" s="39">
        <v>357900</v>
      </c>
      <c r="F184" s="39"/>
      <c r="G184" s="39"/>
      <c r="H184" s="64">
        <v>50000</v>
      </c>
      <c r="I184" s="39">
        <v>316700</v>
      </c>
      <c r="J184" s="37">
        <f t="shared" ref="J184:J185" si="34">+SUM(C184:G184)-(H184+I184)</f>
        <v>-540</v>
      </c>
      <c r="K184" s="78"/>
    </row>
    <row r="185" spans="1:11">
      <c r="A185" s="158" t="s">
        <v>124</v>
      </c>
      <c r="B185" s="163" t="s">
        <v>40</v>
      </c>
      <c r="C185" s="39">
        <v>3795</v>
      </c>
      <c r="D185" s="38"/>
      <c r="E185" s="39">
        <v>20000</v>
      </c>
      <c r="F185" s="39"/>
      <c r="G185" s="39"/>
      <c r="H185" s="39"/>
      <c r="I185" s="39">
        <v>21400</v>
      </c>
      <c r="J185" s="116">
        <f t="shared" si="34"/>
        <v>2395</v>
      </c>
      <c r="K185" s="78"/>
    </row>
    <row r="186" spans="1:11">
      <c r="A186" s="158" t="s">
        <v>124</v>
      </c>
      <c r="B186" s="163" t="s">
        <v>91</v>
      </c>
      <c r="C186" s="39">
        <v>-83100</v>
      </c>
      <c r="D186" s="120"/>
      <c r="E186" s="39">
        <v>699200</v>
      </c>
      <c r="F186" s="39"/>
      <c r="G186" s="39"/>
      <c r="H186" s="39"/>
      <c r="I186" s="39">
        <v>520000</v>
      </c>
      <c r="J186" s="116">
        <f>+SUM(C186:G186)-(H186+I186)</f>
        <v>96100</v>
      </c>
      <c r="K186" s="78"/>
    </row>
    <row r="187" spans="1:11">
      <c r="A187" s="158" t="s">
        <v>124</v>
      </c>
      <c r="B187" s="163" t="s">
        <v>82</v>
      </c>
      <c r="C187" s="39">
        <v>1784</v>
      </c>
      <c r="D187" s="120"/>
      <c r="E187" s="39">
        <v>568600</v>
      </c>
      <c r="F187" s="39">
        <v>50000</v>
      </c>
      <c r="G187" s="39"/>
      <c r="H187" s="39">
        <v>184300</v>
      </c>
      <c r="I187" s="39">
        <v>422200</v>
      </c>
      <c r="J187" s="116">
        <f t="shared" ref="J187" si="35">+SUM(C187:G187)-(H187+I187)</f>
        <v>13884</v>
      </c>
      <c r="K187" s="78"/>
    </row>
    <row r="188" spans="1:11">
      <c r="A188" s="158" t="s">
        <v>124</v>
      </c>
      <c r="B188" s="164" t="s">
        <v>39</v>
      </c>
      <c r="C188" s="39">
        <v>88800</v>
      </c>
      <c r="D188" s="155"/>
      <c r="E188" s="60">
        <v>694600</v>
      </c>
      <c r="F188" s="60"/>
      <c r="G188" s="60"/>
      <c r="H188" s="60"/>
      <c r="I188" s="60">
        <v>711000</v>
      </c>
      <c r="J188" s="160">
        <f>+SUM(C188:G188)-(H188+I188)</f>
        <v>72400</v>
      </c>
      <c r="K188" s="78"/>
    </row>
    <row r="189" spans="1:11">
      <c r="A189" s="158" t="s">
        <v>124</v>
      </c>
      <c r="B189" s="165" t="s">
        <v>98</v>
      </c>
      <c r="C189" s="156">
        <v>233614</v>
      </c>
      <c r="D189" s="159"/>
      <c r="E189" s="175"/>
      <c r="F189" s="175"/>
      <c r="G189" s="175"/>
      <c r="H189" s="175"/>
      <c r="I189" s="175"/>
      <c r="J189" s="157">
        <f>+SUM(C189:G189)-(H189+I189)</f>
        <v>233614</v>
      </c>
      <c r="K189" s="78"/>
    </row>
    <row r="190" spans="1:11">
      <c r="A190" s="158" t="s">
        <v>124</v>
      </c>
      <c r="B190" s="165" t="s">
        <v>97</v>
      </c>
      <c r="C190" s="156">
        <v>249769</v>
      </c>
      <c r="D190" s="159"/>
      <c r="E190" s="175"/>
      <c r="F190" s="175"/>
      <c r="G190" s="175"/>
      <c r="H190" s="175"/>
      <c r="I190" s="175"/>
      <c r="J190" s="157">
        <f t="shared" ref="J190:J194" si="36">+SUM(C190:G190)-(H190+I190)</f>
        <v>249769</v>
      </c>
      <c r="K190" s="78"/>
    </row>
    <row r="191" spans="1:11">
      <c r="A191" s="158" t="s">
        <v>124</v>
      </c>
      <c r="B191" s="163" t="s">
        <v>46</v>
      </c>
      <c r="C191" s="39">
        <v>7890</v>
      </c>
      <c r="D191" s="38"/>
      <c r="E191" s="39">
        <v>135600</v>
      </c>
      <c r="F191" s="120"/>
      <c r="G191" s="120"/>
      <c r="H191" s="120"/>
      <c r="I191" s="39">
        <v>125000</v>
      </c>
      <c r="J191" s="37">
        <f t="shared" si="36"/>
        <v>18490</v>
      </c>
      <c r="K191" s="78"/>
    </row>
    <row r="192" spans="1:11">
      <c r="A192" s="158" t="s">
        <v>124</v>
      </c>
      <c r="B192" s="163" t="s">
        <v>108</v>
      </c>
      <c r="C192" s="39">
        <v>5000</v>
      </c>
      <c r="D192" s="38"/>
      <c r="E192" s="39">
        <v>30000</v>
      </c>
      <c r="F192" s="120"/>
      <c r="G192" s="120"/>
      <c r="H192" s="120"/>
      <c r="I192" s="39">
        <v>30500</v>
      </c>
      <c r="J192" s="37">
        <f t="shared" si="36"/>
        <v>4500</v>
      </c>
      <c r="K192" s="78"/>
    </row>
    <row r="193" spans="1:11">
      <c r="A193" s="158" t="s">
        <v>124</v>
      </c>
      <c r="B193" s="163" t="s">
        <v>38</v>
      </c>
      <c r="C193" s="39">
        <v>57700</v>
      </c>
      <c r="D193" s="38"/>
      <c r="E193" s="39">
        <v>639000</v>
      </c>
      <c r="F193" s="120"/>
      <c r="G193" s="120"/>
      <c r="H193" s="120"/>
      <c r="I193" s="39">
        <v>652500</v>
      </c>
      <c r="J193" s="37">
        <f t="shared" si="36"/>
        <v>44200</v>
      </c>
      <c r="K193" s="78"/>
    </row>
    <row r="194" spans="1:11">
      <c r="A194" s="158" t="s">
        <v>124</v>
      </c>
      <c r="B194" s="163" t="s">
        <v>109</v>
      </c>
      <c r="C194" s="39">
        <v>-32081</v>
      </c>
      <c r="D194" s="38"/>
      <c r="E194" s="120"/>
      <c r="F194" s="120"/>
      <c r="G194" s="120"/>
      <c r="H194" s="120"/>
      <c r="I194" s="39">
        <v>819628</v>
      </c>
      <c r="J194" s="37">
        <f t="shared" si="36"/>
        <v>-851709</v>
      </c>
      <c r="K194" s="78"/>
    </row>
    <row r="195" spans="1:11">
      <c r="A195" s="158" t="s">
        <v>124</v>
      </c>
      <c r="B195" s="163" t="s">
        <v>116</v>
      </c>
      <c r="C195" s="39">
        <v>62000</v>
      </c>
      <c r="D195" s="38"/>
      <c r="E195" s="39">
        <v>622600</v>
      </c>
      <c r="F195" s="120"/>
      <c r="G195" s="120"/>
      <c r="H195" s="120"/>
      <c r="I195" s="39">
        <v>594300</v>
      </c>
      <c r="J195" s="37">
        <f>+SUM(C195:G195)-(H195+I195)</f>
        <v>90300</v>
      </c>
      <c r="K195" s="78"/>
    </row>
    <row r="196" spans="1:11">
      <c r="A196" s="158" t="s">
        <v>124</v>
      </c>
      <c r="B196" s="164" t="s">
        <v>41</v>
      </c>
      <c r="C196" s="39">
        <v>4300</v>
      </c>
      <c r="D196" s="155"/>
      <c r="E196" s="174"/>
      <c r="F196" s="174"/>
      <c r="G196" s="176"/>
      <c r="H196" s="174"/>
      <c r="I196" s="60">
        <v>4000</v>
      </c>
      <c r="J196" s="37">
        <f t="shared" ref="J196" si="37">+SUM(C196:G196)-(H196+I196)</f>
        <v>300</v>
      </c>
      <c r="K196" s="78"/>
    </row>
    <row r="197" spans="1:11">
      <c r="A197" s="41" t="s">
        <v>73</v>
      </c>
      <c r="B197" s="42"/>
      <c r="C197" s="42"/>
      <c r="D197" s="42"/>
      <c r="E197" s="42"/>
      <c r="F197" s="42"/>
      <c r="G197" s="42"/>
      <c r="H197" s="42"/>
      <c r="I197" s="42"/>
      <c r="J197" s="43"/>
      <c r="K197" s="78"/>
    </row>
    <row r="198" spans="1:11">
      <c r="A198" s="158" t="s">
        <v>124</v>
      </c>
      <c r="B198" s="44" t="s">
        <v>74</v>
      </c>
      <c r="C198" s="45">
        <v>62150</v>
      </c>
      <c r="D198" s="58">
        <v>5500000</v>
      </c>
      <c r="E198" s="119"/>
      <c r="F198" s="119"/>
      <c r="G198" s="177"/>
      <c r="H198" s="167">
        <v>3968900</v>
      </c>
      <c r="I198" s="162">
        <v>1276534</v>
      </c>
      <c r="J198" s="52">
        <f>+SUM(C198:G198)-(H198+I198)</f>
        <v>316716</v>
      </c>
      <c r="K198" s="78"/>
    </row>
    <row r="199" spans="1:11">
      <c r="A199" s="50" t="s">
        <v>75</v>
      </c>
      <c r="B199" s="31"/>
      <c r="C199" s="42"/>
      <c r="D199" s="31"/>
      <c r="E199" s="31"/>
      <c r="F199" s="31"/>
      <c r="G199" s="31"/>
      <c r="H199" s="31"/>
      <c r="I199" s="31"/>
      <c r="J199" s="43"/>
    </row>
    <row r="200" spans="1:11">
      <c r="A200" s="158" t="s">
        <v>124</v>
      </c>
      <c r="B200" s="44" t="s">
        <v>76</v>
      </c>
      <c r="C200" s="161">
        <v>11284555</v>
      </c>
      <c r="D200" s="168"/>
      <c r="E200" s="58"/>
      <c r="F200" s="58"/>
      <c r="G200" s="58"/>
      <c r="H200" s="60">
        <v>5500000</v>
      </c>
      <c r="I200" s="62">
        <v>273881</v>
      </c>
      <c r="J200" s="52">
        <f>+SUM(C200:G200)-(H200+I200)</f>
        <v>5510674</v>
      </c>
      <c r="K200" s="78"/>
    </row>
    <row r="201" spans="1:11">
      <c r="A201" s="158" t="s">
        <v>124</v>
      </c>
      <c r="B201" s="44" t="s">
        <v>77</v>
      </c>
      <c r="C201" s="161">
        <v>2158645</v>
      </c>
      <c r="D201" s="58">
        <v>15435980</v>
      </c>
      <c r="E201" s="57"/>
      <c r="F201" s="57"/>
      <c r="G201" s="57"/>
      <c r="H201" s="39"/>
      <c r="I201" s="59">
        <v>6400961</v>
      </c>
      <c r="J201" s="52">
        <f>SUM(C201:G201)-(H201+I201)</f>
        <v>11193664</v>
      </c>
      <c r="K201" s="78"/>
    </row>
    <row r="202" spans="1:11" ht="15.75">
      <c r="C202" s="182">
        <f>SUM(C183:C201)</f>
        <v>14101751</v>
      </c>
      <c r="I202" s="179">
        <f>SUM(I183:I201)</f>
        <v>12539304</v>
      </c>
      <c r="J202" s="121">
        <f>+SUM(J183:J201)</f>
        <v>16998427</v>
      </c>
    </row>
    <row r="203" spans="1:11" ht="16.5">
      <c r="A203" s="16"/>
      <c r="B203" s="17"/>
      <c r="C203" s="18"/>
      <c r="D203" s="18"/>
      <c r="E203" s="18"/>
      <c r="F203" s="18"/>
      <c r="G203" s="18"/>
      <c r="H203" s="18"/>
      <c r="I203" s="18"/>
      <c r="J203" s="169"/>
    </row>
    <row r="204" spans="1:11" ht="16.5">
      <c r="A204" s="20"/>
      <c r="B204" s="21"/>
      <c r="C204" s="18"/>
      <c r="D204" s="18"/>
      <c r="E204" s="19"/>
      <c r="F204" s="18"/>
      <c r="G204" s="18"/>
      <c r="H204" s="18"/>
      <c r="I204" s="18"/>
    </row>
    <row r="205" spans="1:11">
      <c r="A205" s="22" t="s">
        <v>65</v>
      </c>
      <c r="B205" s="22"/>
      <c r="C205" s="22"/>
      <c r="D205" s="23"/>
      <c r="E205" s="23"/>
      <c r="F205" s="23"/>
      <c r="G205" s="23"/>
      <c r="H205" s="23"/>
      <c r="I205" s="23"/>
    </row>
    <row r="206" spans="1:11">
      <c r="A206" s="24" t="s">
        <v>122</v>
      </c>
      <c r="B206" s="24"/>
      <c r="C206" s="24"/>
      <c r="D206" s="24"/>
      <c r="E206" s="24"/>
      <c r="F206" s="24"/>
      <c r="G206" s="24"/>
      <c r="H206" s="24"/>
      <c r="I206" s="24"/>
      <c r="J206" s="23"/>
    </row>
    <row r="207" spans="1:11">
      <c r="A207" s="25"/>
      <c r="B207" s="26"/>
      <c r="C207" s="27"/>
      <c r="D207" s="27"/>
      <c r="E207" s="27"/>
      <c r="F207" s="27"/>
      <c r="G207" s="27"/>
      <c r="H207" s="26"/>
      <c r="I207" s="26"/>
      <c r="J207" s="24"/>
    </row>
    <row r="208" spans="1:11">
      <c r="A208" s="253" t="s">
        <v>66</v>
      </c>
      <c r="B208" s="255" t="s">
        <v>67</v>
      </c>
      <c r="C208" s="257" t="s">
        <v>120</v>
      </c>
      <c r="D208" s="259" t="s">
        <v>68</v>
      </c>
      <c r="E208" s="260"/>
      <c r="F208" s="260"/>
      <c r="G208" s="261"/>
      <c r="H208" s="262" t="s">
        <v>69</v>
      </c>
      <c r="I208" s="249" t="s">
        <v>70</v>
      </c>
      <c r="J208" s="26"/>
    </row>
    <row r="209" spans="1:11">
      <c r="A209" s="254"/>
      <c r="B209" s="256"/>
      <c r="C209" s="258"/>
      <c r="D209" s="28" t="s">
        <v>31</v>
      </c>
      <c r="E209" s="28" t="s">
        <v>34</v>
      </c>
      <c r="F209" s="171" t="s">
        <v>123</v>
      </c>
      <c r="G209" s="28" t="s">
        <v>71</v>
      </c>
      <c r="H209" s="263"/>
      <c r="I209" s="250"/>
      <c r="J209" s="251" t="s">
        <v>121</v>
      </c>
    </row>
    <row r="210" spans="1:11">
      <c r="A210" s="30"/>
      <c r="B210" s="31" t="s">
        <v>72</v>
      </c>
      <c r="C210" s="32"/>
      <c r="D210" s="32"/>
      <c r="E210" s="32"/>
      <c r="F210" s="32"/>
      <c r="G210" s="32"/>
      <c r="H210" s="32"/>
      <c r="I210" s="33"/>
      <c r="J210" s="252"/>
    </row>
    <row r="211" spans="1:11">
      <c r="A211" s="158" t="s">
        <v>119</v>
      </c>
      <c r="B211" s="163" t="s">
        <v>90</v>
      </c>
      <c r="C211" s="39">
        <v>22200</v>
      </c>
      <c r="D211" s="38"/>
      <c r="E211" s="39">
        <v>439970</v>
      </c>
      <c r="F211" s="120"/>
      <c r="G211" s="120"/>
      <c r="H211" s="173"/>
      <c r="I211" s="39">
        <v>473500</v>
      </c>
      <c r="J211" s="37">
        <f>+SUM(C211:G211)-(H211+I211)</f>
        <v>-11330</v>
      </c>
      <c r="K211" s="78"/>
    </row>
    <row r="212" spans="1:11">
      <c r="A212" s="158" t="s">
        <v>119</v>
      </c>
      <c r="B212" s="163" t="s">
        <v>60</v>
      </c>
      <c r="C212" s="39">
        <v>3060</v>
      </c>
      <c r="D212" s="38"/>
      <c r="E212" s="39">
        <v>157200</v>
      </c>
      <c r="F212" s="39"/>
      <c r="G212" s="39"/>
      <c r="H212" s="64"/>
      <c r="I212" s="39">
        <v>152000</v>
      </c>
      <c r="J212" s="37">
        <f t="shared" ref="J212:J213" si="38">+SUM(C212:G212)-(H212+I212)</f>
        <v>8260</v>
      </c>
      <c r="K212" s="78"/>
    </row>
    <row r="213" spans="1:11">
      <c r="A213" s="158" t="s">
        <v>119</v>
      </c>
      <c r="B213" s="163" t="s">
        <v>40</v>
      </c>
      <c r="C213" s="39">
        <v>3795</v>
      </c>
      <c r="D213" s="38"/>
      <c r="E213" s="39">
        <v>45000</v>
      </c>
      <c r="F213" s="39"/>
      <c r="G213" s="39"/>
      <c r="H213" s="39"/>
      <c r="I213" s="39">
        <v>45000</v>
      </c>
      <c r="J213" s="116">
        <f t="shared" si="38"/>
        <v>3795</v>
      </c>
      <c r="K213" s="78"/>
    </row>
    <row r="214" spans="1:11">
      <c r="A214" s="158" t="s">
        <v>119</v>
      </c>
      <c r="B214" s="163" t="s">
        <v>91</v>
      </c>
      <c r="C214" s="39">
        <v>2300</v>
      </c>
      <c r="D214" s="120"/>
      <c r="E214" s="39">
        <v>266600</v>
      </c>
      <c r="F214" s="39">
        <v>159900</v>
      </c>
      <c r="G214" s="39"/>
      <c r="H214" s="39">
        <v>25000</v>
      </c>
      <c r="I214" s="39">
        <v>486900</v>
      </c>
      <c r="J214" s="116">
        <f>+SUM(C214:G214)-(H214+I214)</f>
        <v>-83100</v>
      </c>
      <c r="K214" s="78"/>
    </row>
    <row r="215" spans="1:11">
      <c r="A215" s="158" t="s">
        <v>119</v>
      </c>
      <c r="B215" s="163" t="s">
        <v>82</v>
      </c>
      <c r="C215" s="39">
        <v>-14216</v>
      </c>
      <c r="D215" s="120"/>
      <c r="E215" s="39">
        <v>622600</v>
      </c>
      <c r="F215" s="39">
        <v>25000</v>
      </c>
      <c r="G215" s="39"/>
      <c r="H215" s="39">
        <v>260700</v>
      </c>
      <c r="I215" s="39">
        <v>370900</v>
      </c>
      <c r="J215" s="116">
        <f>+SUM(C215:G215)-(H215+I215)</f>
        <v>1784</v>
      </c>
      <c r="K215" s="78"/>
    </row>
    <row r="216" spans="1:11">
      <c r="A216" s="158" t="s">
        <v>119</v>
      </c>
      <c r="B216" s="164" t="s">
        <v>39</v>
      </c>
      <c r="C216" s="60">
        <v>143300</v>
      </c>
      <c r="D216" s="155"/>
      <c r="E216" s="60">
        <v>466500</v>
      </c>
      <c r="F216" s="174"/>
      <c r="G216" s="174"/>
      <c r="H216" s="174"/>
      <c r="I216" s="60">
        <v>521000</v>
      </c>
      <c r="J216" s="160">
        <f>+SUM(C216:G216)-(H216+I216)</f>
        <v>88800</v>
      </c>
      <c r="K216" s="78"/>
    </row>
    <row r="217" spans="1:11">
      <c r="A217" s="158" t="s">
        <v>119</v>
      </c>
      <c r="B217" s="165" t="s">
        <v>98</v>
      </c>
      <c r="C217" s="156">
        <v>233614</v>
      </c>
      <c r="D217" s="159"/>
      <c r="E217" s="175"/>
      <c r="F217" s="175"/>
      <c r="G217" s="175"/>
      <c r="H217" s="175"/>
      <c r="I217" s="175"/>
      <c r="J217" s="157">
        <f>+SUM(C217:G217)-(H217+I217)</f>
        <v>233614</v>
      </c>
      <c r="K217" s="78"/>
    </row>
    <row r="218" spans="1:11">
      <c r="A218" s="158" t="s">
        <v>119</v>
      </c>
      <c r="B218" s="165" t="s">
        <v>97</v>
      </c>
      <c r="C218" s="156">
        <v>249768</v>
      </c>
      <c r="D218" s="159"/>
      <c r="E218" s="175"/>
      <c r="F218" s="175"/>
      <c r="G218" s="175"/>
      <c r="H218" s="175"/>
      <c r="I218" s="175"/>
      <c r="J218" s="157">
        <f t="shared" ref="J218:J224" si="39">+SUM(C218:G218)-(H218+I218)</f>
        <v>249768</v>
      </c>
      <c r="K218" s="78"/>
    </row>
    <row r="219" spans="1:11">
      <c r="A219" s="158" t="s">
        <v>119</v>
      </c>
      <c r="B219" s="163" t="s">
        <v>46</v>
      </c>
      <c r="C219" s="39">
        <v>55090</v>
      </c>
      <c r="D219" s="38"/>
      <c r="E219" s="39">
        <v>143000</v>
      </c>
      <c r="F219" s="39">
        <v>70800</v>
      </c>
      <c r="G219" s="120"/>
      <c r="H219" s="120"/>
      <c r="I219" s="39">
        <v>261000</v>
      </c>
      <c r="J219" s="37">
        <f t="shared" si="39"/>
        <v>7890</v>
      </c>
      <c r="K219" s="78"/>
    </row>
    <row r="220" spans="1:11">
      <c r="A220" s="158" t="s">
        <v>119</v>
      </c>
      <c r="B220" s="163" t="s">
        <v>108</v>
      </c>
      <c r="C220" s="39">
        <v>0</v>
      </c>
      <c r="D220" s="38"/>
      <c r="E220" s="39">
        <v>30000</v>
      </c>
      <c r="F220" s="120"/>
      <c r="G220" s="120"/>
      <c r="H220" s="120"/>
      <c r="I220" s="39">
        <v>25000</v>
      </c>
      <c r="J220" s="37">
        <f t="shared" si="39"/>
        <v>5000</v>
      </c>
      <c r="K220" s="78"/>
    </row>
    <row r="221" spans="1:11">
      <c r="A221" s="158" t="s">
        <v>119</v>
      </c>
      <c r="B221" s="163" t="s">
        <v>38</v>
      </c>
      <c r="C221" s="39">
        <v>110700</v>
      </c>
      <c r="D221" s="38"/>
      <c r="E221" s="39">
        <v>375000</v>
      </c>
      <c r="F221" s="39">
        <v>30000</v>
      </c>
      <c r="G221" s="120"/>
      <c r="H221" s="120"/>
      <c r="I221" s="39">
        <v>458000</v>
      </c>
      <c r="J221" s="37">
        <f t="shared" si="39"/>
        <v>57700</v>
      </c>
      <c r="K221" s="78"/>
    </row>
    <row r="222" spans="1:11">
      <c r="A222" s="158" t="s">
        <v>119</v>
      </c>
      <c r="B222" s="163" t="s">
        <v>109</v>
      </c>
      <c r="C222" s="39">
        <v>-32081</v>
      </c>
      <c r="D222" s="38"/>
      <c r="E222" s="120">
        <v>0</v>
      </c>
      <c r="F222" s="120"/>
      <c r="G222" s="120"/>
      <c r="H222" s="120"/>
      <c r="I222" s="120">
        <v>0</v>
      </c>
      <c r="J222" s="37">
        <f t="shared" si="39"/>
        <v>-32081</v>
      </c>
      <c r="K222" s="78"/>
    </row>
    <row r="223" spans="1:11">
      <c r="A223" s="158" t="s">
        <v>119</v>
      </c>
      <c r="B223" s="163" t="s">
        <v>116</v>
      </c>
      <c r="C223" s="39">
        <v>0</v>
      </c>
      <c r="D223" s="38"/>
      <c r="E223" s="39">
        <v>82000</v>
      </c>
      <c r="F223" s="120"/>
      <c r="G223" s="120"/>
      <c r="H223" s="120"/>
      <c r="I223" s="39">
        <v>20000</v>
      </c>
      <c r="J223" s="37">
        <f>+SUM(C223:G223)-(H223+I223)</f>
        <v>62000</v>
      </c>
      <c r="K223" s="78"/>
    </row>
    <row r="224" spans="1:11">
      <c r="A224" s="158" t="s">
        <v>119</v>
      </c>
      <c r="B224" s="164" t="s">
        <v>41</v>
      </c>
      <c r="C224" s="60">
        <v>7300</v>
      </c>
      <c r="D224" s="155"/>
      <c r="E224" s="174"/>
      <c r="F224" s="174"/>
      <c r="G224" s="176"/>
      <c r="H224" s="174"/>
      <c r="I224" s="60">
        <v>3000</v>
      </c>
      <c r="J224" s="37">
        <f t="shared" si="39"/>
        <v>4300</v>
      </c>
      <c r="K224" s="78"/>
    </row>
    <row r="225" spans="1:11">
      <c r="A225" s="41" t="s">
        <v>73</v>
      </c>
      <c r="B225" s="42"/>
      <c r="C225" s="42"/>
      <c r="D225" s="42"/>
      <c r="E225" s="42"/>
      <c r="F225" s="42"/>
      <c r="G225" s="42"/>
      <c r="H225" s="42"/>
      <c r="I225" s="42"/>
      <c r="J225" s="43"/>
      <c r="K225" s="78"/>
    </row>
    <row r="226" spans="1:11">
      <c r="A226" s="158" t="s">
        <v>119</v>
      </c>
      <c r="B226" s="44" t="s">
        <v>74</v>
      </c>
      <c r="C226" s="45">
        <v>817769</v>
      </c>
      <c r="D226" s="58">
        <v>3000000</v>
      </c>
      <c r="E226" s="119"/>
      <c r="F226" s="119"/>
      <c r="G226" s="177"/>
      <c r="H226" s="167">
        <v>2627870</v>
      </c>
      <c r="I226" s="162">
        <v>1127749</v>
      </c>
      <c r="J226" s="52">
        <f>+SUM(C226:G226)-(H226+I226)</f>
        <v>62150</v>
      </c>
      <c r="K226" s="78"/>
    </row>
    <row r="227" spans="1:11">
      <c r="A227" s="50" t="s">
        <v>75</v>
      </c>
      <c r="B227" s="31"/>
      <c r="C227" s="42"/>
      <c r="D227" s="31"/>
      <c r="E227" s="31"/>
      <c r="F227" s="31"/>
      <c r="G227" s="31"/>
      <c r="H227" s="31"/>
      <c r="I227" s="31"/>
      <c r="J227" s="43"/>
    </row>
    <row r="228" spans="1:11">
      <c r="A228" s="158" t="s">
        <v>119</v>
      </c>
      <c r="B228" s="44" t="s">
        <v>76</v>
      </c>
      <c r="C228" s="161">
        <v>14712920</v>
      </c>
      <c r="D228" s="168"/>
      <c r="E228" s="58"/>
      <c r="F228" s="58"/>
      <c r="G228" s="58"/>
      <c r="H228" s="60">
        <v>3000000</v>
      </c>
      <c r="I228" s="62">
        <v>428365</v>
      </c>
      <c r="J228" s="52">
        <f>+SUM(C228:G228)-(H228+I228)</f>
        <v>11284555</v>
      </c>
      <c r="K228" s="78"/>
    </row>
    <row r="229" spans="1:11">
      <c r="A229" s="158" t="s">
        <v>119</v>
      </c>
      <c r="B229" s="44" t="s">
        <v>77</v>
      </c>
      <c r="C229" s="161">
        <v>8361083</v>
      </c>
      <c r="D229" s="58"/>
      <c r="E229" s="57"/>
      <c r="F229" s="57"/>
      <c r="G229" s="57"/>
      <c r="H229" s="39"/>
      <c r="I229" s="59">
        <v>6202438</v>
      </c>
      <c r="J229" s="52">
        <f>SUM(C229:G229)-(H229+I229)</f>
        <v>2158645</v>
      </c>
      <c r="K229" s="78"/>
    </row>
    <row r="230" spans="1:11" ht="15.75">
      <c r="C230" s="15"/>
      <c r="I230" s="179">
        <f>SUM(I211:I229)</f>
        <v>10574852</v>
      </c>
      <c r="J230" s="121">
        <f>+SUM(J211:J229)</f>
        <v>14101750</v>
      </c>
      <c r="K230" s="15">
        <f>J230-C202</f>
        <v>-1</v>
      </c>
    </row>
    <row r="231" spans="1:11" ht="16.5">
      <c r="A231" s="16"/>
      <c r="B231" s="17"/>
      <c r="C231" s="18"/>
      <c r="D231" s="18"/>
      <c r="E231" s="18"/>
      <c r="F231" s="18"/>
      <c r="G231" s="18"/>
      <c r="H231" s="18"/>
      <c r="I231" s="18"/>
      <c r="J231" s="169"/>
    </row>
    <row r="232" spans="1:11">
      <c r="A232" s="22" t="s">
        <v>65</v>
      </c>
      <c r="B232" s="22"/>
      <c r="C232" s="22"/>
      <c r="D232" s="23"/>
      <c r="E232" s="23"/>
      <c r="F232" s="23"/>
      <c r="G232" s="23"/>
      <c r="H232" s="23"/>
      <c r="I232" s="23"/>
    </row>
    <row r="233" spans="1:11">
      <c r="A233" s="24" t="s">
        <v>110</v>
      </c>
      <c r="B233" s="24"/>
      <c r="C233" s="24"/>
      <c r="D233" s="24"/>
      <c r="E233" s="24"/>
      <c r="F233" s="24"/>
      <c r="G233" s="24"/>
      <c r="H233" s="24"/>
      <c r="I233" s="24"/>
      <c r="J233" s="23"/>
    </row>
    <row r="234" spans="1:11">
      <c r="A234" s="25"/>
      <c r="B234" s="26"/>
      <c r="C234" s="27"/>
      <c r="D234" s="27"/>
      <c r="E234" s="27"/>
      <c r="F234" s="27"/>
      <c r="G234" s="27"/>
      <c r="H234" s="26"/>
      <c r="I234" s="26"/>
      <c r="J234" s="24"/>
    </row>
    <row r="235" spans="1:11" ht="15" customHeight="1">
      <c r="A235" s="253" t="s">
        <v>66</v>
      </c>
      <c r="B235" s="255" t="s">
        <v>67</v>
      </c>
      <c r="C235" s="257" t="s">
        <v>111</v>
      </c>
      <c r="D235" s="259" t="s">
        <v>68</v>
      </c>
      <c r="E235" s="260"/>
      <c r="F235" s="260"/>
      <c r="G235" s="261"/>
      <c r="H235" s="262" t="s">
        <v>69</v>
      </c>
      <c r="I235" s="249" t="s">
        <v>70</v>
      </c>
      <c r="J235" s="26"/>
    </row>
    <row r="236" spans="1:11" ht="15" customHeight="1">
      <c r="A236" s="254"/>
      <c r="B236" s="256"/>
      <c r="C236" s="258"/>
      <c r="D236" s="28" t="s">
        <v>31</v>
      </c>
      <c r="E236" s="28" t="s">
        <v>34</v>
      </c>
      <c r="F236" s="150" t="s">
        <v>114</v>
      </c>
      <c r="G236" s="28" t="s">
        <v>71</v>
      </c>
      <c r="H236" s="263"/>
      <c r="I236" s="250"/>
      <c r="J236" s="251" t="s">
        <v>112</v>
      </c>
    </row>
    <row r="237" spans="1:11">
      <c r="A237" s="30"/>
      <c r="B237" s="31" t="s">
        <v>72</v>
      </c>
      <c r="C237" s="32"/>
      <c r="D237" s="32"/>
      <c r="E237" s="32"/>
      <c r="F237" s="32"/>
      <c r="G237" s="32"/>
      <c r="H237" s="32"/>
      <c r="I237" s="33"/>
      <c r="J237" s="252"/>
    </row>
    <row r="238" spans="1:11">
      <c r="A238" s="158" t="s">
        <v>113</v>
      </c>
      <c r="B238" s="163" t="s">
        <v>90</v>
      </c>
      <c r="C238" s="39">
        <v>-10750</v>
      </c>
      <c r="D238" s="38"/>
      <c r="E238" s="38">
        <v>170625</v>
      </c>
      <c r="F238" s="38">
        <v>301700</v>
      </c>
      <c r="G238" s="38"/>
      <c r="H238" s="64">
        <v>27000</v>
      </c>
      <c r="I238" s="39">
        <v>412375</v>
      </c>
      <c r="J238" s="37">
        <f>+SUM(C238:G238)-(H238+I238)</f>
        <v>22200</v>
      </c>
      <c r="K238" s="78"/>
    </row>
    <row r="239" spans="1:11">
      <c r="A239" s="158" t="s">
        <v>113</v>
      </c>
      <c r="B239" s="163" t="s">
        <v>60</v>
      </c>
      <c r="C239" s="39">
        <v>9060</v>
      </c>
      <c r="D239" s="38"/>
      <c r="E239" s="38">
        <v>0</v>
      </c>
      <c r="F239" s="38"/>
      <c r="G239" s="38"/>
      <c r="H239" s="64"/>
      <c r="I239" s="39">
        <v>6000</v>
      </c>
      <c r="J239" s="37">
        <f t="shared" ref="J239:J240" si="40">+SUM(C239:G239)-(H239+I239)</f>
        <v>3060</v>
      </c>
      <c r="K239" s="78"/>
    </row>
    <row r="240" spans="1:11">
      <c r="A240" s="158" t="s">
        <v>113</v>
      </c>
      <c r="B240" s="163" t="s">
        <v>40</v>
      </c>
      <c r="C240" s="39">
        <v>1195</v>
      </c>
      <c r="D240" s="38"/>
      <c r="E240" s="38">
        <v>75000</v>
      </c>
      <c r="F240" s="39"/>
      <c r="G240" s="39"/>
      <c r="H240" s="39"/>
      <c r="I240" s="39">
        <v>72400</v>
      </c>
      <c r="J240" s="116">
        <f t="shared" si="40"/>
        <v>3795</v>
      </c>
      <c r="K240" s="78"/>
    </row>
    <row r="241" spans="1:11">
      <c r="A241" s="158" t="s">
        <v>113</v>
      </c>
      <c r="B241" s="163" t="s">
        <v>91</v>
      </c>
      <c r="C241" s="39">
        <v>-8600</v>
      </c>
      <c r="D241" s="120"/>
      <c r="E241" s="38">
        <v>596900</v>
      </c>
      <c r="F241" s="39"/>
      <c r="G241" s="39"/>
      <c r="H241" s="39"/>
      <c r="I241" s="39">
        <v>586000</v>
      </c>
      <c r="J241" s="116">
        <f>+SUM(C241:G241)-(H241+I241)</f>
        <v>2300</v>
      </c>
      <c r="K241" s="78"/>
    </row>
    <row r="242" spans="1:11">
      <c r="A242" s="158" t="s">
        <v>113</v>
      </c>
      <c r="B242" s="163" t="s">
        <v>82</v>
      </c>
      <c r="C242" s="39">
        <v>8884</v>
      </c>
      <c r="D242" s="120"/>
      <c r="E242" s="38">
        <v>618600</v>
      </c>
      <c r="F242" s="39">
        <v>27000</v>
      </c>
      <c r="G242" s="39"/>
      <c r="H242" s="39">
        <v>301700</v>
      </c>
      <c r="I242" s="39">
        <v>367000</v>
      </c>
      <c r="J242" s="116">
        <f t="shared" ref="J242" si="41">+SUM(C242:G242)-(H242+I242)</f>
        <v>-14216</v>
      </c>
      <c r="K242" s="78"/>
    </row>
    <row r="243" spans="1:11">
      <c r="A243" s="155" t="s">
        <v>113</v>
      </c>
      <c r="B243" s="164" t="s">
        <v>39</v>
      </c>
      <c r="C243" s="60">
        <v>191600</v>
      </c>
      <c r="D243" s="155"/>
      <c r="E243" s="155">
        <v>777000</v>
      </c>
      <c r="F243" s="60"/>
      <c r="G243" s="60"/>
      <c r="H243" s="60"/>
      <c r="I243" s="60">
        <v>825300</v>
      </c>
      <c r="J243" s="160">
        <f>+SUM(C243:G243)-(H243+I243)</f>
        <v>143300</v>
      </c>
      <c r="K243" s="78"/>
    </row>
    <row r="244" spans="1:11">
      <c r="A244" s="159" t="s">
        <v>113</v>
      </c>
      <c r="B244" s="165" t="s">
        <v>98</v>
      </c>
      <c r="C244" s="156">
        <v>233614</v>
      </c>
      <c r="D244" s="159"/>
      <c r="E244" s="159"/>
      <c r="F244" s="159"/>
      <c r="G244" s="159"/>
      <c r="H244" s="156"/>
      <c r="I244" s="156"/>
      <c r="J244" s="157">
        <f>+SUM(C244:G244)-(H244+I244)</f>
        <v>233614</v>
      </c>
      <c r="K244" s="78"/>
    </row>
    <row r="245" spans="1:11">
      <c r="A245" s="159" t="s">
        <v>113</v>
      </c>
      <c r="B245" s="165" t="s">
        <v>97</v>
      </c>
      <c r="C245" s="156">
        <v>249769</v>
      </c>
      <c r="D245" s="159"/>
      <c r="E245" s="159"/>
      <c r="F245" s="159"/>
      <c r="G245" s="159"/>
      <c r="H245" s="156"/>
      <c r="I245" s="156"/>
      <c r="J245" s="157">
        <f t="shared" ref="J245:J250" si="42">+SUM(C245:G245)-(H245+I245)</f>
        <v>249769</v>
      </c>
      <c r="K245" s="78"/>
    </row>
    <row r="246" spans="1:11">
      <c r="A246" s="158" t="s">
        <v>113</v>
      </c>
      <c r="B246" s="163" t="s">
        <v>46</v>
      </c>
      <c r="C246" s="39">
        <v>-3510</v>
      </c>
      <c r="D246" s="38"/>
      <c r="E246" s="38">
        <v>240100</v>
      </c>
      <c r="F246" s="38"/>
      <c r="G246" s="38"/>
      <c r="H246" s="39"/>
      <c r="I246" s="39">
        <v>181500</v>
      </c>
      <c r="J246" s="37">
        <f t="shared" si="42"/>
        <v>55090</v>
      </c>
      <c r="K246" s="78"/>
    </row>
    <row r="247" spans="1:11">
      <c r="A247" s="158" t="s">
        <v>113</v>
      </c>
      <c r="B247" s="163" t="s">
        <v>108</v>
      </c>
      <c r="C247" s="39">
        <v>0</v>
      </c>
      <c r="D247" s="38"/>
      <c r="E247" s="38">
        <v>5000</v>
      </c>
      <c r="F247" s="38"/>
      <c r="G247" s="38"/>
      <c r="H247" s="39"/>
      <c r="I247" s="39">
        <v>5000</v>
      </c>
      <c r="J247" s="37">
        <f t="shared" si="42"/>
        <v>0</v>
      </c>
      <c r="K247" s="78"/>
    </row>
    <row r="248" spans="1:11">
      <c r="A248" s="158" t="s">
        <v>113</v>
      </c>
      <c r="B248" s="163" t="s">
        <v>38</v>
      </c>
      <c r="C248" s="39">
        <v>111200</v>
      </c>
      <c r="D248" s="38"/>
      <c r="E248" s="38">
        <v>704000</v>
      </c>
      <c r="F248" s="38"/>
      <c r="G248" s="38"/>
      <c r="H248" s="39"/>
      <c r="I248" s="39">
        <v>704500</v>
      </c>
      <c r="J248" s="37">
        <f t="shared" si="42"/>
        <v>110700</v>
      </c>
      <c r="K248" s="78"/>
    </row>
    <row r="249" spans="1:11">
      <c r="A249" s="158" t="s">
        <v>113</v>
      </c>
      <c r="B249" s="163" t="s">
        <v>109</v>
      </c>
      <c r="C249" s="39">
        <v>-32081</v>
      </c>
      <c r="D249" s="38"/>
      <c r="E249" s="38">
        <v>0</v>
      </c>
      <c r="F249" s="38"/>
      <c r="G249" s="38"/>
      <c r="H249" s="39"/>
      <c r="I249" s="39">
        <v>0</v>
      </c>
      <c r="J249" s="37">
        <f t="shared" si="42"/>
        <v>-32081</v>
      </c>
      <c r="K249" s="78"/>
    </row>
    <row r="250" spans="1:11">
      <c r="A250" s="158" t="s">
        <v>113</v>
      </c>
      <c r="B250" s="164" t="s">
        <v>41</v>
      </c>
      <c r="C250" s="60">
        <v>5300</v>
      </c>
      <c r="D250" s="155"/>
      <c r="E250" s="155">
        <v>10000</v>
      </c>
      <c r="F250" s="155"/>
      <c r="G250" s="166"/>
      <c r="H250" s="60"/>
      <c r="I250" s="60">
        <v>8000</v>
      </c>
      <c r="J250" s="37">
        <f t="shared" si="42"/>
        <v>7300</v>
      </c>
      <c r="K250" s="78"/>
    </row>
    <row r="251" spans="1:11">
      <c r="A251" s="41" t="s">
        <v>73</v>
      </c>
      <c r="B251" s="42"/>
      <c r="C251" s="42"/>
      <c r="D251" s="42"/>
      <c r="E251" s="42"/>
      <c r="F251" s="42"/>
      <c r="G251" s="42"/>
      <c r="H251" s="42"/>
      <c r="I251" s="42"/>
      <c r="J251" s="43"/>
      <c r="K251" s="78"/>
    </row>
    <row r="252" spans="1:11">
      <c r="A252" s="34" t="s">
        <v>113</v>
      </c>
      <c r="B252" s="44" t="s">
        <v>74</v>
      </c>
      <c r="C252" s="45">
        <v>733034</v>
      </c>
      <c r="D252" s="46">
        <v>4293000</v>
      </c>
      <c r="E252" s="46"/>
      <c r="F252" s="46"/>
      <c r="G252" s="161"/>
      <c r="H252" s="167">
        <v>3197225</v>
      </c>
      <c r="I252" s="162">
        <v>1011040</v>
      </c>
      <c r="J252" s="52">
        <f>+SUM(C252:G252)-(H252+I252)</f>
        <v>817769</v>
      </c>
      <c r="K252" s="78"/>
    </row>
    <row r="253" spans="1:11">
      <c r="A253" s="50" t="s">
        <v>75</v>
      </c>
      <c r="B253" s="31"/>
      <c r="C253" s="42"/>
      <c r="D253" s="31"/>
      <c r="E253" s="31"/>
      <c r="F253" s="31"/>
      <c r="G253" s="31"/>
      <c r="H253" s="31"/>
      <c r="I253" s="31"/>
      <c r="J253" s="43"/>
    </row>
    <row r="254" spans="1:11">
      <c r="A254" s="34" t="s">
        <v>113</v>
      </c>
      <c r="B254" s="44" t="s">
        <v>76</v>
      </c>
      <c r="C254" s="161">
        <v>19184971</v>
      </c>
      <c r="D254" s="168"/>
      <c r="E254" s="58"/>
      <c r="F254" s="58"/>
      <c r="G254" s="58"/>
      <c r="H254" s="60">
        <v>4000000</v>
      </c>
      <c r="I254" s="62">
        <v>472051</v>
      </c>
      <c r="J254" s="52">
        <f>+SUM(C254:G254)-(H254+I254)</f>
        <v>14712920</v>
      </c>
      <c r="K254" s="78"/>
    </row>
    <row r="255" spans="1:11">
      <c r="A255" s="34" t="s">
        <v>113</v>
      </c>
      <c r="B255" s="44" t="s">
        <v>77</v>
      </c>
      <c r="C255" s="161">
        <v>14419055</v>
      </c>
      <c r="D255" s="58"/>
      <c r="E255" s="57"/>
      <c r="F255" s="57"/>
      <c r="G255" s="57"/>
      <c r="H255" s="39">
        <v>293000</v>
      </c>
      <c r="I255" s="59">
        <v>5764972</v>
      </c>
      <c r="J255" s="52">
        <f>SUM(C255:G255)-(H255+I255)</f>
        <v>8361083</v>
      </c>
      <c r="K255" s="78"/>
    </row>
    <row r="256" spans="1:11" ht="15.75">
      <c r="C256" s="15"/>
      <c r="I256" s="15"/>
      <c r="J256" s="121">
        <f>+SUM(J238:J255)</f>
        <v>24676603</v>
      </c>
    </row>
    <row r="257" spans="1:10" ht="16.5">
      <c r="A257" s="16"/>
      <c r="B257" s="17"/>
      <c r="C257" s="18"/>
      <c r="D257" s="18"/>
      <c r="E257" s="18"/>
      <c r="F257" s="18"/>
      <c r="G257" s="18"/>
      <c r="H257" s="18"/>
      <c r="I257" s="18"/>
      <c r="J257" s="169"/>
    </row>
    <row r="258" spans="1:10">
      <c r="A258" s="22" t="s">
        <v>65</v>
      </c>
      <c r="B258" s="22"/>
      <c r="C258" s="22"/>
      <c r="D258" s="23"/>
      <c r="E258" s="23"/>
      <c r="F258" s="23"/>
      <c r="G258" s="23"/>
      <c r="H258" s="23"/>
      <c r="I258" s="23"/>
    </row>
    <row r="259" spans="1:10">
      <c r="A259" s="24" t="s">
        <v>102</v>
      </c>
      <c r="B259" s="24"/>
      <c r="C259" s="24"/>
      <c r="D259" s="24"/>
      <c r="E259" s="24"/>
      <c r="F259" s="24"/>
      <c r="G259" s="24"/>
      <c r="H259" s="24"/>
      <c r="I259" s="24"/>
      <c r="J259" s="23"/>
    </row>
    <row r="260" spans="1:10" ht="15" customHeight="1">
      <c r="A260" s="25"/>
      <c r="B260" s="26"/>
      <c r="C260" s="27"/>
      <c r="D260" s="27"/>
      <c r="E260" s="27"/>
      <c r="F260" s="27"/>
      <c r="G260" s="27"/>
      <c r="H260" s="26"/>
      <c r="I260" s="26"/>
      <c r="J260" s="24"/>
    </row>
    <row r="261" spans="1:10" ht="15" customHeight="1">
      <c r="A261" s="253" t="s">
        <v>66</v>
      </c>
      <c r="B261" s="255" t="s">
        <v>67</v>
      </c>
      <c r="C261" s="257" t="s">
        <v>103</v>
      </c>
      <c r="D261" s="259" t="s">
        <v>68</v>
      </c>
      <c r="E261" s="260"/>
      <c r="F261" s="260"/>
      <c r="G261" s="261"/>
      <c r="H261" s="262" t="s">
        <v>69</v>
      </c>
      <c r="I261" s="249" t="s">
        <v>70</v>
      </c>
      <c r="J261" s="26"/>
    </row>
    <row r="262" spans="1:10" ht="15" customHeight="1">
      <c r="A262" s="254"/>
      <c r="B262" s="256"/>
      <c r="C262" s="258"/>
      <c r="D262" s="28" t="s">
        <v>31</v>
      </c>
      <c r="E262" s="28" t="s">
        <v>34</v>
      </c>
      <c r="F262" s="137" t="s">
        <v>106</v>
      </c>
      <c r="G262" s="28" t="s">
        <v>71</v>
      </c>
      <c r="H262" s="263"/>
      <c r="I262" s="250"/>
      <c r="J262" s="251" t="s">
        <v>104</v>
      </c>
    </row>
    <row r="263" spans="1:10">
      <c r="A263" s="30"/>
      <c r="B263" s="31" t="s">
        <v>72</v>
      </c>
      <c r="C263" s="32"/>
      <c r="D263" s="32"/>
      <c r="E263" s="32"/>
      <c r="F263" s="32"/>
      <c r="G263" s="32"/>
      <c r="H263" s="32"/>
      <c r="I263" s="33"/>
      <c r="J263" s="252"/>
    </row>
    <row r="264" spans="1:10" ht="16.5">
      <c r="A264" s="34" t="s">
        <v>105</v>
      </c>
      <c r="B264" s="14" t="s">
        <v>90</v>
      </c>
      <c r="C264" s="35" t="e">
        <f>+#REF!</f>
        <v>#REF!</v>
      </c>
      <c r="D264" s="36"/>
      <c r="E264" s="36">
        <v>271100</v>
      </c>
      <c r="F264" s="36">
        <f>112800+126500</f>
        <v>239300</v>
      </c>
      <c r="G264" s="36"/>
      <c r="H264" s="64"/>
      <c r="I264" s="40">
        <v>521950</v>
      </c>
      <c r="J264" s="37" t="e">
        <f>+SUM(C264:G264)-(H264+I264)</f>
        <v>#REF!</v>
      </c>
    </row>
    <row r="265" spans="1:10" ht="16.5">
      <c r="A265" s="34" t="s">
        <v>105</v>
      </c>
      <c r="B265" s="14" t="s">
        <v>60</v>
      </c>
      <c r="C265" s="35">
        <f>+C29</f>
        <v>-500</v>
      </c>
      <c r="D265" s="36"/>
      <c r="E265" s="36">
        <v>625000</v>
      </c>
      <c r="F265" s="36"/>
      <c r="G265" s="36"/>
      <c r="H265" s="64">
        <v>247500</v>
      </c>
      <c r="I265" s="40">
        <v>371500</v>
      </c>
      <c r="J265" s="37">
        <f t="shared" ref="J265:J266" si="43">+SUM(C265:G265)-(H265+I265)</f>
        <v>5500</v>
      </c>
    </row>
    <row r="266" spans="1:10" ht="16.5">
      <c r="A266" s="34" t="s">
        <v>105</v>
      </c>
      <c r="B266" s="14" t="s">
        <v>40</v>
      </c>
      <c r="C266" s="35">
        <f>+C30</f>
        <v>233614</v>
      </c>
      <c r="D266" s="36"/>
      <c r="E266" s="36">
        <v>60000</v>
      </c>
      <c r="F266" s="115"/>
      <c r="G266" s="115"/>
      <c r="H266" s="39"/>
      <c r="I266" s="63">
        <v>67200</v>
      </c>
      <c r="J266" s="116">
        <f t="shared" si="43"/>
        <v>226414</v>
      </c>
    </row>
    <row r="267" spans="1:10" ht="15.75" customHeight="1">
      <c r="A267" s="34" t="s">
        <v>105</v>
      </c>
      <c r="B267" s="14" t="s">
        <v>91</v>
      </c>
      <c r="C267" s="35">
        <f>+C31</f>
        <v>249769</v>
      </c>
      <c r="D267" s="65"/>
      <c r="E267" s="36">
        <v>140000</v>
      </c>
      <c r="F267" s="115">
        <v>270500</v>
      </c>
      <c r="G267" s="115"/>
      <c r="H267" s="39"/>
      <c r="I267" s="39">
        <v>417300</v>
      </c>
      <c r="J267" s="116">
        <f>+SUM(C267:G267)-(H267+I267)</f>
        <v>242969</v>
      </c>
    </row>
    <row r="268" spans="1:10" ht="16.5">
      <c r="A268" s="34" t="s">
        <v>105</v>
      </c>
      <c r="B268" s="14" t="s">
        <v>82</v>
      </c>
      <c r="C268" s="35">
        <v>15984</v>
      </c>
      <c r="D268" s="65"/>
      <c r="E268" s="36">
        <v>256400</v>
      </c>
      <c r="F268" s="115"/>
      <c r="G268" s="115"/>
      <c r="H268" s="39"/>
      <c r="I268" s="40">
        <v>263500</v>
      </c>
      <c r="J268" s="116">
        <f t="shared" ref="J268" si="44">+SUM(C268:G268)-(H268+I268)</f>
        <v>8884</v>
      </c>
    </row>
    <row r="269" spans="1:10" ht="16.5">
      <c r="A269" s="34" t="s">
        <v>105</v>
      </c>
      <c r="B269" s="14" t="s">
        <v>39</v>
      </c>
      <c r="C269" s="35">
        <f t="shared" ref="C269:C273" si="45">+C32</f>
        <v>105075</v>
      </c>
      <c r="D269" s="36"/>
      <c r="E269" s="36">
        <v>858500</v>
      </c>
      <c r="F269" s="115"/>
      <c r="G269" s="115"/>
      <c r="H269" s="39"/>
      <c r="I269" s="40">
        <v>645000</v>
      </c>
      <c r="J269" s="116">
        <f>+SUM(C269:G269)-(H269+I269)</f>
        <v>318575</v>
      </c>
    </row>
    <row r="270" spans="1:10" ht="16.5">
      <c r="A270" s="34" t="s">
        <v>105</v>
      </c>
      <c r="B270" s="14" t="s">
        <v>46</v>
      </c>
      <c r="C270" s="35">
        <f t="shared" si="45"/>
        <v>17000</v>
      </c>
      <c r="D270" s="36"/>
      <c r="E270" s="36">
        <v>800700</v>
      </c>
      <c r="F270" s="36"/>
      <c r="G270" s="36"/>
      <c r="H270" s="39">
        <v>262300</v>
      </c>
      <c r="I270" s="40">
        <v>543600</v>
      </c>
      <c r="J270" s="37">
        <f>+SUM(C270:G270)-(H270+I270)</f>
        <v>11800</v>
      </c>
    </row>
    <row r="271" spans="1:10" ht="16.5">
      <c r="A271" s="34" t="s">
        <v>105</v>
      </c>
      <c r="B271" s="14" t="s">
        <v>38</v>
      </c>
      <c r="C271" s="35">
        <f t="shared" si="45"/>
        <v>131100</v>
      </c>
      <c r="D271" s="36"/>
      <c r="E271" s="36">
        <v>971600</v>
      </c>
      <c r="F271" s="36"/>
      <c r="G271" s="36"/>
      <c r="H271" s="39">
        <v>200000</v>
      </c>
      <c r="I271" s="40">
        <v>639450</v>
      </c>
      <c r="J271" s="37">
        <f t="shared" ref="J271:J272" si="46">+SUM(C271:G271)-(H271+I271)</f>
        <v>263250</v>
      </c>
    </row>
    <row r="272" spans="1:10" ht="16.5">
      <c r="A272" s="34" t="s">
        <v>105</v>
      </c>
      <c r="B272" s="14" t="s">
        <v>12</v>
      </c>
      <c r="C272" s="35">
        <f t="shared" si="45"/>
        <v>5800</v>
      </c>
      <c r="D272" s="36"/>
      <c r="E272" s="36"/>
      <c r="F272" s="36"/>
      <c r="G272" s="36"/>
      <c r="H272" s="39"/>
      <c r="I272" s="63">
        <v>23000</v>
      </c>
      <c r="J272" s="37">
        <f t="shared" si="46"/>
        <v>-17200</v>
      </c>
    </row>
    <row r="273" spans="1:11" ht="16.5">
      <c r="A273" s="34" t="s">
        <v>105</v>
      </c>
      <c r="B273" s="14" t="s">
        <v>41</v>
      </c>
      <c r="C273" s="35">
        <f t="shared" si="45"/>
        <v>2893</v>
      </c>
      <c r="D273" s="36"/>
      <c r="E273" s="36"/>
      <c r="F273" s="36"/>
      <c r="G273" s="36"/>
      <c r="H273" s="39"/>
      <c r="I273" s="40">
        <v>0</v>
      </c>
      <c r="J273" s="37">
        <f>+SUM(C273:G273)-(H273+I273)</f>
        <v>2893</v>
      </c>
    </row>
    <row r="274" spans="1:11" ht="16.5">
      <c r="A274" s="140" t="s">
        <v>105</v>
      </c>
      <c r="B274" s="141" t="s">
        <v>107</v>
      </c>
      <c r="C274" s="142">
        <v>3721074</v>
      </c>
      <c r="D274" s="143"/>
      <c r="E274" s="144"/>
      <c r="F274" s="143"/>
      <c r="G274" s="145"/>
      <c r="H274" s="142">
        <v>3721074</v>
      </c>
      <c r="I274" s="146"/>
      <c r="J274" s="147">
        <f>+SUM(C274:G274)-(H274+I274)</f>
        <v>0</v>
      </c>
    </row>
    <row r="275" spans="1:11">
      <c r="A275" s="41" t="s">
        <v>73</v>
      </c>
      <c r="B275" s="42"/>
      <c r="C275" s="42"/>
      <c r="D275" s="42"/>
      <c r="E275" s="42"/>
      <c r="F275" s="42"/>
      <c r="G275" s="42"/>
      <c r="H275" s="42"/>
      <c r="I275" s="42"/>
      <c r="J275" s="43"/>
    </row>
    <row r="276" spans="1:11">
      <c r="A276" s="34" t="s">
        <v>105</v>
      </c>
      <c r="B276" s="44" t="s">
        <v>74</v>
      </c>
      <c r="C276" s="45">
        <f>+C28</f>
        <v>2995</v>
      </c>
      <c r="D276" s="46">
        <v>5000000</v>
      </c>
      <c r="E276" s="46"/>
      <c r="F276" s="46"/>
      <c r="G276" s="47">
        <v>200000</v>
      </c>
      <c r="H276" s="56">
        <v>3983300</v>
      </c>
      <c r="I276" s="48">
        <v>776245</v>
      </c>
      <c r="J276" s="49">
        <f>+SUM(C276:G276)-(H276+I276)</f>
        <v>443450</v>
      </c>
    </row>
    <row r="277" spans="1:11">
      <c r="A277" s="50" t="s">
        <v>75</v>
      </c>
      <c r="B277" s="31"/>
      <c r="C277" s="42"/>
      <c r="D277" s="31"/>
      <c r="E277" s="31"/>
      <c r="F277" s="31"/>
      <c r="G277" s="31"/>
      <c r="H277" s="31"/>
      <c r="I277" s="31"/>
      <c r="J277" s="43"/>
    </row>
    <row r="278" spans="1:11">
      <c r="A278" s="34" t="s">
        <v>105</v>
      </c>
      <c r="B278" s="44" t="s">
        <v>76</v>
      </c>
      <c r="C278" s="51" t="e">
        <f>+#REF!</f>
        <v>#REF!</v>
      </c>
      <c r="D278" s="61">
        <v>19826114</v>
      </c>
      <c r="E278" s="58"/>
      <c r="F278" s="58"/>
      <c r="G278" s="58"/>
      <c r="H278" s="60">
        <v>5000000</v>
      </c>
      <c r="I278" s="62">
        <v>455737</v>
      </c>
      <c r="J278" s="52" t="e">
        <f>+SUM(C278:G278)-(H278+I278)</f>
        <v>#REF!</v>
      </c>
    </row>
    <row r="279" spans="1:11">
      <c r="A279" s="34" t="s">
        <v>105</v>
      </c>
      <c r="B279" s="44" t="s">
        <v>77</v>
      </c>
      <c r="C279" s="51">
        <f>+C27</f>
        <v>27200</v>
      </c>
      <c r="D279" s="58">
        <v>13119140</v>
      </c>
      <c r="E279" s="57"/>
      <c r="F279" s="57"/>
      <c r="G279" s="57"/>
      <c r="H279" s="39"/>
      <c r="I279" s="59">
        <v>3445919</v>
      </c>
      <c r="J279" s="52">
        <f>SUM(C279:G279)-(H279+I279)</f>
        <v>9700421</v>
      </c>
    </row>
    <row r="280" spans="1:11">
      <c r="A280" s="202" t="s">
        <v>105</v>
      </c>
      <c r="B280" s="198" t="s">
        <v>97</v>
      </c>
      <c r="C280" s="203">
        <v>249769</v>
      </c>
      <c r="D280" s="58"/>
      <c r="E280" s="58"/>
      <c r="F280" s="58"/>
      <c r="G280" s="58"/>
      <c r="H280" s="39"/>
      <c r="I280" s="59"/>
      <c r="J280" s="204">
        <f>SUM(C280:G280)-(H280+I280)</f>
        <v>249769</v>
      </c>
    </row>
    <row r="281" spans="1:11">
      <c r="A281" s="202" t="s">
        <v>105</v>
      </c>
      <c r="B281" s="200" t="s">
        <v>98</v>
      </c>
      <c r="C281" s="203">
        <v>233614</v>
      </c>
      <c r="D281" s="58"/>
      <c r="E281" s="58"/>
      <c r="F281" s="58"/>
      <c r="G281" s="58"/>
      <c r="H281" s="39"/>
      <c r="I281" s="59"/>
      <c r="J281" s="204">
        <f>SUM(C281:G281)-(H281+I281)</f>
        <v>233614</v>
      </c>
    </row>
    <row r="282" spans="1:11">
      <c r="A282" s="202" t="s">
        <v>105</v>
      </c>
      <c r="B282" s="201" t="s">
        <v>99</v>
      </c>
      <c r="C282" s="203">
        <v>330169</v>
      </c>
      <c r="D282" s="205"/>
      <c r="E282" s="205"/>
      <c r="F282" s="205"/>
      <c r="G282" s="205"/>
      <c r="H282" s="205"/>
      <c r="I282" s="205"/>
      <c r="J282" s="204">
        <f>SUM(C282:G282)-(H282+I282)</f>
        <v>330169</v>
      </c>
    </row>
    <row r="283" spans="1:11" ht="15.75">
      <c r="C283" s="15"/>
      <c r="I283" s="15"/>
      <c r="J283" s="121" t="e">
        <f>+SUM(J264:J282)</f>
        <v>#REF!</v>
      </c>
      <c r="K283" s="138" t="e">
        <f>+J283-I40</f>
        <v>#REF!</v>
      </c>
    </row>
    <row r="285" spans="1:11">
      <c r="A285" s="22" t="s">
        <v>65</v>
      </c>
      <c r="B285" s="22"/>
      <c r="C285" s="22"/>
      <c r="D285" s="23"/>
      <c r="E285" s="23"/>
      <c r="F285" s="23"/>
      <c r="G285" s="23"/>
      <c r="H285" s="23"/>
      <c r="I285" s="23"/>
    </row>
    <row r="286" spans="1:11">
      <c r="A286" s="24" t="s">
        <v>92</v>
      </c>
      <c r="B286" s="24"/>
      <c r="C286" s="24"/>
      <c r="D286" s="24"/>
      <c r="E286" s="24"/>
      <c r="F286" s="24"/>
      <c r="G286" s="24"/>
      <c r="H286" s="24"/>
      <c r="I286" s="24"/>
      <c r="J286" s="23"/>
    </row>
    <row r="287" spans="1:11">
      <c r="A287" s="25"/>
      <c r="B287" s="26"/>
      <c r="C287" s="27"/>
      <c r="D287" s="27"/>
      <c r="E287" s="27"/>
      <c r="F287" s="27"/>
      <c r="G287" s="27"/>
      <c r="H287" s="26"/>
      <c r="I287" s="26"/>
      <c r="J287" s="24"/>
    </row>
    <row r="288" spans="1:11">
      <c r="A288" s="253" t="s">
        <v>66</v>
      </c>
      <c r="B288" s="255" t="s">
        <v>67</v>
      </c>
      <c r="C288" s="257" t="s">
        <v>94</v>
      </c>
      <c r="D288" s="259" t="s">
        <v>68</v>
      </c>
      <c r="E288" s="260"/>
      <c r="F288" s="260"/>
      <c r="G288" s="261"/>
      <c r="H288" s="262" t="s">
        <v>69</v>
      </c>
      <c r="I288" s="249" t="s">
        <v>70</v>
      </c>
      <c r="J288" s="26"/>
    </row>
    <row r="289" spans="1:10" ht="36.75" customHeight="1">
      <c r="A289" s="254"/>
      <c r="B289" s="256"/>
      <c r="C289" s="258"/>
      <c r="D289" s="28" t="s">
        <v>31</v>
      </c>
      <c r="E289" s="28" t="s">
        <v>34</v>
      </c>
      <c r="F289" s="29" t="s">
        <v>82</v>
      </c>
      <c r="G289" s="28" t="s">
        <v>71</v>
      </c>
      <c r="H289" s="263"/>
      <c r="I289" s="250"/>
      <c r="J289" s="251" t="s">
        <v>100</v>
      </c>
    </row>
    <row r="290" spans="1:10">
      <c r="A290" s="30"/>
      <c r="B290" s="31" t="s">
        <v>72</v>
      </c>
      <c r="C290" s="32"/>
      <c r="D290" s="32"/>
      <c r="E290" s="32"/>
      <c r="F290" s="32"/>
      <c r="G290" s="32"/>
      <c r="H290" s="32"/>
      <c r="I290" s="33"/>
      <c r="J290" s="252"/>
    </row>
    <row r="291" spans="1:10" ht="16.5">
      <c r="A291" s="34" t="s">
        <v>93</v>
      </c>
      <c r="B291" s="14" t="s">
        <v>90</v>
      </c>
      <c r="C291" s="35">
        <v>0</v>
      </c>
      <c r="D291" s="36"/>
      <c r="E291" s="36">
        <v>40000</v>
      </c>
      <c r="F291" s="36"/>
      <c r="G291" s="36"/>
      <c r="H291" s="64"/>
      <c r="I291" s="40">
        <v>39200</v>
      </c>
      <c r="J291" s="37">
        <f>+SUM(C291:G291)-(H291+I291)</f>
        <v>800</v>
      </c>
    </row>
    <row r="292" spans="1:10" ht="16.5">
      <c r="A292" s="34" t="s">
        <v>93</v>
      </c>
      <c r="B292" s="14" t="str">
        <f>+A29</f>
        <v>JUILLET</v>
      </c>
      <c r="C292" s="35">
        <v>19060</v>
      </c>
      <c r="D292" s="36"/>
      <c r="E292" s="36">
        <v>20000</v>
      </c>
      <c r="F292" s="36"/>
      <c r="G292" s="36"/>
      <c r="H292" s="64"/>
      <c r="I292" s="40">
        <v>36000</v>
      </c>
      <c r="J292" s="37">
        <f t="shared" ref="J292:J299" si="47">+SUM(C292:G292)-(H292+I292)</f>
        <v>3060</v>
      </c>
    </row>
    <row r="293" spans="1:10" ht="16.5">
      <c r="A293" s="34" t="s">
        <v>93</v>
      </c>
      <c r="B293" s="14" t="str">
        <f>+A30</f>
        <v>JUILLET</v>
      </c>
      <c r="C293" s="35">
        <v>8395</v>
      </c>
      <c r="D293" s="36"/>
      <c r="E293" s="36">
        <v>20000</v>
      </c>
      <c r="F293" s="115"/>
      <c r="G293" s="115"/>
      <c r="H293" s="39"/>
      <c r="I293" s="63">
        <v>20000</v>
      </c>
      <c r="J293" s="116">
        <f t="shared" si="47"/>
        <v>8395</v>
      </c>
    </row>
    <row r="294" spans="1:10" ht="16.5">
      <c r="A294" s="34" t="s">
        <v>93</v>
      </c>
      <c r="B294" s="14" t="str">
        <f>+A31</f>
        <v>JUILLET</v>
      </c>
      <c r="C294" s="35">
        <v>0</v>
      </c>
      <c r="D294" s="65"/>
      <c r="E294" s="36">
        <v>100000</v>
      </c>
      <c r="F294" s="115">
        <v>102200</v>
      </c>
      <c r="G294" s="115"/>
      <c r="H294" s="39"/>
      <c r="I294" s="39">
        <v>204000</v>
      </c>
      <c r="J294" s="116">
        <f>+SUM(C294:G294)-(H294+I294)</f>
        <v>-1800</v>
      </c>
    </row>
    <row r="295" spans="1:10" ht="16.5">
      <c r="A295" s="34" t="s">
        <v>93</v>
      </c>
      <c r="B295" s="14" t="e">
        <f>+#REF!</f>
        <v>#REF!</v>
      </c>
      <c r="C295" s="35">
        <v>7559</v>
      </c>
      <c r="D295" s="65"/>
      <c r="E295" s="36">
        <v>866200</v>
      </c>
      <c r="F295" s="115"/>
      <c r="G295" s="115"/>
      <c r="H295" s="39">
        <v>252200</v>
      </c>
      <c r="I295" s="40">
        <v>605575</v>
      </c>
      <c r="J295" s="116">
        <f t="shared" si="47"/>
        <v>15984</v>
      </c>
    </row>
    <row r="296" spans="1:10" ht="16.5">
      <c r="A296" s="34" t="s">
        <v>93</v>
      </c>
      <c r="B296" s="14" t="str">
        <f t="shared" ref="B296:B299" si="48">+A32</f>
        <v>JUILLET</v>
      </c>
      <c r="C296" s="35">
        <v>214000</v>
      </c>
      <c r="D296" s="36"/>
      <c r="E296" s="36">
        <v>724100</v>
      </c>
      <c r="F296" s="115"/>
      <c r="G296" s="115"/>
      <c r="H296" s="39"/>
      <c r="I296" s="40">
        <v>960000</v>
      </c>
      <c r="J296" s="116">
        <f>+SUM(C296:G296)-(H296+I296)</f>
        <v>-21900</v>
      </c>
    </row>
    <row r="297" spans="1:10" ht="16.5">
      <c r="A297" s="34" t="s">
        <v>93</v>
      </c>
      <c r="B297" s="14" t="str">
        <f t="shared" si="48"/>
        <v>JUILLET</v>
      </c>
      <c r="C297" s="35">
        <v>-13805</v>
      </c>
      <c r="D297" s="36"/>
      <c r="E297" s="36">
        <v>333400</v>
      </c>
      <c r="F297" s="36">
        <v>150000</v>
      </c>
      <c r="G297" s="36"/>
      <c r="H297" s="39">
        <v>129000</v>
      </c>
      <c r="I297" s="40">
        <v>338905</v>
      </c>
      <c r="J297" s="37">
        <f>+SUM(C297:G297)-(H297+I297)</f>
        <v>1690</v>
      </c>
    </row>
    <row r="298" spans="1:10" ht="16.5">
      <c r="A298" s="34" t="s">
        <v>93</v>
      </c>
      <c r="B298" s="14" t="str">
        <f t="shared" si="48"/>
        <v>JUILLET</v>
      </c>
      <c r="C298" s="35">
        <v>84350</v>
      </c>
      <c r="D298" s="36"/>
      <c r="E298" s="36">
        <v>669400</v>
      </c>
      <c r="F298" s="36"/>
      <c r="G298" s="36"/>
      <c r="H298" s="39">
        <v>100000</v>
      </c>
      <c r="I298" s="40">
        <v>674700</v>
      </c>
      <c r="J298" s="37">
        <f>+SUM(C298:G298)-(H298+I298)</f>
        <v>-20950</v>
      </c>
    </row>
    <row r="299" spans="1:10" ht="16.5">
      <c r="A299" s="34" t="s">
        <v>93</v>
      </c>
      <c r="B299" s="14" t="str">
        <f t="shared" si="48"/>
        <v>JUILLET</v>
      </c>
      <c r="C299" s="35">
        <v>-216251</v>
      </c>
      <c r="D299" s="36"/>
      <c r="E299" s="36">
        <v>242000</v>
      </c>
      <c r="F299" s="36"/>
      <c r="G299" s="36"/>
      <c r="H299" s="39"/>
      <c r="I299" s="63">
        <v>34830</v>
      </c>
      <c r="J299" s="37">
        <f t="shared" si="47"/>
        <v>-9081</v>
      </c>
    </row>
    <row r="300" spans="1:10" ht="16.5">
      <c r="A300" s="34" t="s">
        <v>93</v>
      </c>
      <c r="B300" s="14" t="s">
        <v>42</v>
      </c>
      <c r="C300" s="35">
        <v>2025</v>
      </c>
      <c r="D300" s="36"/>
      <c r="E300" s="36">
        <v>25000</v>
      </c>
      <c r="F300" s="36"/>
      <c r="G300" s="36"/>
      <c r="H300" s="39">
        <v>3025</v>
      </c>
      <c r="I300" s="40">
        <v>24000</v>
      </c>
      <c r="J300" s="37">
        <f>+SUM(C300:G300)-(H300+I300)</f>
        <v>0</v>
      </c>
    </row>
    <row r="301" spans="1:10" ht="16.5">
      <c r="A301" s="34" t="s">
        <v>93</v>
      </c>
      <c r="B301" s="14" t="s">
        <v>41</v>
      </c>
      <c r="C301" s="35">
        <v>10000</v>
      </c>
      <c r="D301" s="38"/>
      <c r="E301" s="36">
        <v>0</v>
      </c>
      <c r="F301" s="38"/>
      <c r="G301" s="38"/>
      <c r="H301" s="39"/>
      <c r="I301" s="40">
        <v>4700</v>
      </c>
      <c r="J301" s="37">
        <f>+SUM(C301:G301)-(H301+I301)</f>
        <v>5300</v>
      </c>
    </row>
    <row r="302" spans="1:10">
      <c r="A302" s="41" t="s">
        <v>73</v>
      </c>
      <c r="B302" s="42"/>
      <c r="C302" s="42"/>
      <c r="D302" s="42"/>
      <c r="E302" s="42"/>
      <c r="F302" s="42"/>
      <c r="G302" s="42"/>
      <c r="H302" s="42"/>
      <c r="I302" s="42"/>
      <c r="J302" s="43"/>
    </row>
    <row r="303" spans="1:10">
      <c r="A303" s="34" t="s">
        <v>93</v>
      </c>
      <c r="B303" s="44" t="s">
        <v>74</v>
      </c>
      <c r="C303" s="45">
        <v>791675</v>
      </c>
      <c r="D303" s="46">
        <v>3185100</v>
      </c>
      <c r="E303" s="46"/>
      <c r="F303" s="46"/>
      <c r="G303" s="47">
        <v>237025</v>
      </c>
      <c r="H303" s="56">
        <v>3045100</v>
      </c>
      <c r="I303" s="48">
        <v>876121</v>
      </c>
      <c r="J303" s="49">
        <f>+SUM(C303:G303)-(H303+I303)</f>
        <v>292579</v>
      </c>
    </row>
    <row r="304" spans="1:10">
      <c r="A304" s="50" t="s">
        <v>75</v>
      </c>
      <c r="B304" s="31"/>
      <c r="C304" s="42"/>
      <c r="D304" s="31"/>
      <c r="E304" s="31"/>
      <c r="F304" s="31"/>
      <c r="G304" s="31"/>
      <c r="H304" s="31"/>
      <c r="I304" s="31"/>
      <c r="J304" s="43"/>
    </row>
    <row r="305" spans="1:15">
      <c r="A305" s="34" t="s">
        <v>93</v>
      </c>
      <c r="B305" s="44" t="s">
        <v>76</v>
      </c>
      <c r="C305" s="51">
        <v>8039273</v>
      </c>
      <c r="D305" s="61">
        <v>0</v>
      </c>
      <c r="E305" s="58"/>
      <c r="F305" s="58"/>
      <c r="G305" s="58"/>
      <c r="H305" s="60">
        <v>3000000</v>
      </c>
      <c r="I305" s="62">
        <v>224679</v>
      </c>
      <c r="J305" s="52">
        <f>+SUM(C305:G305)-(H305+I305)</f>
        <v>4814594</v>
      </c>
    </row>
    <row r="306" spans="1:15">
      <c r="A306" s="34" t="s">
        <v>93</v>
      </c>
      <c r="B306" s="44" t="s">
        <v>77</v>
      </c>
      <c r="C306" s="51">
        <v>13283340</v>
      </c>
      <c r="D306" s="58">
        <v>0</v>
      </c>
      <c r="E306" s="57"/>
      <c r="F306" s="57"/>
      <c r="G306" s="57"/>
      <c r="H306" s="39">
        <v>185100</v>
      </c>
      <c r="I306" s="59">
        <v>8352406</v>
      </c>
      <c r="J306" s="52">
        <f>SUM(C306:G306)-(H306+I306)</f>
        <v>4745834</v>
      </c>
    </row>
    <row r="307" spans="1:15">
      <c r="A307" s="197" t="s">
        <v>93</v>
      </c>
      <c r="B307" s="198" t="s">
        <v>96</v>
      </c>
      <c r="C307" s="51">
        <v>3721074</v>
      </c>
      <c r="D307" s="197"/>
      <c r="E307" s="197"/>
      <c r="F307" s="197"/>
      <c r="G307" s="197"/>
      <c r="H307" s="197"/>
      <c r="I307" s="197"/>
      <c r="J307" s="199">
        <f>SUM(C307:G307)-(H307+I307)</f>
        <v>3721074</v>
      </c>
    </row>
    <row r="308" spans="1:15">
      <c r="A308" s="197" t="s">
        <v>93</v>
      </c>
      <c r="B308" s="198" t="s">
        <v>97</v>
      </c>
      <c r="C308" s="51">
        <v>249769</v>
      </c>
      <c r="D308" s="58"/>
      <c r="E308" s="58"/>
      <c r="F308" s="58"/>
      <c r="G308" s="58"/>
      <c r="H308" s="39"/>
      <c r="I308" s="59"/>
      <c r="J308" s="199">
        <f>SUM(C308:G308)-(H308+I308)</f>
        <v>249769</v>
      </c>
    </row>
    <row r="309" spans="1:15">
      <c r="A309" s="197" t="s">
        <v>93</v>
      </c>
      <c r="B309" s="200" t="s">
        <v>98</v>
      </c>
      <c r="C309" s="51">
        <v>233614</v>
      </c>
      <c r="D309" s="58"/>
      <c r="E309" s="58"/>
      <c r="F309" s="58"/>
      <c r="G309" s="58"/>
      <c r="H309" s="39"/>
      <c r="I309" s="59"/>
      <c r="J309" s="199">
        <f>SUM(C309:G309)-(H309+I309)</f>
        <v>233614</v>
      </c>
    </row>
    <row r="310" spans="1:15">
      <c r="A310" s="197" t="s">
        <v>93</v>
      </c>
      <c r="B310" s="201" t="s">
        <v>99</v>
      </c>
      <c r="C310" s="51">
        <v>330169</v>
      </c>
      <c r="D310" s="197"/>
      <c r="E310" s="197"/>
      <c r="F310" s="197"/>
      <c r="G310" s="197"/>
      <c r="H310" s="197"/>
      <c r="I310" s="197"/>
      <c r="J310" s="199">
        <f>SUM(C310:G310)-(H310+I310)</f>
        <v>330169</v>
      </c>
    </row>
    <row r="311" spans="1:15" ht="15.75">
      <c r="C311" s="15"/>
      <c r="I311" s="15"/>
      <c r="J311" s="121">
        <f>+SUM(J291:J310)</f>
        <v>14369131</v>
      </c>
    </row>
    <row r="312" spans="1:15">
      <c r="C312" s="15"/>
      <c r="I312" s="15"/>
      <c r="J312" s="15"/>
    </row>
    <row r="313" spans="1:15" s="83" customFormat="1">
      <c r="A313" s="81" t="s">
        <v>78</v>
      </c>
      <c r="B313" s="81"/>
      <c r="C313" s="81"/>
      <c r="D313" s="81"/>
      <c r="E313" s="81"/>
      <c r="F313" s="81"/>
      <c r="G313" s="81"/>
      <c r="H313" s="81"/>
      <c r="I313" s="81"/>
      <c r="J313" s="82"/>
      <c r="L313" s="84"/>
      <c r="M313" s="84"/>
      <c r="N313" s="84"/>
      <c r="O313" s="84"/>
    </row>
    <row r="314" spans="1:15" s="83" customFormat="1">
      <c r="A314" s="85"/>
      <c r="B314" s="82"/>
      <c r="C314" s="86"/>
      <c r="D314" s="86"/>
      <c r="E314" s="86"/>
      <c r="F314" s="86"/>
      <c r="G314" s="86"/>
      <c r="H314" s="82"/>
      <c r="I314" s="82"/>
      <c r="J314" s="81"/>
      <c r="L314" s="84"/>
      <c r="M314" s="84"/>
      <c r="N314" s="84"/>
      <c r="O314" s="84"/>
    </row>
    <row r="315" spans="1:15" s="83" customFormat="1">
      <c r="A315" s="253" t="s">
        <v>66</v>
      </c>
      <c r="B315" s="255" t="s">
        <v>67</v>
      </c>
      <c r="C315" s="257" t="s">
        <v>80</v>
      </c>
      <c r="D315" s="264" t="s">
        <v>68</v>
      </c>
      <c r="E315" s="265"/>
      <c r="F315" s="265"/>
      <c r="G315" s="266"/>
      <c r="H315" s="267" t="s">
        <v>69</v>
      </c>
      <c r="I315" s="269" t="s">
        <v>70</v>
      </c>
      <c r="J315" s="82"/>
      <c r="L315" s="84"/>
      <c r="M315" s="84"/>
      <c r="N315" s="84"/>
      <c r="O315" s="84"/>
    </row>
    <row r="316" spans="1:15" s="83" customFormat="1">
      <c r="A316" s="254"/>
      <c r="B316" s="256"/>
      <c r="C316" s="258"/>
      <c r="D316" s="28" t="s">
        <v>31</v>
      </c>
      <c r="E316" s="28" t="s">
        <v>34</v>
      </c>
      <c r="F316" s="79" t="s">
        <v>82</v>
      </c>
      <c r="G316" s="28" t="s">
        <v>71</v>
      </c>
      <c r="H316" s="268"/>
      <c r="I316" s="270"/>
      <c r="J316" s="251" t="s">
        <v>81</v>
      </c>
      <c r="L316" s="84"/>
      <c r="M316" s="84"/>
      <c r="N316" s="84"/>
      <c r="O316" s="84"/>
    </row>
    <row r="317" spans="1:15" s="83" customFormat="1">
      <c r="A317" s="87"/>
      <c r="B317" s="88" t="s">
        <v>72</v>
      </c>
      <c r="C317" s="89"/>
      <c r="D317" s="89"/>
      <c r="E317" s="89"/>
      <c r="F317" s="89"/>
      <c r="G317" s="89"/>
      <c r="H317" s="89"/>
      <c r="I317" s="90"/>
      <c r="J317" s="252"/>
      <c r="L317" s="84"/>
      <c r="M317" s="84"/>
      <c r="N317" s="84"/>
      <c r="O317" s="84"/>
    </row>
    <row r="318" spans="1:15" s="83" customFormat="1" ht="16.5">
      <c r="A318" s="91" t="s">
        <v>79</v>
      </c>
      <c r="B318" s="14" t="s">
        <v>60</v>
      </c>
      <c r="C318" s="92">
        <v>40560</v>
      </c>
      <c r="D318" s="36"/>
      <c r="E318" s="36">
        <v>0</v>
      </c>
      <c r="F318" s="36"/>
      <c r="G318" s="36"/>
      <c r="H318" s="93"/>
      <c r="I318" s="94">
        <f>+SUM([2]COMPTA_CREPIN!$F$3050:$F$3066)</f>
        <v>21500</v>
      </c>
      <c r="J318" s="37">
        <f>+SUM(C318:G318)-(H318+I318)</f>
        <v>19060</v>
      </c>
      <c r="L318" s="84"/>
      <c r="M318" s="84"/>
      <c r="N318" s="84"/>
      <c r="O318" s="84"/>
    </row>
    <row r="319" spans="1:15" s="83" customFormat="1" ht="16.5">
      <c r="A319" s="91" t="s">
        <v>79</v>
      </c>
      <c r="B319" s="14" t="s">
        <v>37</v>
      </c>
      <c r="C319" s="92">
        <v>227975</v>
      </c>
      <c r="D319" s="36"/>
      <c r="E319" s="36">
        <f>+'[3]Compta Dalia (2)'!$E$1908+'[3]Compta Dalia (2)'!$E$1909+'[3]Compta Dalia (2)'!$E$1911+'[3]Compta Dalia (2)'!$E$1917</f>
        <v>119600</v>
      </c>
      <c r="F319" s="36"/>
      <c r="G319" s="36"/>
      <c r="H319" s="93">
        <f>+'[3]Compta Dalia (2)'!$F$1919</f>
        <v>1635</v>
      </c>
      <c r="I319" s="94">
        <v>345940</v>
      </c>
      <c r="J319" s="37">
        <f t="shared" ref="J319:J326" si="49">+SUM(C319:G319)-(H319+I319)</f>
        <v>0</v>
      </c>
      <c r="L319" s="84"/>
      <c r="M319" s="84"/>
      <c r="N319" s="84"/>
      <c r="O319" s="84"/>
    </row>
    <row r="320" spans="1:15" s="83" customFormat="1" ht="16.5">
      <c r="A320" s="91" t="s">
        <v>79</v>
      </c>
      <c r="B320" s="14" t="s">
        <v>40</v>
      </c>
      <c r="C320" s="92">
        <v>-605</v>
      </c>
      <c r="D320" s="36"/>
      <c r="E320" s="36">
        <f>+'[4]compta (3)'!$E$2556+'[4]compta (3)'!$E$2557+'[4]compta (3)'!$E$2558</f>
        <v>30000</v>
      </c>
      <c r="F320" s="36"/>
      <c r="G320" s="36"/>
      <c r="H320" s="95"/>
      <c r="I320" s="96">
        <f>'[4]compta (3)'!$F$2559</f>
        <v>21000</v>
      </c>
      <c r="J320" s="37">
        <f t="shared" si="49"/>
        <v>8395</v>
      </c>
      <c r="L320" s="84"/>
      <c r="M320" s="84"/>
      <c r="N320" s="84"/>
      <c r="O320" s="84"/>
    </row>
    <row r="321" spans="1:15" s="83" customFormat="1" ht="16.5">
      <c r="A321" s="91" t="s">
        <v>79</v>
      </c>
      <c r="B321" s="114" t="s">
        <v>35</v>
      </c>
      <c r="C321" s="92">
        <v>264659</v>
      </c>
      <c r="D321" s="115"/>
      <c r="E321" s="115">
        <f>+'[5]compta (2)'!$E$2521+'[5]compta (2)'!$E$2525+'[5]compta (2)'!$E$2527+'[5]compta (2)'!$E$2529</f>
        <v>325000</v>
      </c>
      <c r="F321" s="115"/>
      <c r="G321" s="115"/>
      <c r="H321" s="39">
        <f>'[5]compta (2)'!$F$2528+60000</f>
        <v>75000</v>
      </c>
      <c r="I321" s="39">
        <f>'[5]compta (2)'!$F$2522+'[5]compta (2)'!$F$2523+'[5]compta (2)'!$F$2524+'[5]compta (2)'!$F$2526+'[5]compta (2)'!$F$2530+'[5]compta (2)'!$F$2532+'[5]compta (2)'!$F$2533+'[5]compta (2)'!$F$2534</f>
        <v>507100</v>
      </c>
      <c r="J321" s="116">
        <f t="shared" si="49"/>
        <v>7559</v>
      </c>
      <c r="L321" s="84"/>
      <c r="M321" s="84"/>
      <c r="N321" s="84"/>
      <c r="O321" s="84"/>
    </row>
    <row r="322" spans="1:15" s="83" customFormat="1" ht="16.5">
      <c r="A322" s="91" t="s">
        <v>79</v>
      </c>
      <c r="B322" s="114" t="s">
        <v>61</v>
      </c>
      <c r="C322" s="92">
        <v>272500</v>
      </c>
      <c r="D322" s="115"/>
      <c r="E322" s="115">
        <f>+'[6]COMPTA_I23C (2)'!$E$4171+'[6]COMPTA_I23C (2)'!$E$4172+'[6]COMPTA_I23C (2)'!$E$4174+'[6]COMPTA_I23C (2)'!$E$4178+'[6]COMPTA_I23C (2)'!$E$4180+'[6]COMPTA_I23C (2)'!$E$4181</f>
        <v>695000</v>
      </c>
      <c r="F322" s="115"/>
      <c r="G322" s="115"/>
      <c r="H322" s="39"/>
      <c r="I322" s="92">
        <v>753500</v>
      </c>
      <c r="J322" s="116">
        <f t="shared" si="49"/>
        <v>214000</v>
      </c>
      <c r="L322" s="84"/>
      <c r="M322" s="84"/>
      <c r="N322" s="84"/>
      <c r="O322" s="84"/>
    </row>
    <row r="323" spans="1:15" s="83" customFormat="1" ht="16.5">
      <c r="A323" s="91" t="s">
        <v>79</v>
      </c>
      <c r="B323" s="14" t="s">
        <v>46</v>
      </c>
      <c r="C323" s="92">
        <v>284595</v>
      </c>
      <c r="D323" s="36"/>
      <c r="E323" s="36">
        <f>+'[7]Feuil1 (2)'!$E$2684+'[7]Feuil1 (2)'!$E$2689+'[7]Feuil1 (2)'!$E$2691</f>
        <v>275000</v>
      </c>
      <c r="F323" s="36">
        <f>'[5]compta (2)'!$F$2531</f>
        <v>60000</v>
      </c>
      <c r="G323" s="36"/>
      <c r="H323" s="95"/>
      <c r="I323" s="94">
        <v>633400</v>
      </c>
      <c r="J323" s="37">
        <f t="shared" si="49"/>
        <v>-13805</v>
      </c>
      <c r="L323" s="84"/>
      <c r="M323" s="84"/>
      <c r="N323" s="84"/>
      <c r="O323" s="84"/>
    </row>
    <row r="324" spans="1:15" s="83" customFormat="1" ht="16.5">
      <c r="A324" s="91" t="s">
        <v>79</v>
      </c>
      <c r="B324" s="14" t="s">
        <v>36</v>
      </c>
      <c r="C324" s="92">
        <v>-1750</v>
      </c>
      <c r="D324" s="36"/>
      <c r="E324" s="36">
        <f>+'[8]Compta Jospin (2)'!$E$1583+'[8]Compta Jospin (2)'!$E$1584+'[8]Compta Jospin (2)'!$E$1587</f>
        <v>96400</v>
      </c>
      <c r="F324" s="36"/>
      <c r="G324" s="36"/>
      <c r="H324" s="95">
        <f>+'[8]Compta Jospin (2)'!$F$1592</f>
        <v>950</v>
      </c>
      <c r="I324" s="94">
        <v>93700</v>
      </c>
      <c r="J324" s="37">
        <f t="shared" si="49"/>
        <v>0</v>
      </c>
      <c r="L324" s="84"/>
      <c r="M324" s="84"/>
      <c r="N324" s="84"/>
      <c r="O324" s="84"/>
    </row>
    <row r="325" spans="1:15" s="83" customFormat="1" ht="16.5">
      <c r="A325" s="91" t="s">
        <v>79</v>
      </c>
      <c r="B325" s="14" t="s">
        <v>38</v>
      </c>
      <c r="C325" s="92">
        <v>265600</v>
      </c>
      <c r="D325" s="36"/>
      <c r="E325" s="36">
        <f>+'[9]COMPT-P29 (2)'!$E$190+'[9]COMPT-P29 (2)'!$E$191+'[9]COMPT-P29 (2)'!$E$196+'[9]COMPT-P29 (2)'!$E$201+'[9]COMPT-P29 (2)'!$E$202+'[9]COMPT-P29 (2)'!$E$204+'[9]COMPT-P29 (2)'!$E$207+'[9]COMPT-P29 (2)'!$E$215</f>
        <v>855600</v>
      </c>
      <c r="F325" s="36"/>
      <c r="G325" s="36"/>
      <c r="H325" s="95"/>
      <c r="I325" s="94">
        <v>1036850</v>
      </c>
      <c r="J325" s="37">
        <f t="shared" si="49"/>
        <v>84350</v>
      </c>
      <c r="L325" s="84"/>
      <c r="M325" s="84"/>
      <c r="N325" s="84"/>
      <c r="O325" s="84"/>
    </row>
    <row r="326" spans="1:15" s="83" customFormat="1" ht="16.5">
      <c r="A326" s="91" t="s">
        <v>79</v>
      </c>
      <c r="B326" s="14" t="s">
        <v>62</v>
      </c>
      <c r="C326" s="92">
        <f t="shared" ref="C326" si="50">+C299</f>
        <v>-216251</v>
      </c>
      <c r="D326" s="36"/>
      <c r="E326" s="36">
        <v>0</v>
      </c>
      <c r="F326" s="36"/>
      <c r="G326" s="36"/>
      <c r="H326" s="95"/>
      <c r="I326" s="96">
        <v>0</v>
      </c>
      <c r="J326" s="37">
        <f t="shared" si="49"/>
        <v>-216251</v>
      </c>
      <c r="L326" s="84"/>
      <c r="M326" s="84"/>
      <c r="N326" s="84"/>
      <c r="O326" s="84"/>
    </row>
    <row r="327" spans="1:15" s="83" customFormat="1" ht="16.5">
      <c r="A327" s="91" t="s">
        <v>79</v>
      </c>
      <c r="B327" s="14" t="s">
        <v>42</v>
      </c>
      <c r="C327" s="92">
        <v>1025</v>
      </c>
      <c r="D327" s="36"/>
      <c r="E327" s="36">
        <f>+'[10]compta shely'!$E$90+'[10]compta shely'!$E$97+'[10]compta shely'!$E$100</f>
        <v>25000</v>
      </c>
      <c r="F327" s="36"/>
      <c r="G327" s="36"/>
      <c r="H327" s="95"/>
      <c r="I327" s="94">
        <v>24000</v>
      </c>
      <c r="J327" s="37">
        <f>+SUM(C327:G327)-(H327+I327)</f>
        <v>2025</v>
      </c>
      <c r="L327" s="84"/>
      <c r="M327" s="84"/>
      <c r="N327" s="84"/>
      <c r="O327" s="84"/>
    </row>
    <row r="328" spans="1:15" s="83" customFormat="1" ht="16.5">
      <c r="A328" s="38" t="s">
        <v>79</v>
      </c>
      <c r="B328" s="14" t="s">
        <v>41</v>
      </c>
      <c r="C328" s="92">
        <v>0</v>
      </c>
      <c r="D328" s="38"/>
      <c r="E328" s="38">
        <f>+'[11]compta ted'!$E$11</f>
        <v>10000</v>
      </c>
      <c r="F328" s="38"/>
      <c r="G328" s="38"/>
      <c r="H328" s="95"/>
      <c r="I328" s="94">
        <v>0</v>
      </c>
      <c r="J328" s="37">
        <f>+SUM(C328:G328)-(H328+I328)</f>
        <v>10000</v>
      </c>
      <c r="L328" s="84"/>
      <c r="M328" s="84"/>
      <c r="N328" s="84"/>
      <c r="O328" s="84"/>
    </row>
    <row r="329" spans="1:15" s="83" customFormat="1">
      <c r="A329" s="97" t="s">
        <v>73</v>
      </c>
      <c r="B329" s="98"/>
      <c r="C329" s="98"/>
      <c r="D329" s="98"/>
      <c r="E329" s="98"/>
      <c r="F329" s="98"/>
      <c r="G329" s="98"/>
      <c r="H329" s="98"/>
      <c r="I329" s="98"/>
      <c r="J329" s="99"/>
      <c r="L329" s="84"/>
      <c r="M329" s="84"/>
      <c r="N329" s="84"/>
      <c r="O329" s="84"/>
    </row>
    <row r="330" spans="1:15" s="83" customFormat="1">
      <c r="A330" s="38" t="s">
        <v>79</v>
      </c>
      <c r="B330" s="44" t="s">
        <v>74</v>
      </c>
      <c r="C330" s="45">
        <v>954796</v>
      </c>
      <c r="D330" s="36">
        <v>3000000</v>
      </c>
      <c r="E330" s="36"/>
      <c r="F330" s="36"/>
      <c r="G330" s="100">
        <v>17585</v>
      </c>
      <c r="H330" s="101">
        <v>2431600</v>
      </c>
      <c r="I330" s="102">
        <v>749106</v>
      </c>
      <c r="J330" s="103">
        <f>+SUM(C330:G330)-(H330+I330)</f>
        <v>791675</v>
      </c>
      <c r="L330" s="84"/>
      <c r="M330" s="84"/>
      <c r="N330" s="84"/>
      <c r="O330" s="84"/>
    </row>
    <row r="331" spans="1:15" s="83" customFormat="1">
      <c r="A331" s="104" t="s">
        <v>75</v>
      </c>
      <c r="B331" s="88"/>
      <c r="C331" s="98"/>
      <c r="D331" s="88"/>
      <c r="E331" s="88"/>
      <c r="F331" s="88"/>
      <c r="G331" s="88"/>
      <c r="H331" s="88"/>
      <c r="I331" s="88"/>
      <c r="J331" s="99"/>
      <c r="L331" s="84"/>
      <c r="M331" s="84"/>
      <c r="N331" s="84"/>
      <c r="O331" s="84"/>
    </row>
    <row r="332" spans="1:15" s="83" customFormat="1">
      <c r="A332" s="38" t="s">
        <v>79</v>
      </c>
      <c r="B332" s="44" t="s">
        <v>76</v>
      </c>
      <c r="C332" s="92">
        <v>705838</v>
      </c>
      <c r="D332" s="105">
        <v>10801800</v>
      </c>
      <c r="E332" s="106"/>
      <c r="F332" s="106"/>
      <c r="G332" s="106"/>
      <c r="H332" s="107">
        <v>3000000</v>
      </c>
      <c r="I332" s="108">
        <v>468365</v>
      </c>
      <c r="J332" s="37">
        <f>+SUM(C332:G332)-(H332+I332)</f>
        <v>8039273</v>
      </c>
      <c r="L332" s="84"/>
      <c r="M332" s="84"/>
      <c r="N332" s="84"/>
      <c r="O332" s="84"/>
    </row>
    <row r="333" spans="1:15" s="83" customFormat="1">
      <c r="A333" s="38" t="s">
        <v>79</v>
      </c>
      <c r="B333" s="44" t="s">
        <v>77</v>
      </c>
      <c r="C333" s="92">
        <v>14874402</v>
      </c>
      <c r="D333" s="106">
        <v>3279785</v>
      </c>
      <c r="E333" s="109"/>
      <c r="F333" s="109"/>
      <c r="G333" s="109"/>
      <c r="H333" s="110"/>
      <c r="I333" s="111">
        <v>4870847</v>
      </c>
      <c r="J333" s="37">
        <f>SUM(C333:G333)-(H333+I333)</f>
        <v>13283340</v>
      </c>
      <c r="L333" s="84"/>
      <c r="M333" s="84"/>
      <c r="N333" s="84"/>
      <c r="O333" s="84"/>
    </row>
    <row r="334" spans="1:15" s="83" customFormat="1">
      <c r="L334" s="84"/>
      <c r="M334" s="84"/>
      <c r="N334" s="84"/>
      <c r="O334" s="84"/>
    </row>
    <row r="335" spans="1:15" s="83" customFormat="1">
      <c r="C335" s="112">
        <f>+SUM(C318:C333)</f>
        <v>17673344</v>
      </c>
      <c r="I335" s="112">
        <f>SUM(I318:I333)</f>
        <v>9525308</v>
      </c>
      <c r="J335" s="112">
        <f>+SUM(J318:J333)</f>
        <v>22229621</v>
      </c>
      <c r="L335" s="84"/>
      <c r="M335" s="84"/>
      <c r="N335" s="84"/>
      <c r="O335" s="84"/>
    </row>
    <row r="336" spans="1:15">
      <c r="C336" s="15"/>
      <c r="I336" s="15"/>
      <c r="J336" s="15"/>
    </row>
    <row r="337" spans="1:11">
      <c r="A337" s="71" t="s">
        <v>83</v>
      </c>
      <c r="B337" s="71"/>
    </row>
    <row r="338" spans="1:11">
      <c r="A338" s="72" t="s">
        <v>84</v>
      </c>
      <c r="B338" s="72"/>
      <c r="C338" s="72"/>
      <c r="D338" s="72"/>
      <c r="E338" s="72"/>
      <c r="F338" s="72"/>
      <c r="G338" s="72"/>
      <c r="H338" s="72"/>
      <c r="I338" s="72"/>
      <c r="J338" s="72"/>
    </row>
    <row r="340" spans="1:11">
      <c r="A340" s="271" t="s">
        <v>66</v>
      </c>
      <c r="B340" s="271" t="s">
        <v>67</v>
      </c>
      <c r="C340" s="282" t="s">
        <v>86</v>
      </c>
      <c r="D340" s="277" t="s">
        <v>68</v>
      </c>
      <c r="E340" s="277"/>
      <c r="F340" s="277"/>
      <c r="G340" s="277"/>
      <c r="H340" s="278" t="s">
        <v>69</v>
      </c>
      <c r="I340" s="280" t="s">
        <v>70</v>
      </c>
      <c r="J340" s="273" t="s">
        <v>87</v>
      </c>
      <c r="K340" s="274"/>
    </row>
    <row r="341" spans="1:11" ht="28.5" customHeight="1">
      <c r="A341" s="272"/>
      <c r="B341" s="272"/>
      <c r="C341" s="272"/>
      <c r="D341" s="76" t="s">
        <v>31</v>
      </c>
      <c r="E341" s="73" t="s">
        <v>34</v>
      </c>
      <c r="F341" s="73" t="s">
        <v>36</v>
      </c>
      <c r="G341" s="73" t="s">
        <v>71</v>
      </c>
      <c r="H341" s="279"/>
      <c r="I341" s="281"/>
      <c r="J341" s="275"/>
      <c r="K341" s="276"/>
    </row>
    <row r="342" spans="1:11">
      <c r="A342" s="54"/>
      <c r="B342" s="54" t="s">
        <v>72</v>
      </c>
      <c r="C342" s="56"/>
      <c r="D342" s="56"/>
      <c r="E342" s="56"/>
      <c r="F342" s="56"/>
      <c r="G342" s="56"/>
      <c r="H342" s="56"/>
      <c r="I342" s="56"/>
      <c r="J342" s="56"/>
      <c r="K342" s="54"/>
    </row>
    <row r="343" spans="1:11">
      <c r="A343" s="54" t="s">
        <v>85</v>
      </c>
      <c r="B343" s="54" t="s">
        <v>60</v>
      </c>
      <c r="C343" s="56">
        <v>89360</v>
      </c>
      <c r="D343" s="56"/>
      <c r="E343" s="56">
        <v>13000</v>
      </c>
      <c r="F343" s="56"/>
      <c r="G343" s="56"/>
      <c r="H343" s="56"/>
      <c r="I343" s="56">
        <v>61800</v>
      </c>
      <c r="J343" s="56">
        <v>40560</v>
      </c>
      <c r="K343" s="54"/>
    </row>
    <row r="344" spans="1:11">
      <c r="A344" s="54" t="s">
        <v>85</v>
      </c>
      <c r="B344" s="54" t="s">
        <v>37</v>
      </c>
      <c r="C344" s="56">
        <v>-1025</v>
      </c>
      <c r="D344" s="56"/>
      <c r="E344" s="56">
        <v>684500</v>
      </c>
      <c r="F344" s="56"/>
      <c r="G344" s="56"/>
      <c r="H344" s="56"/>
      <c r="I344" s="56">
        <v>455500</v>
      </c>
      <c r="J344" s="56">
        <v>227975</v>
      </c>
      <c r="K344" s="54"/>
    </row>
    <row r="345" spans="1:11">
      <c r="A345" s="54" t="s">
        <v>85</v>
      </c>
      <c r="B345" s="54" t="s">
        <v>40</v>
      </c>
      <c r="C345" s="56">
        <v>14395</v>
      </c>
      <c r="D345" s="56"/>
      <c r="E345" s="56">
        <v>40000</v>
      </c>
      <c r="F345" s="56"/>
      <c r="G345" s="56"/>
      <c r="H345" s="56"/>
      <c r="I345" s="56">
        <v>55000</v>
      </c>
      <c r="J345" s="56">
        <v>-605</v>
      </c>
      <c r="K345" s="54"/>
    </row>
    <row r="346" spans="1:11">
      <c r="A346" s="54" t="s">
        <v>85</v>
      </c>
      <c r="B346" s="54" t="s">
        <v>35</v>
      </c>
      <c r="C346" s="56">
        <v>8559</v>
      </c>
      <c r="D346" s="56"/>
      <c r="E346" s="56">
        <v>428750</v>
      </c>
      <c r="F346" s="56">
        <v>280200</v>
      </c>
      <c r="G346" s="56"/>
      <c r="H346" s="56"/>
      <c r="I346" s="56">
        <v>452850</v>
      </c>
      <c r="J346" s="56">
        <v>264659</v>
      </c>
      <c r="K346" s="54"/>
    </row>
    <row r="347" spans="1:11">
      <c r="A347" s="54" t="s">
        <v>85</v>
      </c>
      <c r="B347" s="54" t="s">
        <v>61</v>
      </c>
      <c r="C347" s="56">
        <v>-5750</v>
      </c>
      <c r="D347" s="56"/>
      <c r="E347" s="56">
        <v>1161750</v>
      </c>
      <c r="F347" s="56"/>
      <c r="G347" s="56"/>
      <c r="H347" s="56">
        <v>124000</v>
      </c>
      <c r="I347" s="56">
        <v>759500</v>
      </c>
      <c r="J347" s="56">
        <v>272500</v>
      </c>
      <c r="K347" s="54"/>
    </row>
    <row r="348" spans="1:11">
      <c r="A348" s="54" t="s">
        <v>85</v>
      </c>
      <c r="B348" s="54" t="s">
        <v>46</v>
      </c>
      <c r="C348" s="56">
        <v>12995</v>
      </c>
      <c r="D348" s="56"/>
      <c r="E348" s="56">
        <v>726000</v>
      </c>
      <c r="F348" s="56"/>
      <c r="G348" s="56"/>
      <c r="H348" s="56"/>
      <c r="I348" s="56">
        <v>454400</v>
      </c>
      <c r="J348" s="56">
        <v>284595</v>
      </c>
      <c r="K348" s="54"/>
    </row>
    <row r="349" spans="1:11">
      <c r="A349" s="54" t="s">
        <v>85</v>
      </c>
      <c r="B349" s="54" t="s">
        <v>36</v>
      </c>
      <c r="C349" s="56">
        <v>6050</v>
      </c>
      <c r="D349" s="56"/>
      <c r="E349" s="56">
        <v>736300</v>
      </c>
      <c r="F349" s="56"/>
      <c r="G349" s="56"/>
      <c r="H349" s="56">
        <v>405200</v>
      </c>
      <c r="I349" s="56">
        <v>338900</v>
      </c>
      <c r="J349" s="56">
        <v>-1750</v>
      </c>
      <c r="K349" s="54"/>
    </row>
    <row r="350" spans="1:11">
      <c r="A350" s="54" t="s">
        <v>85</v>
      </c>
      <c r="B350" s="54" t="s">
        <v>38</v>
      </c>
      <c r="C350" s="56">
        <v>142400</v>
      </c>
      <c r="D350" s="56"/>
      <c r="E350" s="56">
        <v>1014000</v>
      </c>
      <c r="F350" s="56"/>
      <c r="G350" s="56"/>
      <c r="H350" s="56">
        <v>100000</v>
      </c>
      <c r="I350" s="56">
        <v>790800</v>
      </c>
      <c r="J350" s="56">
        <v>265600</v>
      </c>
      <c r="K350" s="54"/>
    </row>
    <row r="351" spans="1:11">
      <c r="A351" s="54" t="s">
        <v>85</v>
      </c>
      <c r="B351" s="54" t="s">
        <v>62</v>
      </c>
      <c r="C351" s="56">
        <v>-221251.00072999997</v>
      </c>
      <c r="D351" s="56"/>
      <c r="E351" s="56">
        <v>485000</v>
      </c>
      <c r="F351" s="56"/>
      <c r="G351" s="56"/>
      <c r="H351" s="56">
        <v>5000</v>
      </c>
      <c r="I351" s="56">
        <v>475000</v>
      </c>
      <c r="J351" s="56">
        <v>-216251.00072999997</v>
      </c>
      <c r="K351" s="54"/>
    </row>
    <row r="352" spans="1:11">
      <c r="A352" s="54" t="s">
        <v>85</v>
      </c>
      <c r="B352" s="54" t="s">
        <v>42</v>
      </c>
      <c r="C352" s="56">
        <v>14225</v>
      </c>
      <c r="D352" s="56"/>
      <c r="E352" s="56">
        <v>30000</v>
      </c>
      <c r="F352" s="56"/>
      <c r="G352" s="56"/>
      <c r="H352" s="56"/>
      <c r="I352" s="56">
        <v>43200</v>
      </c>
      <c r="J352" s="56">
        <v>1025</v>
      </c>
      <c r="K352" s="54"/>
    </row>
    <row r="353" spans="1:11">
      <c r="A353" s="74" t="s">
        <v>73</v>
      </c>
      <c r="B353" s="74"/>
      <c r="C353" s="75"/>
      <c r="D353" s="75"/>
      <c r="E353" s="75"/>
      <c r="F353" s="75"/>
      <c r="G353" s="75"/>
      <c r="H353" s="75"/>
      <c r="I353" s="75"/>
      <c r="J353" s="75"/>
      <c r="K353" s="74"/>
    </row>
    <row r="354" spans="1:11">
      <c r="A354" s="54" t="s">
        <v>85</v>
      </c>
      <c r="B354" s="54" t="s">
        <v>74</v>
      </c>
      <c r="C354" s="56">
        <v>494738</v>
      </c>
      <c r="D354" s="56">
        <v>6000000</v>
      </c>
      <c r="E354" s="56"/>
      <c r="F354" s="56"/>
      <c r="G354" s="56">
        <v>105000</v>
      </c>
      <c r="H354" s="56">
        <v>5070300</v>
      </c>
      <c r="I354" s="56">
        <v>574642</v>
      </c>
      <c r="J354" s="56">
        <v>954796</v>
      </c>
      <c r="K354" s="54"/>
    </row>
    <row r="355" spans="1:11">
      <c r="A355" s="74" t="s">
        <v>75</v>
      </c>
      <c r="B355" s="74"/>
      <c r="C355" s="75"/>
      <c r="D355" s="75"/>
      <c r="E355" s="75"/>
      <c r="F355" s="75"/>
      <c r="G355" s="75"/>
      <c r="H355" s="75"/>
      <c r="I355" s="75"/>
      <c r="J355" s="75"/>
      <c r="K355" s="74"/>
    </row>
    <row r="356" spans="1:11">
      <c r="A356" s="54" t="s">
        <v>85</v>
      </c>
      <c r="B356" s="54" t="s">
        <v>76</v>
      </c>
      <c r="C356" s="56">
        <v>11363703</v>
      </c>
      <c r="D356" s="56"/>
      <c r="E356" s="56"/>
      <c r="F356" s="56"/>
      <c r="G356" s="56"/>
      <c r="H356" s="56">
        <v>10000000</v>
      </c>
      <c r="I356" s="56">
        <v>657865</v>
      </c>
      <c r="J356" s="56">
        <v>705838</v>
      </c>
      <c r="K356" s="54"/>
    </row>
    <row r="357" spans="1:11">
      <c r="A357" s="54" t="s">
        <v>85</v>
      </c>
      <c r="B357" s="54" t="s">
        <v>77</v>
      </c>
      <c r="C357" s="56">
        <v>4902843</v>
      </c>
      <c r="D357" s="56">
        <v>17119140</v>
      </c>
      <c r="E357" s="56"/>
      <c r="F357" s="56"/>
      <c r="G357" s="56"/>
      <c r="H357" s="56"/>
      <c r="I357" s="56">
        <v>7147581</v>
      </c>
      <c r="J357" s="56">
        <v>14874402</v>
      </c>
      <c r="K357" s="54"/>
    </row>
    <row r="358" spans="1:11">
      <c r="A358" s="54"/>
      <c r="B358" s="54"/>
      <c r="C358" s="56"/>
      <c r="D358" s="56"/>
      <c r="E358" s="56"/>
      <c r="F358" s="56"/>
      <c r="G358" s="56"/>
      <c r="H358" s="56"/>
      <c r="I358" s="56"/>
      <c r="J358" s="56"/>
      <c r="K358" s="54"/>
    </row>
    <row r="359" spans="1:11">
      <c r="A359" s="54"/>
      <c r="B359" s="54"/>
      <c r="C359" s="56"/>
      <c r="D359" s="56"/>
      <c r="E359" s="56"/>
      <c r="F359" s="56"/>
      <c r="G359" s="56"/>
      <c r="H359" s="56"/>
      <c r="I359" s="56">
        <v>12267038</v>
      </c>
      <c r="J359" s="56">
        <v>17673343.99927</v>
      </c>
      <c r="K359" s="54" t="b">
        <v>1</v>
      </c>
    </row>
    <row r="360" spans="1:11">
      <c r="J360" s="78" t="b">
        <f>J359=[12]TABLEAU!$I$16</f>
        <v>1</v>
      </c>
    </row>
  </sheetData>
  <mergeCells count="91">
    <mergeCell ref="I48:I49"/>
    <mergeCell ref="J49:J50"/>
    <mergeCell ref="A48:A49"/>
    <mergeCell ref="B48:B49"/>
    <mergeCell ref="C48:C49"/>
    <mergeCell ref="D48:G48"/>
    <mergeCell ref="H48:H49"/>
    <mergeCell ref="I125:I126"/>
    <mergeCell ref="J126:J127"/>
    <mergeCell ref="A125:A126"/>
    <mergeCell ref="B125:B126"/>
    <mergeCell ref="C125:C126"/>
    <mergeCell ref="D125:G125"/>
    <mergeCell ref="H125:H126"/>
    <mergeCell ref="I152:I153"/>
    <mergeCell ref="J153:J154"/>
    <mergeCell ref="A152:A153"/>
    <mergeCell ref="B152:B153"/>
    <mergeCell ref="C152:C153"/>
    <mergeCell ref="D152:G152"/>
    <mergeCell ref="H152:H153"/>
    <mergeCell ref="I180:I181"/>
    <mergeCell ref="J181:J182"/>
    <mergeCell ref="A180:A181"/>
    <mergeCell ref="B180:B181"/>
    <mergeCell ref="C180:C181"/>
    <mergeCell ref="D180:G180"/>
    <mergeCell ref="H180:H181"/>
    <mergeCell ref="I235:I236"/>
    <mergeCell ref="J236:J237"/>
    <mergeCell ref="A235:A236"/>
    <mergeCell ref="B235:B236"/>
    <mergeCell ref="C235:C236"/>
    <mergeCell ref="D235:G235"/>
    <mergeCell ref="H235:H236"/>
    <mergeCell ref="A340:A341"/>
    <mergeCell ref="J289:J290"/>
    <mergeCell ref="A288:A289"/>
    <mergeCell ref="B288:B289"/>
    <mergeCell ref="C288:C289"/>
    <mergeCell ref="D288:G288"/>
    <mergeCell ref="H288:H289"/>
    <mergeCell ref="I288:I289"/>
    <mergeCell ref="B340:B341"/>
    <mergeCell ref="J340:K341"/>
    <mergeCell ref="D340:G340"/>
    <mergeCell ref="H340:H341"/>
    <mergeCell ref="I340:I341"/>
    <mergeCell ref="C340:C341"/>
    <mergeCell ref="B315:B316"/>
    <mergeCell ref="C315:C316"/>
    <mergeCell ref="A315:A316"/>
    <mergeCell ref="D315:G315"/>
    <mergeCell ref="H315:H316"/>
    <mergeCell ref="J316:J317"/>
    <mergeCell ref="I315:I316"/>
    <mergeCell ref="I261:I262"/>
    <mergeCell ref="J262:J263"/>
    <mergeCell ref="A261:A262"/>
    <mergeCell ref="B261:B262"/>
    <mergeCell ref="C261:C262"/>
    <mergeCell ref="D261:G261"/>
    <mergeCell ref="H261:H262"/>
    <mergeCell ref="I208:I209"/>
    <mergeCell ref="J209:J210"/>
    <mergeCell ref="A208:A209"/>
    <mergeCell ref="B208:B209"/>
    <mergeCell ref="C208:C209"/>
    <mergeCell ref="D208:G208"/>
    <mergeCell ref="H208:H209"/>
    <mergeCell ref="I99:I100"/>
    <mergeCell ref="J100:J101"/>
    <mergeCell ref="A99:A100"/>
    <mergeCell ref="B99:B100"/>
    <mergeCell ref="C99:C100"/>
    <mergeCell ref="D99:G99"/>
    <mergeCell ref="H99:H100"/>
    <mergeCell ref="I73:I74"/>
    <mergeCell ref="J74:J75"/>
    <mergeCell ref="A73:A74"/>
    <mergeCell ref="B73:B74"/>
    <mergeCell ref="C73:C74"/>
    <mergeCell ref="D73:G73"/>
    <mergeCell ref="H73:H74"/>
    <mergeCell ref="I24:I25"/>
    <mergeCell ref="J25:J26"/>
    <mergeCell ref="A24:A25"/>
    <mergeCell ref="B24:B25"/>
    <mergeCell ref="C24:C25"/>
    <mergeCell ref="D24:G24"/>
    <mergeCell ref="H24:H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Y21"/>
  <sheetViews>
    <sheetView workbookViewId="0">
      <pane xSplit="1" topLeftCell="AQ1" activePane="topRight" state="frozen"/>
      <selection pane="topRight" activeCell="AV20" sqref="AV20"/>
    </sheetView>
  </sheetViews>
  <sheetFormatPr baseColWidth="10" defaultRowHeight="15"/>
  <cols>
    <col min="1" max="1" width="21.140625" customWidth="1"/>
    <col min="2" max="2" width="23.85546875" bestFit="1" customWidth="1"/>
    <col min="3" max="3" width="16.140625" customWidth="1"/>
    <col min="4" max="4" width="19.140625" customWidth="1"/>
    <col min="5" max="5" width="16.140625" customWidth="1"/>
    <col min="6" max="6" width="19.140625" customWidth="1"/>
    <col min="7" max="7" width="16.140625" customWidth="1"/>
    <col min="8" max="8" width="19.140625" customWidth="1"/>
    <col min="9" max="9" width="16.140625" customWidth="1"/>
    <col min="10" max="10" width="19.140625" customWidth="1"/>
    <col min="11" max="11" width="16.140625" customWidth="1"/>
    <col min="12" max="12" width="19.140625" customWidth="1"/>
    <col min="13" max="13" width="16.140625" customWidth="1"/>
    <col min="14" max="14" width="19.140625" customWidth="1"/>
    <col min="15" max="15" width="16.140625" customWidth="1"/>
    <col min="16" max="16" width="19.140625" customWidth="1"/>
    <col min="17" max="17" width="16.140625" customWidth="1"/>
    <col min="18" max="18" width="19.140625" customWidth="1"/>
    <col min="19" max="19" width="16.140625" customWidth="1"/>
    <col min="20" max="20" width="19.140625" customWidth="1"/>
    <col min="21" max="21" width="16.140625" customWidth="1"/>
    <col min="22" max="22" width="19.140625" customWidth="1"/>
    <col min="23" max="23" width="16.140625" customWidth="1"/>
    <col min="24" max="24" width="19.140625" customWidth="1"/>
    <col min="25" max="25" width="16.140625" customWidth="1"/>
    <col min="26" max="26" width="19.140625" customWidth="1"/>
    <col min="27" max="27" width="16.140625" customWidth="1"/>
    <col min="28" max="28" width="19.140625" customWidth="1"/>
    <col min="29" max="29" width="16.140625" customWidth="1"/>
    <col min="30" max="30" width="19.140625" customWidth="1"/>
    <col min="31" max="31" width="16.140625" customWidth="1"/>
    <col min="32" max="32" width="19.140625" customWidth="1"/>
    <col min="33" max="33" width="16.140625" customWidth="1"/>
    <col min="34" max="34" width="19.140625" customWidth="1"/>
    <col min="35" max="35" width="16.140625" customWidth="1"/>
    <col min="36" max="36" width="19.140625" customWidth="1"/>
    <col min="37" max="37" width="16.140625" customWidth="1"/>
    <col min="38" max="38" width="19.140625" customWidth="1"/>
    <col min="39" max="39" width="16.140625" customWidth="1"/>
    <col min="40" max="40" width="19.140625" customWidth="1"/>
    <col min="41" max="41" width="16.140625" customWidth="1"/>
    <col min="42" max="42" width="19.140625" customWidth="1"/>
    <col min="43" max="43" width="16.140625" customWidth="1"/>
    <col min="44" max="44" width="24.140625" customWidth="1"/>
    <col min="45" max="45" width="21" customWidth="1"/>
    <col min="46" max="46" width="24.140625" bestFit="1" customWidth="1"/>
    <col min="47" max="47" width="21" bestFit="1" customWidth="1"/>
    <col min="48" max="48" width="19.140625" customWidth="1"/>
    <col min="49" max="49" width="16.140625" customWidth="1"/>
    <col min="50" max="50" width="24.140625" customWidth="1"/>
    <col min="51" max="51" width="21" customWidth="1"/>
    <col min="52" max="52" width="14.140625" customWidth="1"/>
    <col min="53" max="53" width="16.28515625" customWidth="1"/>
  </cols>
  <sheetData>
    <row r="3" spans="1:51">
      <c r="B3" s="7" t="s">
        <v>155</v>
      </c>
    </row>
    <row r="4" spans="1:51">
      <c r="B4" t="s">
        <v>336</v>
      </c>
      <c r="D4" t="s">
        <v>9</v>
      </c>
      <c r="F4" t="s">
        <v>346</v>
      </c>
      <c r="H4" t="s">
        <v>339</v>
      </c>
      <c r="J4" t="s">
        <v>303</v>
      </c>
      <c r="L4" t="s">
        <v>166</v>
      </c>
      <c r="N4" t="s">
        <v>345</v>
      </c>
      <c r="P4" t="s">
        <v>342</v>
      </c>
      <c r="R4" t="s">
        <v>44</v>
      </c>
      <c r="T4" t="s">
        <v>2</v>
      </c>
      <c r="V4" t="s">
        <v>341</v>
      </c>
      <c r="X4" t="s">
        <v>4</v>
      </c>
      <c r="Z4" t="s">
        <v>10</v>
      </c>
      <c r="AB4" t="s">
        <v>7</v>
      </c>
      <c r="AD4" t="s">
        <v>340</v>
      </c>
      <c r="AF4" t="s">
        <v>43</v>
      </c>
      <c r="AH4" t="s">
        <v>258</v>
      </c>
      <c r="AJ4" t="s">
        <v>247</v>
      </c>
      <c r="AL4" t="s">
        <v>354</v>
      </c>
      <c r="AN4" t="s">
        <v>88</v>
      </c>
      <c r="AP4" t="s">
        <v>343</v>
      </c>
      <c r="AR4" t="s">
        <v>162</v>
      </c>
      <c r="AS4" t="s">
        <v>164</v>
      </c>
    </row>
    <row r="5" spans="1:51">
      <c r="A5" s="7" t="s">
        <v>153</v>
      </c>
      <c r="B5" t="s">
        <v>163</v>
      </c>
      <c r="C5" t="s">
        <v>161</v>
      </c>
      <c r="D5" t="s">
        <v>163</v>
      </c>
      <c r="E5" t="s">
        <v>161</v>
      </c>
      <c r="F5" t="s">
        <v>163</v>
      </c>
      <c r="G5" t="s">
        <v>161</v>
      </c>
      <c r="H5" t="s">
        <v>163</v>
      </c>
      <c r="I5" t="s">
        <v>161</v>
      </c>
      <c r="J5" t="s">
        <v>163</v>
      </c>
      <c r="K5" t="s">
        <v>161</v>
      </c>
      <c r="L5" t="s">
        <v>163</v>
      </c>
      <c r="M5" t="s">
        <v>161</v>
      </c>
      <c r="N5" t="s">
        <v>163</v>
      </c>
      <c r="O5" t="s">
        <v>161</v>
      </c>
      <c r="P5" t="s">
        <v>163</v>
      </c>
      <c r="Q5" t="s">
        <v>161</v>
      </c>
      <c r="R5" t="s">
        <v>163</v>
      </c>
      <c r="S5" t="s">
        <v>161</v>
      </c>
      <c r="T5" t="s">
        <v>163</v>
      </c>
      <c r="U5" t="s">
        <v>161</v>
      </c>
      <c r="V5" t="s">
        <v>163</v>
      </c>
      <c r="W5" t="s">
        <v>161</v>
      </c>
      <c r="X5" t="s">
        <v>163</v>
      </c>
      <c r="Y5" t="s">
        <v>161</v>
      </c>
      <c r="Z5" t="s">
        <v>163</v>
      </c>
      <c r="AA5" t="s">
        <v>161</v>
      </c>
      <c r="AB5" t="s">
        <v>163</v>
      </c>
      <c r="AC5" t="s">
        <v>161</v>
      </c>
      <c r="AD5" t="s">
        <v>163</v>
      </c>
      <c r="AE5" t="s">
        <v>161</v>
      </c>
      <c r="AF5" t="s">
        <v>163</v>
      </c>
      <c r="AG5" t="s">
        <v>161</v>
      </c>
      <c r="AH5" t="s">
        <v>163</v>
      </c>
      <c r="AI5" t="s">
        <v>161</v>
      </c>
      <c r="AJ5" t="s">
        <v>163</v>
      </c>
      <c r="AK5" t="s">
        <v>161</v>
      </c>
      <c r="AL5" t="s">
        <v>163</v>
      </c>
      <c r="AM5" t="s">
        <v>161</v>
      </c>
      <c r="AN5" t="s">
        <v>163</v>
      </c>
      <c r="AO5" t="s">
        <v>161</v>
      </c>
      <c r="AP5" t="s">
        <v>163</v>
      </c>
      <c r="AQ5" t="s">
        <v>161</v>
      </c>
      <c r="AU5" s="54"/>
      <c r="AV5" s="54" t="s">
        <v>53</v>
      </c>
      <c r="AW5" s="54" t="s">
        <v>54</v>
      </c>
      <c r="AX5" s="54" t="s">
        <v>55</v>
      </c>
      <c r="AY5" s="54" t="s">
        <v>56</v>
      </c>
    </row>
    <row r="6" spans="1:51">
      <c r="A6" s="8" t="s">
        <v>31</v>
      </c>
      <c r="B6" s="218"/>
      <c r="C6" s="218">
        <v>11244</v>
      </c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>
        <v>260000</v>
      </c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>
        <v>2000000</v>
      </c>
      <c r="AP6" s="218"/>
      <c r="AQ6" s="218"/>
      <c r="AR6" s="218"/>
      <c r="AS6" s="218">
        <v>2271244</v>
      </c>
      <c r="AU6" s="54" t="s">
        <v>58</v>
      </c>
      <c r="AV6" s="56">
        <f>+GETPIVOTDATA("Somme de Received",$A$3,"Type de dépenses","Versement","Name","BCI")</f>
        <v>0</v>
      </c>
      <c r="AW6" s="56">
        <f>+GETPIVOTDATA("Somme de Spent",$A$3,"Type de dépenses","Versement","Name","BCI")</f>
        <v>2000000</v>
      </c>
      <c r="AX6" s="56">
        <f>+GETPIVOTDATA("Somme de Spent",$A$3,"Name","BCI")-AW6</f>
        <v>271244</v>
      </c>
      <c r="AY6" s="56">
        <f t="shared" ref="AY6:AY15" si="0">+J7</f>
        <v>31201251</v>
      </c>
    </row>
    <row r="7" spans="1:51">
      <c r="A7" s="8" t="s">
        <v>32</v>
      </c>
      <c r="B7" s="218"/>
      <c r="C7" s="218">
        <v>10263</v>
      </c>
      <c r="D7" s="218"/>
      <c r="E7" s="218"/>
      <c r="F7" s="218"/>
      <c r="G7" s="218"/>
      <c r="H7" s="218"/>
      <c r="I7" s="218"/>
      <c r="J7" s="218">
        <v>31201251</v>
      </c>
      <c r="K7" s="218"/>
      <c r="L7" s="218"/>
      <c r="M7" s="218"/>
      <c r="N7" s="218"/>
      <c r="O7" s="218"/>
      <c r="P7" s="218"/>
      <c r="Q7" s="218">
        <v>850000</v>
      </c>
      <c r="R7" s="218"/>
      <c r="S7" s="218"/>
      <c r="T7" s="218"/>
      <c r="U7" s="218">
        <v>4584281</v>
      </c>
      <c r="V7" s="218"/>
      <c r="W7" s="218"/>
      <c r="X7" s="218"/>
      <c r="Y7" s="218">
        <v>500000</v>
      </c>
      <c r="Z7" s="218"/>
      <c r="AA7" s="218">
        <v>260000</v>
      </c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>
        <v>4000000</v>
      </c>
      <c r="AP7" s="218"/>
      <c r="AQ7" s="218"/>
      <c r="AR7" s="218">
        <v>31201251</v>
      </c>
      <c r="AS7" s="218">
        <v>10204544</v>
      </c>
      <c r="AU7" s="54" t="s">
        <v>59</v>
      </c>
      <c r="AV7" s="56">
        <f>+GETPIVOTDATA("Somme de Received",$A$3,"Type de dépenses","Versement","Name","BCI Sous-Compte")</f>
        <v>0</v>
      </c>
      <c r="AW7" s="56">
        <f>+GETPIVOTDATA("Somme de Spent",$A$3,"Type de dépenses","Versement","Name","BCI Sous-Compte")</f>
        <v>4000000</v>
      </c>
      <c r="AX7" s="56">
        <f>+GETPIVOTDATA("Somme de Spent",$A$3,"Name","BCI Sous-Compte")-AW7</f>
        <v>6204544</v>
      </c>
      <c r="AY7" s="56">
        <f t="shared" si="0"/>
        <v>0</v>
      </c>
    </row>
    <row r="8" spans="1:51">
      <c r="A8" s="8" t="s">
        <v>34</v>
      </c>
      <c r="B8" s="218"/>
      <c r="C8" s="218"/>
      <c r="D8" s="218"/>
      <c r="E8" s="218">
        <v>592000</v>
      </c>
      <c r="F8" s="218"/>
      <c r="G8" s="218"/>
      <c r="H8" s="218"/>
      <c r="I8" s="218"/>
      <c r="J8" s="218"/>
      <c r="K8" s="218"/>
      <c r="L8" s="218"/>
      <c r="M8" s="218">
        <v>178350</v>
      </c>
      <c r="N8" s="218"/>
      <c r="O8" s="218"/>
      <c r="P8" s="218"/>
      <c r="Q8" s="218">
        <v>356000</v>
      </c>
      <c r="R8" s="218"/>
      <c r="S8" s="218">
        <v>239300</v>
      </c>
      <c r="T8" s="218"/>
      <c r="U8" s="218">
        <v>1178664</v>
      </c>
      <c r="V8" s="218"/>
      <c r="W8" s="218">
        <v>175000</v>
      </c>
      <c r="X8" s="218"/>
      <c r="Y8" s="218">
        <v>57912</v>
      </c>
      <c r="Z8" s="218"/>
      <c r="AA8" s="218">
        <v>85625</v>
      </c>
      <c r="AB8" s="218"/>
      <c r="AC8" s="218">
        <v>262000</v>
      </c>
      <c r="AD8" s="218"/>
      <c r="AE8" s="218">
        <v>87346</v>
      </c>
      <c r="AF8" s="218"/>
      <c r="AG8" s="218"/>
      <c r="AH8" s="218"/>
      <c r="AI8" s="218">
        <v>50000</v>
      </c>
      <c r="AJ8" s="218"/>
      <c r="AK8" s="218">
        <v>60000</v>
      </c>
      <c r="AL8" s="218"/>
      <c r="AM8" s="218">
        <v>10500</v>
      </c>
      <c r="AN8" s="218">
        <v>6000500</v>
      </c>
      <c r="AO8" s="218">
        <v>3123915</v>
      </c>
      <c r="AP8" s="218"/>
      <c r="AQ8" s="218">
        <v>35000</v>
      </c>
      <c r="AR8" s="218">
        <v>6000500</v>
      </c>
      <c r="AS8" s="218">
        <v>6491612</v>
      </c>
      <c r="AU8" s="54" t="s">
        <v>34</v>
      </c>
      <c r="AV8" s="56">
        <f>+GETPIVOTDATA("Somme de Received",$A$3,"Type de dépenses","Versement","Name","Caisse")</f>
        <v>6000500</v>
      </c>
      <c r="AW8" s="56">
        <f>+GETPIVOTDATA("Somme de Spent",$A$3,"Type de dépenses","Versement","Name","Caisse")</f>
        <v>3123915</v>
      </c>
      <c r="AX8" s="56">
        <f>+GETPIVOTDATA("Somme de Spent",$A$3,"Name","Caisse")-AW8</f>
        <v>3367697</v>
      </c>
      <c r="AY8" s="56">
        <f t="shared" si="0"/>
        <v>0</v>
      </c>
    </row>
    <row r="9" spans="1:51">
      <c r="A9" s="8" t="s">
        <v>60</v>
      </c>
      <c r="B9" s="218"/>
      <c r="C9" s="218"/>
      <c r="D9" s="218"/>
      <c r="E9" s="218">
        <v>110000</v>
      </c>
      <c r="F9" s="218"/>
      <c r="G9" s="218"/>
      <c r="H9" s="218"/>
      <c r="I9" s="218"/>
      <c r="J9" s="218"/>
      <c r="K9" s="218"/>
      <c r="L9" s="218"/>
      <c r="M9" s="218"/>
      <c r="N9" s="218"/>
      <c r="O9" s="218">
        <v>149665</v>
      </c>
      <c r="P9" s="218"/>
      <c r="Q9" s="218"/>
      <c r="R9" s="218"/>
      <c r="S9" s="218"/>
      <c r="T9" s="218"/>
      <c r="U9" s="218">
        <v>3000</v>
      </c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>
        <v>236500</v>
      </c>
      <c r="AH9" s="218"/>
      <c r="AI9" s="218"/>
      <c r="AJ9" s="218"/>
      <c r="AK9" s="218">
        <v>481000</v>
      </c>
      <c r="AL9" s="218"/>
      <c r="AM9" s="218"/>
      <c r="AN9" s="218">
        <v>970765</v>
      </c>
      <c r="AO9" s="218"/>
      <c r="AP9" s="218"/>
      <c r="AQ9" s="218"/>
      <c r="AR9" s="218">
        <v>970765</v>
      </c>
      <c r="AS9" s="218">
        <v>980165</v>
      </c>
      <c r="AU9" s="54" t="s">
        <v>60</v>
      </c>
      <c r="AV9" s="56">
        <f>+GETPIVOTDATA("Somme de Received",$A$3,"Type de dépenses","Versement","Name","Crépin")</f>
        <v>970765</v>
      </c>
      <c r="AW9" s="56"/>
      <c r="AX9" s="56">
        <f>GETPIVOTDATA("Somme de Spent",$A$3,"Name","Crépin")-AW9</f>
        <v>980165</v>
      </c>
      <c r="AY9" s="56">
        <f t="shared" si="0"/>
        <v>0</v>
      </c>
    </row>
    <row r="10" spans="1:51">
      <c r="A10" s="8" t="s">
        <v>40</v>
      </c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>
        <v>59500</v>
      </c>
      <c r="AH10" s="218"/>
      <c r="AI10" s="218"/>
      <c r="AJ10" s="218"/>
      <c r="AK10" s="218"/>
      <c r="AL10" s="218"/>
      <c r="AM10" s="218"/>
      <c r="AN10" s="218">
        <v>58000</v>
      </c>
      <c r="AO10" s="218"/>
      <c r="AP10" s="218"/>
      <c r="AQ10" s="218"/>
      <c r="AR10" s="218">
        <v>58000</v>
      </c>
      <c r="AS10" s="218">
        <v>59500</v>
      </c>
      <c r="AU10" s="54" t="s">
        <v>40</v>
      </c>
      <c r="AV10" s="56">
        <f>+GETPIVOTDATA("Somme de Received",$A$3,"Type de dépenses","Versement","Name","Evariste")</f>
        <v>58000</v>
      </c>
      <c r="AW10" s="56"/>
      <c r="AX10" s="56">
        <f>GETPIVOTDATA("Somme de Spent",$A$3,"Name","Evariste")-AW10</f>
        <v>59500</v>
      </c>
      <c r="AY10" s="56">
        <f t="shared" si="0"/>
        <v>0</v>
      </c>
    </row>
    <row r="11" spans="1:51">
      <c r="A11" s="8" t="s">
        <v>39</v>
      </c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>
        <v>11000</v>
      </c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>
        <v>171900</v>
      </c>
      <c r="AH11" s="218"/>
      <c r="AI11" s="218"/>
      <c r="AJ11" s="218"/>
      <c r="AK11" s="218">
        <v>350000</v>
      </c>
      <c r="AL11" s="218"/>
      <c r="AM11" s="218">
        <v>23750</v>
      </c>
      <c r="AN11" s="218">
        <v>557150</v>
      </c>
      <c r="AO11" s="218"/>
      <c r="AP11" s="218"/>
      <c r="AQ11" s="218"/>
      <c r="AR11" s="218">
        <v>557150</v>
      </c>
      <c r="AS11" s="218">
        <v>556650</v>
      </c>
      <c r="AU11" s="54" t="s">
        <v>39</v>
      </c>
      <c r="AV11" s="56">
        <f>+GETPIVOTDATA("Somme de Received",$A$3,"Type de dépenses","Versement","Name","I23C")</f>
        <v>557150</v>
      </c>
      <c r="AW11" s="56"/>
      <c r="AX11" s="56">
        <f>GETPIVOTDATA("Somme de Spent",$A$3,"Name","I23C")-AW12</f>
        <v>556650</v>
      </c>
      <c r="AY11" s="56">
        <f t="shared" si="0"/>
        <v>0</v>
      </c>
    </row>
    <row r="12" spans="1:51">
      <c r="A12" s="8" t="s">
        <v>46</v>
      </c>
      <c r="B12" s="218"/>
      <c r="C12" s="218"/>
      <c r="D12" s="218"/>
      <c r="E12" s="218"/>
      <c r="F12" s="218"/>
      <c r="G12" s="218">
        <v>25000</v>
      </c>
      <c r="H12" s="218"/>
      <c r="I12" s="218">
        <v>40000</v>
      </c>
      <c r="J12" s="218"/>
      <c r="K12" s="218"/>
      <c r="L12" s="218"/>
      <c r="M12" s="218"/>
      <c r="N12" s="218"/>
      <c r="O12" s="218">
        <v>29000</v>
      </c>
      <c r="P12" s="218"/>
      <c r="Q12" s="218"/>
      <c r="R12" s="218"/>
      <c r="S12" s="218">
        <v>5025</v>
      </c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>
        <v>210700</v>
      </c>
      <c r="AH12" s="218"/>
      <c r="AI12" s="218"/>
      <c r="AJ12" s="218"/>
      <c r="AK12" s="218">
        <v>775000</v>
      </c>
      <c r="AL12" s="218"/>
      <c r="AM12" s="218"/>
      <c r="AN12" s="218">
        <v>941000</v>
      </c>
      <c r="AO12" s="218"/>
      <c r="AP12" s="218"/>
      <c r="AQ12" s="218"/>
      <c r="AR12" s="218">
        <v>941000</v>
      </c>
      <c r="AS12" s="218">
        <v>1084725</v>
      </c>
      <c r="AU12" s="54" t="s">
        <v>46</v>
      </c>
      <c r="AV12" s="56">
        <f>+GETPIVOTDATA("Somme de Received",$A$3,"Type de dépenses","Versement","Name","Jack-Bénisson")</f>
        <v>941000</v>
      </c>
      <c r="AW12" s="56"/>
      <c r="AX12" s="56">
        <f>+GETPIVOTDATA("Somme de Spent",$A$3,"Name","Jack-Bénisson")</f>
        <v>1084725</v>
      </c>
      <c r="AY12" s="56">
        <f t="shared" si="0"/>
        <v>0</v>
      </c>
    </row>
    <row r="13" spans="1:51">
      <c r="A13" s="8" t="s">
        <v>108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>
        <v>67000</v>
      </c>
      <c r="AH13" s="218"/>
      <c r="AI13" s="218"/>
      <c r="AJ13" s="218"/>
      <c r="AK13" s="218"/>
      <c r="AL13" s="218"/>
      <c r="AM13" s="218"/>
      <c r="AN13" s="218">
        <v>52000</v>
      </c>
      <c r="AO13" s="218"/>
      <c r="AP13" s="218"/>
      <c r="AQ13" s="218"/>
      <c r="AR13" s="218">
        <v>52000</v>
      </c>
      <c r="AS13" s="218">
        <v>67000</v>
      </c>
      <c r="AU13" s="54" t="s">
        <v>108</v>
      </c>
      <c r="AV13" s="56">
        <f>+GETPIVOTDATA("Somme de Received",$A$3,"Type de dépenses","Versement","Name","Merveille")</f>
        <v>52000</v>
      </c>
      <c r="AW13" s="56"/>
      <c r="AX13" s="56">
        <f>GETPIVOTDATA("Somme de Spent",$A$3,"Name","Merveille")-AW14</f>
        <v>67000</v>
      </c>
      <c r="AY13" s="56">
        <f t="shared" si="0"/>
        <v>0</v>
      </c>
    </row>
    <row r="14" spans="1:51">
      <c r="A14" s="8" t="s">
        <v>38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>
        <v>163000</v>
      </c>
      <c r="AH14" s="218"/>
      <c r="AI14" s="218"/>
      <c r="AJ14" s="218"/>
      <c r="AK14" s="218">
        <v>475000</v>
      </c>
      <c r="AL14" s="218"/>
      <c r="AM14" s="218">
        <v>17500</v>
      </c>
      <c r="AN14" s="218">
        <v>515000</v>
      </c>
      <c r="AO14" s="218"/>
      <c r="AP14" s="218"/>
      <c r="AQ14" s="218"/>
      <c r="AR14" s="218">
        <v>515000</v>
      </c>
      <c r="AS14" s="218">
        <v>655500</v>
      </c>
      <c r="AU14" s="54" t="s">
        <v>38</v>
      </c>
      <c r="AV14" s="56">
        <f>+GETPIVOTDATA("Somme de Received",$A$3,"Type de dépenses","Versement","Name","P29")</f>
        <v>515000</v>
      </c>
      <c r="AW14" s="56"/>
      <c r="AX14" s="56">
        <f>+GETPIVOTDATA("Somme de Spent",$A$3,"Name","P29")</f>
        <v>655500</v>
      </c>
      <c r="AY14" s="56">
        <f t="shared" si="0"/>
        <v>0</v>
      </c>
    </row>
    <row r="15" spans="1:51">
      <c r="A15" s="8" t="s">
        <v>41</v>
      </c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>
        <v>15300</v>
      </c>
      <c r="AH15" s="218"/>
      <c r="AI15" s="218"/>
      <c r="AJ15" s="218"/>
      <c r="AK15" s="218"/>
      <c r="AL15" s="218"/>
      <c r="AM15" s="218"/>
      <c r="AN15" s="218">
        <v>10000</v>
      </c>
      <c r="AO15" s="218">
        <v>500</v>
      </c>
      <c r="AP15" s="218"/>
      <c r="AQ15" s="218"/>
      <c r="AR15" s="218">
        <v>10000</v>
      </c>
      <c r="AS15" s="218">
        <v>15800</v>
      </c>
      <c r="AU15" s="54" t="s">
        <v>41</v>
      </c>
      <c r="AV15" s="56">
        <f>+GETPIVOTDATA("Somme de Received",$A$3,"Type de dépenses","Versement","Name","Ted")</f>
        <v>10000</v>
      </c>
      <c r="AW15" s="56">
        <f>+GETPIVOTDATA("Somme de Spent",$A$3,"Type de dépenses","Versement","Name","Ted")</f>
        <v>500</v>
      </c>
      <c r="AX15" s="56">
        <f>GETPIVOTDATA("Somme de Spent",$A$3,"Name","Ted")-AW15</f>
        <v>15300</v>
      </c>
      <c r="AY15" s="56">
        <f t="shared" si="0"/>
        <v>0</v>
      </c>
    </row>
    <row r="16" spans="1:51">
      <c r="A16" s="8" t="s">
        <v>129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>
        <v>28000</v>
      </c>
      <c r="AH16" s="218"/>
      <c r="AI16" s="218"/>
      <c r="AJ16" s="218"/>
      <c r="AK16" s="218"/>
      <c r="AL16" s="218"/>
      <c r="AM16" s="218"/>
      <c r="AN16" s="218">
        <v>20000</v>
      </c>
      <c r="AO16" s="218"/>
      <c r="AP16" s="218"/>
      <c r="AQ16" s="218"/>
      <c r="AR16" s="218">
        <v>20000</v>
      </c>
      <c r="AS16" s="218">
        <v>28000</v>
      </c>
      <c r="AU16" s="54" t="s">
        <v>129</v>
      </c>
      <c r="AV16" s="56">
        <f>+GETPIVOTDATA("Somme de Received",$A$3,"Type de dépenses","Versement","Name","Tiffany")</f>
        <v>20000</v>
      </c>
      <c r="AW16" s="56"/>
      <c r="AX16" s="56">
        <f>GETPIVOTDATA("Somme de Spent",$A$3,"Name","Tiffany")-AW16</f>
        <v>28000</v>
      </c>
      <c r="AY16" s="56">
        <v>0</v>
      </c>
    </row>
    <row r="17" spans="1:51">
      <c r="A17" s="8" t="s">
        <v>154</v>
      </c>
      <c r="B17" s="218"/>
      <c r="C17" s="218">
        <v>21507</v>
      </c>
      <c r="D17" s="218"/>
      <c r="E17" s="218">
        <v>702000</v>
      </c>
      <c r="F17" s="218"/>
      <c r="G17" s="218">
        <v>25000</v>
      </c>
      <c r="H17" s="218"/>
      <c r="I17" s="218">
        <v>40000</v>
      </c>
      <c r="J17" s="218">
        <v>31201251</v>
      </c>
      <c r="K17" s="218"/>
      <c r="L17" s="218"/>
      <c r="M17" s="218">
        <v>178350</v>
      </c>
      <c r="N17" s="218"/>
      <c r="O17" s="218">
        <v>178665</v>
      </c>
      <c r="P17" s="218"/>
      <c r="Q17" s="218">
        <v>1206000</v>
      </c>
      <c r="R17" s="218"/>
      <c r="S17" s="218">
        <v>244325</v>
      </c>
      <c r="T17" s="218"/>
      <c r="U17" s="218">
        <v>5776945</v>
      </c>
      <c r="V17" s="218"/>
      <c r="W17" s="218">
        <v>175000</v>
      </c>
      <c r="X17" s="218"/>
      <c r="Y17" s="218">
        <v>557912</v>
      </c>
      <c r="Z17" s="218"/>
      <c r="AA17" s="218">
        <v>605625</v>
      </c>
      <c r="AB17" s="218"/>
      <c r="AC17" s="218">
        <v>262000</v>
      </c>
      <c r="AD17" s="218"/>
      <c r="AE17" s="218">
        <v>87346</v>
      </c>
      <c r="AF17" s="218"/>
      <c r="AG17" s="218">
        <v>951900</v>
      </c>
      <c r="AH17" s="218"/>
      <c r="AI17" s="218">
        <v>50000</v>
      </c>
      <c r="AJ17" s="218"/>
      <c r="AK17" s="218">
        <v>2141000</v>
      </c>
      <c r="AL17" s="218"/>
      <c r="AM17" s="218">
        <v>51750</v>
      </c>
      <c r="AN17" s="218">
        <v>9124415</v>
      </c>
      <c r="AO17" s="218">
        <v>9124415</v>
      </c>
      <c r="AP17" s="218"/>
      <c r="AQ17" s="218">
        <v>35000</v>
      </c>
      <c r="AR17" s="218">
        <v>40325666</v>
      </c>
      <c r="AS17" s="218">
        <v>22414740</v>
      </c>
      <c r="AU17" s="1"/>
      <c r="AV17" s="53">
        <f>SUM(AV6:AV16)</f>
        <v>9124415</v>
      </c>
      <c r="AW17" s="53">
        <f>SUM(AW6:AW16)</f>
        <v>9124415</v>
      </c>
      <c r="AX17" s="53">
        <f>SUM(AX6:AX16)</f>
        <v>13290325</v>
      </c>
      <c r="AY17" s="53">
        <f>SUM(AY6:AY16)</f>
        <v>31201251</v>
      </c>
    </row>
    <row r="19" spans="1:51">
      <c r="AX19" s="9">
        <f>+AX17-GETPIVOTDATA("Spent",'Donateurs '!$A$3)</f>
        <v>0</v>
      </c>
    </row>
    <row r="20" spans="1:51">
      <c r="AV20" s="9">
        <f>AV17+AY17</f>
        <v>40325666</v>
      </c>
      <c r="AX20" s="9"/>
    </row>
    <row r="21" spans="1:51">
      <c r="AX21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B6"/>
  <sheetViews>
    <sheetView workbookViewId="0">
      <selection activeCell="I12" sqref="I12"/>
    </sheetView>
  </sheetViews>
  <sheetFormatPr baseColWidth="10" defaultRowHeight="15"/>
  <cols>
    <col min="1" max="1" width="21" bestFit="1" customWidth="1"/>
    <col min="2" max="2" width="16.140625" customWidth="1"/>
  </cols>
  <sheetData>
    <row r="3" spans="1:2">
      <c r="A3" s="7" t="s">
        <v>153</v>
      </c>
      <c r="B3" t="s">
        <v>161</v>
      </c>
    </row>
    <row r="4" spans="1:2">
      <c r="A4" s="8" t="s">
        <v>135</v>
      </c>
      <c r="B4" s="218">
        <v>3120448</v>
      </c>
    </row>
    <row r="5" spans="1:2">
      <c r="A5" s="8" t="s">
        <v>118</v>
      </c>
      <c r="B5" s="218">
        <v>10169877</v>
      </c>
    </row>
    <row r="6" spans="1:2">
      <c r="A6" s="8" t="s">
        <v>154</v>
      </c>
      <c r="B6" s="218">
        <v>13290325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BK308"/>
  <sheetViews>
    <sheetView zoomScale="71" zoomScaleNormal="71" workbookViewId="0">
      <pane ySplit="11" topLeftCell="A286" activePane="bottomLeft" state="frozen"/>
      <selection pane="bottomLeft" activeCell="A163" sqref="A163:XFD163"/>
    </sheetView>
  </sheetViews>
  <sheetFormatPr baseColWidth="10" defaultColWidth="11.42578125" defaultRowHeight="15"/>
  <cols>
    <col min="1" max="1" width="13.85546875" style="2" customWidth="1"/>
    <col min="2" max="2" width="58.7109375" style="2" customWidth="1"/>
    <col min="3" max="3" width="21.42578125" style="2" customWidth="1"/>
    <col min="4" max="4" width="14" style="2" customWidth="1"/>
    <col min="5" max="5" width="15.7109375" style="131" customWidth="1"/>
    <col min="6" max="6" width="13.140625" style="189" customWidth="1"/>
    <col min="7" max="7" width="17.85546875" style="3" customWidth="1"/>
    <col min="8" max="8" width="16.28515625" style="2" customWidth="1"/>
    <col min="9" max="9" width="16.5703125" style="134" customWidth="1"/>
    <col min="10" max="10" width="14.7109375" style="2" customWidth="1"/>
    <col min="11" max="11" width="8.42578125" style="2" customWidth="1"/>
    <col min="12" max="12" width="10" style="2" customWidth="1"/>
    <col min="13" max="13" width="17.85546875" style="2" customWidth="1"/>
    <col min="14" max="14" width="11.42578125" style="2"/>
    <col min="15" max="15" width="12" style="2" customWidth="1"/>
    <col min="16" max="16384" width="11.42578125" style="2"/>
  </cols>
  <sheetData>
    <row r="1" spans="1:15" s="125" customFormat="1" ht="26.25" customHeight="1">
      <c r="A1" s="283" t="s">
        <v>178</v>
      </c>
      <c r="B1" s="283"/>
      <c r="C1" s="283"/>
      <c r="D1" s="283"/>
      <c r="E1" s="283"/>
      <c r="F1" s="284"/>
      <c r="G1" s="283"/>
      <c r="H1" s="283"/>
      <c r="I1" s="283"/>
      <c r="J1" s="283"/>
      <c r="K1" s="283"/>
      <c r="L1" s="283"/>
      <c r="M1" s="283"/>
      <c r="N1" s="283"/>
      <c r="O1" s="283"/>
    </row>
    <row r="2" spans="1:15">
      <c r="B2" s="148" t="s">
        <v>179</v>
      </c>
      <c r="C2" s="149">
        <v>18027284</v>
      </c>
    </row>
    <row r="4" spans="1:15" ht="15.75">
      <c r="B4" s="130" t="s">
        <v>13</v>
      </c>
      <c r="C4" s="130" t="s">
        <v>14</v>
      </c>
    </row>
    <row r="5" spans="1:15">
      <c r="B5" s="4" t="s">
        <v>15</v>
      </c>
      <c r="C5" s="5">
        <f>SUM(E13:E1156)</f>
        <v>40325666</v>
      </c>
      <c r="E5" s="131" t="s">
        <v>115</v>
      </c>
      <c r="H5" s="6"/>
      <c r="I5" s="180"/>
    </row>
    <row r="6" spans="1:15" ht="16.5">
      <c r="B6" s="4" t="s">
        <v>16</v>
      </c>
      <c r="C6" s="5">
        <f>SUM(F13:F1157)</f>
        <v>22414740</v>
      </c>
      <c r="E6" s="170">
        <f>+C7-Récapitulatif!I16</f>
        <v>0</v>
      </c>
      <c r="J6" s="6"/>
      <c r="K6" s="178"/>
      <c r="N6" s="77"/>
    </row>
    <row r="7" spans="1:15" ht="16.5">
      <c r="B7" s="4" t="s">
        <v>17</v>
      </c>
      <c r="C7" s="5">
        <f>C2+C5-C6</f>
        <v>35938210</v>
      </c>
      <c r="D7" s="193">
        <f>C7-Récapitulatif!I16</f>
        <v>0</v>
      </c>
      <c r="K7" s="178"/>
      <c r="N7" s="77"/>
    </row>
    <row r="9" spans="1:15" ht="16.5">
      <c r="B9" s="80"/>
    </row>
    <row r="11" spans="1:15" ht="15.75">
      <c r="A11" s="122" t="s">
        <v>0</v>
      </c>
      <c r="B11" s="123" t="s">
        <v>18</v>
      </c>
      <c r="C11" s="123" t="s">
        <v>19</v>
      </c>
      <c r="D11" s="123" t="s">
        <v>20</v>
      </c>
      <c r="E11" s="133" t="s">
        <v>21</v>
      </c>
      <c r="F11" s="190" t="s">
        <v>22</v>
      </c>
      <c r="G11" s="124" t="s">
        <v>23</v>
      </c>
      <c r="H11" s="123" t="s">
        <v>24</v>
      </c>
      <c r="I11" s="135" t="s">
        <v>25</v>
      </c>
      <c r="J11" s="123" t="s">
        <v>26</v>
      </c>
      <c r="K11" s="123" t="s">
        <v>27</v>
      </c>
      <c r="L11" s="123" t="s">
        <v>28</v>
      </c>
      <c r="M11" s="123" t="s">
        <v>95</v>
      </c>
      <c r="N11" s="123" t="s">
        <v>30</v>
      </c>
      <c r="O11" s="123" t="s">
        <v>29</v>
      </c>
    </row>
    <row r="12" spans="1:15" s="118" customFormat="1" ht="15.75">
      <c r="A12" s="226">
        <v>44378</v>
      </c>
      <c r="B12" s="227" t="s">
        <v>179</v>
      </c>
      <c r="C12" s="227"/>
      <c r="D12" s="227"/>
      <c r="E12" s="228">
        <f>+C2</f>
        <v>18027284</v>
      </c>
      <c r="F12" s="229"/>
      <c r="G12" s="230">
        <f>+C2</f>
        <v>18027284</v>
      </c>
      <c r="H12" s="227"/>
      <c r="I12" s="231"/>
      <c r="J12" s="227"/>
      <c r="K12" s="227"/>
      <c r="L12" s="227" t="s">
        <v>139</v>
      </c>
      <c r="M12" s="227"/>
      <c r="N12" s="227"/>
      <c r="O12" s="227"/>
    </row>
    <row r="13" spans="1:15" s="212" customFormat="1" ht="15.75">
      <c r="A13" s="226">
        <v>44378</v>
      </c>
      <c r="B13" s="232" t="s">
        <v>167</v>
      </c>
      <c r="C13" s="232" t="s">
        <v>9</v>
      </c>
      <c r="D13" s="232" t="s">
        <v>33</v>
      </c>
      <c r="E13" s="228"/>
      <c r="F13" s="228">
        <v>150000</v>
      </c>
      <c r="G13" s="228">
        <f t="shared" ref="G13:G76" si="0">+G12+E13-F13</f>
        <v>17877284</v>
      </c>
      <c r="H13" s="233" t="s">
        <v>34</v>
      </c>
      <c r="I13" s="231" t="s">
        <v>335</v>
      </c>
      <c r="J13" s="231" t="s">
        <v>135</v>
      </c>
      <c r="K13" s="234" t="s">
        <v>136</v>
      </c>
      <c r="L13" s="227" t="s">
        <v>139</v>
      </c>
      <c r="M13" s="235"/>
      <c r="N13" s="235"/>
      <c r="O13" s="227"/>
    </row>
    <row r="14" spans="1:15" s="212" customFormat="1" ht="15" customHeight="1">
      <c r="A14" s="226">
        <v>44378</v>
      </c>
      <c r="B14" s="232" t="s">
        <v>40</v>
      </c>
      <c r="C14" s="232" t="s">
        <v>88</v>
      </c>
      <c r="D14" s="232"/>
      <c r="E14" s="228"/>
      <c r="F14" s="228">
        <v>10000</v>
      </c>
      <c r="G14" s="228">
        <f t="shared" si="0"/>
        <v>17867284</v>
      </c>
      <c r="H14" s="232" t="s">
        <v>34</v>
      </c>
      <c r="I14" s="231"/>
      <c r="J14" s="231"/>
      <c r="K14" s="234"/>
      <c r="L14" s="227" t="s">
        <v>139</v>
      </c>
      <c r="M14" s="235"/>
      <c r="N14" s="235"/>
      <c r="O14" s="227"/>
    </row>
    <row r="15" spans="1:15" s="213" customFormat="1" ht="15" customHeight="1">
      <c r="A15" s="226">
        <v>44378</v>
      </c>
      <c r="B15" s="232" t="s">
        <v>38</v>
      </c>
      <c r="C15" s="232" t="s">
        <v>88</v>
      </c>
      <c r="D15" s="232"/>
      <c r="E15" s="228"/>
      <c r="F15" s="228">
        <v>30000</v>
      </c>
      <c r="G15" s="228">
        <f t="shared" si="0"/>
        <v>17837284</v>
      </c>
      <c r="H15" s="232" t="s">
        <v>34</v>
      </c>
      <c r="I15" s="231"/>
      <c r="J15" s="231"/>
      <c r="K15" s="234"/>
      <c r="L15" s="227" t="s">
        <v>139</v>
      </c>
      <c r="M15" s="235"/>
      <c r="N15" s="235"/>
      <c r="O15" s="227"/>
    </row>
    <row r="16" spans="1:15" s="213" customFormat="1" ht="15" customHeight="1">
      <c r="A16" s="226">
        <v>44378</v>
      </c>
      <c r="B16" s="236" t="s">
        <v>39</v>
      </c>
      <c r="C16" s="232" t="s">
        <v>88</v>
      </c>
      <c r="D16" s="232"/>
      <c r="E16" s="228"/>
      <c r="F16" s="228">
        <v>120000</v>
      </c>
      <c r="G16" s="228">
        <f t="shared" si="0"/>
        <v>17717284</v>
      </c>
      <c r="H16" s="232" t="s">
        <v>34</v>
      </c>
      <c r="I16" s="231"/>
      <c r="J16" s="231"/>
      <c r="K16" s="234"/>
      <c r="L16" s="227" t="s">
        <v>139</v>
      </c>
      <c r="M16" s="235"/>
      <c r="N16" s="235"/>
      <c r="O16" s="227"/>
    </row>
    <row r="17" spans="1:63" s="213" customFormat="1" ht="15" customHeight="1">
      <c r="A17" s="226">
        <v>44378</v>
      </c>
      <c r="B17" s="236" t="s">
        <v>60</v>
      </c>
      <c r="C17" s="232" t="s">
        <v>88</v>
      </c>
      <c r="D17" s="232"/>
      <c r="E17" s="228"/>
      <c r="F17" s="228">
        <v>50000</v>
      </c>
      <c r="G17" s="228">
        <f t="shared" si="0"/>
        <v>17667284</v>
      </c>
      <c r="H17" s="232" t="s">
        <v>34</v>
      </c>
      <c r="I17" s="231"/>
      <c r="J17" s="235"/>
      <c r="K17" s="234"/>
      <c r="L17" s="227" t="s">
        <v>139</v>
      </c>
      <c r="M17" s="235"/>
      <c r="N17" s="235"/>
      <c r="O17" s="227"/>
    </row>
    <row r="18" spans="1:63" s="212" customFormat="1" ht="15" customHeight="1">
      <c r="A18" s="226">
        <v>44378</v>
      </c>
      <c r="B18" s="232" t="s">
        <v>286</v>
      </c>
      <c r="C18" s="232" t="s">
        <v>339</v>
      </c>
      <c r="D18" s="232" t="s">
        <v>89</v>
      </c>
      <c r="E18" s="228"/>
      <c r="F18" s="228">
        <v>40000</v>
      </c>
      <c r="G18" s="228">
        <f t="shared" si="0"/>
        <v>17627284</v>
      </c>
      <c r="H18" s="232" t="s">
        <v>46</v>
      </c>
      <c r="I18" s="231" t="s">
        <v>45</v>
      </c>
      <c r="J18" s="231" t="s">
        <v>118</v>
      </c>
      <c r="K18" s="234" t="s">
        <v>137</v>
      </c>
      <c r="L18" s="227" t="s">
        <v>139</v>
      </c>
      <c r="M18" s="4" t="s">
        <v>371</v>
      </c>
      <c r="N18" s="235" t="s">
        <v>142</v>
      </c>
      <c r="O18" s="227"/>
    </row>
    <row r="19" spans="1:63" s="118" customFormat="1" ht="15" customHeight="1">
      <c r="A19" s="226">
        <v>44378</v>
      </c>
      <c r="B19" s="234" t="s">
        <v>271</v>
      </c>
      <c r="C19" s="232" t="s">
        <v>88</v>
      </c>
      <c r="D19" s="234" t="s">
        <v>6</v>
      </c>
      <c r="E19" s="228">
        <v>50000</v>
      </c>
      <c r="F19" s="228"/>
      <c r="G19" s="228">
        <f t="shared" si="0"/>
        <v>17677284</v>
      </c>
      <c r="H19" s="232" t="s">
        <v>60</v>
      </c>
      <c r="I19" s="231" t="s">
        <v>335</v>
      </c>
      <c r="J19" s="235"/>
      <c r="K19" s="234"/>
      <c r="L19" s="227" t="s">
        <v>139</v>
      </c>
      <c r="M19" s="4"/>
      <c r="N19" s="235"/>
      <c r="O19" s="235"/>
    </row>
    <row r="20" spans="1:63" s="118" customFormat="1" ht="15" customHeight="1">
      <c r="A20" s="226">
        <v>44378</v>
      </c>
      <c r="B20" s="234" t="s">
        <v>245</v>
      </c>
      <c r="C20" s="232" t="s">
        <v>88</v>
      </c>
      <c r="D20" s="237" t="s">
        <v>156</v>
      </c>
      <c r="E20" s="228">
        <v>120000</v>
      </c>
      <c r="F20" s="228"/>
      <c r="G20" s="228">
        <f t="shared" si="0"/>
        <v>17797284</v>
      </c>
      <c r="H20" s="232" t="s">
        <v>39</v>
      </c>
      <c r="I20" s="231" t="s">
        <v>335</v>
      </c>
      <c r="J20" s="231"/>
      <c r="K20" s="234"/>
      <c r="L20" s="227" t="s">
        <v>139</v>
      </c>
      <c r="M20" s="4"/>
      <c r="N20" s="235"/>
      <c r="O20" s="227"/>
    </row>
    <row r="21" spans="1:63" s="213" customFormat="1" ht="15" customHeight="1">
      <c r="A21" s="226">
        <v>44378</v>
      </c>
      <c r="B21" s="234" t="s">
        <v>246</v>
      </c>
      <c r="C21" s="234" t="s">
        <v>43</v>
      </c>
      <c r="D21" s="237" t="s">
        <v>156</v>
      </c>
      <c r="E21" s="228"/>
      <c r="F21" s="228">
        <v>15000</v>
      </c>
      <c r="G21" s="228">
        <f t="shared" si="0"/>
        <v>17782284</v>
      </c>
      <c r="H21" s="232" t="s">
        <v>39</v>
      </c>
      <c r="I21" s="231" t="s">
        <v>45</v>
      </c>
      <c r="J21" s="231" t="s">
        <v>118</v>
      </c>
      <c r="K21" s="234" t="s">
        <v>137</v>
      </c>
      <c r="L21" s="227" t="s">
        <v>139</v>
      </c>
      <c r="M21" s="4" t="s">
        <v>372</v>
      </c>
      <c r="N21" s="235" t="s">
        <v>142</v>
      </c>
      <c r="O21" s="227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</row>
    <row r="22" spans="1:63" s="118" customFormat="1" ht="15" customHeight="1">
      <c r="A22" s="226">
        <v>44378</v>
      </c>
      <c r="B22" s="232" t="s">
        <v>284</v>
      </c>
      <c r="C22" s="232" t="s">
        <v>88</v>
      </c>
      <c r="D22" s="232" t="s">
        <v>33</v>
      </c>
      <c r="E22" s="228">
        <v>10000</v>
      </c>
      <c r="F22" s="228"/>
      <c r="G22" s="228">
        <f t="shared" si="0"/>
        <v>17792284</v>
      </c>
      <c r="H22" s="232" t="s">
        <v>40</v>
      </c>
      <c r="I22" s="231" t="s">
        <v>335</v>
      </c>
      <c r="J22" s="231"/>
      <c r="K22" s="234"/>
      <c r="L22" s="227" t="s">
        <v>139</v>
      </c>
      <c r="M22" s="4"/>
      <c r="N22" s="235"/>
      <c r="O22" s="227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  <c r="BI22" s="212"/>
      <c r="BJ22" s="212"/>
      <c r="BK22" s="212"/>
    </row>
    <row r="23" spans="1:63" s="207" customFormat="1" ht="15" customHeight="1">
      <c r="A23" s="226">
        <v>44378</v>
      </c>
      <c r="B23" s="234" t="s">
        <v>260</v>
      </c>
      <c r="C23" s="232" t="s">
        <v>88</v>
      </c>
      <c r="D23" s="227" t="s">
        <v>156</v>
      </c>
      <c r="E23" s="228">
        <v>30000</v>
      </c>
      <c r="F23" s="228"/>
      <c r="G23" s="228">
        <f t="shared" si="0"/>
        <v>17822284</v>
      </c>
      <c r="H23" s="234" t="s">
        <v>38</v>
      </c>
      <c r="I23" s="231" t="s">
        <v>335</v>
      </c>
      <c r="J23" s="231"/>
      <c r="K23" s="234"/>
      <c r="L23" s="227" t="s">
        <v>139</v>
      </c>
      <c r="M23" s="4"/>
      <c r="N23" s="235"/>
      <c r="O23" s="227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</row>
    <row r="24" spans="1:63" s="212" customFormat="1" ht="15" customHeight="1">
      <c r="A24" s="226">
        <v>44378</v>
      </c>
      <c r="B24" s="234" t="s">
        <v>261</v>
      </c>
      <c r="C24" s="234" t="s">
        <v>43</v>
      </c>
      <c r="D24" s="237" t="s">
        <v>156</v>
      </c>
      <c r="E24" s="228"/>
      <c r="F24" s="228">
        <v>10000</v>
      </c>
      <c r="G24" s="228">
        <f t="shared" si="0"/>
        <v>17812284</v>
      </c>
      <c r="H24" s="234" t="s">
        <v>38</v>
      </c>
      <c r="I24" s="231" t="s">
        <v>45</v>
      </c>
      <c r="J24" s="231" t="s">
        <v>118</v>
      </c>
      <c r="K24" s="234" t="s">
        <v>137</v>
      </c>
      <c r="L24" s="227" t="s">
        <v>139</v>
      </c>
      <c r="M24" s="4" t="s">
        <v>373</v>
      </c>
      <c r="N24" s="235" t="s">
        <v>142</v>
      </c>
      <c r="O24" s="227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</row>
    <row r="25" spans="1:63" s="118" customFormat="1" ht="15" customHeight="1">
      <c r="A25" s="226">
        <v>44379</v>
      </c>
      <c r="B25" s="236" t="s">
        <v>180</v>
      </c>
      <c r="C25" s="232" t="s">
        <v>88</v>
      </c>
      <c r="D25" s="232" t="s">
        <v>8</v>
      </c>
      <c r="E25" s="228">
        <v>1000000</v>
      </c>
      <c r="F25" s="228"/>
      <c r="G25" s="228">
        <f t="shared" si="0"/>
        <v>18812284</v>
      </c>
      <c r="H25" s="232" t="s">
        <v>34</v>
      </c>
      <c r="I25" s="231"/>
      <c r="J25" s="235"/>
      <c r="K25" s="234"/>
      <c r="L25" s="227" t="s">
        <v>139</v>
      </c>
      <c r="M25" s="4"/>
      <c r="N25" s="235"/>
      <c r="O25" s="234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  <c r="BI25" s="213"/>
      <c r="BJ25" s="213"/>
      <c r="BK25" s="213"/>
    </row>
    <row r="26" spans="1:63" s="213" customFormat="1" ht="15" customHeight="1">
      <c r="A26" s="226">
        <v>44379</v>
      </c>
      <c r="B26" s="236" t="s">
        <v>148</v>
      </c>
      <c r="C26" s="232" t="s">
        <v>88</v>
      </c>
      <c r="D26" s="232"/>
      <c r="E26" s="228"/>
      <c r="F26" s="228">
        <v>71000</v>
      </c>
      <c r="G26" s="228">
        <f t="shared" si="0"/>
        <v>18741284</v>
      </c>
      <c r="H26" s="232" t="s">
        <v>34</v>
      </c>
      <c r="I26" s="231"/>
      <c r="J26" s="231"/>
      <c r="K26" s="238"/>
      <c r="L26" s="227" t="s">
        <v>139</v>
      </c>
      <c r="M26" s="4"/>
      <c r="N26" s="235"/>
      <c r="O26" s="227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</row>
    <row r="27" spans="1:63" s="207" customFormat="1" ht="15" customHeight="1">
      <c r="A27" s="226">
        <v>44379</v>
      </c>
      <c r="B27" s="232" t="s">
        <v>60</v>
      </c>
      <c r="C27" s="232" t="s">
        <v>88</v>
      </c>
      <c r="D27" s="232"/>
      <c r="E27" s="228"/>
      <c r="F27" s="228">
        <v>104000</v>
      </c>
      <c r="G27" s="228">
        <f t="shared" si="0"/>
        <v>18637284</v>
      </c>
      <c r="H27" s="232" t="s">
        <v>34</v>
      </c>
      <c r="I27" s="231"/>
      <c r="J27" s="235"/>
      <c r="K27" s="234"/>
      <c r="L27" s="227" t="s">
        <v>139</v>
      </c>
      <c r="M27" s="4"/>
      <c r="N27" s="235"/>
      <c r="O27" s="227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</row>
    <row r="28" spans="1:63" s="207" customFormat="1" ht="15" customHeight="1">
      <c r="A28" s="226">
        <v>44379</v>
      </c>
      <c r="B28" s="232" t="s">
        <v>181</v>
      </c>
      <c r="C28" s="232" t="s">
        <v>340</v>
      </c>
      <c r="D28" s="232" t="s">
        <v>8</v>
      </c>
      <c r="E28" s="228"/>
      <c r="F28" s="228">
        <v>5250</v>
      </c>
      <c r="G28" s="228">
        <f t="shared" si="0"/>
        <v>18632034</v>
      </c>
      <c r="H28" s="232" t="s">
        <v>34</v>
      </c>
      <c r="I28" s="231" t="s">
        <v>45</v>
      </c>
      <c r="J28" s="239" t="s">
        <v>118</v>
      </c>
      <c r="K28" s="234" t="s">
        <v>137</v>
      </c>
      <c r="L28" s="227" t="s">
        <v>139</v>
      </c>
      <c r="M28" s="4" t="s">
        <v>374</v>
      </c>
      <c r="N28" s="235" t="s">
        <v>138</v>
      </c>
      <c r="O28" s="227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  <c r="BI28" s="213"/>
      <c r="BJ28" s="213"/>
      <c r="BK28" s="213"/>
    </row>
    <row r="29" spans="1:63" s="118" customFormat="1" ht="15" customHeight="1">
      <c r="A29" s="226">
        <v>44379</v>
      </c>
      <c r="B29" s="232" t="s">
        <v>182</v>
      </c>
      <c r="C29" s="232" t="s">
        <v>341</v>
      </c>
      <c r="D29" s="232" t="s">
        <v>8</v>
      </c>
      <c r="E29" s="228"/>
      <c r="F29" s="228">
        <v>175000</v>
      </c>
      <c r="G29" s="228">
        <f t="shared" si="0"/>
        <v>18457034</v>
      </c>
      <c r="H29" s="232" t="s">
        <v>34</v>
      </c>
      <c r="I29" s="231" t="s">
        <v>45</v>
      </c>
      <c r="J29" s="231" t="s">
        <v>118</v>
      </c>
      <c r="K29" s="234" t="s">
        <v>137</v>
      </c>
      <c r="L29" s="227" t="s">
        <v>139</v>
      </c>
      <c r="M29" s="4" t="s">
        <v>375</v>
      </c>
      <c r="N29" s="235" t="s">
        <v>486</v>
      </c>
      <c r="O29" s="234"/>
    </row>
    <row r="30" spans="1:63" s="248" customFormat="1" ht="15" customHeight="1">
      <c r="A30" s="226">
        <v>44379</v>
      </c>
      <c r="B30" s="232" t="s">
        <v>183</v>
      </c>
      <c r="C30" s="232" t="s">
        <v>340</v>
      </c>
      <c r="D30" s="232" t="s">
        <v>8</v>
      </c>
      <c r="E30" s="228"/>
      <c r="F30" s="228">
        <v>11386</v>
      </c>
      <c r="G30" s="228">
        <f t="shared" si="0"/>
        <v>18445648</v>
      </c>
      <c r="H30" s="232" t="s">
        <v>34</v>
      </c>
      <c r="I30" s="231" t="s">
        <v>45</v>
      </c>
      <c r="J30" s="239" t="s">
        <v>118</v>
      </c>
      <c r="K30" s="234" t="s">
        <v>137</v>
      </c>
      <c r="L30" s="227" t="s">
        <v>139</v>
      </c>
      <c r="M30" s="4" t="s">
        <v>376</v>
      </c>
      <c r="N30" s="235" t="s">
        <v>138</v>
      </c>
      <c r="O30" s="227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</row>
    <row r="31" spans="1:63" s="118" customFormat="1" ht="15" customHeight="1">
      <c r="A31" s="226">
        <v>44379</v>
      </c>
      <c r="B31" s="232" t="s">
        <v>184</v>
      </c>
      <c r="C31" s="232" t="s">
        <v>166</v>
      </c>
      <c r="D31" s="232" t="s">
        <v>8</v>
      </c>
      <c r="E31" s="228"/>
      <c r="F31" s="228">
        <v>89175</v>
      </c>
      <c r="G31" s="228">
        <f t="shared" si="0"/>
        <v>18356473</v>
      </c>
      <c r="H31" s="232" t="s">
        <v>34</v>
      </c>
      <c r="I31" s="231" t="s">
        <v>45</v>
      </c>
      <c r="J31" s="231" t="s">
        <v>118</v>
      </c>
      <c r="K31" s="234" t="s">
        <v>137</v>
      </c>
      <c r="L31" s="227" t="s">
        <v>139</v>
      </c>
      <c r="M31" s="4" t="s">
        <v>377</v>
      </c>
      <c r="N31" s="235" t="s">
        <v>355</v>
      </c>
      <c r="O31" s="227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  <c r="BI31" s="212"/>
      <c r="BJ31" s="212"/>
      <c r="BK31" s="212"/>
    </row>
    <row r="32" spans="1:63" s="207" customFormat="1" ht="15" customHeight="1">
      <c r="A32" s="226">
        <v>44379</v>
      </c>
      <c r="B32" s="232" t="s">
        <v>185</v>
      </c>
      <c r="C32" s="232" t="s">
        <v>44</v>
      </c>
      <c r="D32" s="232" t="s">
        <v>8</v>
      </c>
      <c r="E32" s="228"/>
      <c r="F32" s="228">
        <v>18000</v>
      </c>
      <c r="G32" s="228">
        <f t="shared" si="0"/>
        <v>18338473</v>
      </c>
      <c r="H32" s="232" t="s">
        <v>34</v>
      </c>
      <c r="I32" s="231" t="s">
        <v>45</v>
      </c>
      <c r="J32" s="231" t="s">
        <v>135</v>
      </c>
      <c r="K32" s="234" t="s">
        <v>136</v>
      </c>
      <c r="L32" s="227" t="s">
        <v>139</v>
      </c>
      <c r="M32" s="4"/>
      <c r="N32" s="235"/>
      <c r="O32" s="234"/>
    </row>
    <row r="33" spans="1:63" s="207" customFormat="1" ht="15" customHeight="1">
      <c r="A33" s="226">
        <v>44379</v>
      </c>
      <c r="B33" s="232" t="s">
        <v>169</v>
      </c>
      <c r="C33" s="232" t="s">
        <v>10</v>
      </c>
      <c r="D33" s="232" t="s">
        <v>8</v>
      </c>
      <c r="E33" s="228"/>
      <c r="F33" s="228">
        <v>10000</v>
      </c>
      <c r="G33" s="228">
        <f t="shared" si="0"/>
        <v>18328473</v>
      </c>
      <c r="H33" s="232" t="s">
        <v>34</v>
      </c>
      <c r="I33" s="231" t="s">
        <v>45</v>
      </c>
      <c r="J33" s="231" t="s">
        <v>135</v>
      </c>
      <c r="K33" s="234" t="s">
        <v>136</v>
      </c>
      <c r="L33" s="227" t="s">
        <v>139</v>
      </c>
      <c r="M33" s="4"/>
      <c r="N33" s="235"/>
      <c r="O33" s="227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</row>
    <row r="34" spans="1:63" s="118" customFormat="1" ht="15" customHeight="1">
      <c r="A34" s="226">
        <v>44379</v>
      </c>
      <c r="B34" s="232" t="s">
        <v>34</v>
      </c>
      <c r="C34" s="232" t="s">
        <v>88</v>
      </c>
      <c r="D34" s="232" t="s">
        <v>89</v>
      </c>
      <c r="E34" s="228">
        <v>71000</v>
      </c>
      <c r="F34" s="228"/>
      <c r="G34" s="228">
        <f t="shared" si="0"/>
        <v>18399473</v>
      </c>
      <c r="H34" s="232" t="s">
        <v>46</v>
      </c>
      <c r="I34" s="231" t="s">
        <v>335</v>
      </c>
      <c r="J34" s="231"/>
      <c r="K34" s="234"/>
      <c r="L34" s="227" t="s">
        <v>139</v>
      </c>
      <c r="M34" s="4"/>
      <c r="N34" s="235"/>
      <c r="O34" s="227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  <c r="BI34" s="212"/>
      <c r="BJ34" s="212"/>
      <c r="BK34" s="212"/>
    </row>
    <row r="35" spans="1:63" s="212" customFormat="1" ht="15.75">
      <c r="A35" s="226">
        <v>44379</v>
      </c>
      <c r="B35" s="234" t="s">
        <v>272</v>
      </c>
      <c r="C35" s="234" t="s">
        <v>43</v>
      </c>
      <c r="D35" s="234" t="s">
        <v>6</v>
      </c>
      <c r="E35" s="228"/>
      <c r="F35" s="228">
        <v>10000</v>
      </c>
      <c r="G35" s="228">
        <f t="shared" si="0"/>
        <v>18389473</v>
      </c>
      <c r="H35" s="232" t="s">
        <v>60</v>
      </c>
      <c r="I35" s="231" t="s">
        <v>45</v>
      </c>
      <c r="J35" s="231" t="s">
        <v>118</v>
      </c>
      <c r="K35" s="234" t="s">
        <v>137</v>
      </c>
      <c r="L35" s="227" t="s">
        <v>139</v>
      </c>
      <c r="M35" s="4" t="s">
        <v>378</v>
      </c>
      <c r="N35" s="235" t="s">
        <v>142</v>
      </c>
      <c r="O35" s="227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</row>
    <row r="36" spans="1:63" s="207" customFormat="1" ht="15" customHeight="1">
      <c r="A36" s="226">
        <v>44379</v>
      </c>
      <c r="B36" s="234" t="s">
        <v>495</v>
      </c>
      <c r="C36" s="234" t="s">
        <v>247</v>
      </c>
      <c r="D36" s="234" t="s">
        <v>6</v>
      </c>
      <c r="E36" s="228"/>
      <c r="F36" s="228">
        <v>190000</v>
      </c>
      <c r="G36" s="228">
        <f t="shared" si="0"/>
        <v>18199473</v>
      </c>
      <c r="H36" s="232" t="s">
        <v>60</v>
      </c>
      <c r="I36" s="231" t="s">
        <v>335</v>
      </c>
      <c r="J36" s="231" t="s">
        <v>118</v>
      </c>
      <c r="K36" s="234" t="s">
        <v>137</v>
      </c>
      <c r="L36" s="227" t="s">
        <v>139</v>
      </c>
      <c r="M36" s="4" t="s">
        <v>379</v>
      </c>
      <c r="N36" s="235" t="s">
        <v>364</v>
      </c>
      <c r="O36" s="227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</row>
    <row r="37" spans="1:63" s="213" customFormat="1" ht="15.75">
      <c r="A37" s="226">
        <v>44379</v>
      </c>
      <c r="B37" s="234" t="s">
        <v>497</v>
      </c>
      <c r="C37" s="234" t="s">
        <v>247</v>
      </c>
      <c r="D37" s="237" t="s">
        <v>156</v>
      </c>
      <c r="E37" s="228"/>
      <c r="F37" s="228">
        <v>80000</v>
      </c>
      <c r="G37" s="240">
        <f t="shared" si="0"/>
        <v>18119473</v>
      </c>
      <c r="H37" s="232" t="s">
        <v>39</v>
      </c>
      <c r="I37" s="231" t="s">
        <v>335</v>
      </c>
      <c r="J37" s="231" t="s">
        <v>118</v>
      </c>
      <c r="K37" s="234" t="s">
        <v>137</v>
      </c>
      <c r="L37" s="227" t="s">
        <v>139</v>
      </c>
      <c r="M37" s="4" t="s">
        <v>380</v>
      </c>
      <c r="N37" s="235" t="s">
        <v>364</v>
      </c>
      <c r="O37" s="227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</row>
    <row r="38" spans="1:63" s="118" customFormat="1" ht="15.75">
      <c r="A38" s="226">
        <v>44379</v>
      </c>
      <c r="B38" s="234" t="s">
        <v>506</v>
      </c>
      <c r="C38" s="234" t="s">
        <v>247</v>
      </c>
      <c r="D38" s="237" t="s">
        <v>156</v>
      </c>
      <c r="E38" s="228"/>
      <c r="F38" s="228">
        <v>80000</v>
      </c>
      <c r="G38" s="228">
        <f t="shared" si="0"/>
        <v>18039473</v>
      </c>
      <c r="H38" s="234" t="s">
        <v>38</v>
      </c>
      <c r="I38" s="231" t="s">
        <v>335</v>
      </c>
      <c r="J38" s="231" t="s">
        <v>118</v>
      </c>
      <c r="K38" s="234" t="s">
        <v>137</v>
      </c>
      <c r="L38" s="227" t="s">
        <v>139</v>
      </c>
      <c r="M38" s="4" t="s">
        <v>381</v>
      </c>
      <c r="N38" s="235" t="s">
        <v>364</v>
      </c>
      <c r="O38" s="227"/>
    </row>
    <row r="39" spans="1:63" s="118" customFormat="1" ht="15.75">
      <c r="A39" s="226">
        <v>44379</v>
      </c>
      <c r="B39" s="234" t="s">
        <v>262</v>
      </c>
      <c r="C39" s="234" t="s">
        <v>43</v>
      </c>
      <c r="D39" s="237" t="s">
        <v>156</v>
      </c>
      <c r="E39" s="228"/>
      <c r="F39" s="228">
        <v>4000</v>
      </c>
      <c r="G39" s="228">
        <f t="shared" si="0"/>
        <v>18035473</v>
      </c>
      <c r="H39" s="234" t="s">
        <v>38</v>
      </c>
      <c r="I39" s="231" t="s">
        <v>45</v>
      </c>
      <c r="J39" s="231" t="s">
        <v>135</v>
      </c>
      <c r="K39" s="234" t="s">
        <v>136</v>
      </c>
      <c r="L39" s="227" t="s">
        <v>139</v>
      </c>
      <c r="M39" s="4"/>
      <c r="N39" s="235"/>
      <c r="O39" s="227"/>
    </row>
    <row r="40" spans="1:63" s="118" customFormat="1" ht="15.75">
      <c r="A40" s="226">
        <v>44379</v>
      </c>
      <c r="B40" s="236" t="s">
        <v>302</v>
      </c>
      <c r="C40" s="233" t="s">
        <v>303</v>
      </c>
      <c r="D40" s="233"/>
      <c r="E40" s="228">
        <v>31201251</v>
      </c>
      <c r="F40" s="228"/>
      <c r="G40" s="228">
        <f t="shared" si="0"/>
        <v>49236724</v>
      </c>
      <c r="H40" s="234" t="s">
        <v>32</v>
      </c>
      <c r="I40" s="231" t="s">
        <v>165</v>
      </c>
      <c r="J40" s="231" t="s">
        <v>118</v>
      </c>
      <c r="K40" s="234"/>
      <c r="L40" s="227" t="s">
        <v>139</v>
      </c>
      <c r="M40" s="4"/>
      <c r="N40" s="235"/>
      <c r="O40" s="227"/>
    </row>
    <row r="41" spans="1:63" s="212" customFormat="1" ht="15.75">
      <c r="A41" s="226">
        <v>44379</v>
      </c>
      <c r="B41" s="236" t="s">
        <v>304</v>
      </c>
      <c r="C41" s="232" t="s">
        <v>88</v>
      </c>
      <c r="D41" s="241" t="s">
        <v>5</v>
      </c>
      <c r="E41" s="228"/>
      <c r="F41" s="228">
        <v>1000000</v>
      </c>
      <c r="G41" s="228">
        <f t="shared" si="0"/>
        <v>48236724</v>
      </c>
      <c r="H41" s="234" t="s">
        <v>32</v>
      </c>
      <c r="I41" s="231">
        <v>3643489</v>
      </c>
      <c r="J41" s="239"/>
      <c r="K41" s="234"/>
      <c r="L41" s="227" t="s">
        <v>139</v>
      </c>
      <c r="M41" s="4"/>
      <c r="N41" s="235"/>
      <c r="O41" s="227"/>
    </row>
    <row r="42" spans="1:63" s="118" customFormat="1" ht="15.75">
      <c r="A42" s="226">
        <v>44379</v>
      </c>
      <c r="B42" s="236" t="s">
        <v>305</v>
      </c>
      <c r="C42" s="232" t="s">
        <v>336</v>
      </c>
      <c r="D42" s="232" t="s">
        <v>8</v>
      </c>
      <c r="E42" s="228"/>
      <c r="F42" s="228">
        <v>2600</v>
      </c>
      <c r="G42" s="228">
        <f t="shared" si="0"/>
        <v>48234124</v>
      </c>
      <c r="H42" s="234" t="s">
        <v>32</v>
      </c>
      <c r="I42" s="231" t="s">
        <v>353</v>
      </c>
      <c r="J42" s="235" t="s">
        <v>118</v>
      </c>
      <c r="K42" s="234" t="s">
        <v>137</v>
      </c>
      <c r="L42" s="227" t="s">
        <v>139</v>
      </c>
      <c r="M42" s="4" t="s">
        <v>382</v>
      </c>
      <c r="N42" s="235" t="s">
        <v>138</v>
      </c>
      <c r="O42" s="22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07"/>
      <c r="BC42" s="207"/>
      <c r="BD42" s="207"/>
      <c r="BE42" s="207"/>
      <c r="BF42" s="207"/>
      <c r="BG42" s="207"/>
      <c r="BH42" s="207"/>
      <c r="BI42" s="207"/>
      <c r="BJ42" s="207"/>
      <c r="BK42" s="207"/>
    </row>
    <row r="43" spans="1:63" s="118" customFormat="1" ht="15.75">
      <c r="A43" s="226">
        <v>44379</v>
      </c>
      <c r="B43" s="232" t="s">
        <v>306</v>
      </c>
      <c r="C43" s="232" t="s">
        <v>10</v>
      </c>
      <c r="D43" s="232" t="s">
        <v>5</v>
      </c>
      <c r="E43" s="228"/>
      <c r="F43" s="228">
        <v>260000</v>
      </c>
      <c r="G43" s="228">
        <f t="shared" si="0"/>
        <v>47974124</v>
      </c>
      <c r="H43" s="234" t="s">
        <v>32</v>
      </c>
      <c r="I43" s="231" t="s">
        <v>101</v>
      </c>
      <c r="J43" s="231" t="s">
        <v>135</v>
      </c>
      <c r="K43" s="234" t="s">
        <v>136</v>
      </c>
      <c r="L43" s="227" t="s">
        <v>139</v>
      </c>
      <c r="M43" s="4"/>
      <c r="N43" s="235"/>
      <c r="O43" s="22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207"/>
      <c r="AG43" s="207"/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07"/>
      <c r="AY43" s="207"/>
      <c r="AZ43" s="207"/>
      <c r="BA43" s="207"/>
      <c r="BB43" s="207"/>
      <c r="BC43" s="207"/>
      <c r="BD43" s="207"/>
      <c r="BE43" s="207"/>
      <c r="BF43" s="207"/>
      <c r="BG43" s="207"/>
      <c r="BH43" s="207"/>
      <c r="BI43" s="207"/>
      <c r="BJ43" s="207"/>
      <c r="BK43" s="207"/>
    </row>
    <row r="44" spans="1:63" s="212" customFormat="1" ht="15.75">
      <c r="A44" s="226">
        <v>44379</v>
      </c>
      <c r="B44" s="232" t="s">
        <v>307</v>
      </c>
      <c r="C44" s="232" t="s">
        <v>336</v>
      </c>
      <c r="D44" s="232" t="s">
        <v>8</v>
      </c>
      <c r="E44" s="228"/>
      <c r="F44" s="228">
        <v>2663</v>
      </c>
      <c r="G44" s="228">
        <f t="shared" si="0"/>
        <v>47971461</v>
      </c>
      <c r="H44" s="234" t="s">
        <v>32</v>
      </c>
      <c r="I44" s="231" t="s">
        <v>353</v>
      </c>
      <c r="J44" s="235" t="s">
        <v>118</v>
      </c>
      <c r="K44" s="234" t="s">
        <v>137</v>
      </c>
      <c r="L44" s="227" t="s">
        <v>139</v>
      </c>
      <c r="M44" s="4" t="s">
        <v>383</v>
      </c>
      <c r="N44" s="235" t="s">
        <v>138</v>
      </c>
      <c r="O44" s="22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207"/>
      <c r="AD44" s="207"/>
      <c r="AE44" s="207"/>
      <c r="AF44" s="207"/>
      <c r="AG44" s="207"/>
      <c r="AH44" s="207"/>
      <c r="AI44" s="207"/>
      <c r="AJ44" s="207"/>
      <c r="AK44" s="207"/>
      <c r="AL44" s="207"/>
      <c r="AM44" s="207"/>
      <c r="AN44" s="207"/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7"/>
      <c r="BC44" s="207"/>
      <c r="BD44" s="207"/>
      <c r="BE44" s="207"/>
      <c r="BF44" s="207"/>
      <c r="BG44" s="207"/>
      <c r="BH44" s="207"/>
      <c r="BI44" s="207"/>
      <c r="BJ44" s="207"/>
      <c r="BK44" s="207"/>
    </row>
    <row r="45" spans="1:63" s="212" customFormat="1" ht="15" customHeight="1">
      <c r="A45" s="226">
        <v>44380</v>
      </c>
      <c r="B45" s="232" t="s">
        <v>487</v>
      </c>
      <c r="C45" s="232" t="s">
        <v>247</v>
      </c>
      <c r="D45" s="232" t="s">
        <v>89</v>
      </c>
      <c r="E45" s="228"/>
      <c r="F45" s="228">
        <v>30000</v>
      </c>
      <c r="G45" s="228">
        <f t="shared" si="0"/>
        <v>47941461</v>
      </c>
      <c r="H45" s="232" t="s">
        <v>46</v>
      </c>
      <c r="I45" s="231" t="s">
        <v>45</v>
      </c>
      <c r="J45" s="231" t="s">
        <v>118</v>
      </c>
      <c r="K45" s="234" t="s">
        <v>137</v>
      </c>
      <c r="L45" s="227" t="s">
        <v>139</v>
      </c>
      <c r="M45" s="4" t="s">
        <v>384</v>
      </c>
      <c r="N45" s="235" t="s">
        <v>364</v>
      </c>
      <c r="O45" s="227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  <c r="BH45" s="118"/>
      <c r="BI45" s="118"/>
      <c r="BJ45" s="118"/>
      <c r="BK45" s="118"/>
    </row>
    <row r="46" spans="1:63" s="118" customFormat="1" ht="15" customHeight="1">
      <c r="A46" s="226">
        <v>44380</v>
      </c>
      <c r="B46" s="232" t="s">
        <v>488</v>
      </c>
      <c r="C46" s="232" t="s">
        <v>247</v>
      </c>
      <c r="D46" s="232" t="s">
        <v>89</v>
      </c>
      <c r="E46" s="228"/>
      <c r="F46" s="228">
        <f>30000+20000+260000</f>
        <v>310000</v>
      </c>
      <c r="G46" s="228">
        <f t="shared" si="0"/>
        <v>47631461</v>
      </c>
      <c r="H46" s="232" t="s">
        <v>46</v>
      </c>
      <c r="I46" s="231" t="s">
        <v>335</v>
      </c>
      <c r="J46" s="231" t="s">
        <v>118</v>
      </c>
      <c r="K46" s="234" t="s">
        <v>137</v>
      </c>
      <c r="L46" s="227" t="s">
        <v>139</v>
      </c>
      <c r="M46" s="4" t="s">
        <v>385</v>
      </c>
      <c r="N46" s="235" t="s">
        <v>364</v>
      </c>
      <c r="O46" s="227"/>
    </row>
    <row r="47" spans="1:63" s="118" customFormat="1" ht="15" customHeight="1">
      <c r="A47" s="226">
        <v>44380</v>
      </c>
      <c r="B47" s="232" t="s">
        <v>287</v>
      </c>
      <c r="C47" s="232" t="s">
        <v>43</v>
      </c>
      <c r="D47" s="232" t="s">
        <v>89</v>
      </c>
      <c r="E47" s="228"/>
      <c r="F47" s="228">
        <v>5000</v>
      </c>
      <c r="G47" s="228">
        <f t="shared" si="0"/>
        <v>47626461</v>
      </c>
      <c r="H47" s="232" t="s">
        <v>46</v>
      </c>
      <c r="I47" s="231" t="s">
        <v>45</v>
      </c>
      <c r="J47" s="231" t="s">
        <v>118</v>
      </c>
      <c r="K47" s="238" t="s">
        <v>137</v>
      </c>
      <c r="L47" s="227" t="s">
        <v>139</v>
      </c>
      <c r="M47" s="4" t="s">
        <v>386</v>
      </c>
      <c r="N47" s="235" t="s">
        <v>142</v>
      </c>
      <c r="O47" s="227"/>
    </row>
    <row r="48" spans="1:63" s="212" customFormat="1" ht="15" customHeight="1">
      <c r="A48" s="226">
        <v>44380</v>
      </c>
      <c r="B48" s="234" t="s">
        <v>273</v>
      </c>
      <c r="C48" s="232" t="s">
        <v>88</v>
      </c>
      <c r="D48" s="234" t="s">
        <v>6</v>
      </c>
      <c r="E48" s="228">
        <v>104000</v>
      </c>
      <c r="F48" s="228"/>
      <c r="G48" s="228">
        <f t="shared" si="0"/>
        <v>47730461</v>
      </c>
      <c r="H48" s="232" t="s">
        <v>60</v>
      </c>
      <c r="I48" s="231" t="s">
        <v>335</v>
      </c>
      <c r="J48" s="231"/>
      <c r="K48" s="234"/>
      <c r="L48" s="227" t="s">
        <v>139</v>
      </c>
      <c r="M48" s="4"/>
      <c r="N48" s="235"/>
      <c r="O48" s="227"/>
    </row>
    <row r="49" spans="1:63" s="213" customFormat="1" ht="15" customHeight="1">
      <c r="A49" s="226">
        <v>44382</v>
      </c>
      <c r="B49" s="232" t="s">
        <v>39</v>
      </c>
      <c r="C49" s="232" t="s">
        <v>88</v>
      </c>
      <c r="D49" s="232"/>
      <c r="E49" s="228"/>
      <c r="F49" s="228">
        <v>159000</v>
      </c>
      <c r="G49" s="228">
        <f t="shared" si="0"/>
        <v>47571461</v>
      </c>
      <c r="H49" s="232" t="s">
        <v>34</v>
      </c>
      <c r="I49" s="231"/>
      <c r="J49" s="231"/>
      <c r="K49" s="234"/>
      <c r="L49" s="227" t="s">
        <v>139</v>
      </c>
      <c r="M49" s="4"/>
      <c r="N49" s="235"/>
      <c r="O49" s="227"/>
    </row>
    <row r="50" spans="1:63" s="213" customFormat="1" ht="15" customHeight="1">
      <c r="A50" s="226">
        <v>44382</v>
      </c>
      <c r="B50" s="232" t="s">
        <v>38</v>
      </c>
      <c r="C50" s="232" t="s">
        <v>88</v>
      </c>
      <c r="D50" s="232"/>
      <c r="E50" s="228"/>
      <c r="F50" s="228">
        <v>107000</v>
      </c>
      <c r="G50" s="228">
        <f t="shared" si="0"/>
        <v>47464461</v>
      </c>
      <c r="H50" s="232" t="s">
        <v>34</v>
      </c>
      <c r="I50" s="231"/>
      <c r="J50" s="231"/>
      <c r="K50" s="234"/>
      <c r="L50" s="227" t="s">
        <v>139</v>
      </c>
      <c r="M50" s="4"/>
      <c r="N50" s="235"/>
      <c r="O50" s="22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</row>
    <row r="51" spans="1:63" s="213" customFormat="1" ht="15" customHeight="1">
      <c r="A51" s="226">
        <v>44382</v>
      </c>
      <c r="B51" s="232" t="s">
        <v>148</v>
      </c>
      <c r="C51" s="232" t="s">
        <v>88</v>
      </c>
      <c r="D51" s="232"/>
      <c r="E51" s="228"/>
      <c r="F51" s="228">
        <v>158000</v>
      </c>
      <c r="G51" s="228">
        <f t="shared" si="0"/>
        <v>47306461</v>
      </c>
      <c r="H51" s="232" t="s">
        <v>34</v>
      </c>
      <c r="I51" s="231"/>
      <c r="J51" s="231"/>
      <c r="K51" s="234"/>
      <c r="L51" s="227" t="s">
        <v>139</v>
      </c>
      <c r="M51" s="4"/>
      <c r="N51" s="235"/>
      <c r="O51" s="227"/>
      <c r="P51" s="207"/>
      <c r="Q51" s="207"/>
      <c r="R51" s="207"/>
      <c r="S51" s="207"/>
      <c r="T51" s="207"/>
      <c r="U51" s="207"/>
      <c r="V51" s="207"/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I51" s="207"/>
      <c r="AJ51" s="207"/>
      <c r="AK51" s="207"/>
      <c r="AL51" s="207"/>
      <c r="AM51" s="207"/>
      <c r="AN51" s="207"/>
      <c r="AO51" s="207"/>
      <c r="AP51" s="207"/>
      <c r="AQ51" s="207"/>
      <c r="AR51" s="207"/>
      <c r="AS51" s="207"/>
      <c r="AT51" s="207"/>
      <c r="AU51" s="207"/>
      <c r="AV51" s="207"/>
      <c r="AW51" s="207"/>
      <c r="AX51" s="207"/>
      <c r="AY51" s="207"/>
      <c r="AZ51" s="207"/>
      <c r="BA51" s="207"/>
      <c r="BB51" s="207"/>
      <c r="BC51" s="207"/>
      <c r="BD51" s="207"/>
      <c r="BE51" s="207"/>
      <c r="BF51" s="207"/>
      <c r="BG51" s="207"/>
      <c r="BH51" s="207"/>
      <c r="BI51" s="207"/>
      <c r="BJ51" s="207"/>
      <c r="BK51" s="207"/>
    </row>
    <row r="52" spans="1:63" s="118" customFormat="1" ht="15" customHeight="1">
      <c r="A52" s="226">
        <v>44382</v>
      </c>
      <c r="B52" s="232" t="s">
        <v>60</v>
      </c>
      <c r="C52" s="232" t="s">
        <v>88</v>
      </c>
      <c r="D52" s="232"/>
      <c r="E52" s="228"/>
      <c r="F52" s="228">
        <v>92000</v>
      </c>
      <c r="G52" s="228">
        <f t="shared" si="0"/>
        <v>47214461</v>
      </c>
      <c r="H52" s="232" t="s">
        <v>34</v>
      </c>
      <c r="I52" s="231"/>
      <c r="J52" s="235"/>
      <c r="K52" s="238"/>
      <c r="L52" s="227" t="s">
        <v>139</v>
      </c>
      <c r="M52" s="4"/>
      <c r="N52" s="235"/>
      <c r="O52" s="22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V52" s="207"/>
      <c r="AW52" s="207"/>
      <c r="AX52" s="207"/>
      <c r="AY52" s="207"/>
      <c r="AZ52" s="207"/>
      <c r="BA52" s="207"/>
      <c r="BB52" s="207"/>
      <c r="BC52" s="207"/>
      <c r="BD52" s="207"/>
      <c r="BE52" s="207"/>
      <c r="BF52" s="207"/>
      <c r="BG52" s="207"/>
      <c r="BH52" s="207"/>
      <c r="BI52" s="207"/>
      <c r="BJ52" s="207"/>
      <c r="BK52" s="207"/>
    </row>
    <row r="53" spans="1:63" s="207" customFormat="1" ht="15" customHeight="1">
      <c r="A53" s="226">
        <v>44382</v>
      </c>
      <c r="B53" s="232" t="s">
        <v>170</v>
      </c>
      <c r="C53" s="232" t="s">
        <v>340</v>
      </c>
      <c r="D53" s="232" t="s">
        <v>8</v>
      </c>
      <c r="E53" s="228"/>
      <c r="F53" s="228">
        <v>15480</v>
      </c>
      <c r="G53" s="228">
        <f t="shared" si="0"/>
        <v>47198981</v>
      </c>
      <c r="H53" s="232" t="s">
        <v>34</v>
      </c>
      <c r="I53" s="231"/>
      <c r="J53" s="239" t="s">
        <v>118</v>
      </c>
      <c r="K53" s="234" t="s">
        <v>137</v>
      </c>
      <c r="L53" s="227" t="s">
        <v>139</v>
      </c>
      <c r="M53" s="4" t="s">
        <v>387</v>
      </c>
      <c r="N53" s="235" t="s">
        <v>138</v>
      </c>
      <c r="O53" s="227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6"/>
      <c r="AK53" s="216"/>
      <c r="AL53" s="216"/>
      <c r="AM53" s="216"/>
      <c r="AN53" s="216"/>
      <c r="AO53" s="216"/>
      <c r="AP53" s="216"/>
      <c r="AQ53" s="216"/>
      <c r="AR53" s="216"/>
      <c r="AS53" s="216"/>
      <c r="AT53" s="216"/>
      <c r="AU53" s="216"/>
      <c r="AV53" s="216"/>
      <c r="AW53" s="216"/>
      <c r="AX53" s="216"/>
      <c r="AY53" s="216"/>
      <c r="AZ53" s="216"/>
      <c r="BA53" s="216"/>
      <c r="BB53" s="216"/>
      <c r="BC53" s="216"/>
      <c r="BD53" s="216"/>
      <c r="BE53" s="216"/>
      <c r="BF53" s="216"/>
      <c r="BG53" s="216"/>
      <c r="BH53" s="216"/>
      <c r="BI53" s="216"/>
      <c r="BJ53" s="216"/>
      <c r="BK53" s="216"/>
    </row>
    <row r="54" spans="1:63" s="213" customFormat="1" ht="15" customHeight="1">
      <c r="A54" s="226">
        <v>44382</v>
      </c>
      <c r="B54" s="232" t="s">
        <v>41</v>
      </c>
      <c r="C54" s="232" t="s">
        <v>88</v>
      </c>
      <c r="D54" s="232"/>
      <c r="E54" s="228"/>
      <c r="F54" s="228">
        <v>10000</v>
      </c>
      <c r="G54" s="228">
        <f t="shared" si="0"/>
        <v>47188981</v>
      </c>
      <c r="H54" s="232" t="s">
        <v>34</v>
      </c>
      <c r="I54" s="231"/>
      <c r="J54" s="231"/>
      <c r="K54" s="238"/>
      <c r="L54" s="227" t="s">
        <v>139</v>
      </c>
      <c r="M54" s="4"/>
      <c r="N54" s="235"/>
      <c r="O54" s="22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  <c r="BC54" s="207"/>
      <c r="BD54" s="207"/>
      <c r="BE54" s="207"/>
      <c r="BF54" s="207"/>
      <c r="BG54" s="207"/>
      <c r="BH54" s="207"/>
      <c r="BI54" s="207"/>
      <c r="BJ54" s="207"/>
      <c r="BK54" s="207"/>
    </row>
    <row r="55" spans="1:63" s="212" customFormat="1" ht="15" customHeight="1">
      <c r="A55" s="226">
        <v>44382</v>
      </c>
      <c r="B55" s="232" t="s">
        <v>186</v>
      </c>
      <c r="C55" s="232" t="s">
        <v>4</v>
      </c>
      <c r="D55" s="232" t="s">
        <v>8</v>
      </c>
      <c r="E55" s="228"/>
      <c r="F55" s="228">
        <v>57912</v>
      </c>
      <c r="G55" s="228">
        <f t="shared" si="0"/>
        <v>47131069</v>
      </c>
      <c r="H55" s="232" t="s">
        <v>34</v>
      </c>
      <c r="I55" s="231" t="s">
        <v>45</v>
      </c>
      <c r="J55" s="231" t="s">
        <v>118</v>
      </c>
      <c r="K55" s="234" t="s">
        <v>137</v>
      </c>
      <c r="L55" s="227" t="s">
        <v>139</v>
      </c>
      <c r="M55" s="4" t="s">
        <v>388</v>
      </c>
      <c r="N55" s="235" t="s">
        <v>362</v>
      </c>
      <c r="O55" s="227"/>
      <c r="P55" s="207"/>
      <c r="Q55" s="207"/>
      <c r="R55" s="207"/>
      <c r="S55" s="207"/>
      <c r="T55" s="207"/>
      <c r="U55" s="207"/>
      <c r="V55" s="207"/>
      <c r="W55" s="207"/>
      <c r="X55" s="207"/>
      <c r="Y55" s="207"/>
      <c r="Z55" s="207"/>
      <c r="AA55" s="207"/>
      <c r="AB55" s="207"/>
      <c r="AC55" s="207"/>
      <c r="AD55" s="207"/>
      <c r="AE55" s="207"/>
      <c r="AF55" s="207"/>
      <c r="AG55" s="207"/>
      <c r="AH55" s="207"/>
      <c r="AI55" s="207"/>
      <c r="AJ55" s="207"/>
      <c r="AK55" s="207"/>
      <c r="AL55" s="207"/>
      <c r="AM55" s="207"/>
      <c r="AN55" s="207"/>
      <c r="AO55" s="207"/>
      <c r="AP55" s="207"/>
      <c r="AQ55" s="207"/>
      <c r="AR55" s="207"/>
      <c r="AS55" s="207"/>
      <c r="AT55" s="207"/>
      <c r="AU55" s="207"/>
      <c r="AV55" s="207"/>
      <c r="AW55" s="207"/>
      <c r="AX55" s="207"/>
      <c r="AY55" s="207"/>
      <c r="AZ55" s="207"/>
      <c r="BA55" s="207"/>
      <c r="BB55" s="207"/>
      <c r="BC55" s="207"/>
      <c r="BD55" s="207"/>
      <c r="BE55" s="207"/>
      <c r="BF55" s="207"/>
      <c r="BG55" s="207"/>
      <c r="BH55" s="207"/>
      <c r="BI55" s="207"/>
      <c r="BJ55" s="207"/>
      <c r="BK55" s="207"/>
    </row>
    <row r="56" spans="1:63" s="212" customFormat="1" ht="15" customHeight="1">
      <c r="A56" s="226">
        <v>44382</v>
      </c>
      <c r="B56" s="232" t="s">
        <v>187</v>
      </c>
      <c r="C56" s="232" t="s">
        <v>342</v>
      </c>
      <c r="D56" s="232" t="s">
        <v>89</v>
      </c>
      <c r="E56" s="228"/>
      <c r="F56" s="228">
        <f>20000+10000+6000+40000</f>
        <v>76000</v>
      </c>
      <c r="G56" s="228">
        <f t="shared" si="0"/>
        <v>47055069</v>
      </c>
      <c r="H56" s="232" t="s">
        <v>34</v>
      </c>
      <c r="I56" s="231"/>
      <c r="J56" s="231" t="s">
        <v>118</v>
      </c>
      <c r="K56" s="234" t="s">
        <v>137</v>
      </c>
      <c r="L56" s="227" t="s">
        <v>139</v>
      </c>
      <c r="M56" s="4" t="s">
        <v>389</v>
      </c>
      <c r="N56" s="235" t="s">
        <v>140</v>
      </c>
      <c r="O56" s="22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07"/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07"/>
      <c r="AU56" s="207"/>
      <c r="AV56" s="207"/>
      <c r="AW56" s="207"/>
      <c r="AX56" s="207"/>
      <c r="AY56" s="207"/>
      <c r="AZ56" s="207"/>
      <c r="BA56" s="207"/>
      <c r="BB56" s="207"/>
      <c r="BC56" s="207"/>
      <c r="BD56" s="207"/>
      <c r="BE56" s="207"/>
      <c r="BF56" s="207"/>
      <c r="BG56" s="207"/>
      <c r="BH56" s="207"/>
      <c r="BI56" s="207"/>
      <c r="BJ56" s="207"/>
      <c r="BK56" s="207"/>
    </row>
    <row r="57" spans="1:63" s="118" customFormat="1" ht="15" customHeight="1">
      <c r="A57" s="226">
        <v>44382</v>
      </c>
      <c r="B57" s="234" t="s">
        <v>248</v>
      </c>
      <c r="C57" s="232" t="s">
        <v>88</v>
      </c>
      <c r="D57" s="237" t="s">
        <v>156</v>
      </c>
      <c r="E57" s="228">
        <v>159000</v>
      </c>
      <c r="F57" s="228"/>
      <c r="G57" s="240">
        <f t="shared" si="0"/>
        <v>47214069</v>
      </c>
      <c r="H57" s="232" t="s">
        <v>39</v>
      </c>
      <c r="I57" s="231" t="s">
        <v>335</v>
      </c>
      <c r="J57" s="231"/>
      <c r="K57" s="234"/>
      <c r="L57" s="227" t="s">
        <v>139</v>
      </c>
      <c r="M57" s="4"/>
      <c r="N57" s="235"/>
      <c r="O57" s="227"/>
    </row>
    <row r="58" spans="1:63" s="207" customFormat="1" ht="15" customHeight="1">
      <c r="A58" s="226">
        <v>44382</v>
      </c>
      <c r="B58" s="232" t="s">
        <v>259</v>
      </c>
      <c r="C58" s="232" t="s">
        <v>88</v>
      </c>
      <c r="D58" s="232"/>
      <c r="E58" s="228">
        <v>10000</v>
      </c>
      <c r="F58" s="228"/>
      <c r="G58" s="228">
        <f t="shared" si="0"/>
        <v>47224069</v>
      </c>
      <c r="H58" s="232" t="s">
        <v>41</v>
      </c>
      <c r="I58" s="231" t="s">
        <v>335</v>
      </c>
      <c r="J58" s="235"/>
      <c r="K58" s="234"/>
      <c r="L58" s="227" t="s">
        <v>139</v>
      </c>
      <c r="M58" s="4"/>
      <c r="N58" s="235"/>
      <c r="O58" s="227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  <c r="BH58" s="118"/>
      <c r="BI58" s="118"/>
      <c r="BJ58" s="118"/>
      <c r="BK58" s="118"/>
    </row>
    <row r="59" spans="1:63" s="118" customFormat="1" ht="15" customHeight="1">
      <c r="A59" s="226">
        <v>44382</v>
      </c>
      <c r="B59" s="234" t="s">
        <v>260</v>
      </c>
      <c r="C59" s="232" t="s">
        <v>88</v>
      </c>
      <c r="D59" s="227" t="s">
        <v>156</v>
      </c>
      <c r="E59" s="228">
        <v>107000</v>
      </c>
      <c r="F59" s="228"/>
      <c r="G59" s="228">
        <f t="shared" si="0"/>
        <v>47331069</v>
      </c>
      <c r="H59" s="234" t="s">
        <v>38</v>
      </c>
      <c r="I59" s="231" t="s">
        <v>335</v>
      </c>
      <c r="J59" s="231"/>
      <c r="K59" s="234"/>
      <c r="L59" s="227" t="s">
        <v>139</v>
      </c>
      <c r="M59" s="4"/>
      <c r="N59" s="235"/>
      <c r="O59" s="227"/>
    </row>
    <row r="60" spans="1:63" s="212" customFormat="1" ht="15" customHeight="1">
      <c r="A60" s="226">
        <v>44383</v>
      </c>
      <c r="B60" s="232" t="s">
        <v>188</v>
      </c>
      <c r="C60" s="232" t="s">
        <v>9</v>
      </c>
      <c r="D60" s="232" t="s">
        <v>33</v>
      </c>
      <c r="E60" s="228"/>
      <c r="F60" s="228">
        <v>20000</v>
      </c>
      <c r="G60" s="228">
        <f t="shared" si="0"/>
        <v>47311069</v>
      </c>
      <c r="H60" s="232" t="s">
        <v>34</v>
      </c>
      <c r="I60" s="231" t="s">
        <v>335</v>
      </c>
      <c r="J60" s="231" t="s">
        <v>135</v>
      </c>
      <c r="K60" s="234" t="s">
        <v>136</v>
      </c>
      <c r="L60" s="227" t="s">
        <v>139</v>
      </c>
      <c r="M60" s="4"/>
      <c r="N60" s="235"/>
      <c r="O60" s="227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118"/>
      <c r="BH60" s="118"/>
      <c r="BI60" s="118"/>
      <c r="BJ60" s="118"/>
      <c r="BK60" s="118"/>
    </row>
    <row r="61" spans="1:63" s="118" customFormat="1" ht="15" customHeight="1">
      <c r="A61" s="226">
        <v>44383</v>
      </c>
      <c r="B61" s="232" t="s">
        <v>189</v>
      </c>
      <c r="C61" s="232" t="s">
        <v>9</v>
      </c>
      <c r="D61" s="232" t="s">
        <v>337</v>
      </c>
      <c r="E61" s="228"/>
      <c r="F61" s="228">
        <v>30000</v>
      </c>
      <c r="G61" s="228">
        <f t="shared" si="0"/>
        <v>47281069</v>
      </c>
      <c r="H61" s="232" t="s">
        <v>34</v>
      </c>
      <c r="I61" s="231" t="s">
        <v>335</v>
      </c>
      <c r="J61" s="231" t="s">
        <v>135</v>
      </c>
      <c r="K61" s="234" t="s">
        <v>136</v>
      </c>
      <c r="L61" s="227" t="s">
        <v>139</v>
      </c>
      <c r="M61" s="4"/>
      <c r="N61" s="235"/>
      <c r="O61" s="227"/>
      <c r="P61" s="212"/>
      <c r="Q61" s="212"/>
      <c r="R61" s="212"/>
      <c r="S61" s="212"/>
      <c r="T61" s="212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2"/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  <c r="BI61" s="212"/>
      <c r="BJ61" s="212"/>
      <c r="BK61" s="212"/>
    </row>
    <row r="62" spans="1:63" s="118" customFormat="1" ht="15" customHeight="1">
      <c r="A62" s="226">
        <v>44383</v>
      </c>
      <c r="B62" s="232" t="s">
        <v>129</v>
      </c>
      <c r="C62" s="232" t="s">
        <v>88</v>
      </c>
      <c r="D62" s="232"/>
      <c r="E62" s="228"/>
      <c r="F62" s="228">
        <v>20000</v>
      </c>
      <c r="G62" s="228">
        <f t="shared" si="0"/>
        <v>47261069</v>
      </c>
      <c r="H62" s="232" t="s">
        <v>34</v>
      </c>
      <c r="I62" s="231"/>
      <c r="J62" s="231"/>
      <c r="K62" s="234"/>
      <c r="L62" s="227" t="s">
        <v>139</v>
      </c>
      <c r="M62" s="4"/>
      <c r="N62" s="235"/>
      <c r="O62" s="227"/>
      <c r="P62" s="207"/>
      <c r="Q62" s="207"/>
      <c r="R62" s="207"/>
      <c r="S62" s="207"/>
      <c r="T62" s="207"/>
      <c r="U62" s="207"/>
      <c r="V62" s="207"/>
      <c r="W62" s="207"/>
      <c r="X62" s="207"/>
      <c r="Y62" s="207"/>
      <c r="Z62" s="207"/>
      <c r="AA62" s="207"/>
      <c r="AB62" s="207"/>
      <c r="AC62" s="207"/>
      <c r="AD62" s="207"/>
      <c r="AE62" s="207"/>
      <c r="AF62" s="207"/>
      <c r="AG62" s="207"/>
      <c r="AH62" s="207"/>
      <c r="AI62" s="207"/>
      <c r="AJ62" s="207"/>
      <c r="AK62" s="207"/>
      <c r="AL62" s="207"/>
      <c r="AM62" s="207"/>
      <c r="AN62" s="207"/>
      <c r="AO62" s="207"/>
      <c r="AP62" s="207"/>
      <c r="AQ62" s="207"/>
      <c r="AR62" s="207"/>
      <c r="AS62" s="207"/>
      <c r="AT62" s="207"/>
      <c r="AU62" s="207"/>
      <c r="AV62" s="207"/>
      <c r="AW62" s="207"/>
      <c r="AX62" s="207"/>
      <c r="AY62" s="207"/>
      <c r="AZ62" s="207"/>
      <c r="BA62" s="207"/>
      <c r="BB62" s="207"/>
      <c r="BC62" s="207"/>
      <c r="BD62" s="207"/>
      <c r="BE62" s="207"/>
      <c r="BF62" s="207"/>
      <c r="BG62" s="207"/>
      <c r="BH62" s="207"/>
      <c r="BI62" s="207"/>
      <c r="BJ62" s="207"/>
      <c r="BK62" s="207"/>
    </row>
    <row r="63" spans="1:63" s="118" customFormat="1" ht="15" customHeight="1">
      <c r="A63" s="226">
        <v>44383</v>
      </c>
      <c r="B63" s="232" t="s">
        <v>40</v>
      </c>
      <c r="C63" s="232" t="s">
        <v>88</v>
      </c>
      <c r="D63" s="232"/>
      <c r="E63" s="228"/>
      <c r="F63" s="228">
        <v>10000</v>
      </c>
      <c r="G63" s="228">
        <f t="shared" si="0"/>
        <v>47251069</v>
      </c>
      <c r="H63" s="232" t="s">
        <v>34</v>
      </c>
      <c r="I63" s="231"/>
      <c r="J63" s="231"/>
      <c r="K63" s="234"/>
      <c r="L63" s="227" t="s">
        <v>139</v>
      </c>
      <c r="M63" s="4"/>
      <c r="N63" s="235"/>
      <c r="O63" s="227"/>
      <c r="P63" s="213"/>
      <c r="Q63" s="213"/>
      <c r="R63" s="213"/>
      <c r="S63" s="213"/>
      <c r="T63" s="213"/>
      <c r="U63" s="213"/>
      <c r="V63" s="213"/>
      <c r="W63" s="213"/>
      <c r="X63" s="213"/>
      <c r="Y63" s="213"/>
      <c r="Z63" s="213"/>
      <c r="AA63" s="213"/>
      <c r="AB63" s="213"/>
      <c r="AC63" s="213"/>
      <c r="AD63" s="213"/>
      <c r="AE63" s="213"/>
      <c r="AF63" s="213"/>
      <c r="AG63" s="213"/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  <c r="BI63" s="213"/>
      <c r="BJ63" s="213"/>
      <c r="BK63" s="213"/>
    </row>
    <row r="64" spans="1:63" s="118" customFormat="1" ht="15" customHeight="1">
      <c r="A64" s="226">
        <v>44383</v>
      </c>
      <c r="B64" s="232" t="s">
        <v>167</v>
      </c>
      <c r="C64" s="232" t="s">
        <v>9</v>
      </c>
      <c r="D64" s="232" t="s">
        <v>33</v>
      </c>
      <c r="E64" s="228"/>
      <c r="F64" s="228">
        <v>33000</v>
      </c>
      <c r="G64" s="228">
        <f t="shared" si="0"/>
        <v>47218069</v>
      </c>
      <c r="H64" s="232" t="s">
        <v>34</v>
      </c>
      <c r="I64" s="231" t="s">
        <v>335</v>
      </c>
      <c r="J64" s="231" t="s">
        <v>135</v>
      </c>
      <c r="K64" s="234" t="s">
        <v>136</v>
      </c>
      <c r="L64" s="227" t="s">
        <v>139</v>
      </c>
      <c r="M64" s="4"/>
      <c r="N64" s="235"/>
      <c r="O64" s="227"/>
    </row>
    <row r="65" spans="1:63" s="118" customFormat="1" ht="15" customHeight="1">
      <c r="A65" s="226">
        <v>44383</v>
      </c>
      <c r="B65" s="232" t="s">
        <v>190</v>
      </c>
      <c r="C65" s="232" t="s">
        <v>340</v>
      </c>
      <c r="D65" s="232" t="s">
        <v>8</v>
      </c>
      <c r="E65" s="228"/>
      <c r="F65" s="228">
        <v>1200</v>
      </c>
      <c r="G65" s="228">
        <f t="shared" si="0"/>
        <v>47216869</v>
      </c>
      <c r="H65" s="232" t="s">
        <v>34</v>
      </c>
      <c r="I65" s="231" t="s">
        <v>45</v>
      </c>
      <c r="J65" s="239" t="s">
        <v>118</v>
      </c>
      <c r="K65" s="234" t="s">
        <v>137</v>
      </c>
      <c r="L65" s="227" t="s">
        <v>139</v>
      </c>
      <c r="M65" s="4" t="s">
        <v>390</v>
      </c>
      <c r="N65" s="235" t="s">
        <v>138</v>
      </c>
      <c r="O65" s="227"/>
    </row>
    <row r="66" spans="1:63" s="212" customFormat="1" ht="15" customHeight="1">
      <c r="A66" s="226">
        <v>44383</v>
      </c>
      <c r="B66" s="232" t="s">
        <v>191</v>
      </c>
      <c r="C66" s="232" t="s">
        <v>88</v>
      </c>
      <c r="D66" s="232" t="s">
        <v>8</v>
      </c>
      <c r="E66" s="228">
        <v>1000000</v>
      </c>
      <c r="F66" s="228"/>
      <c r="G66" s="228">
        <f t="shared" si="0"/>
        <v>48216869</v>
      </c>
      <c r="H66" s="232" t="s">
        <v>34</v>
      </c>
      <c r="I66" s="231"/>
      <c r="J66" s="231"/>
      <c r="K66" s="234"/>
      <c r="L66" s="227" t="s">
        <v>139</v>
      </c>
      <c r="M66" s="4"/>
      <c r="N66" s="235"/>
      <c r="O66" s="227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</row>
    <row r="67" spans="1:63" s="219" customFormat="1" ht="15" customHeight="1">
      <c r="A67" s="226">
        <v>44383</v>
      </c>
      <c r="B67" s="232" t="s">
        <v>192</v>
      </c>
      <c r="C67" s="232" t="s">
        <v>343</v>
      </c>
      <c r="D67" s="232" t="s">
        <v>8</v>
      </c>
      <c r="E67" s="228"/>
      <c r="F67" s="228">
        <v>35000</v>
      </c>
      <c r="G67" s="228">
        <f t="shared" si="0"/>
        <v>48181869</v>
      </c>
      <c r="H67" s="232" t="s">
        <v>34</v>
      </c>
      <c r="I67" s="231" t="s">
        <v>45</v>
      </c>
      <c r="J67" s="231" t="s">
        <v>118</v>
      </c>
      <c r="K67" s="234" t="s">
        <v>137</v>
      </c>
      <c r="L67" s="227" t="s">
        <v>139</v>
      </c>
      <c r="M67" s="4" t="s">
        <v>391</v>
      </c>
      <c r="N67" s="235" t="s">
        <v>362</v>
      </c>
      <c r="O67" s="227"/>
    </row>
    <row r="68" spans="1:63" s="212" customFormat="1" ht="15" customHeight="1">
      <c r="A68" s="226">
        <v>44383</v>
      </c>
      <c r="B68" s="232" t="s">
        <v>108</v>
      </c>
      <c r="C68" s="232" t="s">
        <v>88</v>
      </c>
      <c r="D68" s="232"/>
      <c r="E68" s="228"/>
      <c r="F68" s="228">
        <v>17000</v>
      </c>
      <c r="G68" s="228">
        <f t="shared" si="0"/>
        <v>48164869</v>
      </c>
      <c r="H68" s="232" t="s">
        <v>34</v>
      </c>
      <c r="I68" s="231"/>
      <c r="J68" s="231"/>
      <c r="K68" s="234"/>
      <c r="L68" s="227" t="s">
        <v>139</v>
      </c>
      <c r="M68" s="4"/>
      <c r="N68" s="235"/>
      <c r="O68" s="227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  <c r="BD68" s="118"/>
      <c r="BE68" s="118"/>
      <c r="BF68" s="118"/>
      <c r="BG68" s="118"/>
      <c r="BH68" s="118"/>
      <c r="BI68" s="118"/>
      <c r="BJ68" s="118"/>
      <c r="BK68" s="118"/>
    </row>
    <row r="69" spans="1:63" s="212" customFormat="1" ht="15" customHeight="1">
      <c r="A69" s="226">
        <v>44383</v>
      </c>
      <c r="B69" s="232" t="s">
        <v>34</v>
      </c>
      <c r="C69" s="232" t="s">
        <v>88</v>
      </c>
      <c r="D69" s="232"/>
      <c r="E69" s="228">
        <v>158000</v>
      </c>
      <c r="F69" s="228"/>
      <c r="G69" s="228">
        <f t="shared" si="0"/>
        <v>48322869</v>
      </c>
      <c r="H69" s="232" t="s">
        <v>46</v>
      </c>
      <c r="I69" s="231" t="s">
        <v>335</v>
      </c>
      <c r="J69" s="231"/>
      <c r="K69" s="238"/>
      <c r="L69" s="227" t="s">
        <v>139</v>
      </c>
      <c r="M69" s="4"/>
      <c r="N69" s="235"/>
      <c r="O69" s="227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  <c r="BB69" s="118"/>
      <c r="BC69" s="118"/>
      <c r="BD69" s="118"/>
      <c r="BE69" s="118"/>
      <c r="BF69" s="118"/>
      <c r="BG69" s="118"/>
      <c r="BH69" s="118"/>
      <c r="BI69" s="118"/>
      <c r="BJ69" s="118"/>
      <c r="BK69" s="118"/>
    </row>
    <row r="70" spans="1:63" s="118" customFormat="1" ht="15" customHeight="1">
      <c r="A70" s="226">
        <v>44383</v>
      </c>
      <c r="B70" s="232" t="s">
        <v>489</v>
      </c>
      <c r="C70" s="232" t="s">
        <v>43</v>
      </c>
      <c r="D70" s="232" t="s">
        <v>89</v>
      </c>
      <c r="E70" s="228"/>
      <c r="F70" s="228">
        <v>5000</v>
      </c>
      <c r="G70" s="228">
        <f t="shared" si="0"/>
        <v>48317869</v>
      </c>
      <c r="H70" s="232" t="s">
        <v>46</v>
      </c>
      <c r="I70" s="231" t="s">
        <v>45</v>
      </c>
      <c r="J70" s="231" t="s">
        <v>118</v>
      </c>
      <c r="K70" s="238" t="s">
        <v>137</v>
      </c>
      <c r="L70" s="227" t="s">
        <v>139</v>
      </c>
      <c r="M70" s="4" t="s">
        <v>392</v>
      </c>
      <c r="N70" s="235" t="s">
        <v>142</v>
      </c>
      <c r="O70" s="227"/>
    </row>
    <row r="71" spans="1:63" s="212" customFormat="1" ht="15" customHeight="1">
      <c r="A71" s="226">
        <v>44383</v>
      </c>
      <c r="B71" s="232" t="s">
        <v>490</v>
      </c>
      <c r="C71" s="232" t="s">
        <v>247</v>
      </c>
      <c r="D71" s="232" t="s">
        <v>89</v>
      </c>
      <c r="E71" s="228"/>
      <c r="F71" s="228">
        <v>45000</v>
      </c>
      <c r="G71" s="228">
        <f t="shared" si="0"/>
        <v>48272869</v>
      </c>
      <c r="H71" s="232" t="s">
        <v>46</v>
      </c>
      <c r="I71" s="231" t="s">
        <v>45</v>
      </c>
      <c r="J71" s="231" t="s">
        <v>118</v>
      </c>
      <c r="K71" s="234" t="s">
        <v>137</v>
      </c>
      <c r="L71" s="227" t="s">
        <v>139</v>
      </c>
      <c r="M71" s="4" t="s">
        <v>393</v>
      </c>
      <c r="N71" s="235" t="s">
        <v>364</v>
      </c>
      <c r="O71" s="227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  <c r="BB71" s="118"/>
      <c r="BC71" s="118"/>
      <c r="BD71" s="118"/>
      <c r="BE71" s="118"/>
      <c r="BF71" s="118"/>
      <c r="BG71" s="118"/>
      <c r="BH71" s="118"/>
      <c r="BI71" s="118"/>
      <c r="BJ71" s="118"/>
      <c r="BK71" s="118"/>
    </row>
    <row r="72" spans="1:63" s="118" customFormat="1" ht="15" customHeight="1">
      <c r="A72" s="226">
        <v>44383</v>
      </c>
      <c r="B72" s="234" t="s">
        <v>274</v>
      </c>
      <c r="C72" s="232" t="s">
        <v>88</v>
      </c>
      <c r="D72" s="234" t="s">
        <v>6</v>
      </c>
      <c r="E72" s="228">
        <v>92000</v>
      </c>
      <c r="F72" s="228"/>
      <c r="G72" s="228">
        <f t="shared" si="0"/>
        <v>48364869</v>
      </c>
      <c r="H72" s="232" t="s">
        <v>60</v>
      </c>
      <c r="I72" s="231" t="s">
        <v>335</v>
      </c>
      <c r="J72" s="231"/>
      <c r="K72" s="234"/>
      <c r="L72" s="227" t="s">
        <v>139</v>
      </c>
      <c r="M72" s="4"/>
      <c r="N72" s="235"/>
      <c r="O72" s="227"/>
      <c r="P72" s="212"/>
      <c r="Q72" s="212"/>
      <c r="R72" s="212"/>
      <c r="S72" s="212"/>
      <c r="T72" s="212"/>
      <c r="U72" s="212"/>
      <c r="V72" s="212"/>
      <c r="W72" s="212"/>
      <c r="X72" s="212"/>
      <c r="Y72" s="212"/>
      <c r="Z72" s="212"/>
      <c r="AA72" s="212"/>
      <c r="AB72" s="212"/>
      <c r="AC72" s="212"/>
      <c r="AD72" s="212"/>
      <c r="AE72" s="212"/>
      <c r="AF72" s="212"/>
      <c r="AG72" s="212"/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  <c r="BI72" s="212"/>
      <c r="BJ72" s="212"/>
      <c r="BK72" s="212"/>
    </row>
    <row r="73" spans="1:63" s="212" customFormat="1" ht="15" customHeight="1">
      <c r="A73" s="226">
        <v>44383</v>
      </c>
      <c r="B73" s="242" t="s">
        <v>171</v>
      </c>
      <c r="C73" s="232" t="s">
        <v>88</v>
      </c>
      <c r="D73" s="242"/>
      <c r="E73" s="228">
        <v>20000</v>
      </c>
      <c r="F73" s="228"/>
      <c r="G73" s="240">
        <f t="shared" si="0"/>
        <v>48384869</v>
      </c>
      <c r="H73" s="232" t="s">
        <v>129</v>
      </c>
      <c r="I73" s="231" t="s">
        <v>335</v>
      </c>
      <c r="J73" s="231"/>
      <c r="K73" s="234"/>
      <c r="L73" s="227" t="s">
        <v>139</v>
      </c>
      <c r="M73" s="4"/>
      <c r="N73" s="235"/>
      <c r="O73" s="227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118"/>
      <c r="BH73" s="118"/>
      <c r="BI73" s="118"/>
      <c r="BJ73" s="118"/>
      <c r="BK73" s="118"/>
    </row>
    <row r="74" spans="1:63" s="212" customFormat="1" ht="15" customHeight="1">
      <c r="A74" s="226">
        <v>44383</v>
      </c>
      <c r="B74" s="232" t="s">
        <v>245</v>
      </c>
      <c r="C74" s="232" t="s">
        <v>88</v>
      </c>
      <c r="D74" s="232"/>
      <c r="E74" s="228">
        <v>17000</v>
      </c>
      <c r="F74" s="228"/>
      <c r="G74" s="228">
        <f t="shared" si="0"/>
        <v>48401869</v>
      </c>
      <c r="H74" s="232" t="s">
        <v>108</v>
      </c>
      <c r="I74" s="231" t="s">
        <v>335</v>
      </c>
      <c r="J74" s="231"/>
      <c r="K74" s="234"/>
      <c r="L74" s="227" t="s">
        <v>139</v>
      </c>
      <c r="M74" s="4"/>
      <c r="N74" s="235"/>
      <c r="O74" s="227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  <c r="BH74" s="118"/>
      <c r="BI74" s="118"/>
      <c r="BJ74" s="118"/>
      <c r="BK74" s="118"/>
    </row>
    <row r="75" spans="1:63" s="118" customFormat="1" ht="15" customHeight="1">
      <c r="A75" s="226">
        <v>44383</v>
      </c>
      <c r="B75" s="232" t="s">
        <v>284</v>
      </c>
      <c r="C75" s="232" t="s">
        <v>88</v>
      </c>
      <c r="D75" s="232" t="s">
        <v>33</v>
      </c>
      <c r="E75" s="228">
        <v>10000</v>
      </c>
      <c r="F75" s="228"/>
      <c r="G75" s="228">
        <f t="shared" si="0"/>
        <v>48411869</v>
      </c>
      <c r="H75" s="232" t="s">
        <v>40</v>
      </c>
      <c r="I75" s="231" t="s">
        <v>335</v>
      </c>
      <c r="J75" s="231"/>
      <c r="K75" s="234"/>
      <c r="L75" s="227" t="s">
        <v>139</v>
      </c>
      <c r="M75" s="4"/>
      <c r="N75" s="235"/>
      <c r="O75" s="227"/>
    </row>
    <row r="76" spans="1:63" s="118" customFormat="1" ht="15" customHeight="1">
      <c r="A76" s="226">
        <v>44383</v>
      </c>
      <c r="B76" s="232" t="s">
        <v>298</v>
      </c>
      <c r="C76" s="232" t="s">
        <v>88</v>
      </c>
      <c r="D76" s="232" t="s">
        <v>5</v>
      </c>
      <c r="E76" s="228"/>
      <c r="F76" s="228">
        <v>1000000</v>
      </c>
      <c r="G76" s="228">
        <f t="shared" si="0"/>
        <v>47411869</v>
      </c>
      <c r="H76" s="232" t="s">
        <v>31</v>
      </c>
      <c r="I76" s="231">
        <v>3654451</v>
      </c>
      <c r="J76" s="231"/>
      <c r="K76" s="234"/>
      <c r="L76" s="227" t="s">
        <v>139</v>
      </c>
      <c r="M76" s="4"/>
      <c r="N76" s="235"/>
      <c r="O76" s="227"/>
      <c r="P76" s="212"/>
      <c r="Q76" s="212"/>
      <c r="R76" s="212"/>
      <c r="S76" s="212"/>
      <c r="T76" s="212"/>
      <c r="U76" s="212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</row>
    <row r="77" spans="1:63" s="118" customFormat="1" ht="15" customHeight="1">
      <c r="A77" s="226">
        <v>44383</v>
      </c>
      <c r="B77" s="232" t="s">
        <v>299</v>
      </c>
      <c r="C77" s="232" t="s">
        <v>336</v>
      </c>
      <c r="D77" s="232" t="s">
        <v>8</v>
      </c>
      <c r="E77" s="228"/>
      <c r="F77" s="228">
        <v>8644</v>
      </c>
      <c r="G77" s="228">
        <f t="shared" ref="G77:G140" si="1">+G76+E77-F77</f>
        <v>47403225</v>
      </c>
      <c r="H77" s="232" t="s">
        <v>31</v>
      </c>
      <c r="I77" s="231" t="s">
        <v>353</v>
      </c>
      <c r="J77" s="231" t="s">
        <v>135</v>
      </c>
      <c r="K77" s="234" t="s">
        <v>136</v>
      </c>
      <c r="L77" s="227" t="s">
        <v>139</v>
      </c>
      <c r="M77" s="4"/>
      <c r="N77" s="235"/>
      <c r="O77" s="227"/>
      <c r="P77" s="212"/>
      <c r="Q77" s="212"/>
      <c r="R77" s="212"/>
      <c r="S77" s="212"/>
      <c r="T77" s="212"/>
      <c r="U77" s="212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  <c r="BI77" s="212"/>
      <c r="BJ77" s="212"/>
      <c r="BK77" s="212"/>
    </row>
    <row r="78" spans="1:63" s="207" customFormat="1" ht="15" customHeight="1">
      <c r="A78" s="226">
        <v>44384</v>
      </c>
      <c r="B78" s="232" t="s">
        <v>193</v>
      </c>
      <c r="C78" s="232" t="s">
        <v>258</v>
      </c>
      <c r="D78" s="232" t="s">
        <v>344</v>
      </c>
      <c r="E78" s="228"/>
      <c r="F78" s="228">
        <v>30000</v>
      </c>
      <c r="G78" s="228">
        <f t="shared" si="1"/>
        <v>47373225</v>
      </c>
      <c r="H78" s="232" t="s">
        <v>34</v>
      </c>
      <c r="I78" s="231" t="s">
        <v>45</v>
      </c>
      <c r="J78" s="231" t="s">
        <v>135</v>
      </c>
      <c r="K78" s="234" t="s">
        <v>136</v>
      </c>
      <c r="L78" s="227" t="s">
        <v>139</v>
      </c>
      <c r="M78" s="4"/>
      <c r="N78" s="235"/>
      <c r="O78" s="227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18"/>
      <c r="BD78" s="118"/>
      <c r="BE78" s="118"/>
      <c r="BF78" s="118"/>
      <c r="BG78" s="118"/>
      <c r="BH78" s="118"/>
      <c r="BI78" s="118"/>
      <c r="BJ78" s="118"/>
      <c r="BK78" s="118"/>
    </row>
    <row r="79" spans="1:63" s="118" customFormat="1" ht="15" customHeight="1">
      <c r="A79" s="226">
        <v>44384</v>
      </c>
      <c r="B79" s="232" t="s">
        <v>194</v>
      </c>
      <c r="C79" s="232" t="s">
        <v>44</v>
      </c>
      <c r="D79" s="232" t="s">
        <v>8</v>
      </c>
      <c r="E79" s="228"/>
      <c r="F79" s="228">
        <v>30450</v>
      </c>
      <c r="G79" s="228">
        <f t="shared" si="1"/>
        <v>47342775</v>
      </c>
      <c r="H79" s="232" t="s">
        <v>34</v>
      </c>
      <c r="I79" s="231" t="s">
        <v>45</v>
      </c>
      <c r="J79" s="231" t="s">
        <v>135</v>
      </c>
      <c r="K79" s="234" t="s">
        <v>136</v>
      </c>
      <c r="L79" s="227" t="s">
        <v>139</v>
      </c>
      <c r="M79" s="4"/>
      <c r="N79" s="235"/>
      <c r="O79" s="227"/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  <c r="BI79" s="212"/>
      <c r="BJ79" s="212"/>
      <c r="BK79" s="212"/>
    </row>
    <row r="80" spans="1:63" s="212" customFormat="1" ht="15" customHeight="1">
      <c r="A80" s="226">
        <v>44384</v>
      </c>
      <c r="B80" s="232" t="s">
        <v>195</v>
      </c>
      <c r="C80" s="232" t="s">
        <v>340</v>
      </c>
      <c r="D80" s="232" t="s">
        <v>8</v>
      </c>
      <c r="E80" s="228"/>
      <c r="F80" s="228">
        <v>1860</v>
      </c>
      <c r="G80" s="228">
        <f t="shared" si="1"/>
        <v>47340915</v>
      </c>
      <c r="H80" s="232" t="s">
        <v>34</v>
      </c>
      <c r="I80" s="231" t="s">
        <v>45</v>
      </c>
      <c r="J80" s="239" t="s">
        <v>118</v>
      </c>
      <c r="K80" s="234" t="s">
        <v>137</v>
      </c>
      <c r="L80" s="227" t="s">
        <v>139</v>
      </c>
      <c r="M80" s="4" t="s">
        <v>394</v>
      </c>
      <c r="N80" s="235" t="s">
        <v>138</v>
      </c>
      <c r="O80" s="227"/>
      <c r="P80" s="213"/>
      <c r="Q80" s="213"/>
      <c r="R80" s="213"/>
      <c r="S80" s="213"/>
      <c r="T80" s="213"/>
      <c r="U80" s="213"/>
      <c r="V80" s="213"/>
      <c r="W80" s="213"/>
      <c r="X80" s="213"/>
      <c r="Y80" s="213"/>
      <c r="Z80" s="213"/>
      <c r="AA80" s="213"/>
      <c r="AB80" s="213"/>
      <c r="AC80" s="213"/>
      <c r="AD80" s="213"/>
      <c r="AE80" s="213"/>
      <c r="AF80" s="213"/>
      <c r="AG80" s="213"/>
      <c r="AH80" s="213"/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3"/>
      <c r="AU80" s="213"/>
      <c r="AV80" s="213"/>
      <c r="AW80" s="213"/>
      <c r="AX80" s="213"/>
      <c r="AY80" s="213"/>
      <c r="AZ80" s="213"/>
      <c r="BA80" s="213"/>
      <c r="BB80" s="213"/>
      <c r="BC80" s="213"/>
      <c r="BD80" s="213"/>
      <c r="BE80" s="213"/>
      <c r="BF80" s="213"/>
      <c r="BG80" s="213"/>
      <c r="BH80" s="213"/>
      <c r="BI80" s="213"/>
      <c r="BJ80" s="213"/>
      <c r="BK80" s="213"/>
    </row>
    <row r="81" spans="1:63" s="212" customFormat="1" ht="15" customHeight="1">
      <c r="A81" s="226">
        <v>44384</v>
      </c>
      <c r="B81" s="232" t="s">
        <v>60</v>
      </c>
      <c r="C81" s="232" t="s">
        <v>88</v>
      </c>
      <c r="D81" s="232"/>
      <c r="E81" s="228"/>
      <c r="F81" s="228">
        <v>62000</v>
      </c>
      <c r="G81" s="228">
        <f t="shared" si="1"/>
        <v>47278915</v>
      </c>
      <c r="H81" s="232" t="s">
        <v>34</v>
      </c>
      <c r="I81" s="231"/>
      <c r="J81" s="231"/>
      <c r="K81" s="234"/>
      <c r="L81" s="227" t="s">
        <v>139</v>
      </c>
      <c r="M81" s="4"/>
      <c r="N81" s="235"/>
      <c r="O81" s="227"/>
      <c r="P81" s="207"/>
      <c r="Q81" s="207"/>
      <c r="R81" s="207"/>
      <c r="S81" s="207"/>
      <c r="T81" s="207"/>
      <c r="U81" s="207"/>
      <c r="V81" s="207"/>
      <c r="W81" s="207"/>
      <c r="X81" s="207"/>
      <c r="Y81" s="207"/>
      <c r="Z81" s="207"/>
      <c r="AA81" s="207"/>
      <c r="AB81" s="207"/>
      <c r="AC81" s="207"/>
      <c r="AD81" s="207"/>
      <c r="AE81" s="207"/>
      <c r="AF81" s="207"/>
      <c r="AG81" s="207"/>
      <c r="AH81" s="207"/>
      <c r="AI81" s="207"/>
      <c r="AJ81" s="207"/>
      <c r="AK81" s="207"/>
      <c r="AL81" s="207"/>
      <c r="AM81" s="207"/>
      <c r="AN81" s="207"/>
      <c r="AO81" s="207"/>
      <c r="AP81" s="207"/>
      <c r="AQ81" s="207"/>
      <c r="AR81" s="207"/>
      <c r="AS81" s="207"/>
      <c r="AT81" s="207"/>
      <c r="AU81" s="207"/>
      <c r="AV81" s="207"/>
      <c r="AW81" s="207"/>
      <c r="AX81" s="207"/>
      <c r="AY81" s="207"/>
      <c r="AZ81" s="207"/>
      <c r="BA81" s="207"/>
      <c r="BB81" s="207"/>
      <c r="BC81" s="207"/>
      <c r="BD81" s="207"/>
      <c r="BE81" s="207"/>
      <c r="BF81" s="207"/>
      <c r="BG81" s="207"/>
      <c r="BH81" s="207"/>
      <c r="BI81" s="207"/>
      <c r="BJ81" s="207"/>
      <c r="BK81" s="207"/>
    </row>
    <row r="82" spans="1:63" s="118" customFormat="1" ht="15" customHeight="1">
      <c r="A82" s="226">
        <v>44384</v>
      </c>
      <c r="B82" s="232" t="s">
        <v>40</v>
      </c>
      <c r="C82" s="232" t="s">
        <v>88</v>
      </c>
      <c r="D82" s="232"/>
      <c r="E82" s="228"/>
      <c r="F82" s="228">
        <v>8000</v>
      </c>
      <c r="G82" s="228">
        <f t="shared" si="1"/>
        <v>47270915</v>
      </c>
      <c r="H82" s="232" t="s">
        <v>34</v>
      </c>
      <c r="I82" s="231"/>
      <c r="J82" s="231"/>
      <c r="K82" s="234"/>
      <c r="L82" s="227" t="s">
        <v>139</v>
      </c>
      <c r="M82" s="4"/>
      <c r="N82" s="235"/>
      <c r="O82" s="227"/>
    </row>
    <row r="83" spans="1:63" s="118" customFormat="1" ht="15" customHeight="1">
      <c r="A83" s="226">
        <v>44384</v>
      </c>
      <c r="B83" s="232" t="s">
        <v>196</v>
      </c>
      <c r="C83" s="232" t="s">
        <v>44</v>
      </c>
      <c r="D83" s="232" t="s">
        <v>338</v>
      </c>
      <c r="E83" s="228"/>
      <c r="F83" s="228">
        <v>21000</v>
      </c>
      <c r="G83" s="228">
        <f t="shared" si="1"/>
        <v>47249915</v>
      </c>
      <c r="H83" s="232" t="s">
        <v>34</v>
      </c>
      <c r="I83" s="231" t="s">
        <v>45</v>
      </c>
      <c r="J83" s="231" t="s">
        <v>135</v>
      </c>
      <c r="K83" s="234" t="s">
        <v>136</v>
      </c>
      <c r="L83" s="227" t="s">
        <v>139</v>
      </c>
      <c r="M83" s="4"/>
      <c r="N83" s="235"/>
      <c r="O83" s="227"/>
      <c r="P83" s="212"/>
      <c r="Q83" s="212"/>
      <c r="R83" s="212"/>
      <c r="S83" s="212"/>
      <c r="T83" s="212"/>
      <c r="U83" s="212"/>
      <c r="V83" s="212"/>
      <c r="W83" s="212"/>
      <c r="X83" s="212"/>
      <c r="Y83" s="212"/>
      <c r="Z83" s="212"/>
      <c r="AA83" s="212"/>
      <c r="AB83" s="212"/>
      <c r="AC83" s="212"/>
      <c r="AD83" s="212"/>
      <c r="AE83" s="212"/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  <c r="BI83" s="212"/>
      <c r="BJ83" s="212"/>
      <c r="BK83" s="212"/>
    </row>
    <row r="84" spans="1:63" s="212" customFormat="1" ht="15" customHeight="1">
      <c r="A84" s="226">
        <v>44384</v>
      </c>
      <c r="B84" s="234" t="s">
        <v>498</v>
      </c>
      <c r="C84" s="234" t="s">
        <v>247</v>
      </c>
      <c r="D84" s="237" t="s">
        <v>156</v>
      </c>
      <c r="E84" s="228"/>
      <c r="F84" s="228">
        <v>75000</v>
      </c>
      <c r="G84" s="240">
        <f t="shared" si="1"/>
        <v>47174915</v>
      </c>
      <c r="H84" s="232" t="s">
        <v>39</v>
      </c>
      <c r="I84" s="231" t="s">
        <v>45</v>
      </c>
      <c r="J84" s="231" t="s">
        <v>118</v>
      </c>
      <c r="K84" s="234" t="s">
        <v>137</v>
      </c>
      <c r="L84" s="227" t="s">
        <v>139</v>
      </c>
      <c r="M84" s="4" t="s">
        <v>395</v>
      </c>
      <c r="N84" s="235" t="s">
        <v>364</v>
      </c>
      <c r="O84" s="227"/>
    </row>
    <row r="85" spans="1:63" s="118" customFormat="1" ht="15" customHeight="1">
      <c r="A85" s="226">
        <v>44384</v>
      </c>
      <c r="B85" s="234" t="s">
        <v>249</v>
      </c>
      <c r="C85" s="234" t="s">
        <v>43</v>
      </c>
      <c r="D85" s="237" t="s">
        <v>156</v>
      </c>
      <c r="E85" s="228"/>
      <c r="F85" s="228">
        <v>5000</v>
      </c>
      <c r="G85" s="240">
        <f t="shared" si="1"/>
        <v>47169915</v>
      </c>
      <c r="H85" s="232" t="s">
        <v>39</v>
      </c>
      <c r="I85" s="231" t="s">
        <v>45</v>
      </c>
      <c r="J85" s="231" t="s">
        <v>118</v>
      </c>
      <c r="K85" s="238" t="s">
        <v>137</v>
      </c>
      <c r="L85" s="227" t="s">
        <v>139</v>
      </c>
      <c r="M85" s="4" t="s">
        <v>396</v>
      </c>
      <c r="N85" s="235" t="s">
        <v>142</v>
      </c>
      <c r="O85" s="227"/>
    </row>
    <row r="86" spans="1:63" s="118" customFormat="1" ht="15" customHeight="1">
      <c r="A86" s="226">
        <v>44384</v>
      </c>
      <c r="B86" s="234" t="s">
        <v>250</v>
      </c>
      <c r="C86" s="234" t="s">
        <v>43</v>
      </c>
      <c r="D86" s="237" t="s">
        <v>156</v>
      </c>
      <c r="E86" s="228"/>
      <c r="F86" s="228">
        <v>3000</v>
      </c>
      <c r="G86" s="240">
        <f t="shared" si="1"/>
        <v>47166915</v>
      </c>
      <c r="H86" s="232" t="s">
        <v>39</v>
      </c>
      <c r="I86" s="231" t="s">
        <v>45</v>
      </c>
      <c r="J86" s="231" t="s">
        <v>135</v>
      </c>
      <c r="K86" s="234" t="s">
        <v>136</v>
      </c>
      <c r="L86" s="227" t="s">
        <v>139</v>
      </c>
      <c r="M86" s="4"/>
      <c r="N86" s="235"/>
      <c r="O86" s="227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  <c r="AD86" s="212"/>
      <c r="AE86" s="212"/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  <c r="BI86" s="212"/>
      <c r="BJ86" s="212"/>
      <c r="BK86" s="212"/>
    </row>
    <row r="87" spans="1:63" s="118" customFormat="1" ht="15" customHeight="1">
      <c r="A87" s="226">
        <v>44384</v>
      </c>
      <c r="B87" s="232" t="s">
        <v>285</v>
      </c>
      <c r="C87" s="232" t="s">
        <v>88</v>
      </c>
      <c r="D87" s="232" t="s">
        <v>33</v>
      </c>
      <c r="E87" s="228">
        <v>8000</v>
      </c>
      <c r="F87" s="228"/>
      <c r="G87" s="228">
        <f t="shared" si="1"/>
        <v>47174915</v>
      </c>
      <c r="H87" s="232" t="s">
        <v>40</v>
      </c>
      <c r="I87" s="231" t="s">
        <v>335</v>
      </c>
      <c r="J87" s="231"/>
      <c r="K87" s="234"/>
      <c r="L87" s="227" t="s">
        <v>139</v>
      </c>
      <c r="M87" s="4"/>
      <c r="N87" s="235"/>
      <c r="O87" s="227"/>
    </row>
    <row r="88" spans="1:63" s="118" customFormat="1" ht="15" customHeight="1">
      <c r="A88" s="226">
        <v>44384</v>
      </c>
      <c r="B88" s="234" t="s">
        <v>507</v>
      </c>
      <c r="C88" s="234" t="s">
        <v>247</v>
      </c>
      <c r="D88" s="237" t="s">
        <v>156</v>
      </c>
      <c r="E88" s="228"/>
      <c r="F88" s="228">
        <v>75000</v>
      </c>
      <c r="G88" s="228">
        <f t="shared" si="1"/>
        <v>47099915</v>
      </c>
      <c r="H88" s="234" t="s">
        <v>38</v>
      </c>
      <c r="I88" s="231" t="s">
        <v>45</v>
      </c>
      <c r="J88" s="231" t="s">
        <v>118</v>
      </c>
      <c r="K88" s="234" t="s">
        <v>137</v>
      </c>
      <c r="L88" s="227" t="s">
        <v>139</v>
      </c>
      <c r="M88" s="4" t="s">
        <v>397</v>
      </c>
      <c r="N88" s="235" t="s">
        <v>364</v>
      </c>
      <c r="O88" s="227"/>
      <c r="P88" s="212"/>
      <c r="Q88" s="212"/>
      <c r="R88" s="212"/>
      <c r="S88" s="212"/>
      <c r="T88" s="212"/>
      <c r="U88" s="212"/>
      <c r="V88" s="212"/>
      <c r="W88" s="212"/>
      <c r="X88" s="212"/>
      <c r="Y88" s="212"/>
      <c r="Z88" s="212"/>
      <c r="AA88" s="212"/>
      <c r="AB88" s="212"/>
      <c r="AC88" s="212"/>
      <c r="AD88" s="212"/>
      <c r="AE88" s="212"/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  <c r="BI88" s="212"/>
      <c r="BJ88" s="212"/>
      <c r="BK88" s="212"/>
    </row>
    <row r="89" spans="1:63" s="207" customFormat="1" ht="15" customHeight="1">
      <c r="A89" s="226">
        <v>44384</v>
      </c>
      <c r="B89" s="234" t="s">
        <v>263</v>
      </c>
      <c r="C89" s="234" t="s">
        <v>43</v>
      </c>
      <c r="D89" s="237" t="s">
        <v>156</v>
      </c>
      <c r="E89" s="228"/>
      <c r="F89" s="228">
        <v>8000</v>
      </c>
      <c r="G89" s="228">
        <f t="shared" si="1"/>
        <v>47091915</v>
      </c>
      <c r="H89" s="234" t="s">
        <v>38</v>
      </c>
      <c r="I89" s="231" t="s">
        <v>45</v>
      </c>
      <c r="J89" s="231" t="s">
        <v>118</v>
      </c>
      <c r="K89" s="234" t="s">
        <v>137</v>
      </c>
      <c r="L89" s="227" t="s">
        <v>139</v>
      </c>
      <c r="M89" s="4" t="s">
        <v>398</v>
      </c>
      <c r="N89" s="235" t="s">
        <v>142</v>
      </c>
      <c r="O89" s="227"/>
      <c r="P89" s="212"/>
      <c r="Q89" s="212"/>
      <c r="R89" s="212"/>
      <c r="S89" s="212"/>
      <c r="T89" s="212"/>
      <c r="U89" s="212"/>
      <c r="V89" s="212"/>
      <c r="W89" s="212"/>
      <c r="X89" s="212"/>
      <c r="Y89" s="212"/>
      <c r="Z89" s="212"/>
      <c r="AA89" s="212"/>
      <c r="AB89" s="212"/>
      <c r="AC89" s="212"/>
      <c r="AD89" s="212"/>
      <c r="AE89" s="212"/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  <c r="BI89" s="212"/>
      <c r="BJ89" s="212"/>
      <c r="BK89" s="212"/>
    </row>
    <row r="90" spans="1:63" s="118" customFormat="1" ht="15" customHeight="1">
      <c r="A90" s="226">
        <v>44385</v>
      </c>
      <c r="B90" s="234" t="s">
        <v>273</v>
      </c>
      <c r="C90" s="232" t="s">
        <v>88</v>
      </c>
      <c r="D90" s="234" t="s">
        <v>6</v>
      </c>
      <c r="E90" s="228">
        <v>62000</v>
      </c>
      <c r="F90" s="228"/>
      <c r="G90" s="228">
        <f t="shared" si="1"/>
        <v>47153915</v>
      </c>
      <c r="H90" s="232" t="s">
        <v>60</v>
      </c>
      <c r="I90" s="231" t="s">
        <v>45</v>
      </c>
      <c r="J90" s="231"/>
      <c r="K90" s="234"/>
      <c r="L90" s="227" t="s">
        <v>139</v>
      </c>
      <c r="M90" s="4"/>
      <c r="N90" s="235"/>
      <c r="O90" s="227"/>
      <c r="P90" s="212"/>
      <c r="Q90" s="212"/>
      <c r="R90" s="212"/>
      <c r="S90" s="212"/>
      <c r="T90" s="212"/>
      <c r="U90" s="212"/>
      <c r="V90" s="212"/>
      <c r="W90" s="212"/>
      <c r="X90" s="212"/>
      <c r="Y90" s="212"/>
      <c r="Z90" s="212"/>
      <c r="AA90" s="212"/>
      <c r="AB90" s="212"/>
      <c r="AC90" s="212"/>
      <c r="AD90" s="212"/>
      <c r="AE90" s="212"/>
      <c r="AF90" s="212"/>
      <c r="AG90" s="212"/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  <c r="BI90" s="212"/>
      <c r="BJ90" s="212"/>
      <c r="BK90" s="212"/>
    </row>
    <row r="91" spans="1:63" s="118" customFormat="1" ht="15" customHeight="1">
      <c r="A91" s="226">
        <v>44385</v>
      </c>
      <c r="B91" s="236" t="s">
        <v>308</v>
      </c>
      <c r="C91" s="232" t="s">
        <v>342</v>
      </c>
      <c r="D91" s="232" t="s">
        <v>89</v>
      </c>
      <c r="E91" s="228"/>
      <c r="F91" s="228">
        <v>200000</v>
      </c>
      <c r="G91" s="228">
        <f t="shared" si="1"/>
        <v>46953915</v>
      </c>
      <c r="H91" s="234" t="s">
        <v>32</v>
      </c>
      <c r="I91" s="231">
        <v>3643494</v>
      </c>
      <c r="J91" s="235" t="s">
        <v>118</v>
      </c>
      <c r="K91" s="234" t="s">
        <v>137</v>
      </c>
      <c r="L91" s="227" t="s">
        <v>139</v>
      </c>
      <c r="M91" s="4" t="s">
        <v>399</v>
      </c>
      <c r="N91" s="235" t="s">
        <v>140</v>
      </c>
      <c r="O91" s="227"/>
    </row>
    <row r="92" spans="1:63" s="118" customFormat="1" ht="15" customHeight="1">
      <c r="A92" s="226">
        <v>44385</v>
      </c>
      <c r="B92" s="236" t="s">
        <v>309</v>
      </c>
      <c r="C92" s="232" t="s">
        <v>342</v>
      </c>
      <c r="D92" s="232" t="s">
        <v>89</v>
      </c>
      <c r="E92" s="228"/>
      <c r="F92" s="228">
        <v>200000</v>
      </c>
      <c r="G92" s="228">
        <f t="shared" si="1"/>
        <v>46753915</v>
      </c>
      <c r="H92" s="234" t="s">
        <v>32</v>
      </c>
      <c r="I92" s="231">
        <v>3643493</v>
      </c>
      <c r="J92" s="235" t="s">
        <v>118</v>
      </c>
      <c r="K92" s="234" t="s">
        <v>137</v>
      </c>
      <c r="L92" s="227" t="s">
        <v>139</v>
      </c>
      <c r="M92" s="4" t="s">
        <v>400</v>
      </c>
      <c r="N92" s="235" t="s">
        <v>140</v>
      </c>
      <c r="O92" s="22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7"/>
      <c r="AH92" s="207"/>
      <c r="AI92" s="207"/>
      <c r="AJ92" s="207"/>
      <c r="AK92" s="207"/>
      <c r="AL92" s="207"/>
      <c r="AM92" s="207"/>
      <c r="AN92" s="207"/>
      <c r="AO92" s="207"/>
      <c r="AP92" s="207"/>
      <c r="AQ92" s="207"/>
      <c r="AR92" s="207"/>
      <c r="AS92" s="207"/>
      <c r="AT92" s="207"/>
      <c r="AU92" s="207"/>
      <c r="AV92" s="207"/>
      <c r="AW92" s="207"/>
      <c r="AX92" s="207"/>
      <c r="AY92" s="207"/>
      <c r="AZ92" s="207"/>
      <c r="BA92" s="207"/>
      <c r="BB92" s="207"/>
      <c r="BC92" s="207"/>
      <c r="BD92" s="207"/>
      <c r="BE92" s="207"/>
      <c r="BF92" s="207"/>
      <c r="BG92" s="207"/>
      <c r="BH92" s="207"/>
      <c r="BI92" s="207"/>
      <c r="BJ92" s="207"/>
      <c r="BK92" s="207"/>
    </row>
    <row r="93" spans="1:63" s="118" customFormat="1" ht="15" customHeight="1">
      <c r="A93" s="226">
        <v>44385</v>
      </c>
      <c r="B93" s="236" t="s">
        <v>310</v>
      </c>
      <c r="C93" s="232" t="s">
        <v>342</v>
      </c>
      <c r="D93" s="232" t="s">
        <v>89</v>
      </c>
      <c r="E93" s="228"/>
      <c r="F93" s="228">
        <v>150000</v>
      </c>
      <c r="G93" s="228">
        <f t="shared" si="1"/>
        <v>46603915</v>
      </c>
      <c r="H93" s="234" t="s">
        <v>32</v>
      </c>
      <c r="I93" s="231">
        <v>3643492</v>
      </c>
      <c r="J93" s="235" t="s">
        <v>118</v>
      </c>
      <c r="K93" s="234" t="s">
        <v>137</v>
      </c>
      <c r="L93" s="227" t="s">
        <v>139</v>
      </c>
      <c r="M93" s="4" t="s">
        <v>401</v>
      </c>
      <c r="N93" s="235" t="s">
        <v>140</v>
      </c>
      <c r="O93" s="227"/>
    </row>
    <row r="94" spans="1:63" s="118" customFormat="1" ht="15" customHeight="1">
      <c r="A94" s="226">
        <v>44386</v>
      </c>
      <c r="B94" s="232" t="s">
        <v>197</v>
      </c>
      <c r="C94" s="232" t="s">
        <v>44</v>
      </c>
      <c r="D94" s="232" t="s">
        <v>8</v>
      </c>
      <c r="E94" s="228"/>
      <c r="F94" s="228">
        <v>18850</v>
      </c>
      <c r="G94" s="228">
        <f t="shared" si="1"/>
        <v>46585065</v>
      </c>
      <c r="H94" s="232" t="s">
        <v>34</v>
      </c>
      <c r="I94" s="231" t="s">
        <v>45</v>
      </c>
      <c r="J94" s="231" t="s">
        <v>135</v>
      </c>
      <c r="K94" s="234" t="s">
        <v>136</v>
      </c>
      <c r="L94" s="227" t="s">
        <v>139</v>
      </c>
      <c r="M94" s="4"/>
      <c r="N94" s="235"/>
      <c r="O94" s="227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13"/>
      <c r="AY94" s="213"/>
      <c r="AZ94" s="213"/>
      <c r="BA94" s="213"/>
      <c r="BB94" s="213"/>
      <c r="BC94" s="213"/>
      <c r="BD94" s="213"/>
      <c r="BE94" s="213"/>
      <c r="BF94" s="213"/>
      <c r="BG94" s="213"/>
      <c r="BH94" s="213"/>
      <c r="BI94" s="213"/>
      <c r="BJ94" s="213"/>
      <c r="BK94" s="213"/>
    </row>
    <row r="95" spans="1:63" s="212" customFormat="1" ht="15" customHeight="1">
      <c r="A95" s="226">
        <v>44386</v>
      </c>
      <c r="B95" s="232" t="s">
        <v>148</v>
      </c>
      <c r="C95" s="232" t="s">
        <v>88</v>
      </c>
      <c r="D95" s="232"/>
      <c r="E95" s="228"/>
      <c r="F95" s="228">
        <v>145000</v>
      </c>
      <c r="G95" s="228">
        <f t="shared" si="1"/>
        <v>46440065</v>
      </c>
      <c r="H95" s="232" t="s">
        <v>34</v>
      </c>
      <c r="I95" s="231"/>
      <c r="J95" s="239"/>
      <c r="K95" s="234"/>
      <c r="L95" s="227" t="s">
        <v>139</v>
      </c>
      <c r="M95" s="4"/>
      <c r="N95" s="235"/>
      <c r="O95" s="227"/>
      <c r="P95" s="213"/>
      <c r="Q95" s="213"/>
      <c r="R95" s="213"/>
      <c r="S95" s="213"/>
      <c r="T95" s="213"/>
      <c r="U95" s="213"/>
      <c r="V95" s="213"/>
      <c r="W95" s="213"/>
      <c r="X95" s="213"/>
      <c r="Y95" s="213"/>
      <c r="Z95" s="213"/>
      <c r="AA95" s="213"/>
      <c r="AB95" s="213"/>
      <c r="AC95" s="213"/>
      <c r="AD95" s="213"/>
      <c r="AE95" s="213"/>
      <c r="AF95" s="213"/>
      <c r="AG95" s="213"/>
      <c r="AH95" s="213"/>
      <c r="AI95" s="213"/>
      <c r="AJ95" s="213"/>
      <c r="AK95" s="213"/>
      <c r="AL95" s="213"/>
      <c r="AM95" s="213"/>
      <c r="AN95" s="213"/>
      <c r="AO95" s="213"/>
      <c r="AP95" s="213"/>
      <c r="AQ95" s="213"/>
      <c r="AR95" s="213"/>
      <c r="AS95" s="213"/>
      <c r="AT95" s="213"/>
      <c r="AU95" s="213"/>
      <c r="AV95" s="213"/>
      <c r="AW95" s="213"/>
      <c r="AX95" s="213"/>
      <c r="AY95" s="213"/>
      <c r="AZ95" s="213"/>
      <c r="BA95" s="213"/>
      <c r="BB95" s="213"/>
      <c r="BC95" s="213"/>
      <c r="BD95" s="213"/>
      <c r="BE95" s="213"/>
      <c r="BF95" s="213"/>
      <c r="BG95" s="213"/>
      <c r="BH95" s="213"/>
      <c r="BI95" s="213"/>
      <c r="BJ95" s="213"/>
      <c r="BK95" s="213"/>
    </row>
    <row r="96" spans="1:63" s="118" customFormat="1" ht="15" customHeight="1">
      <c r="A96" s="226">
        <v>44386</v>
      </c>
      <c r="B96" s="232" t="s">
        <v>198</v>
      </c>
      <c r="C96" s="232" t="s">
        <v>342</v>
      </c>
      <c r="D96" s="232" t="s">
        <v>89</v>
      </c>
      <c r="E96" s="228"/>
      <c r="F96" s="228">
        <f>45000+15000+26000</f>
        <v>86000</v>
      </c>
      <c r="G96" s="228">
        <f t="shared" si="1"/>
        <v>46354065</v>
      </c>
      <c r="H96" s="232" t="s">
        <v>34</v>
      </c>
      <c r="I96" s="231" t="s">
        <v>45</v>
      </c>
      <c r="J96" s="235" t="s">
        <v>118</v>
      </c>
      <c r="K96" s="234" t="s">
        <v>137</v>
      </c>
      <c r="L96" s="227" t="s">
        <v>139</v>
      </c>
      <c r="M96" s="4" t="s">
        <v>402</v>
      </c>
      <c r="N96" s="235" t="s">
        <v>140</v>
      </c>
      <c r="O96" s="227"/>
      <c r="P96" s="213"/>
      <c r="Q96" s="213"/>
      <c r="R96" s="213"/>
      <c r="S96" s="213"/>
      <c r="T96" s="213"/>
      <c r="U96" s="213"/>
      <c r="V96" s="213"/>
      <c r="W96" s="213"/>
      <c r="X96" s="213"/>
      <c r="Y96" s="213"/>
      <c r="Z96" s="213"/>
      <c r="AA96" s="213"/>
      <c r="AB96" s="213"/>
      <c r="AC96" s="213"/>
      <c r="AD96" s="213"/>
      <c r="AE96" s="213"/>
      <c r="AF96" s="213"/>
      <c r="AG96" s="213"/>
      <c r="AH96" s="213"/>
      <c r="AI96" s="213"/>
      <c r="AJ96" s="213"/>
      <c r="AK96" s="213"/>
      <c r="AL96" s="213"/>
      <c r="AM96" s="213"/>
      <c r="AN96" s="213"/>
      <c r="AO96" s="213"/>
      <c r="AP96" s="213"/>
      <c r="AQ96" s="213"/>
      <c r="AR96" s="213"/>
      <c r="AS96" s="213"/>
      <c r="AT96" s="213"/>
      <c r="AU96" s="213"/>
      <c r="AV96" s="213"/>
      <c r="AW96" s="213"/>
      <c r="AX96" s="213"/>
      <c r="AY96" s="213"/>
      <c r="AZ96" s="213"/>
      <c r="BA96" s="213"/>
      <c r="BB96" s="213"/>
      <c r="BC96" s="213"/>
      <c r="BD96" s="213"/>
      <c r="BE96" s="213"/>
      <c r="BF96" s="213"/>
      <c r="BG96" s="213"/>
      <c r="BH96" s="213"/>
      <c r="BI96" s="213"/>
      <c r="BJ96" s="213"/>
      <c r="BK96" s="213"/>
    </row>
    <row r="97" spans="1:63" s="118" customFormat="1" ht="15" customHeight="1">
      <c r="A97" s="226">
        <v>44386</v>
      </c>
      <c r="B97" s="232" t="s">
        <v>190</v>
      </c>
      <c r="C97" s="232" t="s">
        <v>340</v>
      </c>
      <c r="D97" s="232" t="s">
        <v>8</v>
      </c>
      <c r="E97" s="228"/>
      <c r="F97" s="228">
        <f>3330+5700</f>
        <v>9030</v>
      </c>
      <c r="G97" s="228">
        <f t="shared" si="1"/>
        <v>46345035</v>
      </c>
      <c r="H97" s="232" t="s">
        <v>34</v>
      </c>
      <c r="I97" s="231" t="s">
        <v>45</v>
      </c>
      <c r="J97" s="239" t="s">
        <v>118</v>
      </c>
      <c r="K97" s="234" t="s">
        <v>137</v>
      </c>
      <c r="L97" s="227" t="s">
        <v>139</v>
      </c>
      <c r="M97" s="4" t="s">
        <v>403</v>
      </c>
      <c r="N97" s="235" t="s">
        <v>138</v>
      </c>
      <c r="O97" s="227"/>
    </row>
    <row r="98" spans="1:63" s="118" customFormat="1" ht="15" customHeight="1">
      <c r="A98" s="226">
        <v>44386</v>
      </c>
      <c r="B98" s="232" t="s">
        <v>60</v>
      </c>
      <c r="C98" s="232" t="s">
        <v>88</v>
      </c>
      <c r="D98" s="232"/>
      <c r="E98" s="228"/>
      <c r="F98" s="228">
        <v>111000</v>
      </c>
      <c r="G98" s="228">
        <f t="shared" si="1"/>
        <v>46234035</v>
      </c>
      <c r="H98" s="232" t="s">
        <v>34</v>
      </c>
      <c r="I98" s="231"/>
      <c r="J98" s="231"/>
      <c r="K98" s="238"/>
      <c r="L98" s="227" t="s">
        <v>139</v>
      </c>
      <c r="M98" s="4"/>
      <c r="N98" s="235"/>
      <c r="O98" s="227"/>
      <c r="P98" s="207"/>
      <c r="Q98" s="207"/>
      <c r="R98" s="207"/>
      <c r="S98" s="207"/>
      <c r="T98" s="207"/>
      <c r="U98" s="207"/>
      <c r="V98" s="207"/>
      <c r="W98" s="207"/>
      <c r="X98" s="207"/>
      <c r="Y98" s="207"/>
      <c r="Z98" s="207"/>
      <c r="AA98" s="207"/>
      <c r="AB98" s="207"/>
      <c r="AC98" s="207"/>
      <c r="AD98" s="207"/>
      <c r="AE98" s="207"/>
      <c r="AF98" s="207"/>
      <c r="AG98" s="207"/>
      <c r="AH98" s="207"/>
      <c r="AI98" s="207"/>
      <c r="AJ98" s="207"/>
      <c r="AK98" s="207"/>
      <c r="AL98" s="207"/>
      <c r="AM98" s="207"/>
      <c r="AN98" s="207"/>
      <c r="AO98" s="207"/>
      <c r="AP98" s="207"/>
      <c r="AQ98" s="207"/>
      <c r="AR98" s="207"/>
      <c r="AS98" s="207"/>
      <c r="AT98" s="207"/>
      <c r="AU98" s="207"/>
      <c r="AV98" s="207"/>
      <c r="AW98" s="207"/>
      <c r="AX98" s="207"/>
      <c r="AY98" s="207"/>
      <c r="AZ98" s="207"/>
      <c r="BA98" s="207"/>
      <c r="BB98" s="207"/>
      <c r="BC98" s="207"/>
      <c r="BD98" s="207"/>
      <c r="BE98" s="207"/>
      <c r="BF98" s="207"/>
      <c r="BG98" s="207"/>
      <c r="BH98" s="207"/>
      <c r="BI98" s="207"/>
      <c r="BJ98" s="207"/>
      <c r="BK98" s="207"/>
    </row>
    <row r="99" spans="1:63" s="207" customFormat="1" ht="15" customHeight="1">
      <c r="A99" s="226">
        <v>44386</v>
      </c>
      <c r="B99" s="232" t="s">
        <v>199</v>
      </c>
      <c r="C99" s="232" t="s">
        <v>7</v>
      </c>
      <c r="D99" s="232" t="s">
        <v>6</v>
      </c>
      <c r="E99" s="228"/>
      <c r="F99" s="228">
        <v>5000</v>
      </c>
      <c r="G99" s="228">
        <f t="shared" si="1"/>
        <v>46229035</v>
      </c>
      <c r="H99" s="232" t="s">
        <v>34</v>
      </c>
      <c r="I99" s="231" t="s">
        <v>335</v>
      </c>
      <c r="J99" s="231" t="s">
        <v>135</v>
      </c>
      <c r="K99" s="234" t="s">
        <v>136</v>
      </c>
      <c r="L99" s="227" t="s">
        <v>139</v>
      </c>
      <c r="M99" s="4"/>
      <c r="N99" s="235"/>
      <c r="O99" s="227"/>
      <c r="P99" s="213"/>
      <c r="Q99" s="213"/>
      <c r="R99" s="213"/>
      <c r="S99" s="213"/>
      <c r="T99" s="213"/>
      <c r="U99" s="213"/>
      <c r="V99" s="213"/>
      <c r="W99" s="213"/>
      <c r="X99" s="213"/>
      <c r="Y99" s="213"/>
      <c r="Z99" s="213"/>
      <c r="AA99" s="213"/>
      <c r="AB99" s="213"/>
      <c r="AC99" s="213"/>
      <c r="AD99" s="213"/>
      <c r="AE99" s="213"/>
      <c r="AF99" s="213"/>
      <c r="AG99" s="213"/>
      <c r="AH99" s="213"/>
      <c r="AI99" s="213"/>
      <c r="AJ99" s="213"/>
      <c r="AK99" s="213"/>
      <c r="AL99" s="213"/>
      <c r="AM99" s="213"/>
      <c r="AN99" s="213"/>
      <c r="AO99" s="213"/>
      <c r="AP99" s="213"/>
      <c r="AQ99" s="213"/>
      <c r="AR99" s="213"/>
      <c r="AS99" s="213"/>
      <c r="AT99" s="213"/>
      <c r="AU99" s="213"/>
      <c r="AV99" s="213"/>
      <c r="AW99" s="213"/>
      <c r="AX99" s="213"/>
      <c r="AY99" s="213"/>
      <c r="AZ99" s="213"/>
      <c r="BA99" s="213"/>
      <c r="BB99" s="213"/>
      <c r="BC99" s="213"/>
      <c r="BD99" s="213"/>
      <c r="BE99" s="213"/>
      <c r="BF99" s="213"/>
      <c r="BG99" s="213"/>
      <c r="BH99" s="213"/>
      <c r="BI99" s="213"/>
      <c r="BJ99" s="213"/>
      <c r="BK99" s="213"/>
    </row>
    <row r="100" spans="1:63" s="212" customFormat="1" ht="15" customHeight="1">
      <c r="A100" s="226">
        <v>44386</v>
      </c>
      <c r="B100" s="232" t="s">
        <v>34</v>
      </c>
      <c r="C100" s="232" t="s">
        <v>88</v>
      </c>
      <c r="D100" s="232" t="s">
        <v>89</v>
      </c>
      <c r="E100" s="228">
        <v>145000</v>
      </c>
      <c r="F100" s="228"/>
      <c r="G100" s="228">
        <f t="shared" si="1"/>
        <v>46374035</v>
      </c>
      <c r="H100" s="232" t="s">
        <v>46</v>
      </c>
      <c r="I100" s="231" t="s">
        <v>335</v>
      </c>
      <c r="J100" s="231"/>
      <c r="K100" s="238"/>
      <c r="L100" s="227" t="s">
        <v>139</v>
      </c>
      <c r="M100" s="4"/>
      <c r="N100" s="235"/>
      <c r="O100" s="227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Q100" s="118"/>
      <c r="AR100" s="118"/>
      <c r="AS100" s="118"/>
      <c r="AT100" s="118"/>
      <c r="AU100" s="118"/>
      <c r="AV100" s="118"/>
      <c r="AW100" s="118"/>
      <c r="AX100" s="118"/>
      <c r="AY100" s="118"/>
      <c r="AZ100" s="118"/>
      <c r="BA100" s="118"/>
      <c r="BB100" s="118"/>
      <c r="BC100" s="118"/>
      <c r="BD100" s="118"/>
      <c r="BE100" s="118"/>
      <c r="BF100" s="118"/>
      <c r="BG100" s="118"/>
      <c r="BH100" s="118"/>
      <c r="BI100" s="118"/>
      <c r="BJ100" s="118"/>
      <c r="BK100" s="118"/>
    </row>
    <row r="101" spans="1:63" s="212" customFormat="1" ht="15" customHeight="1">
      <c r="A101" s="226">
        <v>44386</v>
      </c>
      <c r="B101" s="234" t="s">
        <v>273</v>
      </c>
      <c r="C101" s="232" t="s">
        <v>88</v>
      </c>
      <c r="D101" s="234" t="s">
        <v>6</v>
      </c>
      <c r="E101" s="228">
        <v>111000</v>
      </c>
      <c r="F101" s="228"/>
      <c r="G101" s="228">
        <f t="shared" si="1"/>
        <v>46485035</v>
      </c>
      <c r="H101" s="232" t="s">
        <v>60</v>
      </c>
      <c r="I101" s="231" t="s">
        <v>45</v>
      </c>
      <c r="J101" s="231"/>
      <c r="K101" s="234"/>
      <c r="L101" s="227" t="s">
        <v>139</v>
      </c>
      <c r="M101" s="4"/>
      <c r="N101" s="235"/>
      <c r="O101" s="227"/>
    </row>
    <row r="102" spans="1:63" s="212" customFormat="1" ht="15" customHeight="1">
      <c r="A102" s="226">
        <v>44386</v>
      </c>
      <c r="B102" s="234" t="s">
        <v>500</v>
      </c>
      <c r="C102" s="234" t="s">
        <v>247</v>
      </c>
      <c r="D102" s="237" t="s">
        <v>156</v>
      </c>
      <c r="E102" s="228"/>
      <c r="F102" s="228">
        <v>30000</v>
      </c>
      <c r="G102" s="240">
        <f t="shared" si="1"/>
        <v>46455035</v>
      </c>
      <c r="H102" s="232" t="s">
        <v>39</v>
      </c>
      <c r="I102" s="231" t="s">
        <v>45</v>
      </c>
      <c r="J102" s="231" t="s">
        <v>118</v>
      </c>
      <c r="K102" s="234" t="s">
        <v>137</v>
      </c>
      <c r="L102" s="227" t="s">
        <v>139</v>
      </c>
      <c r="M102" s="4" t="s">
        <v>404</v>
      </c>
      <c r="N102" s="235" t="s">
        <v>364</v>
      </c>
      <c r="O102" s="227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</row>
    <row r="103" spans="1:63" s="118" customFormat="1" ht="15" customHeight="1">
      <c r="A103" s="226">
        <v>44386</v>
      </c>
      <c r="B103" s="234" t="s">
        <v>251</v>
      </c>
      <c r="C103" s="234" t="s">
        <v>43</v>
      </c>
      <c r="D103" s="237" t="s">
        <v>156</v>
      </c>
      <c r="E103" s="228"/>
      <c r="F103" s="228">
        <v>3000</v>
      </c>
      <c r="G103" s="240">
        <f t="shared" si="1"/>
        <v>46452035</v>
      </c>
      <c r="H103" s="232" t="s">
        <v>39</v>
      </c>
      <c r="I103" s="231" t="s">
        <v>45</v>
      </c>
      <c r="J103" s="231" t="s">
        <v>135</v>
      </c>
      <c r="K103" s="234" t="s">
        <v>136</v>
      </c>
      <c r="L103" s="227" t="s">
        <v>139</v>
      </c>
      <c r="M103" s="4"/>
      <c r="N103" s="235"/>
      <c r="O103" s="227"/>
    </row>
    <row r="104" spans="1:63" s="212" customFormat="1" ht="15" customHeight="1">
      <c r="A104" s="226">
        <v>44386</v>
      </c>
      <c r="B104" s="234" t="s">
        <v>264</v>
      </c>
      <c r="C104" s="234" t="s">
        <v>43</v>
      </c>
      <c r="D104" s="237" t="s">
        <v>156</v>
      </c>
      <c r="E104" s="228"/>
      <c r="F104" s="228">
        <v>10000</v>
      </c>
      <c r="G104" s="228">
        <f t="shared" si="1"/>
        <v>46442035</v>
      </c>
      <c r="H104" s="234" t="s">
        <v>38</v>
      </c>
      <c r="I104" s="231" t="s">
        <v>45</v>
      </c>
      <c r="J104" s="239" t="s">
        <v>118</v>
      </c>
      <c r="K104" s="234" t="s">
        <v>137</v>
      </c>
      <c r="L104" s="227" t="s">
        <v>139</v>
      </c>
      <c r="M104" s="4" t="s">
        <v>405</v>
      </c>
      <c r="N104" s="235" t="s">
        <v>142</v>
      </c>
      <c r="O104" s="227"/>
    </row>
    <row r="105" spans="1:63" s="212" customFormat="1" ht="15" customHeight="1">
      <c r="A105" s="226">
        <v>44387</v>
      </c>
      <c r="B105" s="234" t="s">
        <v>499</v>
      </c>
      <c r="C105" s="234" t="s">
        <v>247</v>
      </c>
      <c r="D105" s="237" t="s">
        <v>156</v>
      </c>
      <c r="E105" s="228"/>
      <c r="F105" s="228">
        <v>15000</v>
      </c>
      <c r="G105" s="240">
        <f t="shared" si="1"/>
        <v>46427035</v>
      </c>
      <c r="H105" s="232" t="s">
        <v>39</v>
      </c>
      <c r="I105" s="231" t="s">
        <v>45</v>
      </c>
      <c r="J105" s="231" t="s">
        <v>118</v>
      </c>
      <c r="K105" s="234" t="s">
        <v>137</v>
      </c>
      <c r="L105" s="227" t="s">
        <v>139</v>
      </c>
      <c r="M105" s="4" t="s">
        <v>406</v>
      </c>
      <c r="N105" s="235" t="s">
        <v>364</v>
      </c>
      <c r="O105" s="227"/>
      <c r="P105" s="207"/>
      <c r="Q105" s="207"/>
      <c r="R105" s="207"/>
      <c r="S105" s="207"/>
      <c r="T105" s="207"/>
      <c r="U105" s="207"/>
      <c r="V105" s="207"/>
      <c r="W105" s="207"/>
      <c r="X105" s="207"/>
      <c r="Y105" s="207"/>
      <c r="Z105" s="207"/>
      <c r="AA105" s="207"/>
      <c r="AB105" s="207"/>
      <c r="AC105" s="207"/>
      <c r="AD105" s="207"/>
      <c r="AE105" s="207"/>
      <c r="AF105" s="207"/>
      <c r="AG105" s="207"/>
      <c r="AH105" s="207"/>
      <c r="AI105" s="207"/>
      <c r="AJ105" s="207"/>
      <c r="AK105" s="207"/>
      <c r="AL105" s="207"/>
      <c r="AM105" s="207"/>
      <c r="AN105" s="207"/>
      <c r="AO105" s="207"/>
      <c r="AP105" s="207"/>
      <c r="AQ105" s="207"/>
      <c r="AR105" s="207"/>
      <c r="AS105" s="207"/>
      <c r="AT105" s="207"/>
      <c r="AU105" s="207"/>
      <c r="AV105" s="207"/>
      <c r="AW105" s="207"/>
      <c r="AX105" s="207"/>
      <c r="AY105" s="207"/>
      <c r="AZ105" s="207"/>
      <c r="BA105" s="207"/>
      <c r="BB105" s="207"/>
      <c r="BC105" s="207"/>
      <c r="BD105" s="207"/>
      <c r="BE105" s="207"/>
      <c r="BF105" s="207"/>
      <c r="BG105" s="207"/>
      <c r="BH105" s="207"/>
      <c r="BI105" s="207"/>
      <c r="BJ105" s="207"/>
      <c r="BK105" s="207"/>
    </row>
    <row r="106" spans="1:63" s="212" customFormat="1" ht="15" customHeight="1">
      <c r="A106" s="226">
        <v>44387</v>
      </c>
      <c r="B106" s="234" t="s">
        <v>252</v>
      </c>
      <c r="C106" s="234" t="s">
        <v>43</v>
      </c>
      <c r="D106" s="237" t="s">
        <v>156</v>
      </c>
      <c r="E106" s="228"/>
      <c r="F106" s="228">
        <v>8000</v>
      </c>
      <c r="G106" s="240">
        <f t="shared" si="1"/>
        <v>46419035</v>
      </c>
      <c r="H106" s="232" t="s">
        <v>39</v>
      </c>
      <c r="I106" s="231" t="s">
        <v>45</v>
      </c>
      <c r="J106" s="239" t="s">
        <v>118</v>
      </c>
      <c r="K106" s="234" t="s">
        <v>137</v>
      </c>
      <c r="L106" s="227" t="s">
        <v>139</v>
      </c>
      <c r="M106" s="4" t="s">
        <v>407</v>
      </c>
      <c r="N106" s="235" t="s">
        <v>142</v>
      </c>
      <c r="O106" s="227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</row>
    <row r="107" spans="1:63" s="212" customFormat="1" ht="15" customHeight="1">
      <c r="A107" s="226">
        <v>44387</v>
      </c>
      <c r="B107" s="234" t="s">
        <v>508</v>
      </c>
      <c r="C107" s="234" t="s">
        <v>247</v>
      </c>
      <c r="D107" s="237" t="s">
        <v>156</v>
      </c>
      <c r="E107" s="228"/>
      <c r="F107" s="228">
        <v>45000</v>
      </c>
      <c r="G107" s="228">
        <f t="shared" si="1"/>
        <v>46374035</v>
      </c>
      <c r="H107" s="234" t="s">
        <v>38</v>
      </c>
      <c r="I107" s="231" t="s">
        <v>45</v>
      </c>
      <c r="J107" s="231" t="s">
        <v>118</v>
      </c>
      <c r="K107" s="234" t="s">
        <v>137</v>
      </c>
      <c r="L107" s="227" t="s">
        <v>139</v>
      </c>
      <c r="M107" s="4" t="s">
        <v>408</v>
      </c>
      <c r="N107" s="235" t="s">
        <v>364</v>
      </c>
      <c r="O107" s="227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</row>
    <row r="108" spans="1:63" s="212" customFormat="1" ht="15" customHeight="1">
      <c r="A108" s="226">
        <v>44388</v>
      </c>
      <c r="B108" s="234" t="s">
        <v>275</v>
      </c>
      <c r="C108" s="234" t="s">
        <v>247</v>
      </c>
      <c r="D108" s="232" t="s">
        <v>337</v>
      </c>
      <c r="E108" s="228"/>
      <c r="F108" s="228">
        <v>6000</v>
      </c>
      <c r="G108" s="228">
        <f t="shared" si="1"/>
        <v>46368035</v>
      </c>
      <c r="H108" s="232" t="s">
        <v>60</v>
      </c>
      <c r="I108" s="231" t="s">
        <v>335</v>
      </c>
      <c r="J108" s="231" t="s">
        <v>135</v>
      </c>
      <c r="K108" s="234" t="s">
        <v>136</v>
      </c>
      <c r="L108" s="227" t="s">
        <v>139</v>
      </c>
      <c r="M108" s="4"/>
      <c r="N108" s="235"/>
      <c r="O108" s="227"/>
    </row>
    <row r="109" spans="1:63" s="118" customFormat="1" ht="15" customHeight="1">
      <c r="A109" s="226">
        <v>44389</v>
      </c>
      <c r="B109" s="232" t="s">
        <v>200</v>
      </c>
      <c r="C109" s="232" t="s">
        <v>9</v>
      </c>
      <c r="D109" s="237" t="s">
        <v>156</v>
      </c>
      <c r="E109" s="228"/>
      <c r="F109" s="228">
        <v>20000</v>
      </c>
      <c r="G109" s="228">
        <f t="shared" si="1"/>
        <v>46348035</v>
      </c>
      <c r="H109" s="232" t="s">
        <v>34</v>
      </c>
      <c r="I109" s="231" t="s">
        <v>335</v>
      </c>
      <c r="J109" s="231" t="s">
        <v>135</v>
      </c>
      <c r="K109" s="234" t="s">
        <v>136</v>
      </c>
      <c r="L109" s="227" t="s">
        <v>139</v>
      </c>
      <c r="M109" s="4"/>
      <c r="N109" s="235"/>
      <c r="O109" s="227"/>
      <c r="P109" s="212"/>
      <c r="Q109" s="212"/>
      <c r="R109" s="212"/>
      <c r="S109" s="212"/>
      <c r="T109" s="212"/>
      <c r="U109" s="212"/>
      <c r="V109" s="212"/>
      <c r="W109" s="212"/>
      <c r="X109" s="212"/>
      <c r="Y109" s="212"/>
      <c r="Z109" s="212"/>
      <c r="AA109" s="212"/>
      <c r="AB109" s="212"/>
      <c r="AC109" s="212"/>
      <c r="AD109" s="212"/>
      <c r="AE109" s="212"/>
      <c r="AF109" s="212"/>
      <c r="AG109" s="212"/>
      <c r="AH109" s="212"/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12"/>
      <c r="AT109" s="212"/>
      <c r="AU109" s="212"/>
      <c r="AV109" s="212"/>
      <c r="AW109" s="212"/>
      <c r="AX109" s="212"/>
      <c r="AY109" s="212"/>
      <c r="AZ109" s="212"/>
      <c r="BA109" s="212"/>
      <c r="BB109" s="212"/>
      <c r="BC109" s="212"/>
      <c r="BD109" s="212"/>
      <c r="BE109" s="212"/>
      <c r="BF109" s="212"/>
      <c r="BG109" s="212"/>
      <c r="BH109" s="212"/>
      <c r="BI109" s="212"/>
      <c r="BJ109" s="212"/>
      <c r="BK109" s="212"/>
    </row>
    <row r="110" spans="1:63" s="118" customFormat="1" ht="15" customHeight="1">
      <c r="A110" s="226">
        <v>44389</v>
      </c>
      <c r="B110" s="232" t="s">
        <v>201</v>
      </c>
      <c r="C110" s="232" t="s">
        <v>9</v>
      </c>
      <c r="D110" s="237" t="s">
        <v>156</v>
      </c>
      <c r="E110" s="228"/>
      <c r="F110" s="228">
        <v>50000</v>
      </c>
      <c r="G110" s="228">
        <f t="shared" si="1"/>
        <v>46298035</v>
      </c>
      <c r="H110" s="232" t="s">
        <v>34</v>
      </c>
      <c r="I110" s="231" t="s">
        <v>335</v>
      </c>
      <c r="J110" s="231" t="s">
        <v>135</v>
      </c>
      <c r="K110" s="234" t="s">
        <v>136</v>
      </c>
      <c r="L110" s="227" t="s">
        <v>139</v>
      </c>
      <c r="M110" s="4"/>
      <c r="N110" s="235"/>
      <c r="O110" s="227"/>
      <c r="P110" s="212"/>
      <c r="Q110" s="212"/>
      <c r="R110" s="212"/>
      <c r="S110" s="212"/>
      <c r="T110" s="212"/>
      <c r="U110" s="212"/>
      <c r="V110" s="212"/>
      <c r="W110" s="212"/>
      <c r="X110" s="212"/>
      <c r="Y110" s="212"/>
      <c r="Z110" s="212"/>
      <c r="AA110" s="212"/>
      <c r="AB110" s="212"/>
      <c r="AC110" s="212"/>
      <c r="AD110" s="212"/>
      <c r="AE110" s="212"/>
      <c r="AF110" s="212"/>
      <c r="AG110" s="212"/>
      <c r="AH110" s="212"/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  <c r="AT110" s="212"/>
      <c r="AU110" s="212"/>
      <c r="AV110" s="212"/>
      <c r="AW110" s="212"/>
      <c r="AX110" s="212"/>
      <c r="AY110" s="212"/>
      <c r="AZ110" s="212"/>
      <c r="BA110" s="212"/>
      <c r="BB110" s="212"/>
      <c r="BC110" s="212"/>
      <c r="BD110" s="212"/>
      <c r="BE110" s="212"/>
      <c r="BF110" s="212"/>
      <c r="BG110" s="212"/>
      <c r="BH110" s="212"/>
      <c r="BI110" s="212"/>
      <c r="BJ110" s="212"/>
      <c r="BK110" s="212"/>
    </row>
    <row r="111" spans="1:63" s="118" customFormat="1" ht="15" customHeight="1">
      <c r="A111" s="226">
        <v>44389</v>
      </c>
      <c r="B111" s="234" t="s">
        <v>276</v>
      </c>
      <c r="C111" s="234" t="s">
        <v>345</v>
      </c>
      <c r="D111" s="232" t="s">
        <v>89</v>
      </c>
      <c r="E111" s="228"/>
      <c r="F111" s="228">
        <v>1000</v>
      </c>
      <c r="G111" s="228">
        <f t="shared" si="1"/>
        <v>46297035</v>
      </c>
      <c r="H111" s="232" t="s">
        <v>60</v>
      </c>
      <c r="I111" s="231" t="s">
        <v>45</v>
      </c>
      <c r="J111" s="231" t="s">
        <v>135</v>
      </c>
      <c r="K111" s="234" t="s">
        <v>136</v>
      </c>
      <c r="L111" s="227" t="s">
        <v>139</v>
      </c>
      <c r="M111" s="4"/>
      <c r="N111" s="235"/>
      <c r="O111" s="227"/>
      <c r="P111" s="212"/>
      <c r="Q111" s="212"/>
      <c r="R111" s="212"/>
      <c r="S111" s="212"/>
      <c r="T111" s="212"/>
      <c r="U111" s="212"/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/>
      <c r="AF111" s="212"/>
      <c r="AG111" s="212"/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  <c r="BI111" s="212"/>
      <c r="BJ111" s="212"/>
      <c r="BK111" s="212"/>
    </row>
    <row r="112" spans="1:63" s="118" customFormat="1" ht="15" customHeight="1">
      <c r="A112" s="226">
        <v>44389</v>
      </c>
      <c r="B112" s="234" t="s">
        <v>277</v>
      </c>
      <c r="C112" s="234" t="s">
        <v>345</v>
      </c>
      <c r="D112" s="232" t="s">
        <v>89</v>
      </c>
      <c r="E112" s="228"/>
      <c r="F112" s="228">
        <v>9665</v>
      </c>
      <c r="G112" s="228">
        <f t="shared" si="1"/>
        <v>46287370</v>
      </c>
      <c r="H112" s="232" t="s">
        <v>60</v>
      </c>
      <c r="I112" s="231" t="s">
        <v>45</v>
      </c>
      <c r="J112" s="231" t="s">
        <v>135</v>
      </c>
      <c r="K112" s="234" t="s">
        <v>136</v>
      </c>
      <c r="L112" s="227" t="s">
        <v>139</v>
      </c>
      <c r="M112" s="4"/>
      <c r="N112" s="235"/>
      <c r="O112" s="227"/>
      <c r="P112" s="212"/>
      <c r="Q112" s="212"/>
      <c r="R112" s="212"/>
      <c r="S112" s="212"/>
      <c r="T112" s="212"/>
      <c r="U112" s="212"/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/>
      <c r="AF112" s="212"/>
      <c r="AG112" s="212"/>
      <c r="AH112" s="212"/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  <c r="BI112" s="212"/>
      <c r="BJ112" s="212"/>
      <c r="BK112" s="212"/>
    </row>
    <row r="113" spans="1:63" s="212" customFormat="1" ht="15" customHeight="1">
      <c r="A113" s="226">
        <v>44389</v>
      </c>
      <c r="B113" s="236" t="s">
        <v>311</v>
      </c>
      <c r="C113" s="243" t="s">
        <v>2</v>
      </c>
      <c r="D113" s="232" t="s">
        <v>89</v>
      </c>
      <c r="E113" s="228"/>
      <c r="F113" s="228">
        <v>314187</v>
      </c>
      <c r="G113" s="228">
        <f t="shared" si="1"/>
        <v>45973183</v>
      </c>
      <c r="H113" s="234" t="s">
        <v>32</v>
      </c>
      <c r="I113" s="231">
        <v>3643495</v>
      </c>
      <c r="J113" s="235" t="s">
        <v>118</v>
      </c>
      <c r="K113" s="234" t="s">
        <v>137</v>
      </c>
      <c r="L113" s="227" t="s">
        <v>139</v>
      </c>
      <c r="M113" s="4" t="s">
        <v>409</v>
      </c>
      <c r="N113" s="235" t="s">
        <v>358</v>
      </c>
      <c r="O113" s="227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118"/>
      <c r="BH113" s="118"/>
      <c r="BI113" s="118"/>
      <c r="BJ113" s="118"/>
      <c r="BK113" s="118"/>
    </row>
    <row r="114" spans="1:63" s="207" customFormat="1" ht="15" customHeight="1">
      <c r="A114" s="226">
        <v>44389</v>
      </c>
      <c r="B114" s="236" t="s">
        <v>312</v>
      </c>
      <c r="C114" s="243" t="s">
        <v>2</v>
      </c>
      <c r="D114" s="243" t="s">
        <v>6</v>
      </c>
      <c r="E114" s="228"/>
      <c r="F114" s="228">
        <v>253422</v>
      </c>
      <c r="G114" s="228">
        <f t="shared" si="1"/>
        <v>45719761</v>
      </c>
      <c r="H114" s="234" t="s">
        <v>32</v>
      </c>
      <c r="I114" s="231">
        <v>3643495</v>
      </c>
      <c r="J114" s="235" t="s">
        <v>118</v>
      </c>
      <c r="K114" s="234" t="s">
        <v>137</v>
      </c>
      <c r="L114" s="227" t="s">
        <v>139</v>
      </c>
      <c r="M114" s="4" t="s">
        <v>410</v>
      </c>
      <c r="N114" s="235" t="s">
        <v>360</v>
      </c>
      <c r="O114" s="227"/>
    </row>
    <row r="115" spans="1:63" s="118" customFormat="1" ht="15" customHeight="1">
      <c r="A115" s="226">
        <v>44389</v>
      </c>
      <c r="B115" s="236" t="s">
        <v>313</v>
      </c>
      <c r="C115" s="243" t="s">
        <v>2</v>
      </c>
      <c r="D115" s="243" t="s">
        <v>6</v>
      </c>
      <c r="E115" s="228"/>
      <c r="F115" s="228">
        <v>158580</v>
      </c>
      <c r="G115" s="228">
        <f t="shared" si="1"/>
        <v>45561181</v>
      </c>
      <c r="H115" s="234" t="s">
        <v>32</v>
      </c>
      <c r="I115" s="231">
        <v>3643495</v>
      </c>
      <c r="J115" s="235" t="s">
        <v>118</v>
      </c>
      <c r="K115" s="234" t="s">
        <v>137</v>
      </c>
      <c r="L115" s="227" t="s">
        <v>139</v>
      </c>
      <c r="M115" s="4" t="s">
        <v>411</v>
      </c>
      <c r="N115" s="235" t="s">
        <v>360</v>
      </c>
      <c r="O115" s="227"/>
      <c r="P115" s="213"/>
      <c r="Q115" s="213"/>
      <c r="R115" s="213"/>
      <c r="S115" s="213"/>
      <c r="T115" s="213"/>
      <c r="U115" s="213"/>
      <c r="V115" s="213"/>
      <c r="W115" s="213"/>
      <c r="X115" s="213"/>
      <c r="Y115" s="213"/>
      <c r="Z115" s="213"/>
      <c r="AA115" s="213"/>
      <c r="AB115" s="213"/>
      <c r="AC115" s="213"/>
      <c r="AD115" s="213"/>
      <c r="AE115" s="213"/>
      <c r="AF115" s="213"/>
      <c r="AG115" s="213"/>
      <c r="AH115" s="213"/>
      <c r="AI115" s="213"/>
      <c r="AJ115" s="213"/>
      <c r="AK115" s="213"/>
      <c r="AL115" s="213"/>
      <c r="AM115" s="213"/>
      <c r="AN115" s="213"/>
      <c r="AO115" s="213"/>
      <c r="AP115" s="213"/>
      <c r="AQ115" s="213"/>
      <c r="AR115" s="213"/>
      <c r="AS115" s="213"/>
      <c r="AT115" s="213"/>
      <c r="AU115" s="213"/>
      <c r="AV115" s="213"/>
      <c r="AW115" s="213"/>
      <c r="AX115" s="213"/>
      <c r="AY115" s="213"/>
      <c r="AZ115" s="213"/>
      <c r="BA115" s="213"/>
      <c r="BB115" s="213"/>
      <c r="BC115" s="213"/>
      <c r="BD115" s="213"/>
      <c r="BE115" s="213"/>
      <c r="BF115" s="213"/>
      <c r="BG115" s="213"/>
      <c r="BH115" s="213"/>
      <c r="BI115" s="213"/>
      <c r="BJ115" s="213"/>
      <c r="BK115" s="213"/>
    </row>
    <row r="116" spans="1:63" s="118" customFormat="1" ht="15" customHeight="1">
      <c r="A116" s="226">
        <v>44389</v>
      </c>
      <c r="B116" s="236" t="s">
        <v>314</v>
      </c>
      <c r="C116" s="243" t="s">
        <v>2</v>
      </c>
      <c r="D116" s="232" t="s">
        <v>89</v>
      </c>
      <c r="E116" s="228"/>
      <c r="F116" s="228">
        <v>125002</v>
      </c>
      <c r="G116" s="228">
        <f t="shared" si="1"/>
        <v>45436179</v>
      </c>
      <c r="H116" s="234" t="s">
        <v>32</v>
      </c>
      <c r="I116" s="231">
        <v>3643495</v>
      </c>
      <c r="J116" s="235" t="s">
        <v>118</v>
      </c>
      <c r="K116" s="234" t="s">
        <v>137</v>
      </c>
      <c r="L116" s="227" t="s">
        <v>139</v>
      </c>
      <c r="M116" s="4" t="s">
        <v>412</v>
      </c>
      <c r="N116" s="235" t="s">
        <v>358</v>
      </c>
      <c r="O116" s="234"/>
      <c r="P116" s="213"/>
      <c r="Q116" s="213"/>
      <c r="R116" s="213"/>
      <c r="S116" s="213"/>
      <c r="T116" s="213"/>
      <c r="U116" s="213"/>
      <c r="V116" s="213"/>
      <c r="W116" s="213"/>
      <c r="X116" s="213"/>
      <c r="Y116" s="213"/>
      <c r="Z116" s="213"/>
      <c r="AA116" s="213"/>
      <c r="AB116" s="213"/>
      <c r="AC116" s="213"/>
      <c r="AD116" s="213"/>
      <c r="AE116" s="213"/>
      <c r="AF116" s="213"/>
      <c r="AG116" s="213"/>
      <c r="AH116" s="213"/>
      <c r="AI116" s="213"/>
      <c r="AJ116" s="213"/>
      <c r="AK116" s="213"/>
      <c r="AL116" s="213"/>
      <c r="AM116" s="213"/>
      <c r="AN116" s="213"/>
      <c r="AO116" s="213"/>
      <c r="AP116" s="213"/>
      <c r="AQ116" s="213"/>
      <c r="AR116" s="213"/>
      <c r="AS116" s="213"/>
      <c r="AT116" s="213"/>
      <c r="AU116" s="213"/>
      <c r="AV116" s="213"/>
      <c r="AW116" s="213"/>
      <c r="AX116" s="213"/>
      <c r="AY116" s="213"/>
      <c r="AZ116" s="213"/>
      <c r="BA116" s="213"/>
      <c r="BB116" s="213"/>
      <c r="BC116" s="213"/>
      <c r="BD116" s="213"/>
      <c r="BE116" s="213"/>
      <c r="BF116" s="213"/>
      <c r="BG116" s="213"/>
      <c r="BH116" s="213"/>
      <c r="BI116" s="213"/>
      <c r="BJ116" s="213"/>
      <c r="BK116" s="213"/>
    </row>
    <row r="117" spans="1:63" s="118" customFormat="1" ht="15" customHeight="1">
      <c r="A117" s="226">
        <v>44389</v>
      </c>
      <c r="B117" s="236" t="s">
        <v>315</v>
      </c>
      <c r="C117" s="243" t="s">
        <v>2</v>
      </c>
      <c r="D117" s="237" t="s">
        <v>156</v>
      </c>
      <c r="E117" s="228"/>
      <c r="F117" s="228">
        <v>94692</v>
      </c>
      <c r="G117" s="228">
        <f t="shared" si="1"/>
        <v>45341487</v>
      </c>
      <c r="H117" s="234" t="s">
        <v>32</v>
      </c>
      <c r="I117" s="231">
        <v>3643495</v>
      </c>
      <c r="J117" s="235" t="s">
        <v>118</v>
      </c>
      <c r="K117" s="234" t="s">
        <v>137</v>
      </c>
      <c r="L117" s="227" t="s">
        <v>139</v>
      </c>
      <c r="M117" s="4" t="s">
        <v>413</v>
      </c>
      <c r="N117" s="235" t="s">
        <v>357</v>
      </c>
      <c r="O117" s="227"/>
      <c r="P117" s="213"/>
      <c r="Q117" s="213"/>
      <c r="R117" s="213"/>
      <c r="S117" s="213"/>
      <c r="T117" s="213"/>
      <c r="U117" s="213"/>
      <c r="V117" s="213"/>
      <c r="W117" s="213"/>
      <c r="X117" s="213"/>
      <c r="Y117" s="213"/>
      <c r="Z117" s="213"/>
      <c r="AA117" s="213"/>
      <c r="AB117" s="213"/>
      <c r="AC117" s="213"/>
      <c r="AD117" s="213"/>
      <c r="AE117" s="213"/>
      <c r="AF117" s="213"/>
      <c r="AG117" s="213"/>
      <c r="AH117" s="213"/>
      <c r="AI117" s="213"/>
      <c r="AJ117" s="213"/>
      <c r="AK117" s="213"/>
      <c r="AL117" s="213"/>
      <c r="AM117" s="213"/>
      <c r="AN117" s="213"/>
      <c r="AO117" s="213"/>
      <c r="AP117" s="213"/>
      <c r="AQ117" s="213"/>
      <c r="AR117" s="213"/>
      <c r="AS117" s="213"/>
      <c r="AT117" s="213"/>
      <c r="AU117" s="213"/>
      <c r="AV117" s="213"/>
      <c r="AW117" s="213"/>
      <c r="AX117" s="213"/>
      <c r="AY117" s="213"/>
      <c r="AZ117" s="213"/>
      <c r="BA117" s="213"/>
      <c r="BB117" s="213"/>
      <c r="BC117" s="213"/>
      <c r="BD117" s="213"/>
      <c r="BE117" s="213"/>
      <c r="BF117" s="213"/>
      <c r="BG117" s="213"/>
      <c r="BH117" s="213"/>
      <c r="BI117" s="213"/>
      <c r="BJ117" s="213"/>
      <c r="BK117" s="213"/>
    </row>
    <row r="118" spans="1:63" s="118" customFormat="1" ht="15" customHeight="1">
      <c r="A118" s="226">
        <v>44389</v>
      </c>
      <c r="B118" s="236" t="s">
        <v>316</v>
      </c>
      <c r="C118" s="243" t="s">
        <v>2</v>
      </c>
      <c r="D118" s="232" t="s">
        <v>33</v>
      </c>
      <c r="E118" s="228"/>
      <c r="F118" s="228">
        <v>121401</v>
      </c>
      <c r="G118" s="228">
        <f t="shared" si="1"/>
        <v>45220086</v>
      </c>
      <c r="H118" s="234" t="s">
        <v>32</v>
      </c>
      <c r="I118" s="231">
        <v>3643495</v>
      </c>
      <c r="J118" s="235" t="s">
        <v>118</v>
      </c>
      <c r="K118" s="234" t="s">
        <v>137</v>
      </c>
      <c r="L118" s="227" t="s">
        <v>139</v>
      </c>
      <c r="M118" s="4" t="s">
        <v>414</v>
      </c>
      <c r="N118" s="235" t="s">
        <v>361</v>
      </c>
      <c r="O118" s="227"/>
      <c r="P118" s="212"/>
      <c r="Q118" s="212"/>
      <c r="R118" s="212"/>
      <c r="S118" s="212"/>
      <c r="T118" s="212"/>
      <c r="U118" s="212"/>
      <c r="V118" s="212"/>
      <c r="W118" s="212"/>
      <c r="X118" s="212"/>
      <c r="Y118" s="212"/>
      <c r="Z118" s="212"/>
      <c r="AA118" s="212"/>
      <c r="AB118" s="212"/>
      <c r="AC118" s="212"/>
      <c r="AD118" s="212"/>
      <c r="AE118" s="212"/>
      <c r="AF118" s="212"/>
      <c r="AG118" s="212"/>
      <c r="AH118" s="212"/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2"/>
      <c r="BC118" s="212"/>
      <c r="BD118" s="212"/>
      <c r="BE118" s="212"/>
      <c r="BF118" s="212"/>
      <c r="BG118" s="212"/>
      <c r="BH118" s="212"/>
      <c r="BI118" s="212"/>
      <c r="BJ118" s="212"/>
      <c r="BK118" s="212"/>
    </row>
    <row r="119" spans="1:63" s="118" customFormat="1" ht="15" customHeight="1">
      <c r="A119" s="226">
        <v>44389</v>
      </c>
      <c r="B119" s="236" t="s">
        <v>317</v>
      </c>
      <c r="C119" s="243" t="s">
        <v>2</v>
      </c>
      <c r="D119" s="232" t="s">
        <v>89</v>
      </c>
      <c r="E119" s="228"/>
      <c r="F119" s="228">
        <v>183444</v>
      </c>
      <c r="G119" s="228">
        <f t="shared" si="1"/>
        <v>45036642</v>
      </c>
      <c r="H119" s="234" t="s">
        <v>32</v>
      </c>
      <c r="I119" s="231">
        <v>3643495</v>
      </c>
      <c r="J119" s="235" t="s">
        <v>118</v>
      </c>
      <c r="K119" s="234" t="s">
        <v>137</v>
      </c>
      <c r="L119" s="227" t="s">
        <v>139</v>
      </c>
      <c r="M119" s="4" t="s">
        <v>415</v>
      </c>
      <c r="N119" s="235" t="s">
        <v>358</v>
      </c>
      <c r="O119" s="227"/>
      <c r="P119" s="212"/>
      <c r="Q119" s="212"/>
      <c r="R119" s="212"/>
      <c r="S119" s="212"/>
      <c r="T119" s="212"/>
      <c r="U119" s="21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/>
      <c r="AF119" s="212"/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  <c r="BI119" s="212"/>
      <c r="BJ119" s="212"/>
      <c r="BK119" s="212"/>
    </row>
    <row r="120" spans="1:63" s="118" customFormat="1" ht="15" customHeight="1">
      <c r="A120" s="226">
        <v>44389</v>
      </c>
      <c r="B120" s="236" t="s">
        <v>318</v>
      </c>
      <c r="C120" s="243" t="s">
        <v>2</v>
      </c>
      <c r="D120" s="232" t="s">
        <v>89</v>
      </c>
      <c r="E120" s="228"/>
      <c r="F120" s="228">
        <v>220377</v>
      </c>
      <c r="G120" s="228">
        <f t="shared" si="1"/>
        <v>44816265</v>
      </c>
      <c r="H120" s="234" t="s">
        <v>32</v>
      </c>
      <c r="I120" s="231">
        <v>3643495</v>
      </c>
      <c r="J120" s="235" t="s">
        <v>118</v>
      </c>
      <c r="K120" s="234" t="s">
        <v>137</v>
      </c>
      <c r="L120" s="227" t="s">
        <v>139</v>
      </c>
      <c r="M120" s="4" t="s">
        <v>416</v>
      </c>
      <c r="N120" s="235" t="s">
        <v>358</v>
      </c>
      <c r="O120" s="227"/>
    </row>
    <row r="121" spans="1:63" s="118" customFormat="1" ht="15" customHeight="1">
      <c r="A121" s="226">
        <v>44389</v>
      </c>
      <c r="B121" s="236" t="s">
        <v>319</v>
      </c>
      <c r="C121" s="243" t="s">
        <v>2</v>
      </c>
      <c r="D121" s="232" t="s">
        <v>89</v>
      </c>
      <c r="E121" s="228"/>
      <c r="F121" s="228">
        <v>125005</v>
      </c>
      <c r="G121" s="228">
        <f t="shared" si="1"/>
        <v>44691260</v>
      </c>
      <c r="H121" s="234" t="s">
        <v>32</v>
      </c>
      <c r="I121" s="231">
        <v>3643495</v>
      </c>
      <c r="J121" s="235" t="s">
        <v>118</v>
      </c>
      <c r="K121" s="234" t="s">
        <v>137</v>
      </c>
      <c r="L121" s="227" t="s">
        <v>139</v>
      </c>
      <c r="M121" s="4" t="s">
        <v>417</v>
      </c>
      <c r="N121" s="235" t="s">
        <v>358</v>
      </c>
      <c r="O121" s="227"/>
      <c r="P121" s="212"/>
      <c r="Q121" s="212"/>
      <c r="R121" s="212"/>
      <c r="S121" s="212"/>
      <c r="T121" s="212"/>
      <c r="U121" s="212"/>
      <c r="V121" s="212"/>
      <c r="W121" s="212"/>
      <c r="X121" s="212"/>
      <c r="Y121" s="212"/>
      <c r="Z121" s="212"/>
      <c r="AA121" s="212"/>
      <c r="AB121" s="212"/>
      <c r="AC121" s="212"/>
      <c r="AD121" s="212"/>
      <c r="AE121" s="212"/>
      <c r="AF121" s="212"/>
      <c r="AG121" s="212"/>
      <c r="AH121" s="212"/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212"/>
      <c r="AX121" s="212"/>
      <c r="AY121" s="212"/>
      <c r="AZ121" s="212"/>
      <c r="BA121" s="212"/>
      <c r="BB121" s="212"/>
      <c r="BC121" s="212"/>
      <c r="BD121" s="212"/>
      <c r="BE121" s="212"/>
      <c r="BF121" s="212"/>
      <c r="BG121" s="212"/>
      <c r="BH121" s="212"/>
      <c r="BI121" s="212"/>
      <c r="BJ121" s="212"/>
      <c r="BK121" s="212"/>
    </row>
    <row r="122" spans="1:63" s="212" customFormat="1" ht="15" customHeight="1">
      <c r="A122" s="226">
        <v>44390</v>
      </c>
      <c r="B122" s="232" t="s">
        <v>202</v>
      </c>
      <c r="C122" s="232" t="s">
        <v>177</v>
      </c>
      <c r="D122" s="232" t="s">
        <v>8</v>
      </c>
      <c r="E122" s="228"/>
      <c r="F122" s="228">
        <v>5000</v>
      </c>
      <c r="G122" s="228">
        <f t="shared" si="1"/>
        <v>44686260</v>
      </c>
      <c r="H122" s="232" t="s">
        <v>34</v>
      </c>
      <c r="I122" s="231" t="s">
        <v>45</v>
      </c>
      <c r="J122" s="231" t="s">
        <v>135</v>
      </c>
      <c r="K122" s="234" t="s">
        <v>136</v>
      </c>
      <c r="L122" s="227" t="s">
        <v>139</v>
      </c>
      <c r="M122" s="4"/>
      <c r="N122" s="235"/>
      <c r="O122" s="227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Q122" s="118"/>
      <c r="AR122" s="118"/>
      <c r="AS122" s="118"/>
      <c r="AT122" s="118"/>
      <c r="AU122" s="118"/>
      <c r="AV122" s="118"/>
      <c r="AW122" s="118"/>
      <c r="AX122" s="118"/>
      <c r="AY122" s="118"/>
      <c r="AZ122" s="118"/>
      <c r="BA122" s="118"/>
      <c r="BB122" s="118"/>
      <c r="BC122" s="118"/>
      <c r="BD122" s="118"/>
      <c r="BE122" s="118"/>
      <c r="BF122" s="118"/>
      <c r="BG122" s="118"/>
      <c r="BH122" s="118"/>
      <c r="BI122" s="118"/>
      <c r="BJ122" s="118"/>
      <c r="BK122" s="118"/>
    </row>
    <row r="123" spans="1:63" s="212" customFormat="1" ht="15" customHeight="1">
      <c r="A123" s="226">
        <v>44390</v>
      </c>
      <c r="B123" s="232" t="s">
        <v>203</v>
      </c>
      <c r="C123" s="232" t="s">
        <v>354</v>
      </c>
      <c r="D123" s="237" t="s">
        <v>156</v>
      </c>
      <c r="E123" s="228"/>
      <c r="F123" s="228">
        <v>10500</v>
      </c>
      <c r="G123" s="228">
        <f t="shared" si="1"/>
        <v>44675760</v>
      </c>
      <c r="H123" s="232" t="s">
        <v>34</v>
      </c>
      <c r="I123" s="231"/>
      <c r="J123" s="231" t="s">
        <v>135</v>
      </c>
      <c r="K123" s="234" t="s">
        <v>136</v>
      </c>
      <c r="L123" s="227" t="s">
        <v>139</v>
      </c>
      <c r="M123" s="4"/>
      <c r="N123" s="235"/>
      <c r="O123" s="227"/>
      <c r="P123" s="207"/>
      <c r="Q123" s="207"/>
      <c r="R123" s="207"/>
      <c r="S123" s="207"/>
      <c r="T123" s="207"/>
      <c r="U123" s="207"/>
      <c r="V123" s="207"/>
      <c r="W123" s="207"/>
      <c r="X123" s="207"/>
      <c r="Y123" s="207"/>
      <c r="Z123" s="207"/>
      <c r="AA123" s="207"/>
      <c r="AB123" s="207"/>
      <c r="AC123" s="207"/>
      <c r="AD123" s="207"/>
      <c r="AE123" s="207"/>
      <c r="AF123" s="207"/>
      <c r="AG123" s="207"/>
      <c r="AH123" s="207"/>
      <c r="AI123" s="207"/>
      <c r="AJ123" s="207"/>
      <c r="AK123" s="207"/>
      <c r="AL123" s="207"/>
      <c r="AM123" s="207"/>
      <c r="AN123" s="207"/>
      <c r="AO123" s="207"/>
      <c r="AP123" s="207"/>
      <c r="AQ123" s="207"/>
      <c r="AR123" s="207"/>
      <c r="AS123" s="207"/>
      <c r="AT123" s="207"/>
      <c r="AU123" s="207"/>
      <c r="AV123" s="207"/>
      <c r="AW123" s="207"/>
      <c r="AX123" s="207"/>
      <c r="AY123" s="207"/>
      <c r="AZ123" s="207"/>
      <c r="BA123" s="207"/>
      <c r="BB123" s="207"/>
      <c r="BC123" s="207"/>
      <c r="BD123" s="207"/>
      <c r="BE123" s="207"/>
      <c r="BF123" s="207"/>
      <c r="BG123" s="207"/>
      <c r="BH123" s="207"/>
      <c r="BI123" s="207"/>
      <c r="BJ123" s="207"/>
      <c r="BK123" s="207"/>
    </row>
    <row r="124" spans="1:63" s="212" customFormat="1" ht="15" customHeight="1">
      <c r="A124" s="226">
        <v>44390</v>
      </c>
      <c r="B124" s="232" t="s">
        <v>40</v>
      </c>
      <c r="C124" s="232" t="s">
        <v>88</v>
      </c>
      <c r="D124" s="232"/>
      <c r="E124" s="228"/>
      <c r="F124" s="228">
        <v>10000</v>
      </c>
      <c r="G124" s="228">
        <f t="shared" si="1"/>
        <v>44665760</v>
      </c>
      <c r="H124" s="232" t="s">
        <v>34</v>
      </c>
      <c r="I124" s="231"/>
      <c r="J124" s="231"/>
      <c r="K124" s="238"/>
      <c r="L124" s="227" t="s">
        <v>139</v>
      </c>
      <c r="M124" s="4"/>
      <c r="N124" s="235"/>
      <c r="O124" s="227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Q124" s="118"/>
      <c r="AR124" s="118"/>
      <c r="AS124" s="118"/>
      <c r="AT124" s="118"/>
      <c r="AU124" s="118"/>
      <c r="AV124" s="118"/>
      <c r="AW124" s="118"/>
      <c r="AX124" s="118"/>
      <c r="AY124" s="118"/>
      <c r="AZ124" s="118"/>
      <c r="BA124" s="118"/>
      <c r="BB124" s="118"/>
      <c r="BC124" s="118"/>
      <c r="BD124" s="118"/>
      <c r="BE124" s="118"/>
      <c r="BF124" s="118"/>
      <c r="BG124" s="118"/>
      <c r="BH124" s="118"/>
      <c r="BI124" s="118"/>
      <c r="BJ124" s="118"/>
      <c r="BK124" s="118"/>
    </row>
    <row r="125" spans="1:63" s="212" customFormat="1" ht="15" customHeight="1">
      <c r="A125" s="226">
        <v>44390</v>
      </c>
      <c r="B125" s="232" t="s">
        <v>60</v>
      </c>
      <c r="C125" s="232" t="s">
        <v>88</v>
      </c>
      <c r="D125" s="232"/>
      <c r="E125" s="228"/>
      <c r="F125" s="228">
        <v>258000</v>
      </c>
      <c r="G125" s="228">
        <f t="shared" si="1"/>
        <v>44407760</v>
      </c>
      <c r="H125" s="232" t="s">
        <v>34</v>
      </c>
      <c r="I125" s="231"/>
      <c r="J125" s="231"/>
      <c r="K125" s="234"/>
      <c r="L125" s="227" t="s">
        <v>139</v>
      </c>
      <c r="M125" s="4"/>
      <c r="N125" s="235"/>
      <c r="O125" s="227"/>
    </row>
    <row r="126" spans="1:63" s="118" customFormat="1" ht="15" customHeight="1">
      <c r="A126" s="226">
        <v>44390</v>
      </c>
      <c r="B126" s="232" t="s">
        <v>204</v>
      </c>
      <c r="C126" s="232" t="s">
        <v>340</v>
      </c>
      <c r="D126" s="232" t="s">
        <v>8</v>
      </c>
      <c r="E126" s="228"/>
      <c r="F126" s="228">
        <v>7740</v>
      </c>
      <c r="G126" s="228">
        <f t="shared" si="1"/>
        <v>44400020</v>
      </c>
      <c r="H126" s="232" t="s">
        <v>34</v>
      </c>
      <c r="I126" s="231" t="s">
        <v>45</v>
      </c>
      <c r="J126" s="239" t="s">
        <v>118</v>
      </c>
      <c r="K126" s="234" t="s">
        <v>137</v>
      </c>
      <c r="L126" s="227" t="s">
        <v>139</v>
      </c>
      <c r="M126" s="4" t="s">
        <v>418</v>
      </c>
      <c r="N126" s="235" t="s">
        <v>138</v>
      </c>
      <c r="O126" s="227"/>
    </row>
    <row r="127" spans="1:63" s="212" customFormat="1" ht="15" customHeight="1">
      <c r="A127" s="226">
        <v>44390</v>
      </c>
      <c r="B127" s="232" t="s">
        <v>39</v>
      </c>
      <c r="C127" s="232" t="s">
        <v>88</v>
      </c>
      <c r="D127" s="232"/>
      <c r="E127" s="228"/>
      <c r="F127" s="228">
        <v>124000</v>
      </c>
      <c r="G127" s="228">
        <f t="shared" si="1"/>
        <v>44276020</v>
      </c>
      <c r="H127" s="232" t="s">
        <v>34</v>
      </c>
      <c r="I127" s="231"/>
      <c r="J127" s="231"/>
      <c r="K127" s="234"/>
      <c r="L127" s="227" t="s">
        <v>139</v>
      </c>
      <c r="M127" s="4"/>
      <c r="N127" s="235"/>
      <c r="O127" s="227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Q127" s="118"/>
      <c r="AR127" s="118"/>
      <c r="AS127" s="118"/>
      <c r="AT127" s="118"/>
      <c r="AU127" s="118"/>
      <c r="AV127" s="118"/>
      <c r="AW127" s="118"/>
      <c r="AX127" s="118"/>
      <c r="AY127" s="118"/>
      <c r="AZ127" s="118"/>
      <c r="BA127" s="118"/>
      <c r="BB127" s="118"/>
      <c r="BC127" s="118"/>
      <c r="BD127" s="118"/>
      <c r="BE127" s="118"/>
      <c r="BF127" s="118"/>
      <c r="BG127" s="118"/>
      <c r="BH127" s="118"/>
      <c r="BI127" s="118"/>
      <c r="BJ127" s="118"/>
      <c r="BK127" s="118"/>
    </row>
    <row r="128" spans="1:63" s="118" customFormat="1" ht="15" customHeight="1">
      <c r="A128" s="226">
        <v>44390</v>
      </c>
      <c r="B128" s="232" t="s">
        <v>38</v>
      </c>
      <c r="C128" s="232" t="s">
        <v>88</v>
      </c>
      <c r="D128" s="232"/>
      <c r="E128" s="228"/>
      <c r="F128" s="228">
        <v>121000</v>
      </c>
      <c r="G128" s="228">
        <f t="shared" si="1"/>
        <v>44155020</v>
      </c>
      <c r="H128" s="232" t="s">
        <v>34</v>
      </c>
      <c r="I128" s="231"/>
      <c r="J128" s="231"/>
      <c r="K128" s="234"/>
      <c r="L128" s="227" t="s">
        <v>139</v>
      </c>
      <c r="M128" s="4"/>
      <c r="N128" s="235"/>
      <c r="O128" s="227"/>
    </row>
    <row r="129" spans="1:63" s="212" customFormat="1" ht="15" customHeight="1">
      <c r="A129" s="226">
        <v>44390</v>
      </c>
      <c r="B129" s="232" t="s">
        <v>205</v>
      </c>
      <c r="C129" s="232" t="s">
        <v>88</v>
      </c>
      <c r="D129" s="232" t="s">
        <v>8</v>
      </c>
      <c r="E129" s="228">
        <v>1000000</v>
      </c>
      <c r="F129" s="228"/>
      <c r="G129" s="228">
        <f t="shared" si="1"/>
        <v>45155020</v>
      </c>
      <c r="H129" s="232" t="s">
        <v>34</v>
      </c>
      <c r="I129" s="231"/>
      <c r="J129" s="231"/>
      <c r="K129" s="234"/>
      <c r="L129" s="227" t="s">
        <v>139</v>
      </c>
      <c r="M129" s="4"/>
      <c r="N129" s="235"/>
      <c r="O129" s="227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Q129" s="118"/>
      <c r="AR129" s="118"/>
      <c r="AS129" s="118"/>
      <c r="AT129" s="118"/>
      <c r="AU129" s="118"/>
      <c r="AV129" s="118"/>
      <c r="AW129" s="118"/>
      <c r="AX129" s="118"/>
      <c r="AY129" s="118"/>
      <c r="AZ129" s="118"/>
      <c r="BA129" s="118"/>
      <c r="BB129" s="118"/>
      <c r="BC129" s="118"/>
      <c r="BD129" s="118"/>
      <c r="BE129" s="118"/>
      <c r="BF129" s="118"/>
      <c r="BG129" s="118"/>
      <c r="BH129" s="118"/>
      <c r="BI129" s="118"/>
      <c r="BJ129" s="118"/>
      <c r="BK129" s="118"/>
    </row>
    <row r="130" spans="1:63" s="212" customFormat="1" ht="15" customHeight="1">
      <c r="A130" s="226">
        <v>44390</v>
      </c>
      <c r="B130" s="234" t="s">
        <v>273</v>
      </c>
      <c r="C130" s="232" t="s">
        <v>88</v>
      </c>
      <c r="D130" s="234" t="s">
        <v>6</v>
      </c>
      <c r="E130" s="228">
        <v>258000</v>
      </c>
      <c r="F130" s="228"/>
      <c r="G130" s="240">
        <f t="shared" si="1"/>
        <v>45413020</v>
      </c>
      <c r="H130" s="232" t="s">
        <v>60</v>
      </c>
      <c r="I130" s="231" t="s">
        <v>45</v>
      </c>
      <c r="J130" s="235"/>
      <c r="K130" s="234"/>
      <c r="L130" s="227" t="s">
        <v>139</v>
      </c>
      <c r="M130" s="4"/>
      <c r="N130" s="235"/>
      <c r="O130" s="227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Q130" s="118"/>
      <c r="AR130" s="118"/>
      <c r="AS130" s="118"/>
      <c r="AT130" s="118"/>
      <c r="AU130" s="118"/>
      <c r="AV130" s="118"/>
      <c r="AW130" s="118"/>
      <c r="AX130" s="118"/>
      <c r="AY130" s="118"/>
      <c r="AZ130" s="118"/>
      <c r="BA130" s="118"/>
      <c r="BB130" s="118"/>
      <c r="BC130" s="118"/>
      <c r="BD130" s="118"/>
      <c r="BE130" s="118"/>
      <c r="BF130" s="118"/>
      <c r="BG130" s="118"/>
      <c r="BH130" s="118"/>
      <c r="BI130" s="118"/>
      <c r="BJ130" s="118"/>
      <c r="BK130" s="118"/>
    </row>
    <row r="131" spans="1:63" s="212" customFormat="1" ht="15" customHeight="1">
      <c r="A131" s="226">
        <v>44390</v>
      </c>
      <c r="B131" s="234" t="s">
        <v>278</v>
      </c>
      <c r="C131" s="234" t="s">
        <v>9</v>
      </c>
      <c r="D131" s="232" t="s">
        <v>337</v>
      </c>
      <c r="E131" s="228"/>
      <c r="F131" s="228">
        <v>100000</v>
      </c>
      <c r="G131" s="240">
        <f t="shared" si="1"/>
        <v>45313020</v>
      </c>
      <c r="H131" s="232" t="s">
        <v>60</v>
      </c>
      <c r="I131" s="231" t="s">
        <v>335</v>
      </c>
      <c r="J131" s="231" t="s">
        <v>135</v>
      </c>
      <c r="K131" s="234" t="s">
        <v>136</v>
      </c>
      <c r="L131" s="227" t="s">
        <v>139</v>
      </c>
      <c r="M131" s="4"/>
      <c r="N131" s="235"/>
      <c r="O131" s="227"/>
    </row>
    <row r="132" spans="1:63" s="219" customFormat="1" ht="15" customHeight="1">
      <c r="A132" s="226">
        <v>44390</v>
      </c>
      <c r="B132" s="234" t="s">
        <v>279</v>
      </c>
      <c r="C132" s="234" t="s">
        <v>43</v>
      </c>
      <c r="D132" s="232" t="s">
        <v>337</v>
      </c>
      <c r="E132" s="228"/>
      <c r="F132" s="228">
        <v>25000</v>
      </c>
      <c r="G132" s="240">
        <f t="shared" si="1"/>
        <v>45288020</v>
      </c>
      <c r="H132" s="232" t="s">
        <v>60</v>
      </c>
      <c r="I132" s="231" t="s">
        <v>45</v>
      </c>
      <c r="J132" s="231" t="s">
        <v>518</v>
      </c>
      <c r="K132" s="234" t="s">
        <v>136</v>
      </c>
      <c r="L132" s="227" t="s">
        <v>139</v>
      </c>
      <c r="M132" s="4"/>
      <c r="N132" s="235"/>
      <c r="O132" s="227"/>
    </row>
    <row r="133" spans="1:63" s="212" customFormat="1" ht="15" customHeight="1">
      <c r="A133" s="226">
        <v>44390</v>
      </c>
      <c r="B133" s="234" t="s">
        <v>253</v>
      </c>
      <c r="C133" s="232" t="s">
        <v>88</v>
      </c>
      <c r="D133" s="237" t="s">
        <v>156</v>
      </c>
      <c r="E133" s="228">
        <v>124000</v>
      </c>
      <c r="F133" s="228"/>
      <c r="G133" s="240">
        <f t="shared" si="1"/>
        <v>45412020</v>
      </c>
      <c r="H133" s="232" t="s">
        <v>39</v>
      </c>
      <c r="I133" s="231" t="s">
        <v>335</v>
      </c>
      <c r="J133" s="231"/>
      <c r="K133" s="234"/>
      <c r="L133" s="227" t="s">
        <v>139</v>
      </c>
      <c r="M133" s="235"/>
      <c r="N133" s="235"/>
      <c r="O133" s="227"/>
    </row>
    <row r="134" spans="1:63" s="214" customFormat="1" ht="15" customHeight="1">
      <c r="A134" s="226">
        <v>44390</v>
      </c>
      <c r="B134" s="234" t="s">
        <v>246</v>
      </c>
      <c r="C134" s="234" t="s">
        <v>43</v>
      </c>
      <c r="D134" s="237" t="s">
        <v>156</v>
      </c>
      <c r="E134" s="228"/>
      <c r="F134" s="228">
        <v>15000</v>
      </c>
      <c r="G134" s="228">
        <f t="shared" si="1"/>
        <v>45397020</v>
      </c>
      <c r="H134" s="232" t="s">
        <v>39</v>
      </c>
      <c r="I134" s="231" t="s">
        <v>45</v>
      </c>
      <c r="J134" s="231" t="s">
        <v>118</v>
      </c>
      <c r="K134" s="234" t="s">
        <v>137</v>
      </c>
      <c r="L134" s="227" t="s">
        <v>139</v>
      </c>
      <c r="M134" s="4" t="s">
        <v>419</v>
      </c>
      <c r="N134" s="235" t="s">
        <v>142</v>
      </c>
      <c r="O134" s="227"/>
      <c r="P134" s="212"/>
      <c r="Q134" s="212"/>
      <c r="R134" s="212"/>
      <c r="S134" s="212"/>
      <c r="T134" s="212"/>
      <c r="U134" s="212"/>
      <c r="V134" s="212"/>
      <c r="W134" s="212"/>
      <c r="X134" s="212"/>
      <c r="Y134" s="212"/>
      <c r="Z134" s="212"/>
      <c r="AA134" s="212"/>
      <c r="AB134" s="212"/>
      <c r="AC134" s="212"/>
      <c r="AD134" s="212"/>
      <c r="AE134" s="212"/>
      <c r="AF134" s="212"/>
      <c r="AG134" s="212"/>
      <c r="AH134" s="212"/>
      <c r="AI134" s="212"/>
      <c r="AJ134" s="212"/>
      <c r="AK134" s="212"/>
      <c r="AL134" s="212"/>
      <c r="AM134" s="212"/>
      <c r="AN134" s="212"/>
      <c r="AO134" s="212"/>
      <c r="AP134" s="212"/>
      <c r="AQ134" s="212"/>
      <c r="AR134" s="212"/>
      <c r="AS134" s="212"/>
      <c r="AT134" s="212"/>
      <c r="AU134" s="212"/>
      <c r="AV134" s="212"/>
      <c r="AW134" s="212"/>
      <c r="AX134" s="212"/>
      <c r="AY134" s="212"/>
      <c r="AZ134" s="212"/>
      <c r="BA134" s="212"/>
      <c r="BB134" s="212"/>
      <c r="BC134" s="212"/>
      <c r="BD134" s="212"/>
      <c r="BE134" s="212"/>
      <c r="BF134" s="212"/>
      <c r="BG134" s="212"/>
      <c r="BH134" s="212"/>
      <c r="BI134" s="212"/>
      <c r="BJ134" s="212"/>
      <c r="BK134" s="212"/>
    </row>
    <row r="135" spans="1:63" s="118" customFormat="1" ht="15" customHeight="1">
      <c r="A135" s="226">
        <v>44390</v>
      </c>
      <c r="B135" s="232" t="s">
        <v>284</v>
      </c>
      <c r="C135" s="232" t="s">
        <v>88</v>
      </c>
      <c r="D135" s="232" t="s">
        <v>33</v>
      </c>
      <c r="E135" s="228">
        <v>10000</v>
      </c>
      <c r="F135" s="228"/>
      <c r="G135" s="228">
        <f t="shared" si="1"/>
        <v>45407020</v>
      </c>
      <c r="H135" s="232" t="s">
        <v>40</v>
      </c>
      <c r="I135" s="231" t="s">
        <v>335</v>
      </c>
      <c r="J135" s="231"/>
      <c r="K135" s="234"/>
      <c r="L135" s="227" t="s">
        <v>139</v>
      </c>
      <c r="M135" s="227"/>
      <c r="N135" s="235"/>
      <c r="O135" s="227"/>
      <c r="P135" s="207"/>
      <c r="Q135" s="207"/>
      <c r="R135" s="207"/>
      <c r="S135" s="207"/>
      <c r="T135" s="207"/>
      <c r="U135" s="207"/>
      <c r="V135" s="207"/>
      <c r="W135" s="207"/>
      <c r="X135" s="207"/>
      <c r="Y135" s="207"/>
      <c r="Z135" s="207"/>
      <c r="AA135" s="207"/>
      <c r="AB135" s="207"/>
      <c r="AC135" s="207"/>
      <c r="AD135" s="207"/>
      <c r="AE135" s="207"/>
      <c r="AF135" s="207"/>
      <c r="AG135" s="207"/>
      <c r="AH135" s="207"/>
      <c r="AI135" s="207"/>
      <c r="AJ135" s="207"/>
      <c r="AK135" s="207"/>
      <c r="AL135" s="207"/>
      <c r="AM135" s="207"/>
      <c r="AN135" s="207"/>
      <c r="AO135" s="207"/>
      <c r="AP135" s="207"/>
      <c r="AQ135" s="207"/>
      <c r="AR135" s="207"/>
      <c r="AS135" s="207"/>
      <c r="AT135" s="207"/>
      <c r="AU135" s="207"/>
      <c r="AV135" s="207"/>
      <c r="AW135" s="207"/>
      <c r="AX135" s="207"/>
      <c r="AY135" s="207"/>
      <c r="AZ135" s="207"/>
      <c r="BA135" s="207"/>
      <c r="BB135" s="207"/>
      <c r="BC135" s="207"/>
      <c r="BD135" s="207"/>
      <c r="BE135" s="207"/>
      <c r="BF135" s="207"/>
      <c r="BG135" s="207"/>
      <c r="BH135" s="207"/>
      <c r="BI135" s="207"/>
      <c r="BJ135" s="207"/>
      <c r="BK135" s="207"/>
    </row>
    <row r="136" spans="1:63" s="118" customFormat="1" ht="15" customHeight="1">
      <c r="A136" s="226">
        <v>44390</v>
      </c>
      <c r="B136" s="234" t="s">
        <v>260</v>
      </c>
      <c r="C136" s="232" t="s">
        <v>88</v>
      </c>
      <c r="D136" s="227" t="s">
        <v>156</v>
      </c>
      <c r="E136" s="228">
        <v>121000</v>
      </c>
      <c r="F136" s="228"/>
      <c r="G136" s="228">
        <f t="shared" si="1"/>
        <v>45528020</v>
      </c>
      <c r="H136" s="234" t="s">
        <v>38</v>
      </c>
      <c r="I136" s="231" t="s">
        <v>335</v>
      </c>
      <c r="J136" s="239"/>
      <c r="K136" s="234"/>
      <c r="L136" s="227" t="s">
        <v>139</v>
      </c>
      <c r="M136" s="227"/>
      <c r="N136" s="235"/>
      <c r="O136" s="227"/>
    </row>
    <row r="137" spans="1:63" s="207" customFormat="1" ht="15" customHeight="1">
      <c r="A137" s="226">
        <v>44390</v>
      </c>
      <c r="B137" s="236" t="s">
        <v>320</v>
      </c>
      <c r="C137" s="232" t="s">
        <v>88</v>
      </c>
      <c r="D137" s="241" t="s">
        <v>5</v>
      </c>
      <c r="E137" s="228"/>
      <c r="F137" s="228">
        <v>1000000</v>
      </c>
      <c r="G137" s="228">
        <f t="shared" si="1"/>
        <v>44528020</v>
      </c>
      <c r="H137" s="234" t="s">
        <v>32</v>
      </c>
      <c r="I137" s="231">
        <v>3643496</v>
      </c>
      <c r="J137" s="231"/>
      <c r="K137" s="232"/>
      <c r="L137" s="227" t="s">
        <v>139</v>
      </c>
      <c r="M137" s="227"/>
      <c r="N137" s="235"/>
      <c r="O137" s="227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Q137" s="118"/>
      <c r="AR137" s="118"/>
      <c r="AS137" s="118"/>
      <c r="AT137" s="118"/>
      <c r="AU137" s="118"/>
      <c r="AV137" s="118"/>
      <c r="AW137" s="118"/>
      <c r="AX137" s="118"/>
      <c r="AY137" s="118"/>
      <c r="AZ137" s="118"/>
      <c r="BA137" s="118"/>
      <c r="BB137" s="118"/>
      <c r="BC137" s="118"/>
      <c r="BD137" s="118"/>
      <c r="BE137" s="118"/>
      <c r="BF137" s="118"/>
      <c r="BG137" s="118"/>
      <c r="BH137" s="118"/>
      <c r="BI137" s="118"/>
      <c r="BJ137" s="118"/>
      <c r="BK137" s="118"/>
    </row>
    <row r="138" spans="1:63" s="118" customFormat="1" ht="15" customHeight="1">
      <c r="A138" s="226">
        <v>44391</v>
      </c>
      <c r="B138" s="232" t="s">
        <v>167</v>
      </c>
      <c r="C138" s="232" t="s">
        <v>9</v>
      </c>
      <c r="D138" s="232" t="s">
        <v>33</v>
      </c>
      <c r="E138" s="228"/>
      <c r="F138" s="228">
        <v>27000</v>
      </c>
      <c r="G138" s="228">
        <f t="shared" si="1"/>
        <v>44501020</v>
      </c>
      <c r="H138" s="232" t="s">
        <v>34</v>
      </c>
      <c r="I138" s="231" t="s">
        <v>335</v>
      </c>
      <c r="J138" s="231" t="s">
        <v>135</v>
      </c>
      <c r="K138" s="234" t="s">
        <v>136</v>
      </c>
      <c r="L138" s="227" t="s">
        <v>139</v>
      </c>
      <c r="M138" s="235"/>
      <c r="N138" s="235"/>
      <c r="O138" s="227"/>
    </row>
    <row r="139" spans="1:63" s="212" customFormat="1" ht="15" customHeight="1">
      <c r="A139" s="226">
        <v>44391</v>
      </c>
      <c r="B139" s="232" t="s">
        <v>206</v>
      </c>
      <c r="C139" s="232" t="s">
        <v>7</v>
      </c>
      <c r="D139" s="232" t="s">
        <v>6</v>
      </c>
      <c r="E139" s="228"/>
      <c r="F139" s="228">
        <v>10000</v>
      </c>
      <c r="G139" s="228">
        <f t="shared" si="1"/>
        <v>44491020</v>
      </c>
      <c r="H139" s="232" t="s">
        <v>34</v>
      </c>
      <c r="I139" s="231" t="s">
        <v>45</v>
      </c>
      <c r="J139" s="235" t="s">
        <v>118</v>
      </c>
      <c r="K139" s="234" t="s">
        <v>137</v>
      </c>
      <c r="L139" s="227" t="s">
        <v>139</v>
      </c>
      <c r="M139" s="4" t="s">
        <v>420</v>
      </c>
      <c r="N139" s="235" t="s">
        <v>141</v>
      </c>
      <c r="O139" s="227"/>
    </row>
    <row r="140" spans="1:63" s="212" customFormat="1" ht="15" customHeight="1">
      <c r="A140" s="226">
        <v>44391</v>
      </c>
      <c r="B140" s="232" t="s">
        <v>207</v>
      </c>
      <c r="C140" s="232" t="s">
        <v>7</v>
      </c>
      <c r="D140" s="232" t="s">
        <v>89</v>
      </c>
      <c r="E140" s="228"/>
      <c r="F140" s="228">
        <v>10000</v>
      </c>
      <c r="G140" s="228">
        <f t="shared" si="1"/>
        <v>44481020</v>
      </c>
      <c r="H140" s="232" t="s">
        <v>34</v>
      </c>
      <c r="I140" s="231" t="s">
        <v>45</v>
      </c>
      <c r="J140" s="235" t="s">
        <v>118</v>
      </c>
      <c r="K140" s="234" t="s">
        <v>137</v>
      </c>
      <c r="L140" s="227" t="s">
        <v>139</v>
      </c>
      <c r="M140" s="4" t="s">
        <v>421</v>
      </c>
      <c r="N140" s="235" t="s">
        <v>141</v>
      </c>
      <c r="O140" s="227"/>
    </row>
    <row r="141" spans="1:63" s="212" customFormat="1" ht="15" customHeight="1">
      <c r="A141" s="226">
        <v>44391</v>
      </c>
      <c r="B141" s="232" t="s">
        <v>208</v>
      </c>
      <c r="C141" s="232" t="s">
        <v>7</v>
      </c>
      <c r="D141" s="237" t="s">
        <v>156</v>
      </c>
      <c r="E141" s="228"/>
      <c r="F141" s="228">
        <v>5000</v>
      </c>
      <c r="G141" s="228">
        <f t="shared" ref="G141:G204" si="2">+G140+E141-F141</f>
        <v>44476020</v>
      </c>
      <c r="H141" s="232" t="s">
        <v>34</v>
      </c>
      <c r="I141" s="231" t="s">
        <v>45</v>
      </c>
      <c r="J141" s="235" t="s">
        <v>118</v>
      </c>
      <c r="K141" s="234" t="s">
        <v>137</v>
      </c>
      <c r="L141" s="227" t="s">
        <v>139</v>
      </c>
      <c r="M141" s="4" t="s">
        <v>422</v>
      </c>
      <c r="N141" s="235" t="s">
        <v>141</v>
      </c>
      <c r="O141" s="234"/>
    </row>
    <row r="142" spans="1:63" s="118" customFormat="1" ht="15" customHeight="1">
      <c r="A142" s="226">
        <v>44391</v>
      </c>
      <c r="B142" s="232" t="s">
        <v>209</v>
      </c>
      <c r="C142" s="232" t="s">
        <v>7</v>
      </c>
      <c r="D142" s="232" t="s">
        <v>6</v>
      </c>
      <c r="E142" s="228"/>
      <c r="F142" s="228">
        <v>25000</v>
      </c>
      <c r="G142" s="228">
        <f t="shared" si="2"/>
        <v>44451020</v>
      </c>
      <c r="H142" s="232" t="s">
        <v>34</v>
      </c>
      <c r="I142" s="231" t="s">
        <v>45</v>
      </c>
      <c r="J142" s="235" t="s">
        <v>118</v>
      </c>
      <c r="K142" s="234" t="s">
        <v>137</v>
      </c>
      <c r="L142" s="227" t="s">
        <v>139</v>
      </c>
      <c r="M142" s="4" t="s">
        <v>423</v>
      </c>
      <c r="N142" s="235" t="s">
        <v>141</v>
      </c>
      <c r="O142" s="227"/>
      <c r="P142" s="212"/>
      <c r="Q142" s="212"/>
      <c r="R142" s="212"/>
      <c r="S142" s="212"/>
      <c r="T142" s="212"/>
      <c r="U142" s="212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/>
      <c r="AF142" s="212"/>
      <c r="AG142" s="212"/>
      <c r="AH142" s="212"/>
      <c r="AI142" s="212"/>
      <c r="AJ142" s="212"/>
      <c r="AK142" s="212"/>
      <c r="AL142" s="212"/>
      <c r="AM142" s="212"/>
      <c r="AN142" s="212"/>
      <c r="AO142" s="212"/>
      <c r="AP142" s="212"/>
      <c r="AQ142" s="212"/>
      <c r="AR142" s="212"/>
      <c r="AS142" s="212"/>
      <c r="AT142" s="212"/>
      <c r="AU142" s="212"/>
      <c r="AV142" s="212"/>
      <c r="AW142" s="212"/>
      <c r="AX142" s="212"/>
      <c r="AY142" s="212"/>
      <c r="AZ142" s="212"/>
      <c r="BA142" s="212"/>
      <c r="BB142" s="212"/>
      <c r="BC142" s="212"/>
      <c r="BD142" s="212"/>
      <c r="BE142" s="212"/>
      <c r="BF142" s="212"/>
      <c r="BG142" s="212"/>
      <c r="BH142" s="212"/>
      <c r="BI142" s="212"/>
      <c r="BJ142" s="212"/>
      <c r="BK142" s="212"/>
    </row>
    <row r="143" spans="1:63" s="118" customFormat="1" ht="15" customHeight="1">
      <c r="A143" s="226">
        <v>44391</v>
      </c>
      <c r="B143" s="232" t="s">
        <v>210</v>
      </c>
      <c r="C143" s="232" t="s">
        <v>7</v>
      </c>
      <c r="D143" s="237" t="s">
        <v>156</v>
      </c>
      <c r="E143" s="228"/>
      <c r="F143" s="228">
        <v>20000</v>
      </c>
      <c r="G143" s="228">
        <f t="shared" si="2"/>
        <v>44431020</v>
      </c>
      <c r="H143" s="232" t="s">
        <v>34</v>
      </c>
      <c r="I143" s="231" t="s">
        <v>45</v>
      </c>
      <c r="J143" s="235" t="s">
        <v>118</v>
      </c>
      <c r="K143" s="234" t="s">
        <v>137</v>
      </c>
      <c r="L143" s="227" t="s">
        <v>139</v>
      </c>
      <c r="M143" s="4" t="s">
        <v>424</v>
      </c>
      <c r="N143" s="235" t="s">
        <v>141</v>
      </c>
      <c r="O143" s="227"/>
    </row>
    <row r="144" spans="1:63" s="118" customFormat="1" ht="15" customHeight="1">
      <c r="A144" s="226">
        <v>44391</v>
      </c>
      <c r="B144" s="232" t="s">
        <v>211</v>
      </c>
      <c r="C144" s="232" t="s">
        <v>7</v>
      </c>
      <c r="D144" s="232" t="s">
        <v>89</v>
      </c>
      <c r="E144" s="228"/>
      <c r="F144" s="228">
        <v>10000</v>
      </c>
      <c r="G144" s="228">
        <f t="shared" si="2"/>
        <v>44421020</v>
      </c>
      <c r="H144" s="232" t="s">
        <v>34</v>
      </c>
      <c r="I144" s="231" t="s">
        <v>45</v>
      </c>
      <c r="J144" s="235" t="s">
        <v>118</v>
      </c>
      <c r="K144" s="234" t="s">
        <v>137</v>
      </c>
      <c r="L144" s="227" t="s">
        <v>139</v>
      </c>
      <c r="M144" s="4" t="s">
        <v>425</v>
      </c>
      <c r="N144" s="235" t="s">
        <v>141</v>
      </c>
      <c r="O144" s="227"/>
      <c r="P144" s="212"/>
      <c r="Q144" s="212"/>
      <c r="R144" s="212"/>
      <c r="S144" s="212"/>
      <c r="T144" s="212"/>
      <c r="U144" s="212"/>
      <c r="V144" s="212"/>
      <c r="W144" s="212"/>
      <c r="X144" s="212"/>
      <c r="Y144" s="212"/>
      <c r="Z144" s="212"/>
      <c r="AA144" s="212"/>
      <c r="AB144" s="212"/>
      <c r="AC144" s="212"/>
      <c r="AD144" s="212"/>
      <c r="AE144" s="212"/>
      <c r="AF144" s="212"/>
      <c r="AG144" s="212"/>
      <c r="AH144" s="212"/>
      <c r="AI144" s="212"/>
      <c r="AJ144" s="212"/>
      <c r="AK144" s="212"/>
      <c r="AL144" s="212"/>
      <c r="AM144" s="212"/>
      <c r="AN144" s="212"/>
      <c r="AO144" s="212"/>
      <c r="AP144" s="212"/>
      <c r="AQ144" s="212"/>
      <c r="AR144" s="212"/>
      <c r="AS144" s="212"/>
      <c r="AT144" s="212"/>
      <c r="AU144" s="212"/>
      <c r="AV144" s="212"/>
      <c r="AW144" s="212"/>
      <c r="AX144" s="212"/>
      <c r="AY144" s="212"/>
      <c r="AZ144" s="212"/>
      <c r="BA144" s="212"/>
      <c r="BB144" s="212"/>
      <c r="BC144" s="212"/>
      <c r="BD144" s="212"/>
      <c r="BE144" s="212"/>
      <c r="BF144" s="212"/>
      <c r="BG144" s="212"/>
      <c r="BH144" s="212"/>
      <c r="BI144" s="212"/>
      <c r="BJ144" s="212"/>
      <c r="BK144" s="212"/>
    </row>
    <row r="145" spans="1:63" s="118" customFormat="1" ht="15" customHeight="1">
      <c r="A145" s="226">
        <v>44391</v>
      </c>
      <c r="B145" s="232" t="s">
        <v>212</v>
      </c>
      <c r="C145" s="232" t="s">
        <v>7</v>
      </c>
      <c r="D145" s="232" t="s">
        <v>33</v>
      </c>
      <c r="E145" s="228"/>
      <c r="F145" s="228">
        <v>10000</v>
      </c>
      <c r="G145" s="228">
        <f t="shared" si="2"/>
        <v>44411020</v>
      </c>
      <c r="H145" s="232" t="s">
        <v>34</v>
      </c>
      <c r="I145" s="231" t="s">
        <v>45</v>
      </c>
      <c r="J145" s="235" t="s">
        <v>118</v>
      </c>
      <c r="K145" s="238" t="s">
        <v>137</v>
      </c>
      <c r="L145" s="227" t="s">
        <v>139</v>
      </c>
      <c r="M145" s="4" t="s">
        <v>426</v>
      </c>
      <c r="N145" s="235" t="s">
        <v>141</v>
      </c>
      <c r="O145" s="227"/>
    </row>
    <row r="146" spans="1:63" s="118" customFormat="1" ht="15" customHeight="1">
      <c r="A146" s="226">
        <v>44391</v>
      </c>
      <c r="B146" s="232" t="s">
        <v>148</v>
      </c>
      <c r="C146" s="232" t="s">
        <v>88</v>
      </c>
      <c r="D146" s="232"/>
      <c r="E146" s="228"/>
      <c r="F146" s="228">
        <v>58000</v>
      </c>
      <c r="G146" s="228">
        <f t="shared" si="2"/>
        <v>44353020</v>
      </c>
      <c r="H146" s="232" t="s">
        <v>34</v>
      </c>
      <c r="I146" s="231"/>
      <c r="J146" s="231"/>
      <c r="K146" s="234"/>
      <c r="L146" s="227" t="s">
        <v>139</v>
      </c>
      <c r="M146" s="235"/>
      <c r="N146" s="235"/>
      <c r="O146" s="227"/>
      <c r="P146" s="212"/>
      <c r="Q146" s="212"/>
      <c r="R146" s="212"/>
      <c r="S146" s="212"/>
      <c r="T146" s="212"/>
      <c r="U146" s="212"/>
      <c r="V146" s="212"/>
      <c r="W146" s="212"/>
      <c r="X146" s="212"/>
      <c r="Y146" s="212"/>
      <c r="Z146" s="212"/>
      <c r="AA146" s="212"/>
      <c r="AB146" s="212"/>
      <c r="AC146" s="212"/>
      <c r="AD146" s="212"/>
      <c r="AE146" s="212"/>
      <c r="AF146" s="212"/>
      <c r="AG146" s="212"/>
      <c r="AH146" s="212"/>
      <c r="AI146" s="212"/>
      <c r="AJ146" s="212"/>
      <c r="AK146" s="212"/>
      <c r="AL146" s="212"/>
      <c r="AM146" s="212"/>
      <c r="AN146" s="212"/>
      <c r="AO146" s="212"/>
      <c r="AP146" s="212"/>
      <c r="AQ146" s="212"/>
      <c r="AR146" s="212"/>
      <c r="AS146" s="212"/>
      <c r="AT146" s="212"/>
      <c r="AU146" s="212"/>
      <c r="AV146" s="212"/>
      <c r="AW146" s="212"/>
      <c r="AX146" s="212"/>
      <c r="AY146" s="212"/>
      <c r="AZ146" s="212"/>
      <c r="BA146" s="212"/>
      <c r="BB146" s="212"/>
      <c r="BC146" s="212"/>
      <c r="BD146" s="212"/>
      <c r="BE146" s="212"/>
      <c r="BF146" s="212"/>
      <c r="BG146" s="212"/>
      <c r="BH146" s="212"/>
      <c r="BI146" s="212"/>
      <c r="BJ146" s="212"/>
      <c r="BK146" s="212"/>
    </row>
    <row r="147" spans="1:63" s="118" customFormat="1" ht="15" customHeight="1">
      <c r="A147" s="226">
        <v>44391</v>
      </c>
      <c r="B147" s="232" t="s">
        <v>168</v>
      </c>
      <c r="C147" s="232" t="s">
        <v>340</v>
      </c>
      <c r="D147" s="232" t="s">
        <v>8</v>
      </c>
      <c r="E147" s="228"/>
      <c r="F147" s="228">
        <v>1740</v>
      </c>
      <c r="G147" s="228">
        <f t="shared" si="2"/>
        <v>44351280</v>
      </c>
      <c r="H147" s="232" t="s">
        <v>34</v>
      </c>
      <c r="I147" s="231" t="s">
        <v>45</v>
      </c>
      <c r="J147" s="239" t="s">
        <v>118</v>
      </c>
      <c r="K147" s="234" t="s">
        <v>137</v>
      </c>
      <c r="L147" s="227" t="s">
        <v>139</v>
      </c>
      <c r="M147" s="4" t="s">
        <v>427</v>
      </c>
      <c r="N147" s="235" t="s">
        <v>138</v>
      </c>
      <c r="O147" s="227"/>
      <c r="P147" s="212"/>
      <c r="Q147" s="212"/>
      <c r="R147" s="212"/>
      <c r="S147" s="212"/>
      <c r="T147" s="212"/>
      <c r="U147" s="212"/>
      <c r="V147" s="212"/>
      <c r="W147" s="212"/>
      <c r="X147" s="212"/>
      <c r="Y147" s="212"/>
      <c r="Z147" s="212"/>
      <c r="AA147" s="212"/>
      <c r="AB147" s="212"/>
      <c r="AC147" s="212"/>
      <c r="AD147" s="212"/>
      <c r="AE147" s="212"/>
      <c r="AF147" s="212"/>
      <c r="AG147" s="212"/>
      <c r="AH147" s="212"/>
      <c r="AI147" s="212"/>
      <c r="AJ147" s="212"/>
      <c r="AK147" s="212"/>
      <c r="AL147" s="212"/>
      <c r="AM147" s="212"/>
      <c r="AN147" s="212"/>
      <c r="AO147" s="212"/>
      <c r="AP147" s="212"/>
      <c r="AQ147" s="212"/>
      <c r="AR147" s="212"/>
      <c r="AS147" s="212"/>
      <c r="AT147" s="212"/>
      <c r="AU147" s="212"/>
      <c r="AV147" s="212"/>
      <c r="AW147" s="212"/>
      <c r="AX147" s="212"/>
      <c r="AY147" s="212"/>
      <c r="AZ147" s="212"/>
      <c r="BA147" s="212"/>
      <c r="BB147" s="212"/>
      <c r="BC147" s="212"/>
      <c r="BD147" s="212"/>
      <c r="BE147" s="212"/>
      <c r="BF147" s="212"/>
      <c r="BG147" s="212"/>
      <c r="BH147" s="212"/>
      <c r="BI147" s="212"/>
      <c r="BJ147" s="212"/>
      <c r="BK147" s="212"/>
    </row>
    <row r="148" spans="1:63" s="118" customFormat="1" ht="15" customHeight="1">
      <c r="A148" s="226">
        <v>44391</v>
      </c>
      <c r="B148" s="234" t="s">
        <v>265</v>
      </c>
      <c r="C148" s="234" t="s">
        <v>43</v>
      </c>
      <c r="D148" s="237" t="s">
        <v>156</v>
      </c>
      <c r="E148" s="228"/>
      <c r="F148" s="228">
        <v>8000</v>
      </c>
      <c r="G148" s="228">
        <f t="shared" si="2"/>
        <v>44343280</v>
      </c>
      <c r="H148" s="234" t="s">
        <v>38</v>
      </c>
      <c r="I148" s="231" t="s">
        <v>45</v>
      </c>
      <c r="J148" s="231" t="s">
        <v>118</v>
      </c>
      <c r="K148" s="238" t="s">
        <v>137</v>
      </c>
      <c r="L148" s="227" t="s">
        <v>139</v>
      </c>
      <c r="M148" s="4" t="s">
        <v>428</v>
      </c>
      <c r="N148" s="235" t="s">
        <v>142</v>
      </c>
      <c r="O148" s="227"/>
    </row>
    <row r="149" spans="1:63" s="118" customFormat="1" ht="15" customHeight="1">
      <c r="A149" s="226">
        <v>44391</v>
      </c>
      <c r="B149" s="234" t="s">
        <v>509</v>
      </c>
      <c r="C149" s="234" t="s">
        <v>247</v>
      </c>
      <c r="D149" s="237" t="s">
        <v>156</v>
      </c>
      <c r="E149" s="228"/>
      <c r="F149" s="228">
        <v>60000</v>
      </c>
      <c r="G149" s="228">
        <f t="shared" si="2"/>
        <v>44283280</v>
      </c>
      <c r="H149" s="234" t="s">
        <v>38</v>
      </c>
      <c r="I149" s="231" t="s">
        <v>335</v>
      </c>
      <c r="J149" s="231" t="s">
        <v>118</v>
      </c>
      <c r="K149" s="234" t="s">
        <v>137</v>
      </c>
      <c r="L149" s="227" t="s">
        <v>139</v>
      </c>
      <c r="M149" s="4" t="s">
        <v>429</v>
      </c>
      <c r="N149" s="235" t="s">
        <v>364</v>
      </c>
      <c r="O149" s="227"/>
      <c r="P149" s="212"/>
      <c r="Q149" s="212"/>
      <c r="R149" s="212"/>
      <c r="S149" s="212"/>
      <c r="T149" s="212"/>
      <c r="U149" s="212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/>
      <c r="AF149" s="212"/>
      <c r="AG149" s="212"/>
      <c r="AH149" s="212"/>
      <c r="AI149" s="212"/>
      <c r="AJ149" s="212"/>
      <c r="AK149" s="212"/>
      <c r="AL149" s="212"/>
      <c r="AM149" s="212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  <c r="BI149" s="212"/>
      <c r="BJ149" s="212"/>
      <c r="BK149" s="212"/>
    </row>
    <row r="150" spans="1:63" s="118" customFormat="1" ht="15" customHeight="1">
      <c r="A150" s="226">
        <v>44392</v>
      </c>
      <c r="B150" s="232" t="s">
        <v>213</v>
      </c>
      <c r="C150" s="232" t="s">
        <v>177</v>
      </c>
      <c r="D150" s="232" t="s">
        <v>8</v>
      </c>
      <c r="E150" s="228"/>
      <c r="F150" s="228">
        <v>70000</v>
      </c>
      <c r="G150" s="228">
        <f t="shared" si="2"/>
        <v>44213280</v>
      </c>
      <c r="H150" s="232" t="s">
        <v>34</v>
      </c>
      <c r="I150" s="231" t="s">
        <v>45</v>
      </c>
      <c r="J150" s="231" t="s">
        <v>135</v>
      </c>
      <c r="K150" s="234" t="s">
        <v>136</v>
      </c>
      <c r="L150" s="227" t="s">
        <v>139</v>
      </c>
      <c r="M150" s="227"/>
      <c r="N150" s="235"/>
      <c r="O150" s="227"/>
    </row>
    <row r="151" spans="1:63" s="118" customFormat="1" ht="15" customHeight="1">
      <c r="A151" s="226">
        <v>44392</v>
      </c>
      <c r="B151" s="232" t="s">
        <v>214</v>
      </c>
      <c r="C151" s="232" t="s">
        <v>177</v>
      </c>
      <c r="D151" s="232" t="s">
        <v>8</v>
      </c>
      <c r="E151" s="228"/>
      <c r="F151" s="228">
        <f>18000*3</f>
        <v>54000</v>
      </c>
      <c r="G151" s="228">
        <f t="shared" si="2"/>
        <v>44159280</v>
      </c>
      <c r="H151" s="232" t="s">
        <v>34</v>
      </c>
      <c r="I151" s="231" t="s">
        <v>45</v>
      </c>
      <c r="J151" s="231" t="s">
        <v>135</v>
      </c>
      <c r="K151" s="234" t="s">
        <v>136</v>
      </c>
      <c r="L151" s="227" t="s">
        <v>139</v>
      </c>
      <c r="M151" s="235"/>
      <c r="N151" s="235"/>
      <c r="O151" s="227"/>
    </row>
    <row r="152" spans="1:63" s="118" customFormat="1" ht="15" customHeight="1">
      <c r="A152" s="226">
        <v>44392</v>
      </c>
      <c r="B152" s="232" t="s">
        <v>215</v>
      </c>
      <c r="C152" s="232" t="s">
        <v>9</v>
      </c>
      <c r="D152" s="232" t="s">
        <v>337</v>
      </c>
      <c r="E152" s="228"/>
      <c r="F152" s="228">
        <v>80000</v>
      </c>
      <c r="G152" s="228">
        <f t="shared" si="2"/>
        <v>44079280</v>
      </c>
      <c r="H152" s="232" t="s">
        <v>34</v>
      </c>
      <c r="I152" s="231" t="s">
        <v>335</v>
      </c>
      <c r="J152" s="231" t="s">
        <v>135</v>
      </c>
      <c r="K152" s="234" t="s">
        <v>136</v>
      </c>
      <c r="L152" s="227" t="s">
        <v>139</v>
      </c>
      <c r="M152" s="227"/>
      <c r="N152" s="235"/>
      <c r="O152" s="227"/>
    </row>
    <row r="153" spans="1:63" s="212" customFormat="1" ht="15" customHeight="1">
      <c r="A153" s="226">
        <v>44392</v>
      </c>
      <c r="B153" s="232" t="s">
        <v>40</v>
      </c>
      <c r="C153" s="232" t="s">
        <v>88</v>
      </c>
      <c r="D153" s="232"/>
      <c r="E153" s="228"/>
      <c r="F153" s="228">
        <v>10000</v>
      </c>
      <c r="G153" s="228">
        <f t="shared" si="2"/>
        <v>44069280</v>
      </c>
      <c r="H153" s="232" t="s">
        <v>34</v>
      </c>
      <c r="I153" s="231"/>
      <c r="J153" s="231"/>
      <c r="K153" s="234"/>
      <c r="L153" s="227" t="s">
        <v>139</v>
      </c>
      <c r="M153" s="227"/>
      <c r="N153" s="235"/>
      <c r="O153" s="227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  <c r="AP153" s="118"/>
      <c r="AQ153" s="118"/>
      <c r="AR153" s="118"/>
      <c r="AS153" s="118"/>
      <c r="AT153" s="118"/>
      <c r="AU153" s="118"/>
      <c r="AV153" s="118"/>
      <c r="AW153" s="118"/>
      <c r="AX153" s="118"/>
      <c r="AY153" s="118"/>
      <c r="AZ153" s="118"/>
      <c r="BA153" s="118"/>
      <c r="BB153" s="118"/>
      <c r="BC153" s="118"/>
      <c r="BD153" s="118"/>
      <c r="BE153" s="118"/>
      <c r="BF153" s="118"/>
      <c r="BG153" s="118"/>
      <c r="BH153" s="118"/>
      <c r="BI153" s="118"/>
      <c r="BJ153" s="118"/>
      <c r="BK153" s="118"/>
    </row>
    <row r="154" spans="1:63" s="118" customFormat="1" ht="15" customHeight="1">
      <c r="A154" s="226">
        <v>44392</v>
      </c>
      <c r="B154" s="232" t="s">
        <v>34</v>
      </c>
      <c r="C154" s="232" t="s">
        <v>88</v>
      </c>
      <c r="D154" s="232" t="s">
        <v>89</v>
      </c>
      <c r="E154" s="228">
        <v>58000</v>
      </c>
      <c r="F154" s="228"/>
      <c r="G154" s="228">
        <f t="shared" si="2"/>
        <v>44127280</v>
      </c>
      <c r="H154" s="232" t="s">
        <v>46</v>
      </c>
      <c r="I154" s="231" t="s">
        <v>335</v>
      </c>
      <c r="J154" s="235"/>
      <c r="K154" s="234"/>
      <c r="L154" s="227" t="s">
        <v>139</v>
      </c>
      <c r="M154" s="227"/>
      <c r="N154" s="235"/>
      <c r="O154" s="227"/>
    </row>
    <row r="155" spans="1:63" s="118" customFormat="1" ht="15" customHeight="1">
      <c r="A155" s="226">
        <v>44392</v>
      </c>
      <c r="B155" s="234" t="s">
        <v>501</v>
      </c>
      <c r="C155" s="234" t="s">
        <v>247</v>
      </c>
      <c r="D155" s="237" t="s">
        <v>156</v>
      </c>
      <c r="E155" s="228"/>
      <c r="F155" s="228">
        <v>60000</v>
      </c>
      <c r="G155" s="228">
        <f t="shared" si="2"/>
        <v>44067280</v>
      </c>
      <c r="H155" s="232" t="s">
        <v>39</v>
      </c>
      <c r="I155" s="231" t="s">
        <v>335</v>
      </c>
      <c r="J155" s="231" t="s">
        <v>118</v>
      </c>
      <c r="K155" s="234" t="s">
        <v>137</v>
      </c>
      <c r="L155" s="227" t="s">
        <v>139</v>
      </c>
      <c r="M155" s="4" t="s">
        <v>430</v>
      </c>
      <c r="N155" s="235" t="s">
        <v>364</v>
      </c>
      <c r="O155" s="227"/>
      <c r="P155" s="207"/>
      <c r="Q155" s="207"/>
      <c r="R155" s="207"/>
      <c r="S155" s="207"/>
      <c r="T155" s="207"/>
      <c r="U155" s="207"/>
      <c r="V155" s="207"/>
      <c r="W155" s="207"/>
      <c r="X155" s="207"/>
      <c r="Y155" s="207"/>
      <c r="Z155" s="207"/>
      <c r="AA155" s="207"/>
      <c r="AB155" s="207"/>
      <c r="AC155" s="207"/>
      <c r="AD155" s="207"/>
      <c r="AE155" s="207"/>
      <c r="AF155" s="207"/>
      <c r="AG155" s="207"/>
      <c r="AH155" s="207"/>
      <c r="AI155" s="207"/>
      <c r="AJ155" s="207"/>
      <c r="AK155" s="207"/>
      <c r="AL155" s="207"/>
      <c r="AM155" s="207"/>
      <c r="AN155" s="207"/>
      <c r="AO155" s="207"/>
      <c r="AP155" s="207"/>
      <c r="AQ155" s="207"/>
      <c r="AR155" s="207"/>
      <c r="AS155" s="207"/>
      <c r="AT155" s="207"/>
      <c r="AU155" s="207"/>
      <c r="AV155" s="207"/>
      <c r="AW155" s="207"/>
      <c r="AX155" s="207"/>
      <c r="AY155" s="207"/>
      <c r="AZ155" s="207"/>
      <c r="BA155" s="207"/>
      <c r="BB155" s="207"/>
      <c r="BC155" s="207"/>
      <c r="BD155" s="207"/>
      <c r="BE155" s="207"/>
      <c r="BF155" s="207"/>
      <c r="BG155" s="207"/>
      <c r="BH155" s="207"/>
      <c r="BI155" s="207"/>
      <c r="BJ155" s="207"/>
      <c r="BK155" s="207"/>
    </row>
    <row r="156" spans="1:63" s="118" customFormat="1" ht="15" customHeight="1">
      <c r="A156" s="226">
        <v>44392</v>
      </c>
      <c r="B156" s="232" t="s">
        <v>284</v>
      </c>
      <c r="C156" s="232" t="s">
        <v>88</v>
      </c>
      <c r="D156" s="232" t="s">
        <v>33</v>
      </c>
      <c r="E156" s="228">
        <v>10000</v>
      </c>
      <c r="F156" s="228"/>
      <c r="G156" s="228">
        <f t="shared" si="2"/>
        <v>44077280</v>
      </c>
      <c r="H156" s="234" t="s">
        <v>40</v>
      </c>
      <c r="I156" s="231" t="s">
        <v>335</v>
      </c>
      <c r="J156" s="231"/>
      <c r="K156" s="234"/>
      <c r="L156" s="227" t="s">
        <v>139</v>
      </c>
      <c r="M156" s="227"/>
      <c r="N156" s="235"/>
      <c r="O156" s="227"/>
    </row>
    <row r="157" spans="1:63" s="212" customFormat="1" ht="15" customHeight="1">
      <c r="A157" s="226">
        <v>44392</v>
      </c>
      <c r="B157" s="234" t="s">
        <v>266</v>
      </c>
      <c r="C157" s="234" t="s">
        <v>43</v>
      </c>
      <c r="D157" s="237" t="s">
        <v>156</v>
      </c>
      <c r="E157" s="228"/>
      <c r="F157" s="228">
        <v>4000</v>
      </c>
      <c r="G157" s="228">
        <f t="shared" si="2"/>
        <v>44073280</v>
      </c>
      <c r="H157" s="234" t="s">
        <v>38</v>
      </c>
      <c r="I157" s="231" t="s">
        <v>45</v>
      </c>
      <c r="J157" s="231" t="s">
        <v>135</v>
      </c>
      <c r="K157" s="234" t="s">
        <v>136</v>
      </c>
      <c r="L157" s="227" t="s">
        <v>139</v>
      </c>
      <c r="M157" s="235"/>
      <c r="N157" s="235"/>
      <c r="O157" s="227"/>
    </row>
    <row r="158" spans="1:63" s="212" customFormat="1" ht="15" customHeight="1">
      <c r="A158" s="226">
        <v>44393</v>
      </c>
      <c r="B158" s="232" t="s">
        <v>148</v>
      </c>
      <c r="C158" s="232" t="s">
        <v>88</v>
      </c>
      <c r="D158" s="232"/>
      <c r="E158" s="228"/>
      <c r="F158" s="228">
        <v>87000</v>
      </c>
      <c r="G158" s="228">
        <f t="shared" si="2"/>
        <v>43986280</v>
      </c>
      <c r="H158" s="232" t="s">
        <v>34</v>
      </c>
      <c r="I158" s="231"/>
      <c r="J158" s="235"/>
      <c r="K158" s="234"/>
      <c r="L158" s="227" t="s">
        <v>139</v>
      </c>
      <c r="M158" s="227"/>
      <c r="N158" s="235"/>
      <c r="O158" s="227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Q158" s="118"/>
      <c r="AR158" s="118"/>
      <c r="AS158" s="118"/>
      <c r="AT158" s="118"/>
      <c r="AU158" s="118"/>
      <c r="AV158" s="118"/>
      <c r="AW158" s="118"/>
      <c r="AX158" s="118"/>
      <c r="AY158" s="118"/>
      <c r="AZ158" s="118"/>
      <c r="BA158" s="118"/>
      <c r="BB158" s="118"/>
      <c r="BC158" s="118"/>
      <c r="BD158" s="118"/>
      <c r="BE158" s="118"/>
      <c r="BF158" s="118"/>
      <c r="BG158" s="118"/>
      <c r="BH158" s="118"/>
      <c r="BI158" s="118"/>
      <c r="BJ158" s="118"/>
      <c r="BK158" s="118"/>
    </row>
    <row r="159" spans="1:63" s="118" customFormat="1" ht="15" customHeight="1">
      <c r="A159" s="226">
        <v>44393</v>
      </c>
      <c r="B159" s="232" t="s">
        <v>60</v>
      </c>
      <c r="C159" s="232" t="s">
        <v>88</v>
      </c>
      <c r="D159" s="232"/>
      <c r="E159" s="228"/>
      <c r="F159" s="228">
        <v>156000</v>
      </c>
      <c r="G159" s="228">
        <f t="shared" si="2"/>
        <v>43830280</v>
      </c>
      <c r="H159" s="232" t="s">
        <v>34</v>
      </c>
      <c r="I159" s="231"/>
      <c r="J159" s="231"/>
      <c r="K159" s="234"/>
      <c r="L159" s="227" t="s">
        <v>139</v>
      </c>
      <c r="M159" s="235"/>
      <c r="N159" s="235"/>
      <c r="O159" s="227"/>
      <c r="P159" s="212"/>
      <c r="Q159" s="212"/>
      <c r="R159" s="212"/>
      <c r="S159" s="212"/>
      <c r="T159" s="212"/>
      <c r="U159" s="212"/>
      <c r="V159" s="212"/>
      <c r="W159" s="212"/>
      <c r="X159" s="212"/>
      <c r="Y159" s="212"/>
      <c r="Z159" s="212"/>
      <c r="AA159" s="212"/>
      <c r="AB159" s="212"/>
      <c r="AC159" s="212"/>
      <c r="AD159" s="212"/>
      <c r="AE159" s="212"/>
      <c r="AF159" s="212"/>
      <c r="AG159" s="212"/>
      <c r="AH159" s="212"/>
      <c r="AI159" s="212"/>
      <c r="AJ159" s="212"/>
      <c r="AK159" s="212"/>
      <c r="AL159" s="212"/>
      <c r="AM159" s="212"/>
      <c r="AN159" s="212"/>
      <c r="AO159" s="212"/>
      <c r="AP159" s="212"/>
      <c r="AQ159" s="212"/>
      <c r="AR159" s="212"/>
      <c r="AS159" s="212"/>
      <c r="AT159" s="212"/>
      <c r="AU159" s="212"/>
      <c r="AV159" s="212"/>
      <c r="AW159" s="212"/>
      <c r="AX159" s="212"/>
      <c r="AY159" s="212"/>
      <c r="AZ159" s="212"/>
      <c r="BA159" s="212"/>
      <c r="BB159" s="212"/>
      <c r="BC159" s="212"/>
      <c r="BD159" s="212"/>
      <c r="BE159" s="212"/>
      <c r="BF159" s="212"/>
      <c r="BG159" s="212"/>
      <c r="BH159" s="212"/>
      <c r="BI159" s="212"/>
      <c r="BJ159" s="212"/>
      <c r="BK159" s="212"/>
    </row>
    <row r="160" spans="1:63" s="212" customFormat="1" ht="15" customHeight="1">
      <c r="A160" s="226">
        <v>44393</v>
      </c>
      <c r="B160" s="232" t="s">
        <v>216</v>
      </c>
      <c r="C160" s="232" t="s">
        <v>340</v>
      </c>
      <c r="D160" s="232" t="s">
        <v>8</v>
      </c>
      <c r="E160" s="228"/>
      <c r="F160" s="228">
        <v>7290</v>
      </c>
      <c r="G160" s="228">
        <f t="shared" si="2"/>
        <v>43822990</v>
      </c>
      <c r="H160" s="232" t="s">
        <v>34</v>
      </c>
      <c r="I160" s="231" t="s">
        <v>45</v>
      </c>
      <c r="J160" s="239" t="s">
        <v>118</v>
      </c>
      <c r="K160" s="234" t="s">
        <v>137</v>
      </c>
      <c r="L160" s="227" t="s">
        <v>139</v>
      </c>
      <c r="M160" s="4" t="s">
        <v>431</v>
      </c>
      <c r="N160" s="235" t="s">
        <v>138</v>
      </c>
      <c r="O160" s="227"/>
    </row>
    <row r="161" spans="1:63" s="212" customFormat="1" ht="15" customHeight="1">
      <c r="A161" s="226">
        <v>44393</v>
      </c>
      <c r="B161" s="232" t="s">
        <v>34</v>
      </c>
      <c r="C161" s="232" t="s">
        <v>88</v>
      </c>
      <c r="D161" s="232" t="s">
        <v>89</v>
      </c>
      <c r="E161" s="228">
        <v>87000</v>
      </c>
      <c r="F161" s="228"/>
      <c r="G161" s="228">
        <f t="shared" si="2"/>
        <v>43909990</v>
      </c>
      <c r="H161" s="232" t="s">
        <v>46</v>
      </c>
      <c r="I161" s="231" t="s">
        <v>335</v>
      </c>
      <c r="J161" s="235"/>
      <c r="K161" s="234"/>
      <c r="L161" s="227" t="s">
        <v>139</v>
      </c>
      <c r="M161" s="227"/>
      <c r="N161" s="235"/>
      <c r="O161" s="227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Q161" s="118"/>
      <c r="AR161" s="118"/>
      <c r="AS161" s="118"/>
      <c r="AT161" s="118"/>
      <c r="AU161" s="118"/>
      <c r="AV161" s="118"/>
      <c r="AW161" s="118"/>
      <c r="AX161" s="118"/>
      <c r="AY161" s="118"/>
      <c r="AZ161" s="118"/>
      <c r="BA161" s="118"/>
      <c r="BB161" s="118"/>
      <c r="BC161" s="118"/>
      <c r="BD161" s="118"/>
      <c r="BE161" s="118"/>
      <c r="BF161" s="118"/>
      <c r="BG161" s="118"/>
      <c r="BH161" s="118"/>
      <c r="BI161" s="118"/>
      <c r="BJ161" s="118"/>
      <c r="BK161" s="118"/>
    </row>
    <row r="162" spans="1:63" s="118" customFormat="1" ht="15" customHeight="1">
      <c r="A162" s="226">
        <v>44393</v>
      </c>
      <c r="B162" s="234" t="s">
        <v>273</v>
      </c>
      <c r="C162" s="232" t="s">
        <v>88</v>
      </c>
      <c r="D162" s="234" t="s">
        <v>6</v>
      </c>
      <c r="E162" s="228">
        <v>156000</v>
      </c>
      <c r="F162" s="228"/>
      <c r="G162" s="240">
        <f t="shared" si="2"/>
        <v>44065990</v>
      </c>
      <c r="H162" s="232" t="s">
        <v>60</v>
      </c>
      <c r="I162" s="231" t="s">
        <v>335</v>
      </c>
      <c r="J162" s="239"/>
      <c r="K162" s="234"/>
      <c r="L162" s="227" t="s">
        <v>139</v>
      </c>
      <c r="M162" s="227"/>
      <c r="N162" s="235"/>
      <c r="O162" s="227"/>
      <c r="P162" s="212"/>
      <c r="Q162" s="212"/>
      <c r="R162" s="212"/>
      <c r="S162" s="212"/>
      <c r="T162" s="212"/>
      <c r="U162" s="212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2"/>
      <c r="AK162" s="212"/>
      <c r="AL162" s="212"/>
      <c r="AM162" s="212"/>
      <c r="AN162" s="212"/>
      <c r="AO162" s="212"/>
      <c r="AP162" s="212"/>
      <c r="AQ162" s="212"/>
      <c r="AR162" s="212"/>
      <c r="AS162" s="212"/>
      <c r="AT162" s="212"/>
      <c r="AU162" s="212"/>
      <c r="AV162" s="212"/>
      <c r="AW162" s="212"/>
      <c r="AX162" s="212"/>
      <c r="AY162" s="212"/>
      <c r="AZ162" s="212"/>
      <c r="BA162" s="212"/>
      <c r="BB162" s="212"/>
      <c r="BC162" s="212"/>
      <c r="BD162" s="212"/>
      <c r="BE162" s="212"/>
      <c r="BF162" s="212"/>
      <c r="BG162" s="212"/>
      <c r="BH162" s="212"/>
      <c r="BI162" s="212"/>
      <c r="BJ162" s="212"/>
      <c r="BK162" s="212"/>
    </row>
    <row r="163" spans="1:63" s="118" customFormat="1" ht="15" customHeight="1">
      <c r="A163" s="226">
        <v>44394</v>
      </c>
      <c r="B163" s="232" t="s">
        <v>289</v>
      </c>
      <c r="C163" s="232" t="s">
        <v>177</v>
      </c>
      <c r="D163" s="232" t="s">
        <v>89</v>
      </c>
      <c r="E163" s="228"/>
      <c r="F163" s="228">
        <v>2550</v>
      </c>
      <c r="G163" s="228">
        <f t="shared" si="2"/>
        <v>44063440</v>
      </c>
      <c r="H163" s="232" t="s">
        <v>46</v>
      </c>
      <c r="I163" s="231" t="s">
        <v>45</v>
      </c>
      <c r="J163" s="231" t="s">
        <v>118</v>
      </c>
      <c r="K163" s="234" t="s">
        <v>137</v>
      </c>
      <c r="L163" s="227" t="s">
        <v>139</v>
      </c>
      <c r="M163" s="4" t="s">
        <v>451</v>
      </c>
      <c r="N163" s="235" t="s">
        <v>356</v>
      </c>
      <c r="O163" s="227"/>
    </row>
    <row r="164" spans="1:63" s="118" customFormat="1" ht="15" customHeight="1">
      <c r="A164" s="226">
        <v>44395</v>
      </c>
      <c r="B164" s="232" t="s">
        <v>288</v>
      </c>
      <c r="C164" s="232" t="s">
        <v>177</v>
      </c>
      <c r="D164" s="232" t="s">
        <v>8</v>
      </c>
      <c r="E164" s="228"/>
      <c r="F164" s="228">
        <v>2275</v>
      </c>
      <c r="G164" s="228">
        <f t="shared" si="2"/>
        <v>44061165</v>
      </c>
      <c r="H164" s="232" t="s">
        <v>46</v>
      </c>
      <c r="I164" s="231" t="s">
        <v>45</v>
      </c>
      <c r="J164" s="231" t="s">
        <v>118</v>
      </c>
      <c r="K164" s="234" t="s">
        <v>137</v>
      </c>
      <c r="L164" s="227" t="s">
        <v>139</v>
      </c>
      <c r="M164" s="4" t="s">
        <v>432</v>
      </c>
      <c r="N164" s="235" t="s">
        <v>356</v>
      </c>
      <c r="O164" s="227"/>
    </row>
    <row r="165" spans="1:63" s="118" customFormat="1" ht="15" customHeight="1">
      <c r="A165" s="226">
        <v>44395</v>
      </c>
      <c r="B165" s="234" t="s">
        <v>267</v>
      </c>
      <c r="C165" s="234" t="s">
        <v>43</v>
      </c>
      <c r="D165" s="237" t="s">
        <v>156</v>
      </c>
      <c r="E165" s="228"/>
      <c r="F165" s="228">
        <v>4000</v>
      </c>
      <c r="G165" s="228">
        <f t="shared" si="2"/>
        <v>44057165</v>
      </c>
      <c r="H165" s="234" t="s">
        <v>38</v>
      </c>
      <c r="I165" s="231" t="s">
        <v>45</v>
      </c>
      <c r="J165" s="231" t="s">
        <v>135</v>
      </c>
      <c r="K165" s="234" t="s">
        <v>136</v>
      </c>
      <c r="L165" s="227" t="s">
        <v>139</v>
      </c>
      <c r="M165" s="235"/>
      <c r="N165" s="235"/>
      <c r="O165" s="227"/>
      <c r="P165" s="212"/>
      <c r="Q165" s="212"/>
      <c r="R165" s="212"/>
      <c r="S165" s="212"/>
      <c r="T165" s="212"/>
      <c r="U165" s="212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2"/>
      <c r="AK165" s="212"/>
      <c r="AL165" s="212"/>
      <c r="AM165" s="212"/>
      <c r="AN165" s="212"/>
      <c r="AO165" s="212"/>
      <c r="AP165" s="212"/>
      <c r="AQ165" s="212"/>
      <c r="AR165" s="212"/>
      <c r="AS165" s="212"/>
      <c r="AT165" s="212"/>
      <c r="AU165" s="212"/>
      <c r="AV165" s="212"/>
      <c r="AW165" s="212"/>
      <c r="AX165" s="212"/>
      <c r="AY165" s="212"/>
      <c r="AZ165" s="212"/>
      <c r="BA165" s="212"/>
      <c r="BB165" s="212"/>
      <c r="BC165" s="212"/>
      <c r="BD165" s="212"/>
      <c r="BE165" s="212"/>
      <c r="BF165" s="212"/>
      <c r="BG165" s="212"/>
      <c r="BH165" s="212"/>
      <c r="BI165" s="212"/>
      <c r="BJ165" s="212"/>
      <c r="BK165" s="212"/>
    </row>
    <row r="166" spans="1:63" s="118" customFormat="1" ht="15" customHeight="1">
      <c r="A166" s="226">
        <v>44395</v>
      </c>
      <c r="B166" s="234" t="s">
        <v>510</v>
      </c>
      <c r="C166" s="234" t="s">
        <v>247</v>
      </c>
      <c r="D166" s="237" t="s">
        <v>156</v>
      </c>
      <c r="E166" s="228"/>
      <c r="F166" s="228">
        <v>45000</v>
      </c>
      <c r="G166" s="228">
        <f t="shared" si="2"/>
        <v>44012165</v>
      </c>
      <c r="H166" s="234" t="s">
        <v>38</v>
      </c>
      <c r="I166" s="231" t="s">
        <v>45</v>
      </c>
      <c r="J166" s="231" t="s">
        <v>118</v>
      </c>
      <c r="K166" s="234" t="s">
        <v>137</v>
      </c>
      <c r="L166" s="227" t="s">
        <v>139</v>
      </c>
      <c r="M166" s="4" t="s">
        <v>433</v>
      </c>
      <c r="N166" s="235" t="s">
        <v>364</v>
      </c>
      <c r="O166" s="227"/>
    </row>
    <row r="167" spans="1:63" s="212" customFormat="1" ht="15" customHeight="1">
      <c r="A167" s="226">
        <v>44396</v>
      </c>
      <c r="B167" s="232" t="s">
        <v>38</v>
      </c>
      <c r="C167" s="232" t="s">
        <v>88</v>
      </c>
      <c r="D167" s="232"/>
      <c r="E167" s="228"/>
      <c r="F167" s="228">
        <v>80000</v>
      </c>
      <c r="G167" s="228">
        <f t="shared" si="2"/>
        <v>43932165</v>
      </c>
      <c r="H167" s="232" t="s">
        <v>34</v>
      </c>
      <c r="I167" s="231"/>
      <c r="J167" s="231"/>
      <c r="K167" s="234"/>
      <c r="L167" s="227" t="s">
        <v>139</v>
      </c>
      <c r="M167" s="227"/>
      <c r="N167" s="235"/>
      <c r="O167" s="227"/>
      <c r="P167" s="207"/>
      <c r="Q167" s="207"/>
      <c r="R167" s="207"/>
      <c r="S167" s="207"/>
      <c r="T167" s="207"/>
      <c r="U167" s="207"/>
      <c r="V167" s="207"/>
      <c r="W167" s="207"/>
      <c r="X167" s="207"/>
      <c r="Y167" s="207"/>
      <c r="Z167" s="207"/>
      <c r="AA167" s="207"/>
      <c r="AB167" s="207"/>
      <c r="AC167" s="207"/>
      <c r="AD167" s="207"/>
      <c r="AE167" s="207"/>
      <c r="AF167" s="207"/>
      <c r="AG167" s="207"/>
      <c r="AH167" s="207"/>
      <c r="AI167" s="207"/>
      <c r="AJ167" s="207"/>
      <c r="AK167" s="207"/>
      <c r="AL167" s="207"/>
      <c r="AM167" s="207"/>
      <c r="AN167" s="207"/>
      <c r="AO167" s="207"/>
      <c r="AP167" s="207"/>
      <c r="AQ167" s="207"/>
      <c r="AR167" s="207"/>
      <c r="AS167" s="207"/>
      <c r="AT167" s="207"/>
      <c r="AU167" s="207"/>
      <c r="AV167" s="207"/>
      <c r="AW167" s="207"/>
      <c r="AX167" s="207"/>
      <c r="AY167" s="207"/>
      <c r="AZ167" s="207"/>
      <c r="BA167" s="207"/>
      <c r="BB167" s="207"/>
      <c r="BC167" s="207"/>
      <c r="BD167" s="207"/>
      <c r="BE167" s="207"/>
      <c r="BF167" s="207"/>
      <c r="BG167" s="207"/>
      <c r="BH167" s="207"/>
      <c r="BI167" s="207"/>
      <c r="BJ167" s="207"/>
      <c r="BK167" s="207"/>
    </row>
    <row r="168" spans="1:63" s="212" customFormat="1" ht="15" customHeight="1">
      <c r="A168" s="226">
        <v>44396</v>
      </c>
      <c r="B168" s="232" t="s">
        <v>39</v>
      </c>
      <c r="C168" s="232" t="s">
        <v>88</v>
      </c>
      <c r="D168" s="232"/>
      <c r="E168" s="228"/>
      <c r="F168" s="228">
        <v>90000</v>
      </c>
      <c r="G168" s="228">
        <f t="shared" si="2"/>
        <v>43842165</v>
      </c>
      <c r="H168" s="232" t="s">
        <v>34</v>
      </c>
      <c r="I168" s="231"/>
      <c r="J168" s="231"/>
      <c r="K168" s="234"/>
      <c r="L168" s="227" t="s">
        <v>139</v>
      </c>
      <c r="M168" s="235"/>
      <c r="N168" s="235"/>
      <c r="O168" s="227"/>
      <c r="P168" s="207"/>
      <c r="Q168" s="207"/>
      <c r="R168" s="207"/>
      <c r="S168" s="207"/>
      <c r="T168" s="207"/>
      <c r="U168" s="207"/>
      <c r="V168" s="207"/>
      <c r="W168" s="207"/>
      <c r="X168" s="207"/>
      <c r="Y168" s="207"/>
      <c r="Z168" s="207"/>
      <c r="AA168" s="207"/>
      <c r="AB168" s="207"/>
      <c r="AC168" s="207"/>
      <c r="AD168" s="207"/>
      <c r="AE168" s="207"/>
      <c r="AF168" s="207"/>
      <c r="AG168" s="207"/>
      <c r="AH168" s="207"/>
      <c r="AI168" s="207"/>
      <c r="AJ168" s="207"/>
      <c r="AK168" s="207"/>
      <c r="AL168" s="207"/>
      <c r="AM168" s="207"/>
      <c r="AN168" s="207"/>
      <c r="AO168" s="207"/>
      <c r="AP168" s="207"/>
      <c r="AQ168" s="207"/>
      <c r="AR168" s="207"/>
      <c r="AS168" s="207"/>
      <c r="AT168" s="207"/>
      <c r="AU168" s="207"/>
      <c r="AV168" s="207"/>
      <c r="AW168" s="207"/>
      <c r="AX168" s="207"/>
      <c r="AY168" s="207"/>
      <c r="AZ168" s="207"/>
      <c r="BA168" s="207"/>
      <c r="BB168" s="207"/>
      <c r="BC168" s="207"/>
      <c r="BD168" s="207"/>
      <c r="BE168" s="207"/>
      <c r="BF168" s="207"/>
      <c r="BG168" s="207"/>
      <c r="BH168" s="207"/>
      <c r="BI168" s="207"/>
      <c r="BJ168" s="207"/>
      <c r="BK168" s="207"/>
    </row>
    <row r="169" spans="1:63" s="212" customFormat="1" ht="15" customHeight="1">
      <c r="A169" s="226">
        <v>44396</v>
      </c>
      <c r="B169" s="232" t="s">
        <v>217</v>
      </c>
      <c r="C169" s="232" t="s">
        <v>342</v>
      </c>
      <c r="D169" s="232" t="s">
        <v>89</v>
      </c>
      <c r="E169" s="228"/>
      <c r="F169" s="228">
        <v>103000</v>
      </c>
      <c r="G169" s="228">
        <f t="shared" si="2"/>
        <v>43739165</v>
      </c>
      <c r="H169" s="232" t="s">
        <v>34</v>
      </c>
      <c r="I169" s="231" t="s">
        <v>45</v>
      </c>
      <c r="J169" s="235" t="s">
        <v>118</v>
      </c>
      <c r="K169" s="234" t="s">
        <v>137</v>
      </c>
      <c r="L169" s="227" t="s">
        <v>139</v>
      </c>
      <c r="M169" s="4" t="s">
        <v>434</v>
      </c>
      <c r="N169" s="235" t="s">
        <v>140</v>
      </c>
      <c r="O169" s="227"/>
    </row>
    <row r="170" spans="1:63" s="212" customFormat="1" ht="15" customHeight="1">
      <c r="A170" s="226">
        <v>44396</v>
      </c>
      <c r="B170" s="232" t="s">
        <v>148</v>
      </c>
      <c r="C170" s="232" t="s">
        <v>88</v>
      </c>
      <c r="D170" s="232"/>
      <c r="E170" s="228"/>
      <c r="F170" s="228">
        <v>58000</v>
      </c>
      <c r="G170" s="228">
        <f t="shared" si="2"/>
        <v>43681165</v>
      </c>
      <c r="H170" s="232" t="s">
        <v>34</v>
      </c>
      <c r="I170" s="231"/>
      <c r="J170" s="231"/>
      <c r="K170" s="234"/>
      <c r="L170" s="227" t="s">
        <v>139</v>
      </c>
      <c r="M170" s="235"/>
      <c r="N170" s="235"/>
      <c r="O170" s="235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Q170" s="118"/>
      <c r="AR170" s="118"/>
      <c r="AS170" s="118"/>
      <c r="AT170" s="118"/>
      <c r="AU170" s="118"/>
      <c r="AV170" s="118"/>
      <c r="AW170" s="118"/>
      <c r="AX170" s="118"/>
      <c r="AY170" s="118"/>
      <c r="AZ170" s="118"/>
      <c r="BA170" s="118"/>
      <c r="BB170" s="118"/>
      <c r="BC170" s="118"/>
      <c r="BD170" s="118"/>
      <c r="BE170" s="118"/>
      <c r="BF170" s="118"/>
      <c r="BG170" s="118"/>
      <c r="BH170" s="118"/>
      <c r="BI170" s="118"/>
      <c r="BJ170" s="118"/>
      <c r="BK170" s="118"/>
    </row>
    <row r="171" spans="1:63" s="212" customFormat="1" ht="15" customHeight="1">
      <c r="A171" s="226">
        <v>44396</v>
      </c>
      <c r="B171" s="232" t="s">
        <v>218</v>
      </c>
      <c r="C171" s="232" t="s">
        <v>88</v>
      </c>
      <c r="D171" s="232" t="s">
        <v>8</v>
      </c>
      <c r="E171" s="228">
        <v>1000000</v>
      </c>
      <c r="F171" s="228"/>
      <c r="G171" s="228">
        <f t="shared" si="2"/>
        <v>44681165</v>
      </c>
      <c r="H171" s="232" t="s">
        <v>34</v>
      </c>
      <c r="I171" s="231"/>
      <c r="J171" s="231"/>
      <c r="K171" s="234"/>
      <c r="L171" s="227" t="s">
        <v>139</v>
      </c>
      <c r="M171" s="235"/>
      <c r="N171" s="235"/>
      <c r="O171" s="227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Q171" s="118"/>
      <c r="AR171" s="118"/>
      <c r="AS171" s="118"/>
      <c r="AT171" s="118"/>
      <c r="AU171" s="118"/>
      <c r="AV171" s="118"/>
      <c r="AW171" s="118"/>
      <c r="AX171" s="118"/>
      <c r="AY171" s="118"/>
      <c r="AZ171" s="118"/>
      <c r="BA171" s="118"/>
      <c r="BB171" s="118"/>
      <c r="BC171" s="118"/>
      <c r="BD171" s="118"/>
      <c r="BE171" s="118"/>
      <c r="BF171" s="118"/>
      <c r="BG171" s="118"/>
      <c r="BH171" s="118"/>
      <c r="BI171" s="118"/>
      <c r="BJ171" s="118"/>
      <c r="BK171" s="118"/>
    </row>
    <row r="172" spans="1:63" s="212" customFormat="1" ht="15" customHeight="1">
      <c r="A172" s="226">
        <v>44396</v>
      </c>
      <c r="B172" s="232" t="s">
        <v>60</v>
      </c>
      <c r="C172" s="232" t="s">
        <v>88</v>
      </c>
      <c r="D172" s="232"/>
      <c r="E172" s="228"/>
      <c r="F172" s="228">
        <v>39000</v>
      </c>
      <c r="G172" s="228">
        <f t="shared" si="2"/>
        <v>44642165</v>
      </c>
      <c r="H172" s="232" t="s">
        <v>34</v>
      </c>
      <c r="I172" s="231"/>
      <c r="J172" s="231"/>
      <c r="K172" s="238"/>
      <c r="L172" s="227" t="s">
        <v>139</v>
      </c>
      <c r="M172" s="235"/>
      <c r="N172" s="235"/>
      <c r="O172" s="227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Q172" s="118"/>
      <c r="AR172" s="118"/>
      <c r="AS172" s="118"/>
      <c r="AT172" s="118"/>
      <c r="AU172" s="118"/>
      <c r="AV172" s="118"/>
      <c r="AW172" s="118"/>
      <c r="AX172" s="118"/>
      <c r="AY172" s="118"/>
      <c r="AZ172" s="118"/>
      <c r="BA172" s="118"/>
      <c r="BB172" s="118"/>
      <c r="BC172" s="118"/>
      <c r="BD172" s="118"/>
      <c r="BE172" s="118"/>
      <c r="BF172" s="118"/>
      <c r="BG172" s="118"/>
      <c r="BH172" s="118"/>
      <c r="BI172" s="118"/>
      <c r="BJ172" s="118"/>
      <c r="BK172" s="118"/>
    </row>
    <row r="173" spans="1:63" s="212" customFormat="1" ht="15" customHeight="1">
      <c r="A173" s="226">
        <v>44396</v>
      </c>
      <c r="B173" s="232" t="s">
        <v>219</v>
      </c>
      <c r="C173" s="232" t="s">
        <v>340</v>
      </c>
      <c r="D173" s="232" t="s">
        <v>8</v>
      </c>
      <c r="E173" s="228"/>
      <c r="F173" s="228">
        <v>11100</v>
      </c>
      <c r="G173" s="228">
        <f t="shared" si="2"/>
        <v>44631065</v>
      </c>
      <c r="H173" s="232" t="s">
        <v>34</v>
      </c>
      <c r="I173" s="231" t="s">
        <v>45</v>
      </c>
      <c r="J173" s="239" t="s">
        <v>118</v>
      </c>
      <c r="K173" s="234" t="s">
        <v>137</v>
      </c>
      <c r="L173" s="227" t="s">
        <v>139</v>
      </c>
      <c r="M173" s="4" t="s">
        <v>435</v>
      </c>
      <c r="N173" s="235" t="s">
        <v>138</v>
      </c>
      <c r="O173" s="227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Q173" s="118"/>
      <c r="AR173" s="118"/>
      <c r="AS173" s="118"/>
      <c r="AT173" s="118"/>
      <c r="AU173" s="118"/>
      <c r="AV173" s="118"/>
      <c r="AW173" s="118"/>
      <c r="AX173" s="118"/>
      <c r="AY173" s="118"/>
      <c r="AZ173" s="118"/>
      <c r="BA173" s="118"/>
      <c r="BB173" s="118"/>
      <c r="BC173" s="118"/>
      <c r="BD173" s="118"/>
      <c r="BE173" s="118"/>
      <c r="BF173" s="118"/>
      <c r="BG173" s="118"/>
      <c r="BH173" s="118"/>
      <c r="BI173" s="118"/>
      <c r="BJ173" s="118"/>
      <c r="BK173" s="118"/>
    </row>
    <row r="174" spans="1:63" s="118" customFormat="1" ht="15" customHeight="1">
      <c r="A174" s="226">
        <v>44396</v>
      </c>
      <c r="B174" s="234" t="s">
        <v>273</v>
      </c>
      <c r="C174" s="232" t="s">
        <v>88</v>
      </c>
      <c r="D174" s="234" t="s">
        <v>6</v>
      </c>
      <c r="E174" s="228">
        <v>39000</v>
      </c>
      <c r="F174" s="228"/>
      <c r="G174" s="240">
        <f t="shared" si="2"/>
        <v>44670065</v>
      </c>
      <c r="H174" s="232" t="s">
        <v>60</v>
      </c>
      <c r="I174" s="231" t="s">
        <v>335</v>
      </c>
      <c r="J174" s="231"/>
      <c r="K174" s="234"/>
      <c r="L174" s="227" t="s">
        <v>139</v>
      </c>
      <c r="M174" s="235"/>
      <c r="N174" s="235"/>
      <c r="O174" s="227"/>
      <c r="P174" s="212"/>
      <c r="Q174" s="212"/>
      <c r="R174" s="212"/>
      <c r="S174" s="212"/>
      <c r="T174" s="212"/>
      <c r="U174" s="212"/>
      <c r="V174" s="212"/>
      <c r="W174" s="212"/>
      <c r="X174" s="212"/>
      <c r="Y174" s="212"/>
      <c r="Z174" s="212"/>
      <c r="AA174" s="212"/>
      <c r="AB174" s="212"/>
      <c r="AC174" s="212"/>
      <c r="AD174" s="212"/>
      <c r="AE174" s="212"/>
      <c r="AF174" s="212"/>
      <c r="AG174" s="212"/>
      <c r="AH174" s="212"/>
      <c r="AI174" s="212"/>
      <c r="AJ174" s="212"/>
      <c r="AK174" s="212"/>
      <c r="AL174" s="212"/>
      <c r="AM174" s="212"/>
      <c r="AN174" s="212"/>
      <c r="AO174" s="212"/>
      <c r="AP174" s="212"/>
      <c r="AQ174" s="212"/>
      <c r="AR174" s="212"/>
      <c r="AS174" s="212"/>
      <c r="AT174" s="212"/>
      <c r="AU174" s="212"/>
      <c r="AV174" s="212"/>
      <c r="AW174" s="212"/>
      <c r="AX174" s="212"/>
      <c r="AY174" s="212"/>
      <c r="AZ174" s="212"/>
      <c r="BA174" s="212"/>
      <c r="BB174" s="212"/>
      <c r="BC174" s="212"/>
      <c r="BD174" s="212"/>
      <c r="BE174" s="212"/>
      <c r="BF174" s="212"/>
      <c r="BG174" s="212"/>
      <c r="BH174" s="212"/>
      <c r="BI174" s="212"/>
      <c r="BJ174" s="212"/>
      <c r="BK174" s="212"/>
    </row>
    <row r="175" spans="1:63" s="212" customFormat="1" ht="15" customHeight="1">
      <c r="A175" s="226">
        <v>44396</v>
      </c>
      <c r="B175" s="234" t="s">
        <v>503</v>
      </c>
      <c r="C175" s="234" t="s">
        <v>247</v>
      </c>
      <c r="D175" s="237" t="s">
        <v>156</v>
      </c>
      <c r="E175" s="228"/>
      <c r="F175" s="228">
        <v>60000</v>
      </c>
      <c r="G175" s="228">
        <f t="shared" si="2"/>
        <v>44610065</v>
      </c>
      <c r="H175" s="232" t="s">
        <v>39</v>
      </c>
      <c r="I175" s="231" t="s">
        <v>45</v>
      </c>
      <c r="J175" s="231" t="s">
        <v>118</v>
      </c>
      <c r="K175" s="234" t="s">
        <v>137</v>
      </c>
      <c r="L175" s="227" t="s">
        <v>139</v>
      </c>
      <c r="M175" s="4" t="s">
        <v>436</v>
      </c>
      <c r="N175" s="235" t="s">
        <v>364</v>
      </c>
      <c r="O175" s="227"/>
    </row>
    <row r="176" spans="1:63" s="212" customFormat="1" ht="15" customHeight="1">
      <c r="A176" s="226">
        <v>44396</v>
      </c>
      <c r="B176" s="234" t="s">
        <v>254</v>
      </c>
      <c r="C176" s="234" t="s">
        <v>43</v>
      </c>
      <c r="D176" s="237" t="s">
        <v>156</v>
      </c>
      <c r="E176" s="228"/>
      <c r="F176" s="228">
        <v>5000</v>
      </c>
      <c r="G176" s="228">
        <f t="shared" si="2"/>
        <v>44605065</v>
      </c>
      <c r="H176" s="232" t="s">
        <v>39</v>
      </c>
      <c r="I176" s="231" t="s">
        <v>45</v>
      </c>
      <c r="J176" s="231" t="s">
        <v>118</v>
      </c>
      <c r="K176" s="234" t="s">
        <v>137</v>
      </c>
      <c r="L176" s="227" t="s">
        <v>139</v>
      </c>
      <c r="M176" s="4" t="s">
        <v>437</v>
      </c>
      <c r="N176" s="235" t="s">
        <v>142</v>
      </c>
      <c r="O176" s="227"/>
      <c r="P176" s="213"/>
      <c r="Q176" s="213"/>
      <c r="R176" s="213"/>
      <c r="S176" s="213"/>
      <c r="T176" s="213"/>
      <c r="U176" s="213"/>
      <c r="V176" s="213"/>
      <c r="W176" s="213"/>
      <c r="X176" s="213"/>
      <c r="Y176" s="213"/>
      <c r="Z176" s="213"/>
      <c r="AA176" s="213"/>
      <c r="AB176" s="213"/>
      <c r="AC176" s="213"/>
      <c r="AD176" s="213"/>
      <c r="AE176" s="213"/>
      <c r="AF176" s="213"/>
      <c r="AG176" s="213"/>
      <c r="AH176" s="213"/>
      <c r="AI176" s="213"/>
      <c r="AJ176" s="213"/>
      <c r="AK176" s="213"/>
      <c r="AL176" s="213"/>
      <c r="AM176" s="213"/>
      <c r="AN176" s="213"/>
      <c r="AO176" s="213"/>
      <c r="AP176" s="213"/>
      <c r="AQ176" s="213"/>
      <c r="AR176" s="213"/>
      <c r="AS176" s="213"/>
      <c r="AT176" s="213"/>
      <c r="AU176" s="213"/>
      <c r="AV176" s="213"/>
      <c r="AW176" s="213"/>
      <c r="AX176" s="213"/>
      <c r="AY176" s="213"/>
      <c r="AZ176" s="213"/>
      <c r="BA176" s="213"/>
      <c r="BB176" s="213"/>
      <c r="BC176" s="213"/>
      <c r="BD176" s="213"/>
      <c r="BE176" s="213"/>
      <c r="BF176" s="213"/>
      <c r="BG176" s="213"/>
      <c r="BH176" s="213"/>
      <c r="BI176" s="213"/>
      <c r="BJ176" s="213"/>
      <c r="BK176" s="213"/>
    </row>
    <row r="177" spans="1:63" s="212" customFormat="1" ht="15" customHeight="1">
      <c r="A177" s="226">
        <v>44396</v>
      </c>
      <c r="B177" s="234" t="s">
        <v>253</v>
      </c>
      <c r="C177" s="232" t="s">
        <v>88</v>
      </c>
      <c r="D177" s="237" t="s">
        <v>156</v>
      </c>
      <c r="E177" s="228">
        <v>90000</v>
      </c>
      <c r="F177" s="228"/>
      <c r="G177" s="228">
        <f t="shared" si="2"/>
        <v>44695065</v>
      </c>
      <c r="H177" s="232" t="s">
        <v>39</v>
      </c>
      <c r="I177" s="231" t="s">
        <v>335</v>
      </c>
      <c r="J177" s="231"/>
      <c r="K177" s="234"/>
      <c r="L177" s="227" t="s">
        <v>139</v>
      </c>
      <c r="M177" s="235"/>
      <c r="N177" s="235"/>
      <c r="O177" s="227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Q177" s="118"/>
      <c r="AR177" s="118"/>
      <c r="AS177" s="118"/>
      <c r="AT177" s="118"/>
      <c r="AU177" s="118"/>
      <c r="AV177" s="118"/>
      <c r="AW177" s="118"/>
      <c r="AX177" s="118"/>
      <c r="AY177" s="118"/>
      <c r="AZ177" s="118"/>
      <c r="BA177" s="118"/>
      <c r="BB177" s="118"/>
      <c r="BC177" s="118"/>
      <c r="BD177" s="118"/>
      <c r="BE177" s="118"/>
      <c r="BF177" s="118"/>
      <c r="BG177" s="118"/>
      <c r="BH177" s="118"/>
      <c r="BI177" s="118"/>
      <c r="BJ177" s="118"/>
      <c r="BK177" s="118"/>
    </row>
    <row r="178" spans="1:63" s="212" customFormat="1" ht="15" customHeight="1">
      <c r="A178" s="226">
        <v>44396</v>
      </c>
      <c r="B178" s="234" t="s">
        <v>260</v>
      </c>
      <c r="C178" s="232" t="s">
        <v>88</v>
      </c>
      <c r="D178" s="227" t="s">
        <v>156</v>
      </c>
      <c r="E178" s="228">
        <v>80000</v>
      </c>
      <c r="F178" s="228"/>
      <c r="G178" s="228">
        <f t="shared" si="2"/>
        <v>44775065</v>
      </c>
      <c r="H178" s="234" t="s">
        <v>38</v>
      </c>
      <c r="I178" s="231" t="s">
        <v>335</v>
      </c>
      <c r="J178" s="235"/>
      <c r="K178" s="234"/>
      <c r="L178" s="227" t="s">
        <v>139</v>
      </c>
      <c r="M178" s="227"/>
      <c r="N178" s="235"/>
      <c r="O178" s="227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Q178" s="118"/>
      <c r="AR178" s="118"/>
      <c r="AS178" s="118"/>
      <c r="AT178" s="118"/>
      <c r="AU178" s="118"/>
      <c r="AV178" s="118"/>
      <c r="AW178" s="118"/>
      <c r="AX178" s="118"/>
      <c r="AY178" s="118"/>
      <c r="AZ178" s="118"/>
      <c r="BA178" s="118"/>
      <c r="BB178" s="118"/>
      <c r="BC178" s="118"/>
      <c r="BD178" s="118"/>
      <c r="BE178" s="118"/>
      <c r="BF178" s="118"/>
      <c r="BG178" s="118"/>
      <c r="BH178" s="118"/>
      <c r="BI178" s="118"/>
      <c r="BJ178" s="118"/>
      <c r="BK178" s="118"/>
    </row>
    <row r="179" spans="1:63" s="212" customFormat="1" ht="15" customHeight="1">
      <c r="A179" s="226">
        <v>44396</v>
      </c>
      <c r="B179" s="236" t="s">
        <v>321</v>
      </c>
      <c r="C179" s="232" t="s">
        <v>88</v>
      </c>
      <c r="D179" s="241" t="s">
        <v>5</v>
      </c>
      <c r="E179" s="228"/>
      <c r="F179" s="228">
        <v>1000000</v>
      </c>
      <c r="G179" s="228">
        <f t="shared" si="2"/>
        <v>43775065</v>
      </c>
      <c r="H179" s="234" t="s">
        <v>32</v>
      </c>
      <c r="I179" s="231">
        <v>3643497</v>
      </c>
      <c r="J179" s="231"/>
      <c r="K179" s="234"/>
      <c r="L179" s="227" t="s">
        <v>139</v>
      </c>
      <c r="M179" s="235"/>
      <c r="N179" s="235"/>
      <c r="O179" s="234"/>
    </row>
    <row r="180" spans="1:63" s="212" customFormat="1" ht="15" customHeight="1">
      <c r="A180" s="226">
        <v>44397</v>
      </c>
      <c r="B180" s="232" t="s">
        <v>108</v>
      </c>
      <c r="C180" s="232" t="s">
        <v>88</v>
      </c>
      <c r="D180" s="232"/>
      <c r="E180" s="228"/>
      <c r="F180" s="228">
        <v>15000</v>
      </c>
      <c r="G180" s="228">
        <f t="shared" si="2"/>
        <v>43760065</v>
      </c>
      <c r="H180" s="232" t="s">
        <v>34</v>
      </c>
      <c r="I180" s="231"/>
      <c r="J180" s="231"/>
      <c r="K180" s="234"/>
      <c r="L180" s="227" t="s">
        <v>139</v>
      </c>
      <c r="M180" s="235"/>
      <c r="N180" s="235"/>
      <c r="O180" s="227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Q180" s="118"/>
      <c r="AR180" s="118"/>
      <c r="AS180" s="118"/>
      <c r="AT180" s="118"/>
      <c r="AU180" s="118"/>
      <c r="AV180" s="118"/>
      <c r="AW180" s="118"/>
      <c r="AX180" s="118"/>
      <c r="AY180" s="118"/>
      <c r="AZ180" s="118"/>
      <c r="BA180" s="118"/>
      <c r="BB180" s="118"/>
      <c r="BC180" s="118"/>
      <c r="BD180" s="118"/>
      <c r="BE180" s="118"/>
      <c r="BF180" s="118"/>
      <c r="BG180" s="118"/>
      <c r="BH180" s="118"/>
      <c r="BI180" s="118"/>
      <c r="BJ180" s="118"/>
      <c r="BK180" s="118"/>
    </row>
    <row r="181" spans="1:63" s="212" customFormat="1" ht="15" customHeight="1">
      <c r="A181" s="226">
        <v>44397</v>
      </c>
      <c r="B181" s="232" t="s">
        <v>220</v>
      </c>
      <c r="C181" s="232" t="s">
        <v>7</v>
      </c>
      <c r="D181" s="232" t="s">
        <v>344</v>
      </c>
      <c r="E181" s="228"/>
      <c r="F181" s="228">
        <v>5500</v>
      </c>
      <c r="G181" s="228">
        <f t="shared" si="2"/>
        <v>43754565</v>
      </c>
      <c r="H181" s="232" t="s">
        <v>34</v>
      </c>
      <c r="I181" s="231" t="s">
        <v>45</v>
      </c>
      <c r="J181" s="231" t="s">
        <v>135</v>
      </c>
      <c r="K181" s="234" t="s">
        <v>136</v>
      </c>
      <c r="L181" s="227" t="s">
        <v>139</v>
      </c>
      <c r="M181" s="227"/>
      <c r="N181" s="235"/>
      <c r="O181" s="227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Q181" s="118"/>
      <c r="AR181" s="118"/>
      <c r="AS181" s="118"/>
      <c r="AT181" s="118"/>
      <c r="AU181" s="118"/>
      <c r="AV181" s="118"/>
      <c r="AW181" s="118"/>
      <c r="AX181" s="118"/>
      <c r="AY181" s="118"/>
      <c r="AZ181" s="118"/>
      <c r="BA181" s="118"/>
      <c r="BB181" s="118"/>
      <c r="BC181" s="118"/>
      <c r="BD181" s="118"/>
      <c r="BE181" s="118"/>
      <c r="BF181" s="118"/>
      <c r="BG181" s="118"/>
      <c r="BH181" s="118"/>
      <c r="BI181" s="118"/>
      <c r="BJ181" s="118"/>
      <c r="BK181" s="118"/>
    </row>
    <row r="182" spans="1:63" s="118" customFormat="1" ht="15" customHeight="1">
      <c r="A182" s="226">
        <v>44397</v>
      </c>
      <c r="B182" s="232" t="s">
        <v>221</v>
      </c>
      <c r="C182" s="232" t="s">
        <v>2</v>
      </c>
      <c r="D182" s="232" t="s">
        <v>338</v>
      </c>
      <c r="E182" s="228"/>
      <c r="F182" s="228">
        <v>30000</v>
      </c>
      <c r="G182" s="228">
        <f t="shared" si="2"/>
        <v>43724565</v>
      </c>
      <c r="H182" s="232" t="s">
        <v>34</v>
      </c>
      <c r="I182" s="231" t="s">
        <v>45</v>
      </c>
      <c r="J182" s="231" t="s">
        <v>135</v>
      </c>
      <c r="K182" s="234" t="s">
        <v>136</v>
      </c>
      <c r="L182" s="227" t="s">
        <v>139</v>
      </c>
      <c r="M182" s="227"/>
      <c r="N182" s="235"/>
      <c r="O182" s="227"/>
    </row>
    <row r="183" spans="1:63" s="118" customFormat="1" ht="15" customHeight="1">
      <c r="A183" s="226">
        <v>44397</v>
      </c>
      <c r="B183" s="232" t="s">
        <v>34</v>
      </c>
      <c r="C183" s="232" t="s">
        <v>88</v>
      </c>
      <c r="D183" s="232" t="s">
        <v>89</v>
      </c>
      <c r="E183" s="228">
        <v>58000</v>
      </c>
      <c r="F183" s="228"/>
      <c r="G183" s="228">
        <f t="shared" si="2"/>
        <v>43782565</v>
      </c>
      <c r="H183" s="232" t="s">
        <v>46</v>
      </c>
      <c r="I183" s="231" t="s">
        <v>335</v>
      </c>
      <c r="J183" s="231"/>
      <c r="K183" s="234"/>
      <c r="L183" s="227" t="s">
        <v>139</v>
      </c>
      <c r="M183" s="235"/>
      <c r="N183" s="235"/>
      <c r="O183" s="227"/>
    </row>
    <row r="184" spans="1:63" s="118" customFormat="1" ht="15" customHeight="1">
      <c r="A184" s="226">
        <v>44397</v>
      </c>
      <c r="B184" s="234" t="s">
        <v>280</v>
      </c>
      <c r="C184" s="234" t="s">
        <v>9</v>
      </c>
      <c r="D184" s="232" t="s">
        <v>337</v>
      </c>
      <c r="E184" s="228"/>
      <c r="F184" s="228">
        <v>10000</v>
      </c>
      <c r="G184" s="240">
        <f t="shared" si="2"/>
        <v>43772565</v>
      </c>
      <c r="H184" s="232" t="s">
        <v>60</v>
      </c>
      <c r="I184" s="231" t="s">
        <v>335</v>
      </c>
      <c r="J184" s="231" t="s">
        <v>135</v>
      </c>
      <c r="K184" s="234" t="s">
        <v>136</v>
      </c>
      <c r="L184" s="227" t="s">
        <v>139</v>
      </c>
      <c r="M184" s="227"/>
      <c r="N184" s="235"/>
      <c r="O184" s="227"/>
      <c r="P184" s="212"/>
      <c r="Q184" s="212"/>
      <c r="R184" s="212"/>
      <c r="S184" s="212"/>
      <c r="T184" s="212"/>
      <c r="U184" s="212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/>
      <c r="AF184" s="212"/>
      <c r="AG184" s="212"/>
      <c r="AH184" s="212"/>
      <c r="AI184" s="212"/>
      <c r="AJ184" s="212"/>
      <c r="AK184" s="212"/>
      <c r="AL184" s="212"/>
      <c r="AM184" s="212"/>
      <c r="AN184" s="212"/>
      <c r="AO184" s="212"/>
      <c r="AP184" s="212"/>
      <c r="AQ184" s="212"/>
      <c r="AR184" s="212"/>
      <c r="AS184" s="212"/>
      <c r="AT184" s="212"/>
      <c r="AU184" s="212"/>
      <c r="AV184" s="212"/>
      <c r="AW184" s="212"/>
      <c r="AX184" s="212"/>
      <c r="AY184" s="212"/>
      <c r="AZ184" s="212"/>
      <c r="BA184" s="212"/>
      <c r="BB184" s="212"/>
      <c r="BC184" s="212"/>
      <c r="BD184" s="212"/>
      <c r="BE184" s="212"/>
      <c r="BF184" s="212"/>
      <c r="BG184" s="212"/>
      <c r="BH184" s="212"/>
      <c r="BI184" s="212"/>
      <c r="BJ184" s="212"/>
      <c r="BK184" s="212"/>
    </row>
    <row r="185" spans="1:63" s="118" customFormat="1" ht="14.25" customHeight="1">
      <c r="A185" s="226">
        <v>44397</v>
      </c>
      <c r="B185" s="234" t="s">
        <v>281</v>
      </c>
      <c r="C185" s="234" t="s">
        <v>43</v>
      </c>
      <c r="D185" s="234" t="s">
        <v>6</v>
      </c>
      <c r="E185" s="228"/>
      <c r="F185" s="228">
        <v>10000</v>
      </c>
      <c r="G185" s="240">
        <f t="shared" si="2"/>
        <v>43762565</v>
      </c>
      <c r="H185" s="232" t="s">
        <v>60</v>
      </c>
      <c r="I185" s="231" t="s">
        <v>45</v>
      </c>
      <c r="J185" s="231" t="s">
        <v>118</v>
      </c>
      <c r="K185" s="234" t="s">
        <v>137</v>
      </c>
      <c r="L185" s="227" t="s">
        <v>139</v>
      </c>
      <c r="M185" s="4" t="s">
        <v>438</v>
      </c>
      <c r="N185" s="235" t="s">
        <v>142</v>
      </c>
      <c r="O185" s="227"/>
      <c r="P185" s="212"/>
      <c r="Q185" s="212"/>
      <c r="R185" s="212"/>
      <c r="S185" s="212"/>
      <c r="T185" s="212"/>
      <c r="U185" s="212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/>
      <c r="AF185" s="212"/>
      <c r="AG185" s="212"/>
      <c r="AH185" s="212"/>
      <c r="AI185" s="212"/>
      <c r="AJ185" s="212"/>
      <c r="AK185" s="212"/>
      <c r="AL185" s="212"/>
      <c r="AM185" s="212"/>
      <c r="AN185" s="212"/>
      <c r="AO185" s="212"/>
      <c r="AP185" s="212"/>
      <c r="AQ185" s="212"/>
      <c r="AR185" s="212"/>
      <c r="AS185" s="212"/>
      <c r="AT185" s="212"/>
      <c r="AU185" s="212"/>
      <c r="AV185" s="212"/>
      <c r="AW185" s="212"/>
      <c r="AX185" s="212"/>
      <c r="AY185" s="212"/>
      <c r="AZ185" s="212"/>
      <c r="BA185" s="212"/>
      <c r="BB185" s="212"/>
      <c r="BC185" s="212"/>
      <c r="BD185" s="212"/>
      <c r="BE185" s="212"/>
      <c r="BF185" s="212"/>
      <c r="BG185" s="212"/>
      <c r="BH185" s="212"/>
      <c r="BI185" s="212"/>
      <c r="BJ185" s="212"/>
      <c r="BK185" s="212"/>
    </row>
    <row r="186" spans="1:63" s="118" customFormat="1" ht="15" customHeight="1">
      <c r="A186" s="226">
        <v>44397</v>
      </c>
      <c r="B186" s="234" t="s">
        <v>496</v>
      </c>
      <c r="C186" s="234" t="s">
        <v>345</v>
      </c>
      <c r="D186" s="232" t="s">
        <v>89</v>
      </c>
      <c r="E186" s="228"/>
      <c r="F186" s="228">
        <v>139000</v>
      </c>
      <c r="G186" s="240">
        <f t="shared" si="2"/>
        <v>43623565</v>
      </c>
      <c r="H186" s="232" t="s">
        <v>60</v>
      </c>
      <c r="I186" s="231" t="s">
        <v>335</v>
      </c>
      <c r="J186" s="231" t="s">
        <v>135</v>
      </c>
      <c r="K186" s="234" t="s">
        <v>136</v>
      </c>
      <c r="L186" s="227" t="s">
        <v>139</v>
      </c>
      <c r="M186" s="235"/>
      <c r="N186" s="235"/>
      <c r="O186" s="227"/>
      <c r="P186" s="212"/>
      <c r="Q186" s="212"/>
      <c r="R186" s="212"/>
      <c r="S186" s="212"/>
      <c r="T186" s="212"/>
      <c r="U186" s="212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/>
      <c r="AF186" s="212"/>
      <c r="AG186" s="212"/>
      <c r="AH186" s="212"/>
      <c r="AI186" s="212"/>
      <c r="AJ186" s="212"/>
      <c r="AK186" s="212"/>
      <c r="AL186" s="212"/>
      <c r="AM186" s="212"/>
      <c r="AN186" s="212"/>
      <c r="AO186" s="212"/>
      <c r="AP186" s="212"/>
      <c r="AQ186" s="212"/>
      <c r="AR186" s="212"/>
      <c r="AS186" s="212"/>
      <c r="AT186" s="212"/>
      <c r="AU186" s="212"/>
      <c r="AV186" s="212"/>
      <c r="AW186" s="212"/>
      <c r="AX186" s="212"/>
      <c r="AY186" s="212"/>
      <c r="AZ186" s="212"/>
      <c r="BA186" s="212"/>
      <c r="BB186" s="212"/>
      <c r="BC186" s="212"/>
      <c r="BD186" s="212"/>
      <c r="BE186" s="212"/>
      <c r="BF186" s="212"/>
      <c r="BG186" s="212"/>
      <c r="BH186" s="212"/>
      <c r="BI186" s="212"/>
      <c r="BJ186" s="212"/>
      <c r="BK186" s="212"/>
    </row>
    <row r="187" spans="1:63" s="212" customFormat="1" ht="15" customHeight="1">
      <c r="A187" s="226">
        <v>44397</v>
      </c>
      <c r="B187" s="234" t="s">
        <v>255</v>
      </c>
      <c r="C187" s="234" t="s">
        <v>43</v>
      </c>
      <c r="D187" s="237" t="s">
        <v>156</v>
      </c>
      <c r="E187" s="228"/>
      <c r="F187" s="228">
        <v>10000</v>
      </c>
      <c r="G187" s="228">
        <f t="shared" si="2"/>
        <v>43613565</v>
      </c>
      <c r="H187" s="232" t="s">
        <v>39</v>
      </c>
      <c r="I187" s="231" t="s">
        <v>45</v>
      </c>
      <c r="J187" s="231" t="s">
        <v>118</v>
      </c>
      <c r="K187" s="234" t="s">
        <v>137</v>
      </c>
      <c r="L187" s="227" t="s">
        <v>139</v>
      </c>
      <c r="M187" s="4" t="s">
        <v>439</v>
      </c>
      <c r="N187" s="235" t="s">
        <v>142</v>
      </c>
      <c r="O187" s="227"/>
    </row>
    <row r="188" spans="1:63" s="207" customFormat="1" ht="15" customHeight="1">
      <c r="A188" s="226">
        <v>44397</v>
      </c>
      <c r="B188" s="232" t="s">
        <v>245</v>
      </c>
      <c r="C188" s="232" t="s">
        <v>88</v>
      </c>
      <c r="D188" s="232"/>
      <c r="E188" s="228">
        <v>15000</v>
      </c>
      <c r="F188" s="228"/>
      <c r="G188" s="228">
        <f t="shared" si="2"/>
        <v>43628565</v>
      </c>
      <c r="H188" s="232" t="s">
        <v>108</v>
      </c>
      <c r="I188" s="231" t="s">
        <v>335</v>
      </c>
      <c r="J188" s="231"/>
      <c r="K188" s="234"/>
      <c r="L188" s="227" t="s">
        <v>139</v>
      </c>
      <c r="M188" s="235"/>
      <c r="N188" s="235"/>
      <c r="O188" s="227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  <c r="AP188" s="118"/>
      <c r="AQ188" s="118"/>
      <c r="AR188" s="118"/>
      <c r="AS188" s="118"/>
      <c r="AT188" s="118"/>
      <c r="AU188" s="118"/>
      <c r="AV188" s="118"/>
      <c r="AW188" s="118"/>
      <c r="AX188" s="118"/>
      <c r="AY188" s="118"/>
      <c r="AZ188" s="118"/>
      <c r="BA188" s="118"/>
      <c r="BB188" s="118"/>
      <c r="BC188" s="118"/>
      <c r="BD188" s="118"/>
      <c r="BE188" s="118"/>
      <c r="BF188" s="118"/>
      <c r="BG188" s="118"/>
      <c r="BH188" s="118"/>
      <c r="BI188" s="118"/>
      <c r="BJ188" s="118"/>
      <c r="BK188" s="118"/>
    </row>
    <row r="189" spans="1:63" s="118" customFormat="1" ht="15" customHeight="1">
      <c r="A189" s="226">
        <v>44398</v>
      </c>
      <c r="B189" s="232" t="s">
        <v>222</v>
      </c>
      <c r="C189" s="232" t="s">
        <v>177</v>
      </c>
      <c r="D189" s="232" t="s">
        <v>8</v>
      </c>
      <c r="E189" s="228"/>
      <c r="F189" s="228">
        <v>2500</v>
      </c>
      <c r="G189" s="228">
        <f t="shared" si="2"/>
        <v>43626065</v>
      </c>
      <c r="H189" s="232" t="s">
        <v>34</v>
      </c>
      <c r="I189" s="231" t="s">
        <v>45</v>
      </c>
      <c r="J189" s="231" t="s">
        <v>135</v>
      </c>
      <c r="K189" s="234" t="s">
        <v>136</v>
      </c>
      <c r="L189" s="227" t="s">
        <v>139</v>
      </c>
      <c r="M189" s="235"/>
      <c r="N189" s="235"/>
      <c r="O189" s="227"/>
    </row>
    <row r="190" spans="1:63" s="118" customFormat="1" ht="15" customHeight="1">
      <c r="A190" s="226">
        <v>44398</v>
      </c>
      <c r="B190" s="232" t="s">
        <v>223</v>
      </c>
      <c r="C190" s="232" t="s">
        <v>9</v>
      </c>
      <c r="D190" s="232" t="s">
        <v>89</v>
      </c>
      <c r="E190" s="228"/>
      <c r="F190" s="228">
        <v>50000</v>
      </c>
      <c r="G190" s="228">
        <f t="shared" si="2"/>
        <v>43576065</v>
      </c>
      <c r="H190" s="232" t="s">
        <v>34</v>
      </c>
      <c r="I190" s="231" t="s">
        <v>335</v>
      </c>
      <c r="J190" s="231" t="s">
        <v>135</v>
      </c>
      <c r="K190" s="234" t="s">
        <v>136</v>
      </c>
      <c r="L190" s="227" t="s">
        <v>139</v>
      </c>
      <c r="M190" s="227"/>
      <c r="N190" s="235"/>
      <c r="O190" s="227"/>
    </row>
    <row r="191" spans="1:63" s="118" customFormat="1" ht="15" customHeight="1">
      <c r="A191" s="226">
        <v>44398</v>
      </c>
      <c r="B191" s="232" t="s">
        <v>224</v>
      </c>
      <c r="C191" s="232" t="s">
        <v>9</v>
      </c>
      <c r="D191" s="232" t="s">
        <v>89</v>
      </c>
      <c r="E191" s="228"/>
      <c r="F191" s="228">
        <v>50000</v>
      </c>
      <c r="G191" s="228">
        <f t="shared" si="2"/>
        <v>43526065</v>
      </c>
      <c r="H191" s="232" t="s">
        <v>34</v>
      </c>
      <c r="I191" s="231" t="s">
        <v>335</v>
      </c>
      <c r="J191" s="231" t="s">
        <v>135</v>
      </c>
      <c r="K191" s="234" t="s">
        <v>136</v>
      </c>
      <c r="L191" s="227" t="s">
        <v>139</v>
      </c>
      <c r="M191" s="227"/>
      <c r="N191" s="235"/>
      <c r="O191" s="227"/>
    </row>
    <row r="192" spans="1:63" s="118" customFormat="1" ht="15" customHeight="1">
      <c r="A192" s="226">
        <v>44398</v>
      </c>
      <c r="B192" s="234" t="s">
        <v>516</v>
      </c>
      <c r="C192" s="234" t="s">
        <v>247</v>
      </c>
      <c r="D192" s="234" t="s">
        <v>6</v>
      </c>
      <c r="E192" s="228"/>
      <c r="F192" s="228">
        <v>285000</v>
      </c>
      <c r="G192" s="240">
        <f t="shared" si="2"/>
        <v>43241065</v>
      </c>
      <c r="H192" s="232" t="s">
        <v>60</v>
      </c>
      <c r="I192" s="231" t="s">
        <v>45</v>
      </c>
      <c r="J192" s="231" t="s">
        <v>118</v>
      </c>
      <c r="K192" s="234" t="s">
        <v>137</v>
      </c>
      <c r="L192" s="227" t="s">
        <v>139</v>
      </c>
      <c r="M192" s="4" t="s">
        <v>440</v>
      </c>
      <c r="N192" s="235" t="s">
        <v>364</v>
      </c>
      <c r="O192" s="227"/>
    </row>
    <row r="193" spans="1:63" s="118" customFormat="1" ht="15" customHeight="1">
      <c r="A193" s="226">
        <v>44398</v>
      </c>
      <c r="B193" s="234" t="s">
        <v>502</v>
      </c>
      <c r="C193" s="234" t="s">
        <v>247</v>
      </c>
      <c r="D193" s="237" t="s">
        <v>156</v>
      </c>
      <c r="E193" s="228"/>
      <c r="F193" s="228">
        <v>30000</v>
      </c>
      <c r="G193" s="228">
        <f t="shared" si="2"/>
        <v>43211065</v>
      </c>
      <c r="H193" s="232" t="s">
        <v>39</v>
      </c>
      <c r="I193" s="231" t="s">
        <v>335</v>
      </c>
      <c r="J193" s="231" t="s">
        <v>118</v>
      </c>
      <c r="K193" s="234" t="s">
        <v>137</v>
      </c>
      <c r="L193" s="227" t="s">
        <v>139</v>
      </c>
      <c r="M193" s="4" t="s">
        <v>441</v>
      </c>
      <c r="N193" s="235" t="s">
        <v>364</v>
      </c>
      <c r="O193" s="227"/>
      <c r="P193" s="213"/>
      <c r="Q193" s="213"/>
      <c r="R193" s="213"/>
      <c r="S193" s="213"/>
      <c r="T193" s="213"/>
      <c r="U193" s="213"/>
      <c r="V193" s="213"/>
      <c r="W193" s="213"/>
      <c r="X193" s="213"/>
      <c r="Y193" s="213"/>
      <c r="Z193" s="213"/>
      <c r="AA193" s="213"/>
      <c r="AB193" s="213"/>
      <c r="AC193" s="213"/>
      <c r="AD193" s="213"/>
      <c r="AE193" s="213"/>
      <c r="AF193" s="213"/>
      <c r="AG193" s="213"/>
      <c r="AH193" s="213"/>
      <c r="AI193" s="213"/>
      <c r="AJ193" s="213"/>
      <c r="AK193" s="213"/>
      <c r="AL193" s="213"/>
      <c r="AM193" s="213"/>
      <c r="AN193" s="213"/>
      <c r="AO193" s="213"/>
      <c r="AP193" s="213"/>
      <c r="AQ193" s="213"/>
      <c r="AR193" s="213"/>
      <c r="AS193" s="213"/>
      <c r="AT193" s="213"/>
      <c r="AU193" s="213"/>
      <c r="AV193" s="213"/>
      <c r="AW193" s="213"/>
      <c r="AX193" s="213"/>
      <c r="AY193" s="213"/>
      <c r="AZ193" s="213"/>
      <c r="BA193" s="213"/>
      <c r="BB193" s="213"/>
      <c r="BC193" s="213"/>
      <c r="BD193" s="213"/>
      <c r="BE193" s="213"/>
      <c r="BF193" s="213"/>
      <c r="BG193" s="213"/>
      <c r="BH193" s="213"/>
      <c r="BI193" s="213"/>
      <c r="BJ193" s="213"/>
      <c r="BK193" s="213"/>
    </row>
    <row r="194" spans="1:63" s="118" customFormat="1" ht="15" customHeight="1">
      <c r="A194" s="226">
        <v>44398</v>
      </c>
      <c r="B194" s="234" t="s">
        <v>511</v>
      </c>
      <c r="C194" s="234" t="s">
        <v>247</v>
      </c>
      <c r="D194" s="237" t="s">
        <v>156</v>
      </c>
      <c r="E194" s="228"/>
      <c r="F194" s="228">
        <v>45000</v>
      </c>
      <c r="G194" s="228">
        <f t="shared" si="2"/>
        <v>43166065</v>
      </c>
      <c r="H194" s="234" t="s">
        <v>38</v>
      </c>
      <c r="I194" s="231" t="s">
        <v>45</v>
      </c>
      <c r="J194" s="231" t="s">
        <v>118</v>
      </c>
      <c r="K194" s="234" t="s">
        <v>137</v>
      </c>
      <c r="L194" s="227" t="s">
        <v>139</v>
      </c>
      <c r="M194" s="4" t="s">
        <v>442</v>
      </c>
      <c r="N194" s="235" t="s">
        <v>364</v>
      </c>
      <c r="O194" s="227"/>
      <c r="P194" s="212"/>
      <c r="Q194" s="212"/>
      <c r="R194" s="212"/>
      <c r="S194" s="212"/>
      <c r="T194" s="212"/>
      <c r="U194" s="212"/>
      <c r="V194" s="212"/>
      <c r="W194" s="212"/>
      <c r="X194" s="212"/>
      <c r="Y194" s="212"/>
      <c r="Z194" s="212"/>
      <c r="AA194" s="212"/>
      <c r="AB194" s="212"/>
      <c r="AC194" s="212"/>
      <c r="AD194" s="212"/>
      <c r="AE194" s="212"/>
      <c r="AF194" s="212"/>
      <c r="AG194" s="212"/>
      <c r="AH194" s="212"/>
      <c r="AI194" s="212"/>
      <c r="AJ194" s="212"/>
      <c r="AK194" s="212"/>
      <c r="AL194" s="212"/>
      <c r="AM194" s="212"/>
      <c r="AN194" s="212"/>
      <c r="AO194" s="212"/>
      <c r="AP194" s="212"/>
      <c r="AQ194" s="212"/>
      <c r="AR194" s="212"/>
      <c r="AS194" s="212"/>
      <c r="AT194" s="212"/>
      <c r="AU194" s="212"/>
      <c r="AV194" s="212"/>
      <c r="AW194" s="212"/>
      <c r="AX194" s="212"/>
      <c r="AY194" s="212"/>
      <c r="AZ194" s="212"/>
      <c r="BA194" s="212"/>
      <c r="BB194" s="212"/>
      <c r="BC194" s="212"/>
      <c r="BD194" s="212"/>
      <c r="BE194" s="212"/>
      <c r="BF194" s="212"/>
      <c r="BG194" s="212"/>
      <c r="BH194" s="212"/>
      <c r="BI194" s="212"/>
      <c r="BJ194" s="212"/>
      <c r="BK194" s="212"/>
    </row>
    <row r="195" spans="1:63" s="212" customFormat="1" ht="15" customHeight="1">
      <c r="A195" s="226">
        <v>44398</v>
      </c>
      <c r="B195" s="234" t="s">
        <v>485</v>
      </c>
      <c r="C195" s="234" t="s">
        <v>43</v>
      </c>
      <c r="D195" s="237" t="s">
        <v>156</v>
      </c>
      <c r="E195" s="228"/>
      <c r="F195" s="228">
        <v>8000</v>
      </c>
      <c r="G195" s="228">
        <f t="shared" si="2"/>
        <v>43158065</v>
      </c>
      <c r="H195" s="234" t="s">
        <v>38</v>
      </c>
      <c r="I195" s="231" t="s">
        <v>45</v>
      </c>
      <c r="J195" s="231" t="s">
        <v>118</v>
      </c>
      <c r="K195" s="234" t="s">
        <v>137</v>
      </c>
      <c r="L195" s="227" t="s">
        <v>139</v>
      </c>
      <c r="M195" s="4" t="s">
        <v>443</v>
      </c>
      <c r="N195" s="235" t="s">
        <v>142</v>
      </c>
      <c r="O195" s="227"/>
      <c r="P195" s="213"/>
      <c r="Q195" s="213"/>
      <c r="R195" s="213"/>
      <c r="S195" s="213"/>
      <c r="T195" s="213"/>
      <c r="U195" s="213"/>
      <c r="V195" s="213"/>
      <c r="W195" s="213"/>
      <c r="X195" s="213"/>
      <c r="Y195" s="213"/>
      <c r="Z195" s="213"/>
      <c r="AA195" s="213"/>
      <c r="AB195" s="213"/>
      <c r="AC195" s="213"/>
      <c r="AD195" s="213"/>
      <c r="AE195" s="213"/>
      <c r="AF195" s="213"/>
      <c r="AG195" s="213"/>
      <c r="AH195" s="213"/>
      <c r="AI195" s="213"/>
      <c r="AJ195" s="213"/>
      <c r="AK195" s="213"/>
      <c r="AL195" s="213"/>
      <c r="AM195" s="213"/>
      <c r="AN195" s="213"/>
      <c r="AO195" s="213"/>
      <c r="AP195" s="213"/>
      <c r="AQ195" s="213"/>
      <c r="AR195" s="213"/>
      <c r="AS195" s="213"/>
      <c r="AT195" s="213"/>
      <c r="AU195" s="213"/>
      <c r="AV195" s="213"/>
      <c r="AW195" s="213"/>
      <c r="AX195" s="213"/>
      <c r="AY195" s="213"/>
      <c r="AZ195" s="213"/>
      <c r="BA195" s="213"/>
      <c r="BB195" s="213"/>
      <c r="BC195" s="213"/>
      <c r="BD195" s="213"/>
      <c r="BE195" s="213"/>
      <c r="BF195" s="213"/>
      <c r="BG195" s="213"/>
      <c r="BH195" s="213"/>
      <c r="BI195" s="213"/>
      <c r="BJ195" s="213"/>
      <c r="BK195" s="213"/>
    </row>
    <row r="196" spans="1:63" s="118" customFormat="1" ht="15" customHeight="1">
      <c r="A196" s="226">
        <v>44399</v>
      </c>
      <c r="B196" s="232" t="s">
        <v>517</v>
      </c>
      <c r="C196" s="232" t="s">
        <v>247</v>
      </c>
      <c r="D196" s="232" t="s">
        <v>344</v>
      </c>
      <c r="E196" s="228"/>
      <c r="F196" s="228">
        <v>60000</v>
      </c>
      <c r="G196" s="228">
        <f t="shared" si="2"/>
        <v>43098065</v>
      </c>
      <c r="H196" s="232" t="s">
        <v>34</v>
      </c>
      <c r="I196" s="231" t="s">
        <v>335</v>
      </c>
      <c r="J196" s="231" t="s">
        <v>118</v>
      </c>
      <c r="K196" s="234" t="s">
        <v>137</v>
      </c>
      <c r="L196" s="227" t="s">
        <v>139</v>
      </c>
      <c r="M196" s="4" t="s">
        <v>444</v>
      </c>
      <c r="N196" s="235" t="s">
        <v>364</v>
      </c>
      <c r="O196" s="234"/>
      <c r="P196" s="212"/>
      <c r="Q196" s="212"/>
      <c r="R196" s="212"/>
      <c r="S196" s="212"/>
      <c r="T196" s="212"/>
      <c r="U196" s="212"/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/>
      <c r="AF196" s="212"/>
      <c r="AG196" s="212"/>
      <c r="AH196" s="212"/>
      <c r="AI196" s="212"/>
      <c r="AJ196" s="212"/>
      <c r="AK196" s="212"/>
      <c r="AL196" s="212"/>
      <c r="AM196" s="212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  <c r="BI196" s="212"/>
      <c r="BJ196" s="212"/>
      <c r="BK196" s="212"/>
    </row>
    <row r="197" spans="1:63" s="212" customFormat="1" ht="15" customHeight="1">
      <c r="A197" s="226">
        <v>44399</v>
      </c>
      <c r="B197" s="232" t="s">
        <v>148</v>
      </c>
      <c r="C197" s="232" t="s">
        <v>88</v>
      </c>
      <c r="D197" s="232"/>
      <c r="E197" s="228"/>
      <c r="F197" s="228">
        <v>213000</v>
      </c>
      <c r="G197" s="228">
        <f t="shared" si="2"/>
        <v>42885065</v>
      </c>
      <c r="H197" s="232" t="s">
        <v>34</v>
      </c>
      <c r="I197" s="231"/>
      <c r="J197" s="231"/>
      <c r="K197" s="234"/>
      <c r="L197" s="227" t="s">
        <v>139</v>
      </c>
      <c r="M197" s="227"/>
      <c r="N197" s="235"/>
      <c r="O197" s="227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  <c r="AO197" s="118"/>
      <c r="AP197" s="118"/>
      <c r="AQ197" s="118"/>
      <c r="AR197" s="118"/>
      <c r="AS197" s="118"/>
      <c r="AT197" s="118"/>
      <c r="AU197" s="118"/>
      <c r="AV197" s="118"/>
      <c r="AW197" s="118"/>
      <c r="AX197" s="118"/>
      <c r="AY197" s="118"/>
      <c r="AZ197" s="118"/>
      <c r="BA197" s="118"/>
      <c r="BB197" s="118"/>
      <c r="BC197" s="118"/>
      <c r="BD197" s="118"/>
      <c r="BE197" s="118"/>
      <c r="BF197" s="118"/>
      <c r="BG197" s="118"/>
      <c r="BH197" s="118"/>
      <c r="BI197" s="118"/>
      <c r="BJ197" s="118"/>
      <c r="BK197" s="118"/>
    </row>
    <row r="198" spans="1:63" s="118" customFormat="1" ht="15" customHeight="1">
      <c r="A198" s="226">
        <v>44399</v>
      </c>
      <c r="B198" s="232" t="s">
        <v>60</v>
      </c>
      <c r="C198" s="232" t="s">
        <v>88</v>
      </c>
      <c r="D198" s="232"/>
      <c r="E198" s="228"/>
      <c r="F198" s="228">
        <v>58765</v>
      </c>
      <c r="G198" s="228">
        <f t="shared" si="2"/>
        <v>42826300</v>
      </c>
      <c r="H198" s="232" t="s">
        <v>34</v>
      </c>
      <c r="I198" s="231"/>
      <c r="J198" s="231"/>
      <c r="K198" s="234"/>
      <c r="L198" s="227" t="s">
        <v>139</v>
      </c>
      <c r="M198" s="235"/>
      <c r="N198" s="235"/>
      <c r="O198" s="227"/>
    </row>
    <row r="199" spans="1:63" s="118" customFormat="1" ht="15" customHeight="1">
      <c r="A199" s="226">
        <v>44399</v>
      </c>
      <c r="B199" s="232" t="s">
        <v>60</v>
      </c>
      <c r="C199" s="232" t="s">
        <v>88</v>
      </c>
      <c r="D199" s="232"/>
      <c r="E199" s="228"/>
      <c r="F199" s="228">
        <v>10000</v>
      </c>
      <c r="G199" s="228">
        <f t="shared" si="2"/>
        <v>42816300</v>
      </c>
      <c r="H199" s="232" t="s">
        <v>34</v>
      </c>
      <c r="I199" s="231"/>
      <c r="J199" s="231"/>
      <c r="K199" s="234"/>
      <c r="L199" s="227" t="s">
        <v>139</v>
      </c>
      <c r="M199" s="227"/>
      <c r="N199" s="235"/>
      <c r="O199" s="227"/>
      <c r="P199" s="207"/>
      <c r="Q199" s="207"/>
      <c r="R199" s="207"/>
      <c r="S199" s="207"/>
      <c r="T199" s="207"/>
      <c r="U199" s="207"/>
      <c r="V199" s="207"/>
      <c r="W199" s="207"/>
      <c r="X199" s="207"/>
      <c r="Y199" s="207"/>
      <c r="Z199" s="207"/>
      <c r="AA199" s="207"/>
      <c r="AB199" s="207"/>
      <c r="AC199" s="207"/>
      <c r="AD199" s="207"/>
      <c r="AE199" s="207"/>
      <c r="AF199" s="207"/>
      <c r="AG199" s="207"/>
      <c r="AH199" s="207"/>
      <c r="AI199" s="207"/>
      <c r="AJ199" s="207"/>
      <c r="AK199" s="207"/>
      <c r="AL199" s="207"/>
      <c r="AM199" s="207"/>
      <c r="AN199" s="207"/>
      <c r="AO199" s="207"/>
      <c r="AP199" s="207"/>
      <c r="AQ199" s="207"/>
      <c r="AR199" s="207"/>
      <c r="AS199" s="207"/>
      <c r="AT199" s="207"/>
      <c r="AU199" s="207"/>
      <c r="AV199" s="207"/>
      <c r="AW199" s="207"/>
      <c r="AX199" s="207"/>
      <c r="AY199" s="207"/>
      <c r="AZ199" s="207"/>
      <c r="BA199" s="207"/>
      <c r="BB199" s="207"/>
      <c r="BC199" s="207"/>
      <c r="BD199" s="207"/>
      <c r="BE199" s="207"/>
      <c r="BF199" s="207"/>
      <c r="BG199" s="207"/>
      <c r="BH199" s="207"/>
      <c r="BI199" s="207"/>
      <c r="BJ199" s="207"/>
      <c r="BK199" s="207"/>
    </row>
    <row r="200" spans="1:63" s="118" customFormat="1" ht="15" customHeight="1">
      <c r="A200" s="226">
        <v>44399</v>
      </c>
      <c r="B200" s="232" t="s">
        <v>38</v>
      </c>
      <c r="C200" s="232" t="s">
        <v>88</v>
      </c>
      <c r="D200" s="232"/>
      <c r="E200" s="228"/>
      <c r="F200" s="228">
        <v>71000</v>
      </c>
      <c r="G200" s="228">
        <f t="shared" si="2"/>
        <v>42745300</v>
      </c>
      <c r="H200" s="232" t="s">
        <v>34</v>
      </c>
      <c r="I200" s="231"/>
      <c r="J200" s="231"/>
      <c r="K200" s="234"/>
      <c r="L200" s="227" t="s">
        <v>139</v>
      </c>
      <c r="M200" s="227"/>
      <c r="N200" s="235"/>
      <c r="O200" s="227"/>
    </row>
    <row r="201" spans="1:63" s="118" customFormat="1" ht="15" customHeight="1">
      <c r="A201" s="226">
        <v>44399</v>
      </c>
      <c r="B201" s="232" t="s">
        <v>38</v>
      </c>
      <c r="C201" s="232" t="s">
        <v>88</v>
      </c>
      <c r="D201" s="232"/>
      <c r="E201" s="228"/>
      <c r="F201" s="228">
        <v>6000</v>
      </c>
      <c r="G201" s="228">
        <f t="shared" si="2"/>
        <v>42739300</v>
      </c>
      <c r="H201" s="232" t="s">
        <v>34</v>
      </c>
      <c r="I201" s="231"/>
      <c r="J201" s="231"/>
      <c r="K201" s="234"/>
      <c r="L201" s="227" t="s">
        <v>139</v>
      </c>
      <c r="M201" s="235"/>
      <c r="N201" s="235"/>
      <c r="O201" s="227"/>
      <c r="P201" s="212"/>
      <c r="Q201" s="212"/>
      <c r="R201" s="212"/>
      <c r="S201" s="212"/>
      <c r="T201" s="212"/>
      <c r="U201" s="212"/>
      <c r="V201" s="212"/>
      <c r="W201" s="212"/>
      <c r="X201" s="212"/>
      <c r="Y201" s="212"/>
      <c r="Z201" s="212"/>
      <c r="AA201" s="212"/>
      <c r="AB201" s="212"/>
      <c r="AC201" s="212"/>
      <c r="AD201" s="212"/>
      <c r="AE201" s="212"/>
      <c r="AF201" s="212"/>
      <c r="AG201" s="212"/>
      <c r="AH201" s="212"/>
      <c r="AI201" s="212"/>
      <c r="AJ201" s="212"/>
      <c r="AK201" s="212"/>
      <c r="AL201" s="212"/>
      <c r="AM201" s="212"/>
      <c r="AN201" s="212"/>
      <c r="AO201" s="212"/>
      <c r="AP201" s="212"/>
      <c r="AQ201" s="212"/>
      <c r="AR201" s="212"/>
      <c r="AS201" s="212"/>
      <c r="AT201" s="212"/>
      <c r="AU201" s="212"/>
      <c r="AV201" s="212"/>
      <c r="AW201" s="212"/>
      <c r="AX201" s="212"/>
      <c r="AY201" s="212"/>
      <c r="AZ201" s="212"/>
      <c r="BA201" s="212"/>
      <c r="BB201" s="212"/>
      <c r="BC201" s="212"/>
      <c r="BD201" s="212"/>
      <c r="BE201" s="212"/>
      <c r="BF201" s="212"/>
      <c r="BG201" s="212"/>
      <c r="BH201" s="212"/>
      <c r="BI201" s="212"/>
      <c r="BJ201" s="212"/>
      <c r="BK201" s="212"/>
    </row>
    <row r="202" spans="1:63" s="212" customFormat="1" ht="15" customHeight="1">
      <c r="A202" s="226">
        <v>44399</v>
      </c>
      <c r="B202" s="232" t="s">
        <v>39</v>
      </c>
      <c r="C202" s="232" t="s">
        <v>88</v>
      </c>
      <c r="D202" s="232"/>
      <c r="E202" s="228"/>
      <c r="F202" s="228">
        <v>10000</v>
      </c>
      <c r="G202" s="228">
        <f t="shared" si="2"/>
        <v>42729300</v>
      </c>
      <c r="H202" s="232" t="s">
        <v>34</v>
      </c>
      <c r="I202" s="231"/>
      <c r="J202" s="231"/>
      <c r="K202" s="234"/>
      <c r="L202" s="227" t="s">
        <v>139</v>
      </c>
      <c r="M202" s="235"/>
      <c r="N202" s="235"/>
      <c r="O202" s="227"/>
    </row>
    <row r="203" spans="1:63" s="212" customFormat="1" ht="15" customHeight="1">
      <c r="A203" s="226">
        <v>44399</v>
      </c>
      <c r="B203" s="232" t="s">
        <v>168</v>
      </c>
      <c r="C203" s="232" t="s">
        <v>340</v>
      </c>
      <c r="D203" s="232" t="s">
        <v>8</v>
      </c>
      <c r="E203" s="228"/>
      <c r="F203" s="228">
        <v>6390</v>
      </c>
      <c r="G203" s="228">
        <f t="shared" si="2"/>
        <v>42722910</v>
      </c>
      <c r="H203" s="232" t="s">
        <v>34</v>
      </c>
      <c r="I203" s="231"/>
      <c r="J203" s="239" t="s">
        <v>118</v>
      </c>
      <c r="K203" s="234" t="s">
        <v>137</v>
      </c>
      <c r="L203" s="227" t="s">
        <v>139</v>
      </c>
      <c r="M203" s="4" t="s">
        <v>445</v>
      </c>
      <c r="N203" s="235" t="s">
        <v>138</v>
      </c>
      <c r="O203" s="227"/>
    </row>
    <row r="204" spans="1:63" s="207" customFormat="1" ht="15" customHeight="1">
      <c r="A204" s="226">
        <v>44399</v>
      </c>
      <c r="B204" s="232" t="s">
        <v>225</v>
      </c>
      <c r="C204" s="232" t="s">
        <v>2</v>
      </c>
      <c r="D204" s="232" t="s">
        <v>6</v>
      </c>
      <c r="E204" s="228"/>
      <c r="F204" s="228">
        <v>200000</v>
      </c>
      <c r="G204" s="228">
        <f t="shared" si="2"/>
        <v>42522910</v>
      </c>
      <c r="H204" s="232" t="s">
        <v>34</v>
      </c>
      <c r="I204" s="231" t="s">
        <v>335</v>
      </c>
      <c r="J204" s="231" t="s">
        <v>135</v>
      </c>
      <c r="K204" s="238" t="s">
        <v>136</v>
      </c>
      <c r="L204" s="227" t="s">
        <v>139</v>
      </c>
      <c r="M204" s="227"/>
      <c r="N204" s="235"/>
      <c r="O204" s="227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  <c r="AG204" s="118"/>
      <c r="AH204" s="118"/>
      <c r="AI204" s="118"/>
      <c r="AJ204" s="118"/>
      <c r="AK204" s="118"/>
      <c r="AL204" s="118"/>
      <c r="AM204" s="118"/>
      <c r="AN204" s="118"/>
      <c r="AO204" s="118"/>
      <c r="AP204" s="118"/>
      <c r="AQ204" s="118"/>
      <c r="AR204" s="118"/>
      <c r="AS204" s="118"/>
      <c r="AT204" s="118"/>
      <c r="AU204" s="118"/>
      <c r="AV204" s="118"/>
      <c r="AW204" s="118"/>
      <c r="AX204" s="118"/>
      <c r="AY204" s="118"/>
      <c r="AZ204" s="118"/>
      <c r="BA204" s="118"/>
      <c r="BB204" s="118"/>
      <c r="BC204" s="118"/>
      <c r="BD204" s="118"/>
      <c r="BE204" s="118"/>
      <c r="BF204" s="118"/>
      <c r="BG204" s="118"/>
      <c r="BH204" s="118"/>
      <c r="BI204" s="118"/>
      <c r="BJ204" s="118"/>
      <c r="BK204" s="118"/>
    </row>
    <row r="205" spans="1:63" s="212" customFormat="1" ht="15" customHeight="1">
      <c r="A205" s="226">
        <v>44399</v>
      </c>
      <c r="B205" s="232" t="s">
        <v>226</v>
      </c>
      <c r="C205" s="232" t="s">
        <v>342</v>
      </c>
      <c r="D205" s="232" t="s">
        <v>89</v>
      </c>
      <c r="E205" s="228"/>
      <c r="F205" s="228">
        <f>45000+66000</f>
        <v>111000</v>
      </c>
      <c r="G205" s="228">
        <f t="shared" ref="G205:G268" si="3">+G204+E205-F205</f>
        <v>42411910</v>
      </c>
      <c r="H205" s="232" t="s">
        <v>34</v>
      </c>
      <c r="I205" s="231" t="s">
        <v>45</v>
      </c>
      <c r="J205" s="235" t="s">
        <v>118</v>
      </c>
      <c r="K205" s="234" t="s">
        <v>137</v>
      </c>
      <c r="L205" s="227" t="s">
        <v>139</v>
      </c>
      <c r="M205" s="4" t="s">
        <v>446</v>
      </c>
      <c r="N205" s="235" t="s">
        <v>140</v>
      </c>
      <c r="O205" s="227"/>
    </row>
    <row r="206" spans="1:63" s="213" customFormat="1" ht="15.75">
      <c r="A206" s="226">
        <v>44399</v>
      </c>
      <c r="B206" s="232" t="s">
        <v>227</v>
      </c>
      <c r="C206" s="232" t="s">
        <v>177</v>
      </c>
      <c r="D206" s="232" t="s">
        <v>8</v>
      </c>
      <c r="E206" s="228"/>
      <c r="F206" s="228">
        <v>8000</v>
      </c>
      <c r="G206" s="228">
        <f t="shared" si="3"/>
        <v>42403910</v>
      </c>
      <c r="H206" s="232" t="s">
        <v>34</v>
      </c>
      <c r="I206" s="231" t="s">
        <v>45</v>
      </c>
      <c r="J206" s="231" t="s">
        <v>135</v>
      </c>
      <c r="K206" s="234" t="s">
        <v>136</v>
      </c>
      <c r="L206" s="227" t="s">
        <v>139</v>
      </c>
      <c r="M206" s="227"/>
      <c r="N206" s="235"/>
      <c r="O206" s="227"/>
      <c r="P206" s="212"/>
      <c r="Q206" s="212"/>
      <c r="R206" s="212"/>
      <c r="S206" s="212"/>
      <c r="T206" s="212"/>
      <c r="U206" s="212"/>
      <c r="V206" s="212"/>
      <c r="W206" s="212"/>
      <c r="X206" s="212"/>
      <c r="Y206" s="212"/>
      <c r="Z206" s="212"/>
      <c r="AA206" s="212"/>
      <c r="AB206" s="212"/>
      <c r="AC206" s="212"/>
      <c r="AD206" s="212"/>
      <c r="AE206" s="212"/>
      <c r="AF206" s="212"/>
      <c r="AG206" s="212"/>
      <c r="AH206" s="212"/>
      <c r="AI206" s="212"/>
      <c r="AJ206" s="212"/>
      <c r="AK206" s="212"/>
      <c r="AL206" s="212"/>
      <c r="AM206" s="212"/>
      <c r="AN206" s="212"/>
      <c r="AO206" s="212"/>
      <c r="AP206" s="212"/>
      <c r="AQ206" s="212"/>
      <c r="AR206" s="212"/>
      <c r="AS206" s="212"/>
      <c r="AT206" s="212"/>
      <c r="AU206" s="212"/>
      <c r="AV206" s="212"/>
      <c r="AW206" s="212"/>
      <c r="AX206" s="212"/>
      <c r="AY206" s="212"/>
      <c r="AZ206" s="212"/>
      <c r="BA206" s="212"/>
      <c r="BB206" s="212"/>
      <c r="BC206" s="212"/>
      <c r="BD206" s="212"/>
      <c r="BE206" s="212"/>
      <c r="BF206" s="212"/>
      <c r="BG206" s="212"/>
      <c r="BH206" s="212"/>
      <c r="BI206" s="212"/>
      <c r="BJ206" s="212"/>
      <c r="BK206" s="212"/>
    </row>
    <row r="207" spans="1:63" s="118" customFormat="1" ht="15.75">
      <c r="A207" s="226">
        <v>44399</v>
      </c>
      <c r="B207" s="234" t="s">
        <v>273</v>
      </c>
      <c r="C207" s="232" t="s">
        <v>88</v>
      </c>
      <c r="D207" s="234" t="s">
        <v>6</v>
      </c>
      <c r="E207" s="228">
        <v>58765</v>
      </c>
      <c r="F207" s="228"/>
      <c r="G207" s="240">
        <f t="shared" si="3"/>
        <v>42462675</v>
      </c>
      <c r="H207" s="232" t="s">
        <v>60</v>
      </c>
      <c r="I207" s="231" t="s">
        <v>335</v>
      </c>
      <c r="J207" s="231"/>
      <c r="K207" s="234"/>
      <c r="L207" s="227" t="s">
        <v>139</v>
      </c>
      <c r="M207" s="227"/>
      <c r="N207" s="235"/>
      <c r="O207" s="227"/>
    </row>
    <row r="208" spans="1:63" s="212" customFormat="1" ht="15.75">
      <c r="A208" s="226">
        <v>44399</v>
      </c>
      <c r="B208" s="234" t="s">
        <v>273</v>
      </c>
      <c r="C208" s="232" t="s">
        <v>88</v>
      </c>
      <c r="D208" s="234" t="s">
        <v>6</v>
      </c>
      <c r="E208" s="228">
        <v>10000</v>
      </c>
      <c r="F208" s="228"/>
      <c r="G208" s="240">
        <f t="shared" si="3"/>
        <v>42472675</v>
      </c>
      <c r="H208" s="232" t="s">
        <v>60</v>
      </c>
      <c r="I208" s="231" t="s">
        <v>335</v>
      </c>
      <c r="J208" s="231"/>
      <c r="K208" s="234"/>
      <c r="L208" s="227" t="s">
        <v>139</v>
      </c>
      <c r="M208" s="235"/>
      <c r="N208" s="235"/>
      <c r="O208" s="227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  <c r="AG208" s="118"/>
      <c r="AH208" s="118"/>
      <c r="AI208" s="118"/>
      <c r="AJ208" s="118"/>
      <c r="AK208" s="118"/>
      <c r="AL208" s="118"/>
      <c r="AM208" s="118"/>
      <c r="AN208" s="118"/>
      <c r="AO208" s="118"/>
      <c r="AP208" s="118"/>
      <c r="AQ208" s="118"/>
      <c r="AR208" s="118"/>
      <c r="AS208" s="118"/>
      <c r="AT208" s="118"/>
      <c r="AU208" s="118"/>
      <c r="AV208" s="118"/>
      <c r="AW208" s="118"/>
      <c r="AX208" s="118"/>
      <c r="AY208" s="118"/>
      <c r="AZ208" s="118"/>
      <c r="BA208" s="118"/>
      <c r="BB208" s="118"/>
      <c r="BC208" s="118"/>
      <c r="BD208" s="118"/>
      <c r="BE208" s="118"/>
      <c r="BF208" s="118"/>
      <c r="BG208" s="118"/>
      <c r="BH208" s="118"/>
      <c r="BI208" s="118"/>
      <c r="BJ208" s="118"/>
      <c r="BK208" s="118"/>
    </row>
    <row r="209" spans="1:63" s="213" customFormat="1" ht="16.5" customHeight="1">
      <c r="A209" s="226">
        <v>44399</v>
      </c>
      <c r="B209" s="234" t="s">
        <v>256</v>
      </c>
      <c r="C209" s="232" t="s">
        <v>88</v>
      </c>
      <c r="D209" s="237" t="s">
        <v>156</v>
      </c>
      <c r="E209" s="228">
        <v>10000</v>
      </c>
      <c r="F209" s="228"/>
      <c r="G209" s="228">
        <f t="shared" si="3"/>
        <v>42482675</v>
      </c>
      <c r="H209" s="232" t="s">
        <v>39</v>
      </c>
      <c r="I209" s="231" t="s">
        <v>335</v>
      </c>
      <c r="J209" s="231"/>
      <c r="K209" s="234"/>
      <c r="L209" s="227" t="s">
        <v>139</v>
      </c>
      <c r="M209" s="235"/>
      <c r="N209" s="235"/>
      <c r="O209" s="227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18"/>
      <c r="AM209" s="118"/>
      <c r="AN209" s="118"/>
      <c r="AO209" s="118"/>
      <c r="AP209" s="118"/>
      <c r="AQ209" s="118"/>
      <c r="AR209" s="118"/>
      <c r="AS209" s="118"/>
      <c r="AT209" s="118"/>
      <c r="AU209" s="118"/>
      <c r="AV209" s="118"/>
      <c r="AW209" s="118"/>
      <c r="AX209" s="118"/>
      <c r="AY209" s="118"/>
      <c r="AZ209" s="118"/>
      <c r="BA209" s="118"/>
      <c r="BB209" s="118"/>
      <c r="BC209" s="118"/>
      <c r="BD209" s="118"/>
      <c r="BE209" s="118"/>
      <c r="BF209" s="118"/>
      <c r="BG209" s="118"/>
      <c r="BH209" s="118"/>
      <c r="BI209" s="118"/>
      <c r="BJ209" s="118"/>
      <c r="BK209" s="118"/>
    </row>
    <row r="210" spans="1:63" s="118" customFormat="1" ht="15.75">
      <c r="A210" s="226">
        <v>44399</v>
      </c>
      <c r="B210" s="234" t="s">
        <v>260</v>
      </c>
      <c r="C210" s="232" t="s">
        <v>88</v>
      </c>
      <c r="D210" s="227" t="s">
        <v>156</v>
      </c>
      <c r="E210" s="228">
        <v>71000</v>
      </c>
      <c r="F210" s="228"/>
      <c r="G210" s="228">
        <f t="shared" si="3"/>
        <v>42553675</v>
      </c>
      <c r="H210" s="234" t="s">
        <v>38</v>
      </c>
      <c r="I210" s="231" t="s">
        <v>335</v>
      </c>
      <c r="J210" s="231"/>
      <c r="K210" s="234"/>
      <c r="L210" s="227" t="s">
        <v>139</v>
      </c>
      <c r="M210" s="227"/>
      <c r="N210" s="235"/>
      <c r="O210" s="227"/>
    </row>
    <row r="211" spans="1:63" s="207" customFormat="1" ht="15.75">
      <c r="A211" s="226">
        <v>44399</v>
      </c>
      <c r="B211" s="234" t="s">
        <v>260</v>
      </c>
      <c r="C211" s="232" t="s">
        <v>88</v>
      </c>
      <c r="D211" s="227" t="s">
        <v>156</v>
      </c>
      <c r="E211" s="228">
        <v>6000</v>
      </c>
      <c r="F211" s="228"/>
      <c r="G211" s="228">
        <f t="shared" si="3"/>
        <v>42559675</v>
      </c>
      <c r="H211" s="234" t="s">
        <v>38</v>
      </c>
      <c r="I211" s="231" t="s">
        <v>335</v>
      </c>
      <c r="J211" s="231"/>
      <c r="K211" s="234"/>
      <c r="L211" s="227" t="s">
        <v>139</v>
      </c>
      <c r="M211" s="235"/>
      <c r="N211" s="235"/>
      <c r="O211" s="227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  <c r="AG211" s="118"/>
      <c r="AH211" s="118"/>
      <c r="AI211" s="118"/>
      <c r="AJ211" s="118"/>
      <c r="AK211" s="118"/>
      <c r="AL211" s="118"/>
      <c r="AM211" s="118"/>
      <c r="AN211" s="118"/>
      <c r="AO211" s="118"/>
      <c r="AP211" s="118"/>
      <c r="AQ211" s="118"/>
      <c r="AR211" s="118"/>
      <c r="AS211" s="118"/>
      <c r="AT211" s="118"/>
      <c r="AU211" s="118"/>
      <c r="AV211" s="118"/>
      <c r="AW211" s="118"/>
      <c r="AX211" s="118"/>
      <c r="AY211" s="118"/>
      <c r="AZ211" s="118"/>
      <c r="BA211" s="118"/>
      <c r="BB211" s="118"/>
      <c r="BC211" s="118"/>
      <c r="BD211" s="118"/>
      <c r="BE211" s="118"/>
      <c r="BF211" s="118"/>
      <c r="BG211" s="118"/>
      <c r="BH211" s="118"/>
      <c r="BI211" s="118"/>
      <c r="BJ211" s="118"/>
      <c r="BK211" s="118"/>
    </row>
    <row r="212" spans="1:63" s="118" customFormat="1" ht="15" customHeight="1">
      <c r="A212" s="226">
        <v>44399</v>
      </c>
      <c r="B212" s="236" t="s">
        <v>322</v>
      </c>
      <c r="C212" s="232" t="s">
        <v>342</v>
      </c>
      <c r="D212" s="232" t="s">
        <v>89</v>
      </c>
      <c r="E212" s="228"/>
      <c r="F212" s="228">
        <v>300000</v>
      </c>
      <c r="G212" s="228">
        <f t="shared" si="3"/>
        <v>42259675</v>
      </c>
      <c r="H212" s="234" t="s">
        <v>32</v>
      </c>
      <c r="I212" s="231">
        <v>3643498</v>
      </c>
      <c r="J212" s="235" t="s">
        <v>118</v>
      </c>
      <c r="K212" s="234" t="s">
        <v>137</v>
      </c>
      <c r="L212" s="227" t="s">
        <v>139</v>
      </c>
      <c r="M212" s="4" t="s">
        <v>447</v>
      </c>
      <c r="N212" s="235" t="s">
        <v>140</v>
      </c>
      <c r="O212" s="227"/>
    </row>
    <row r="213" spans="1:63" s="212" customFormat="1" ht="15" customHeight="1">
      <c r="A213" s="226">
        <v>44400</v>
      </c>
      <c r="B213" s="232" t="s">
        <v>228</v>
      </c>
      <c r="C213" s="232" t="s">
        <v>88</v>
      </c>
      <c r="D213" s="232" t="s">
        <v>8</v>
      </c>
      <c r="E213" s="228">
        <v>1000000</v>
      </c>
      <c r="F213" s="228"/>
      <c r="G213" s="228">
        <f t="shared" si="3"/>
        <v>43259675</v>
      </c>
      <c r="H213" s="232" t="s">
        <v>34</v>
      </c>
      <c r="I213" s="231"/>
      <c r="J213" s="239"/>
      <c r="K213" s="234"/>
      <c r="L213" s="227" t="s">
        <v>139</v>
      </c>
      <c r="M213" s="227"/>
      <c r="N213" s="235"/>
      <c r="O213" s="227"/>
    </row>
    <row r="214" spans="1:63" s="118" customFormat="1" ht="15" customHeight="1">
      <c r="A214" s="226">
        <v>44400</v>
      </c>
      <c r="B214" s="232" t="s">
        <v>168</v>
      </c>
      <c r="C214" s="232" t="s">
        <v>340</v>
      </c>
      <c r="D214" s="232" t="s">
        <v>8</v>
      </c>
      <c r="E214" s="228"/>
      <c r="F214" s="228">
        <v>1350</v>
      </c>
      <c r="G214" s="228">
        <f t="shared" si="3"/>
        <v>43258325</v>
      </c>
      <c r="H214" s="232" t="s">
        <v>34</v>
      </c>
      <c r="I214" s="231" t="s">
        <v>45</v>
      </c>
      <c r="J214" s="239" t="s">
        <v>118</v>
      </c>
      <c r="K214" s="234" t="s">
        <v>137</v>
      </c>
      <c r="L214" s="227" t="s">
        <v>139</v>
      </c>
      <c r="M214" s="4" t="s">
        <v>448</v>
      </c>
      <c r="N214" s="235" t="s">
        <v>138</v>
      </c>
      <c r="O214" s="227"/>
      <c r="P214" s="213"/>
      <c r="Q214" s="213"/>
      <c r="R214" s="213"/>
      <c r="S214" s="213"/>
      <c r="T214" s="213"/>
      <c r="U214" s="213"/>
      <c r="V214" s="213"/>
      <c r="W214" s="213"/>
      <c r="X214" s="213"/>
      <c r="Y214" s="213"/>
      <c r="Z214" s="213"/>
      <c r="AA214" s="213"/>
      <c r="AB214" s="213"/>
      <c r="AC214" s="213"/>
      <c r="AD214" s="213"/>
      <c r="AE214" s="213"/>
      <c r="AF214" s="213"/>
      <c r="AG214" s="213"/>
      <c r="AH214" s="213"/>
      <c r="AI214" s="213"/>
      <c r="AJ214" s="213"/>
      <c r="AK214" s="213"/>
      <c r="AL214" s="213"/>
      <c r="AM214" s="213"/>
      <c r="AN214" s="213"/>
      <c r="AO214" s="213"/>
      <c r="AP214" s="213"/>
      <c r="AQ214" s="213"/>
      <c r="AR214" s="213"/>
      <c r="AS214" s="213"/>
      <c r="AT214" s="213"/>
      <c r="AU214" s="213"/>
      <c r="AV214" s="213"/>
      <c r="AW214" s="213"/>
      <c r="AX214" s="213"/>
      <c r="AY214" s="213"/>
      <c r="AZ214" s="213"/>
      <c r="BA214" s="213"/>
      <c r="BB214" s="213"/>
      <c r="BC214" s="213"/>
      <c r="BD214" s="213"/>
      <c r="BE214" s="213"/>
      <c r="BF214" s="213"/>
      <c r="BG214" s="213"/>
      <c r="BH214" s="213"/>
      <c r="BI214" s="213"/>
      <c r="BJ214" s="213"/>
      <c r="BK214" s="213"/>
    </row>
    <row r="215" spans="1:63" s="213" customFormat="1" ht="15" customHeight="1">
      <c r="A215" s="226">
        <v>44400</v>
      </c>
      <c r="B215" s="232" t="s">
        <v>108</v>
      </c>
      <c r="C215" s="232" t="s">
        <v>88</v>
      </c>
      <c r="D215" s="232"/>
      <c r="E215" s="228"/>
      <c r="F215" s="228">
        <v>10000</v>
      </c>
      <c r="G215" s="228">
        <f t="shared" si="3"/>
        <v>43248325</v>
      </c>
      <c r="H215" s="232" t="s">
        <v>34</v>
      </c>
      <c r="I215" s="231"/>
      <c r="J215" s="231"/>
      <c r="K215" s="238"/>
      <c r="L215" s="227" t="s">
        <v>139</v>
      </c>
      <c r="M215" s="235"/>
      <c r="N215" s="235"/>
      <c r="O215" s="227"/>
      <c r="P215" s="212"/>
      <c r="Q215" s="212"/>
      <c r="R215" s="212"/>
      <c r="S215" s="212"/>
      <c r="T215" s="212"/>
      <c r="U215" s="212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2"/>
      <c r="AK215" s="212"/>
      <c r="AL215" s="212"/>
      <c r="AM215" s="212"/>
      <c r="AN215" s="212"/>
      <c r="AO215" s="212"/>
      <c r="AP215" s="212"/>
      <c r="AQ215" s="212"/>
      <c r="AR215" s="212"/>
      <c r="AS215" s="212"/>
      <c r="AT215" s="212"/>
      <c r="AU215" s="212"/>
      <c r="AV215" s="212"/>
      <c r="AW215" s="212"/>
      <c r="AX215" s="212"/>
      <c r="AY215" s="212"/>
      <c r="AZ215" s="212"/>
      <c r="BA215" s="212"/>
      <c r="BB215" s="212"/>
      <c r="BC215" s="212"/>
      <c r="BD215" s="212"/>
      <c r="BE215" s="212"/>
      <c r="BF215" s="212"/>
      <c r="BG215" s="212"/>
      <c r="BH215" s="212"/>
      <c r="BI215" s="212"/>
      <c r="BJ215" s="212"/>
      <c r="BK215" s="212"/>
    </row>
    <row r="216" spans="1:63" s="118" customFormat="1" ht="15" customHeight="1">
      <c r="A216" s="226">
        <v>44400</v>
      </c>
      <c r="B216" s="232" t="s">
        <v>34</v>
      </c>
      <c r="C216" s="232" t="s">
        <v>88</v>
      </c>
      <c r="D216" s="232" t="s">
        <v>89</v>
      </c>
      <c r="E216" s="228">
        <v>213000</v>
      </c>
      <c r="F216" s="228"/>
      <c r="G216" s="228">
        <f t="shared" si="3"/>
        <v>43461325</v>
      </c>
      <c r="H216" s="232" t="s">
        <v>46</v>
      </c>
      <c r="I216" s="231" t="s">
        <v>335</v>
      </c>
      <c r="J216" s="231"/>
      <c r="K216" s="234"/>
      <c r="L216" s="227" t="s">
        <v>139</v>
      </c>
      <c r="M216" s="235"/>
      <c r="N216" s="235"/>
      <c r="O216" s="227"/>
      <c r="P216" s="212"/>
      <c r="Q216" s="212"/>
      <c r="R216" s="212"/>
      <c r="S216" s="212"/>
      <c r="T216" s="212"/>
      <c r="U216" s="212"/>
      <c r="V216" s="212"/>
      <c r="W216" s="212"/>
      <c r="X216" s="212"/>
      <c r="Y216" s="212"/>
      <c r="Z216" s="212"/>
      <c r="AA216" s="212"/>
      <c r="AB216" s="212"/>
      <c r="AC216" s="212"/>
      <c r="AD216" s="212"/>
      <c r="AE216" s="212"/>
      <c r="AF216" s="212"/>
      <c r="AG216" s="212"/>
      <c r="AH216" s="212"/>
      <c r="AI216" s="212"/>
      <c r="AJ216" s="212"/>
      <c r="AK216" s="212"/>
      <c r="AL216" s="212"/>
      <c r="AM216" s="212"/>
      <c r="AN216" s="212"/>
      <c r="AO216" s="212"/>
      <c r="AP216" s="212"/>
      <c r="AQ216" s="212"/>
      <c r="AR216" s="212"/>
      <c r="AS216" s="212"/>
      <c r="AT216" s="212"/>
      <c r="AU216" s="212"/>
      <c r="AV216" s="212"/>
      <c r="AW216" s="212"/>
      <c r="AX216" s="212"/>
      <c r="AY216" s="212"/>
      <c r="AZ216" s="212"/>
      <c r="BA216" s="212"/>
      <c r="BB216" s="212"/>
      <c r="BC216" s="212"/>
      <c r="BD216" s="212"/>
      <c r="BE216" s="212"/>
      <c r="BF216" s="212"/>
      <c r="BG216" s="212"/>
      <c r="BH216" s="212"/>
      <c r="BI216" s="212"/>
      <c r="BJ216" s="212"/>
      <c r="BK216" s="212"/>
    </row>
    <row r="217" spans="1:63" s="118" customFormat="1" ht="15" customHeight="1">
      <c r="A217" s="226">
        <v>44400</v>
      </c>
      <c r="B217" s="232" t="s">
        <v>245</v>
      </c>
      <c r="C217" s="232" t="s">
        <v>88</v>
      </c>
      <c r="D217" s="232"/>
      <c r="E217" s="228">
        <v>10000</v>
      </c>
      <c r="F217" s="228"/>
      <c r="G217" s="228">
        <f t="shared" si="3"/>
        <v>43471325</v>
      </c>
      <c r="H217" s="232" t="s">
        <v>108</v>
      </c>
      <c r="I217" s="231" t="s">
        <v>335</v>
      </c>
      <c r="J217" s="231"/>
      <c r="K217" s="234"/>
      <c r="L217" s="227" t="s">
        <v>139</v>
      </c>
      <c r="M217" s="227"/>
      <c r="N217" s="235"/>
      <c r="O217" s="227"/>
      <c r="P217" s="212"/>
      <c r="Q217" s="212"/>
      <c r="R217" s="212"/>
      <c r="S217" s="212"/>
      <c r="T217" s="212"/>
      <c r="U217" s="212"/>
      <c r="V217" s="212"/>
      <c r="W217" s="212"/>
      <c r="X217" s="212"/>
      <c r="Y217" s="212"/>
      <c r="Z217" s="212"/>
      <c r="AA217" s="212"/>
      <c r="AB217" s="212"/>
      <c r="AC217" s="212"/>
      <c r="AD217" s="212"/>
      <c r="AE217" s="212"/>
      <c r="AF217" s="212"/>
      <c r="AG217" s="212"/>
      <c r="AH217" s="212"/>
      <c r="AI217" s="212"/>
      <c r="AJ217" s="212"/>
      <c r="AK217" s="212"/>
      <c r="AL217" s="212"/>
      <c r="AM217" s="212"/>
      <c r="AN217" s="212"/>
      <c r="AO217" s="212"/>
      <c r="AP217" s="212"/>
      <c r="AQ217" s="212"/>
      <c r="AR217" s="212"/>
      <c r="AS217" s="212"/>
      <c r="AT217" s="212"/>
      <c r="AU217" s="212"/>
      <c r="AV217" s="212"/>
      <c r="AW217" s="212"/>
      <c r="AX217" s="212"/>
      <c r="AY217" s="212"/>
      <c r="AZ217" s="212"/>
      <c r="BA217" s="212"/>
      <c r="BB217" s="212"/>
      <c r="BC217" s="212"/>
      <c r="BD217" s="212"/>
      <c r="BE217" s="212"/>
      <c r="BF217" s="212"/>
      <c r="BG217" s="212"/>
      <c r="BH217" s="212"/>
      <c r="BI217" s="212"/>
      <c r="BJ217" s="212"/>
      <c r="BK217" s="212"/>
    </row>
    <row r="218" spans="1:63" s="213" customFormat="1" ht="15" customHeight="1">
      <c r="A218" s="226">
        <v>44400</v>
      </c>
      <c r="B218" s="232" t="s">
        <v>300</v>
      </c>
      <c r="C218" s="232" t="s">
        <v>88</v>
      </c>
      <c r="D218" s="232" t="s">
        <v>5</v>
      </c>
      <c r="E218" s="228"/>
      <c r="F218" s="228">
        <v>1000000</v>
      </c>
      <c r="G218" s="228">
        <f t="shared" si="3"/>
        <v>42471325</v>
      </c>
      <c r="H218" s="232" t="s">
        <v>31</v>
      </c>
      <c r="I218" s="231">
        <v>3654452</v>
      </c>
      <c r="J218" s="231"/>
      <c r="K218" s="234"/>
      <c r="L218" s="227" t="s">
        <v>139</v>
      </c>
      <c r="M218" s="235"/>
      <c r="N218" s="235"/>
      <c r="O218" s="227"/>
    </row>
    <row r="219" spans="1:63" s="213" customFormat="1" ht="15" customHeight="1">
      <c r="A219" s="226">
        <v>44400</v>
      </c>
      <c r="B219" s="236" t="s">
        <v>323</v>
      </c>
      <c r="C219" s="243" t="s">
        <v>4</v>
      </c>
      <c r="D219" s="241" t="s">
        <v>5</v>
      </c>
      <c r="E219" s="228"/>
      <c r="F219" s="228">
        <v>500000</v>
      </c>
      <c r="G219" s="228">
        <f t="shared" si="3"/>
        <v>41971325</v>
      </c>
      <c r="H219" s="234" t="s">
        <v>32</v>
      </c>
      <c r="I219" s="231" t="s">
        <v>101</v>
      </c>
      <c r="J219" s="231" t="s">
        <v>118</v>
      </c>
      <c r="K219" s="234" t="s">
        <v>137</v>
      </c>
      <c r="L219" s="227" t="s">
        <v>139</v>
      </c>
      <c r="M219" s="4" t="s">
        <v>449</v>
      </c>
      <c r="N219" s="235" t="s">
        <v>363</v>
      </c>
      <c r="O219" s="227"/>
      <c r="P219" s="212"/>
      <c r="Q219" s="212"/>
      <c r="R219" s="212"/>
      <c r="S219" s="212"/>
      <c r="T219" s="212"/>
      <c r="U219" s="212"/>
      <c r="V219" s="212"/>
      <c r="W219" s="212"/>
      <c r="X219" s="212"/>
      <c r="Y219" s="212"/>
      <c r="Z219" s="212"/>
      <c r="AA219" s="212"/>
      <c r="AB219" s="212"/>
      <c r="AC219" s="212"/>
      <c r="AD219" s="212"/>
      <c r="AE219" s="212"/>
      <c r="AF219" s="212"/>
      <c r="AG219" s="212"/>
      <c r="AH219" s="212"/>
      <c r="AI219" s="212"/>
      <c r="AJ219" s="212"/>
      <c r="AK219" s="212"/>
      <c r="AL219" s="212"/>
      <c r="AM219" s="212"/>
      <c r="AN219" s="212"/>
      <c r="AO219" s="212"/>
      <c r="AP219" s="212"/>
      <c r="AQ219" s="212"/>
      <c r="AR219" s="212"/>
      <c r="AS219" s="212"/>
      <c r="AT219" s="212"/>
      <c r="AU219" s="212"/>
      <c r="AV219" s="212"/>
      <c r="AW219" s="212"/>
      <c r="AX219" s="212"/>
      <c r="AY219" s="212"/>
      <c r="AZ219" s="212"/>
      <c r="BA219" s="212"/>
      <c r="BB219" s="212"/>
      <c r="BC219" s="212"/>
      <c r="BD219" s="212"/>
      <c r="BE219" s="212"/>
      <c r="BF219" s="212"/>
      <c r="BG219" s="212"/>
      <c r="BH219" s="212"/>
      <c r="BI219" s="212"/>
      <c r="BJ219" s="212"/>
      <c r="BK219" s="212"/>
    </row>
    <row r="220" spans="1:63" s="118" customFormat="1" ht="15" customHeight="1">
      <c r="A220" s="226">
        <v>44400</v>
      </c>
      <c r="B220" s="236" t="s">
        <v>324</v>
      </c>
      <c r="C220" s="232" t="s">
        <v>2</v>
      </c>
      <c r="D220" s="241" t="s">
        <v>6</v>
      </c>
      <c r="E220" s="228"/>
      <c r="F220" s="228">
        <v>827671</v>
      </c>
      <c r="G220" s="228">
        <f t="shared" si="3"/>
        <v>41143654</v>
      </c>
      <c r="H220" s="234" t="s">
        <v>32</v>
      </c>
      <c r="I220" s="231">
        <v>3643507</v>
      </c>
      <c r="J220" s="231" t="s">
        <v>118</v>
      </c>
      <c r="K220" s="234" t="s">
        <v>137</v>
      </c>
      <c r="L220" s="227" t="s">
        <v>139</v>
      </c>
      <c r="M220" s="4" t="s">
        <v>450</v>
      </c>
      <c r="N220" s="235" t="s">
        <v>359</v>
      </c>
      <c r="O220" s="227"/>
    </row>
    <row r="221" spans="1:63" s="118" customFormat="1" ht="15" customHeight="1">
      <c r="A221" s="226">
        <v>44403</v>
      </c>
      <c r="B221" s="232" t="s">
        <v>229</v>
      </c>
      <c r="C221" s="232" t="s">
        <v>7</v>
      </c>
      <c r="D221" s="232" t="s">
        <v>6</v>
      </c>
      <c r="E221" s="228"/>
      <c r="F221" s="228">
        <v>10000</v>
      </c>
      <c r="G221" s="228">
        <f t="shared" si="3"/>
        <v>41133654</v>
      </c>
      <c r="H221" s="232" t="s">
        <v>34</v>
      </c>
      <c r="I221" s="231"/>
      <c r="J221" s="231" t="s">
        <v>135</v>
      </c>
      <c r="K221" s="234" t="s">
        <v>136</v>
      </c>
      <c r="L221" s="227" t="s">
        <v>139</v>
      </c>
      <c r="M221" s="227"/>
      <c r="N221" s="235"/>
      <c r="O221" s="227"/>
    </row>
    <row r="222" spans="1:63" s="212" customFormat="1" ht="15" customHeight="1">
      <c r="A222" s="226">
        <v>44403</v>
      </c>
      <c r="B222" s="232" t="s">
        <v>230</v>
      </c>
      <c r="C222" s="232" t="s">
        <v>7</v>
      </c>
      <c r="D222" s="232" t="s">
        <v>6</v>
      </c>
      <c r="E222" s="228"/>
      <c r="F222" s="228">
        <v>5000</v>
      </c>
      <c r="G222" s="228">
        <f t="shared" si="3"/>
        <v>41128654</v>
      </c>
      <c r="H222" s="232" t="s">
        <v>34</v>
      </c>
      <c r="I222" s="231"/>
      <c r="J222" s="231" t="s">
        <v>135</v>
      </c>
      <c r="K222" s="234" t="s">
        <v>136</v>
      </c>
      <c r="L222" s="227" t="s">
        <v>139</v>
      </c>
      <c r="M222" s="227"/>
      <c r="N222" s="235"/>
      <c r="O222" s="227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8"/>
      <c r="AM222" s="118"/>
      <c r="AN222" s="118"/>
      <c r="AO222" s="118"/>
      <c r="AP222" s="118"/>
      <c r="AQ222" s="118"/>
      <c r="AR222" s="118"/>
      <c r="AS222" s="118"/>
      <c r="AT222" s="118"/>
      <c r="AU222" s="118"/>
      <c r="AV222" s="118"/>
      <c r="AW222" s="118"/>
      <c r="AX222" s="118"/>
      <c r="AY222" s="118"/>
      <c r="AZ222" s="118"/>
      <c r="BA222" s="118"/>
      <c r="BB222" s="118"/>
      <c r="BC222" s="118"/>
      <c r="BD222" s="118"/>
      <c r="BE222" s="118"/>
      <c r="BF222" s="118"/>
      <c r="BG222" s="118"/>
      <c r="BH222" s="118"/>
      <c r="BI222" s="118"/>
      <c r="BJ222" s="118"/>
      <c r="BK222" s="118"/>
    </row>
    <row r="223" spans="1:63" s="118" customFormat="1" ht="15" customHeight="1">
      <c r="A223" s="226">
        <v>44403</v>
      </c>
      <c r="B223" s="232" t="s">
        <v>231</v>
      </c>
      <c r="C223" s="232" t="s">
        <v>2</v>
      </c>
      <c r="D223" s="237" t="s">
        <v>156</v>
      </c>
      <c r="E223" s="228"/>
      <c r="F223" s="228">
        <v>106000</v>
      </c>
      <c r="G223" s="228">
        <f t="shared" si="3"/>
        <v>41022654</v>
      </c>
      <c r="H223" s="232" t="s">
        <v>34</v>
      </c>
      <c r="I223" s="231" t="s">
        <v>45</v>
      </c>
      <c r="J223" s="231" t="s">
        <v>135</v>
      </c>
      <c r="K223" s="234" t="s">
        <v>136</v>
      </c>
      <c r="L223" s="227" t="s">
        <v>139</v>
      </c>
      <c r="M223" s="227"/>
      <c r="N223" s="235"/>
      <c r="O223" s="227"/>
    </row>
    <row r="224" spans="1:63" s="212" customFormat="1" ht="15" customHeight="1">
      <c r="A224" s="226">
        <v>44403</v>
      </c>
      <c r="B224" s="232" t="s">
        <v>40</v>
      </c>
      <c r="C224" s="232" t="s">
        <v>88</v>
      </c>
      <c r="D224" s="232"/>
      <c r="E224" s="228"/>
      <c r="F224" s="228">
        <v>10000</v>
      </c>
      <c r="G224" s="228">
        <f t="shared" si="3"/>
        <v>41012654</v>
      </c>
      <c r="H224" s="232" t="s">
        <v>34</v>
      </c>
      <c r="I224" s="231"/>
      <c r="J224" s="235"/>
      <c r="K224" s="234"/>
      <c r="L224" s="227" t="s">
        <v>139</v>
      </c>
      <c r="M224" s="227"/>
      <c r="N224" s="235"/>
      <c r="O224" s="227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  <c r="AA224" s="118"/>
      <c r="AB224" s="118"/>
      <c r="AC224" s="118"/>
      <c r="AD224" s="118"/>
      <c r="AE224" s="118"/>
      <c r="AF224" s="118"/>
      <c r="AG224" s="118"/>
      <c r="AH224" s="118"/>
      <c r="AI224" s="118"/>
      <c r="AJ224" s="118"/>
      <c r="AK224" s="118"/>
      <c r="AL224" s="118"/>
      <c r="AM224" s="118"/>
      <c r="AN224" s="118"/>
      <c r="AO224" s="118"/>
      <c r="AP224" s="118"/>
      <c r="AQ224" s="118"/>
      <c r="AR224" s="118"/>
      <c r="AS224" s="118"/>
      <c r="AT224" s="118"/>
      <c r="AU224" s="118"/>
      <c r="AV224" s="118"/>
      <c r="AW224" s="118"/>
      <c r="AX224" s="118"/>
      <c r="AY224" s="118"/>
      <c r="AZ224" s="118"/>
      <c r="BA224" s="118"/>
      <c r="BB224" s="118"/>
      <c r="BC224" s="118"/>
      <c r="BD224" s="118"/>
      <c r="BE224" s="118"/>
      <c r="BF224" s="118"/>
      <c r="BG224" s="118"/>
      <c r="BH224" s="118"/>
      <c r="BI224" s="118"/>
      <c r="BJ224" s="118"/>
      <c r="BK224" s="118"/>
    </row>
    <row r="225" spans="1:63" s="118" customFormat="1" ht="15" customHeight="1">
      <c r="A225" s="226">
        <v>44403</v>
      </c>
      <c r="B225" s="232" t="s">
        <v>284</v>
      </c>
      <c r="C225" s="232" t="s">
        <v>88</v>
      </c>
      <c r="D225" s="232" t="s">
        <v>33</v>
      </c>
      <c r="E225" s="228">
        <v>10000</v>
      </c>
      <c r="F225" s="228"/>
      <c r="G225" s="228">
        <f t="shared" si="3"/>
        <v>41022654</v>
      </c>
      <c r="H225" s="234" t="s">
        <v>40</v>
      </c>
      <c r="I225" s="231" t="s">
        <v>335</v>
      </c>
      <c r="J225" s="231"/>
      <c r="K225" s="234"/>
      <c r="L225" s="227" t="s">
        <v>139</v>
      </c>
      <c r="M225" s="227"/>
      <c r="N225" s="235"/>
      <c r="O225" s="227"/>
    </row>
    <row r="226" spans="1:63" s="118" customFormat="1" ht="15" customHeight="1">
      <c r="A226" s="226">
        <v>44403</v>
      </c>
      <c r="B226" s="234" t="s">
        <v>268</v>
      </c>
      <c r="C226" s="234" t="s">
        <v>43</v>
      </c>
      <c r="D226" s="237" t="s">
        <v>156</v>
      </c>
      <c r="E226" s="228"/>
      <c r="F226" s="228">
        <v>10000</v>
      </c>
      <c r="G226" s="228">
        <f t="shared" si="3"/>
        <v>41012654</v>
      </c>
      <c r="H226" s="234" t="s">
        <v>38</v>
      </c>
      <c r="I226" s="231" t="s">
        <v>45</v>
      </c>
      <c r="J226" s="231" t="s">
        <v>118</v>
      </c>
      <c r="K226" s="234" t="s">
        <v>137</v>
      </c>
      <c r="L226" s="227" t="s">
        <v>139</v>
      </c>
      <c r="M226" s="4" t="s">
        <v>452</v>
      </c>
      <c r="N226" s="235" t="s">
        <v>142</v>
      </c>
      <c r="O226" s="227"/>
    </row>
    <row r="227" spans="1:63" s="118" customFormat="1" ht="15" customHeight="1">
      <c r="A227" s="226">
        <v>44403</v>
      </c>
      <c r="B227" s="234" t="s">
        <v>512</v>
      </c>
      <c r="C227" s="234" t="s">
        <v>247</v>
      </c>
      <c r="D227" s="237" t="s">
        <v>156</v>
      </c>
      <c r="E227" s="228"/>
      <c r="F227" s="228">
        <v>50000</v>
      </c>
      <c r="G227" s="228">
        <f t="shared" si="3"/>
        <v>40962654</v>
      </c>
      <c r="H227" s="234" t="s">
        <v>38</v>
      </c>
      <c r="I227" s="231" t="s">
        <v>335</v>
      </c>
      <c r="J227" s="231" t="s">
        <v>118</v>
      </c>
      <c r="K227" s="234" t="s">
        <v>137</v>
      </c>
      <c r="L227" s="227" t="s">
        <v>139</v>
      </c>
      <c r="M227" s="4" t="s">
        <v>453</v>
      </c>
      <c r="N227" s="235" t="s">
        <v>364</v>
      </c>
      <c r="O227" s="227"/>
    </row>
    <row r="228" spans="1:63" s="118" customFormat="1" ht="15" customHeight="1">
      <c r="A228" s="226">
        <v>44403</v>
      </c>
      <c r="B228" s="236" t="s">
        <v>325</v>
      </c>
      <c r="C228" s="243" t="s">
        <v>2</v>
      </c>
      <c r="D228" s="232" t="s">
        <v>89</v>
      </c>
      <c r="E228" s="228"/>
      <c r="F228" s="228">
        <v>356500</v>
      </c>
      <c r="G228" s="228">
        <f t="shared" si="3"/>
        <v>40606154</v>
      </c>
      <c r="H228" s="234" t="s">
        <v>32</v>
      </c>
      <c r="I228" s="231">
        <v>3643500</v>
      </c>
      <c r="J228" s="231" t="s">
        <v>118</v>
      </c>
      <c r="K228" s="234" t="s">
        <v>137</v>
      </c>
      <c r="L228" s="227" t="s">
        <v>139</v>
      </c>
      <c r="M228" s="4" t="s">
        <v>454</v>
      </c>
      <c r="N228" s="235" t="s">
        <v>358</v>
      </c>
      <c r="O228" s="227"/>
      <c r="P228" s="212"/>
      <c r="Q228" s="212"/>
      <c r="R228" s="212"/>
      <c r="S228" s="212"/>
      <c r="T228" s="212"/>
      <c r="U228" s="212"/>
      <c r="V228" s="212"/>
      <c r="W228" s="212"/>
      <c r="X228" s="212"/>
      <c r="Y228" s="212"/>
      <c r="Z228" s="212"/>
      <c r="AA228" s="212"/>
      <c r="AB228" s="212"/>
      <c r="AC228" s="212"/>
      <c r="AD228" s="212"/>
      <c r="AE228" s="212"/>
      <c r="AF228" s="212"/>
      <c r="AG228" s="212"/>
      <c r="AH228" s="212"/>
      <c r="AI228" s="212"/>
      <c r="AJ228" s="212"/>
      <c r="AK228" s="212"/>
      <c r="AL228" s="212"/>
      <c r="AM228" s="212"/>
      <c r="AN228" s="212"/>
      <c r="AO228" s="212"/>
      <c r="AP228" s="212"/>
      <c r="AQ228" s="212"/>
      <c r="AR228" s="212"/>
      <c r="AS228" s="212"/>
      <c r="AT228" s="212"/>
      <c r="AU228" s="212"/>
      <c r="AV228" s="212"/>
      <c r="AW228" s="212"/>
      <c r="AX228" s="212"/>
      <c r="AY228" s="212"/>
      <c r="AZ228" s="212"/>
      <c r="BA228" s="212"/>
      <c r="BB228" s="212"/>
      <c r="BC228" s="212"/>
      <c r="BD228" s="212"/>
      <c r="BE228" s="212"/>
      <c r="BF228" s="212"/>
      <c r="BG228" s="212"/>
      <c r="BH228" s="212"/>
      <c r="BI228" s="212"/>
      <c r="BJ228" s="212"/>
      <c r="BK228" s="212"/>
    </row>
    <row r="229" spans="1:63" s="118" customFormat="1" ht="15" customHeight="1">
      <c r="A229" s="226">
        <v>44403</v>
      </c>
      <c r="B229" s="236" t="s">
        <v>326</v>
      </c>
      <c r="C229" s="243" t="s">
        <v>2</v>
      </c>
      <c r="D229" s="232" t="s">
        <v>89</v>
      </c>
      <c r="E229" s="228"/>
      <c r="F229" s="228">
        <v>308000</v>
      </c>
      <c r="G229" s="228">
        <f t="shared" si="3"/>
        <v>40298154</v>
      </c>
      <c r="H229" s="234" t="s">
        <v>32</v>
      </c>
      <c r="I229" s="231">
        <v>3643501</v>
      </c>
      <c r="J229" s="231" t="s">
        <v>118</v>
      </c>
      <c r="K229" s="234" t="s">
        <v>137</v>
      </c>
      <c r="L229" s="227" t="s">
        <v>139</v>
      </c>
      <c r="M229" s="4" t="s">
        <v>455</v>
      </c>
      <c r="N229" s="235" t="s">
        <v>358</v>
      </c>
      <c r="O229" s="227"/>
      <c r="P229" s="212"/>
      <c r="Q229" s="212"/>
      <c r="R229" s="212"/>
      <c r="S229" s="212"/>
      <c r="T229" s="212"/>
      <c r="U229" s="212"/>
      <c r="V229" s="212"/>
      <c r="W229" s="212"/>
      <c r="X229" s="212"/>
      <c r="Y229" s="212"/>
      <c r="Z229" s="212"/>
      <c r="AA229" s="212"/>
      <c r="AB229" s="212"/>
      <c r="AC229" s="212"/>
      <c r="AD229" s="212"/>
      <c r="AE229" s="212"/>
      <c r="AF229" s="212"/>
      <c r="AG229" s="212"/>
      <c r="AH229" s="212"/>
      <c r="AI229" s="212"/>
      <c r="AJ229" s="212"/>
      <c r="AK229" s="212"/>
      <c r="AL229" s="212"/>
      <c r="AM229" s="212"/>
      <c r="AN229" s="212"/>
      <c r="AO229" s="212"/>
      <c r="AP229" s="212"/>
      <c r="AQ229" s="212"/>
      <c r="AR229" s="212"/>
      <c r="AS229" s="212"/>
      <c r="AT229" s="212"/>
      <c r="AU229" s="212"/>
      <c r="AV229" s="212"/>
      <c r="AW229" s="212"/>
      <c r="AX229" s="212"/>
      <c r="AY229" s="212"/>
      <c r="AZ229" s="212"/>
      <c r="BA229" s="212"/>
      <c r="BB229" s="212"/>
      <c r="BC229" s="212"/>
      <c r="BD229" s="212"/>
      <c r="BE229" s="212"/>
      <c r="BF229" s="212"/>
      <c r="BG229" s="212"/>
      <c r="BH229" s="212"/>
      <c r="BI229" s="212"/>
      <c r="BJ229" s="212"/>
      <c r="BK229" s="212"/>
    </row>
    <row r="230" spans="1:63" s="118" customFormat="1" ht="15" customHeight="1">
      <c r="A230" s="226">
        <v>44403</v>
      </c>
      <c r="B230" s="236" t="s">
        <v>327</v>
      </c>
      <c r="C230" s="243" t="s">
        <v>2</v>
      </c>
      <c r="D230" s="232" t="s">
        <v>33</v>
      </c>
      <c r="E230" s="228"/>
      <c r="F230" s="228">
        <v>230000</v>
      </c>
      <c r="G230" s="228">
        <f t="shared" si="3"/>
        <v>40068154</v>
      </c>
      <c r="H230" s="234" t="s">
        <v>32</v>
      </c>
      <c r="I230" s="231">
        <v>3643502</v>
      </c>
      <c r="J230" s="231" t="s">
        <v>118</v>
      </c>
      <c r="K230" s="234" t="s">
        <v>137</v>
      </c>
      <c r="L230" s="227" t="s">
        <v>139</v>
      </c>
      <c r="M230" s="4" t="s">
        <v>456</v>
      </c>
      <c r="N230" s="235" t="s">
        <v>361</v>
      </c>
      <c r="O230" s="227"/>
      <c r="P230" s="212"/>
      <c r="Q230" s="212"/>
      <c r="R230" s="212"/>
      <c r="S230" s="212"/>
      <c r="T230" s="212"/>
      <c r="U230" s="212"/>
      <c r="V230" s="212"/>
      <c r="W230" s="212"/>
      <c r="X230" s="212"/>
      <c r="Y230" s="212"/>
      <c r="Z230" s="212"/>
      <c r="AA230" s="212"/>
      <c r="AB230" s="212"/>
      <c r="AC230" s="212"/>
      <c r="AD230" s="212"/>
      <c r="AE230" s="212"/>
      <c r="AF230" s="212"/>
      <c r="AG230" s="212"/>
      <c r="AH230" s="212"/>
      <c r="AI230" s="212"/>
      <c r="AJ230" s="212"/>
      <c r="AK230" s="212"/>
      <c r="AL230" s="212"/>
      <c r="AM230" s="212"/>
      <c r="AN230" s="212"/>
      <c r="AO230" s="212"/>
      <c r="AP230" s="212"/>
      <c r="AQ230" s="212"/>
      <c r="AR230" s="212"/>
      <c r="AS230" s="212"/>
      <c r="AT230" s="212"/>
      <c r="AU230" s="212"/>
      <c r="AV230" s="212"/>
      <c r="AW230" s="212"/>
      <c r="AX230" s="212"/>
      <c r="AY230" s="212"/>
      <c r="AZ230" s="212"/>
      <c r="BA230" s="212"/>
      <c r="BB230" s="212"/>
      <c r="BC230" s="212"/>
      <c r="BD230" s="212"/>
      <c r="BE230" s="212"/>
      <c r="BF230" s="212"/>
      <c r="BG230" s="212"/>
      <c r="BH230" s="212"/>
      <c r="BI230" s="212"/>
      <c r="BJ230" s="212"/>
      <c r="BK230" s="212"/>
    </row>
    <row r="231" spans="1:63" s="118" customFormat="1" ht="15" customHeight="1">
      <c r="A231" s="226">
        <v>44403</v>
      </c>
      <c r="B231" s="236" t="s">
        <v>328</v>
      </c>
      <c r="C231" s="243" t="s">
        <v>2</v>
      </c>
      <c r="D231" s="237" t="s">
        <v>156</v>
      </c>
      <c r="E231" s="228"/>
      <c r="F231" s="228">
        <v>191000</v>
      </c>
      <c r="G231" s="228">
        <f t="shared" si="3"/>
        <v>39877154</v>
      </c>
      <c r="H231" s="234" t="s">
        <v>32</v>
      </c>
      <c r="I231" s="231">
        <v>3643503</v>
      </c>
      <c r="J231" s="231" t="s">
        <v>118</v>
      </c>
      <c r="K231" s="234" t="s">
        <v>137</v>
      </c>
      <c r="L231" s="227" t="s">
        <v>139</v>
      </c>
      <c r="M231" s="4" t="s">
        <v>457</v>
      </c>
      <c r="N231" s="235" t="s">
        <v>357</v>
      </c>
      <c r="O231" s="227"/>
    </row>
    <row r="232" spans="1:63" s="118" customFormat="1" ht="15" customHeight="1">
      <c r="A232" s="226">
        <v>44403</v>
      </c>
      <c r="B232" s="236" t="s">
        <v>329</v>
      </c>
      <c r="C232" s="232" t="s">
        <v>2</v>
      </c>
      <c r="D232" s="237" t="s">
        <v>156</v>
      </c>
      <c r="E232" s="228"/>
      <c r="F232" s="228">
        <v>400000</v>
      </c>
      <c r="G232" s="228">
        <f t="shared" si="3"/>
        <v>39477154</v>
      </c>
      <c r="H232" s="234" t="s">
        <v>32</v>
      </c>
      <c r="I232" s="231">
        <v>3643504</v>
      </c>
      <c r="J232" s="231" t="s">
        <v>118</v>
      </c>
      <c r="K232" s="234" t="s">
        <v>137</v>
      </c>
      <c r="L232" s="227" t="s">
        <v>139</v>
      </c>
      <c r="M232" s="4" t="s">
        <v>458</v>
      </c>
      <c r="N232" s="235" t="s">
        <v>357</v>
      </c>
      <c r="O232" s="227"/>
      <c r="P232" s="207"/>
      <c r="Q232" s="207"/>
      <c r="R232" s="207"/>
      <c r="S232" s="207"/>
      <c r="T232" s="207"/>
      <c r="U232" s="207"/>
      <c r="V232" s="207"/>
      <c r="W232" s="207"/>
      <c r="X232" s="207"/>
      <c r="Y232" s="207"/>
      <c r="Z232" s="207"/>
      <c r="AA232" s="207"/>
      <c r="AB232" s="207"/>
      <c r="AC232" s="207"/>
      <c r="AD232" s="207"/>
      <c r="AE232" s="207"/>
      <c r="AF232" s="207"/>
      <c r="AG232" s="207"/>
      <c r="AH232" s="207"/>
      <c r="AI232" s="207"/>
      <c r="AJ232" s="207"/>
      <c r="AK232" s="207"/>
      <c r="AL232" s="207"/>
      <c r="AM232" s="207"/>
      <c r="AN232" s="207"/>
      <c r="AO232" s="207"/>
      <c r="AP232" s="207"/>
      <c r="AQ232" s="207"/>
      <c r="AR232" s="207"/>
      <c r="AS232" s="207"/>
      <c r="AT232" s="207"/>
      <c r="AU232" s="207"/>
      <c r="AV232" s="207"/>
      <c r="AW232" s="207"/>
      <c r="AX232" s="207"/>
      <c r="AY232" s="207"/>
      <c r="AZ232" s="207"/>
      <c r="BA232" s="207"/>
      <c r="BB232" s="207"/>
      <c r="BC232" s="207"/>
      <c r="BD232" s="207"/>
      <c r="BE232" s="207"/>
      <c r="BF232" s="207"/>
      <c r="BG232" s="207"/>
      <c r="BH232" s="207"/>
      <c r="BI232" s="207"/>
      <c r="BJ232" s="207"/>
      <c r="BK232" s="207"/>
    </row>
    <row r="233" spans="1:63" s="118" customFormat="1" ht="16.5" customHeight="1">
      <c r="A233" s="226">
        <v>44403</v>
      </c>
      <c r="B233" s="236" t="s">
        <v>330</v>
      </c>
      <c r="C233" s="232" t="s">
        <v>2</v>
      </c>
      <c r="D233" s="241" t="s">
        <v>6</v>
      </c>
      <c r="E233" s="228"/>
      <c r="F233" s="228">
        <v>400000</v>
      </c>
      <c r="G233" s="228">
        <f t="shared" si="3"/>
        <v>39077154</v>
      </c>
      <c r="H233" s="234" t="s">
        <v>32</v>
      </c>
      <c r="I233" s="231">
        <v>3643508</v>
      </c>
      <c r="J233" s="231" t="s">
        <v>118</v>
      </c>
      <c r="K233" s="234" t="s">
        <v>137</v>
      </c>
      <c r="L233" s="227" t="s">
        <v>139</v>
      </c>
      <c r="M233" s="4" t="s">
        <v>459</v>
      </c>
      <c r="N233" s="235" t="s">
        <v>360</v>
      </c>
      <c r="O233" s="227"/>
      <c r="P233" s="213"/>
      <c r="Q233" s="213"/>
      <c r="R233" s="213"/>
      <c r="S233" s="213"/>
      <c r="T233" s="213"/>
      <c r="U233" s="213"/>
      <c r="V233" s="213"/>
      <c r="W233" s="213"/>
      <c r="X233" s="213"/>
      <c r="Y233" s="213"/>
      <c r="Z233" s="213"/>
      <c r="AA233" s="213"/>
      <c r="AB233" s="213"/>
      <c r="AC233" s="213"/>
      <c r="AD233" s="213"/>
      <c r="AE233" s="213"/>
      <c r="AF233" s="213"/>
      <c r="AG233" s="213"/>
      <c r="AH233" s="213"/>
      <c r="AI233" s="213"/>
      <c r="AJ233" s="213"/>
      <c r="AK233" s="213"/>
      <c r="AL233" s="213"/>
      <c r="AM233" s="213"/>
      <c r="AN233" s="213"/>
      <c r="AO233" s="213"/>
      <c r="AP233" s="213"/>
      <c r="AQ233" s="213"/>
      <c r="AR233" s="213"/>
      <c r="AS233" s="213"/>
      <c r="AT233" s="213"/>
      <c r="AU233" s="213"/>
      <c r="AV233" s="213"/>
      <c r="AW233" s="213"/>
      <c r="AX233" s="213"/>
      <c r="AY233" s="213"/>
      <c r="AZ233" s="213"/>
      <c r="BA233" s="213"/>
      <c r="BB233" s="213"/>
      <c r="BC233" s="213"/>
      <c r="BD233" s="213"/>
      <c r="BE233" s="213"/>
      <c r="BF233" s="213"/>
      <c r="BG233" s="213"/>
      <c r="BH233" s="213"/>
      <c r="BI233" s="213"/>
      <c r="BJ233" s="213"/>
      <c r="BK233" s="213"/>
    </row>
    <row r="234" spans="1:63" s="118" customFormat="1" ht="15" customHeight="1">
      <c r="A234" s="226">
        <v>44403</v>
      </c>
      <c r="B234" s="236" t="s">
        <v>331</v>
      </c>
      <c r="C234" s="232" t="s">
        <v>2</v>
      </c>
      <c r="D234" s="241" t="s">
        <v>6</v>
      </c>
      <c r="E234" s="228"/>
      <c r="F234" s="228">
        <v>275000</v>
      </c>
      <c r="G234" s="228">
        <f t="shared" si="3"/>
        <v>38802154</v>
      </c>
      <c r="H234" s="234" t="s">
        <v>32</v>
      </c>
      <c r="I234" s="231">
        <v>3643509</v>
      </c>
      <c r="J234" s="231" t="s">
        <v>118</v>
      </c>
      <c r="K234" s="234" t="s">
        <v>137</v>
      </c>
      <c r="L234" s="227" t="s">
        <v>139</v>
      </c>
      <c r="M234" s="4" t="s">
        <v>460</v>
      </c>
      <c r="N234" s="235" t="s">
        <v>360</v>
      </c>
      <c r="O234" s="227"/>
      <c r="P234" s="207"/>
      <c r="Q234" s="207"/>
      <c r="R234" s="207"/>
      <c r="S234" s="207"/>
      <c r="T234" s="207"/>
      <c r="U234" s="207"/>
      <c r="V234" s="207"/>
      <c r="W234" s="207"/>
      <c r="X234" s="207"/>
      <c r="Y234" s="207"/>
      <c r="Z234" s="207"/>
      <c r="AA234" s="207"/>
      <c r="AB234" s="207"/>
      <c r="AC234" s="207"/>
      <c r="AD234" s="207"/>
      <c r="AE234" s="207"/>
      <c r="AF234" s="207"/>
      <c r="AG234" s="207"/>
      <c r="AH234" s="207"/>
      <c r="AI234" s="207"/>
      <c r="AJ234" s="207"/>
      <c r="AK234" s="207"/>
      <c r="AL234" s="207"/>
      <c r="AM234" s="207"/>
      <c r="AN234" s="207"/>
      <c r="AO234" s="207"/>
      <c r="AP234" s="207"/>
      <c r="AQ234" s="207"/>
      <c r="AR234" s="207"/>
      <c r="AS234" s="207"/>
      <c r="AT234" s="207"/>
      <c r="AU234" s="207"/>
      <c r="AV234" s="207"/>
      <c r="AW234" s="207"/>
      <c r="AX234" s="207"/>
      <c r="AY234" s="207"/>
      <c r="AZ234" s="207"/>
      <c r="BA234" s="207"/>
      <c r="BB234" s="207"/>
      <c r="BC234" s="207"/>
      <c r="BD234" s="207"/>
      <c r="BE234" s="207"/>
      <c r="BF234" s="207"/>
      <c r="BG234" s="207"/>
      <c r="BH234" s="207"/>
      <c r="BI234" s="207"/>
      <c r="BJ234" s="207"/>
      <c r="BK234" s="207"/>
    </row>
    <row r="235" spans="1:63" s="118" customFormat="1" ht="15" customHeight="1">
      <c r="A235" s="226">
        <v>44403</v>
      </c>
      <c r="B235" s="236" t="s">
        <v>332</v>
      </c>
      <c r="C235" s="232" t="s">
        <v>336</v>
      </c>
      <c r="D235" s="232" t="s">
        <v>8</v>
      </c>
      <c r="E235" s="228"/>
      <c r="F235" s="228">
        <v>5000</v>
      </c>
      <c r="G235" s="228">
        <f t="shared" si="3"/>
        <v>38797154</v>
      </c>
      <c r="H235" s="234" t="s">
        <v>32</v>
      </c>
      <c r="I235" s="231" t="s">
        <v>353</v>
      </c>
      <c r="J235" s="231" t="s">
        <v>118</v>
      </c>
      <c r="K235" s="234" t="s">
        <v>137</v>
      </c>
      <c r="L235" s="227" t="s">
        <v>139</v>
      </c>
      <c r="M235" s="4" t="s">
        <v>461</v>
      </c>
      <c r="N235" s="235" t="s">
        <v>138</v>
      </c>
      <c r="O235" s="227"/>
      <c r="P235" s="207"/>
      <c r="Q235" s="207"/>
      <c r="R235" s="207"/>
      <c r="S235" s="207"/>
      <c r="T235" s="207"/>
      <c r="U235" s="207"/>
      <c r="V235" s="207"/>
      <c r="W235" s="207"/>
      <c r="X235" s="207"/>
      <c r="Y235" s="207"/>
      <c r="Z235" s="207"/>
      <c r="AA235" s="207"/>
      <c r="AB235" s="207"/>
      <c r="AC235" s="207"/>
      <c r="AD235" s="207"/>
      <c r="AE235" s="207"/>
      <c r="AF235" s="207"/>
      <c r="AG235" s="207"/>
      <c r="AH235" s="207"/>
      <c r="AI235" s="207"/>
      <c r="AJ235" s="207"/>
      <c r="AK235" s="207"/>
      <c r="AL235" s="207"/>
      <c r="AM235" s="207"/>
      <c r="AN235" s="207"/>
      <c r="AO235" s="207"/>
      <c r="AP235" s="207"/>
      <c r="AQ235" s="207"/>
      <c r="AR235" s="207"/>
      <c r="AS235" s="207"/>
      <c r="AT235" s="207"/>
      <c r="AU235" s="207"/>
      <c r="AV235" s="207"/>
      <c r="AW235" s="207"/>
      <c r="AX235" s="207"/>
      <c r="AY235" s="207"/>
      <c r="AZ235" s="207"/>
      <c r="BA235" s="207"/>
      <c r="BB235" s="207"/>
      <c r="BC235" s="207"/>
      <c r="BD235" s="207"/>
      <c r="BE235" s="207"/>
      <c r="BF235" s="207"/>
      <c r="BG235" s="207"/>
      <c r="BH235" s="207"/>
      <c r="BI235" s="207"/>
      <c r="BJ235" s="207"/>
      <c r="BK235" s="207"/>
    </row>
    <row r="236" spans="1:63" s="213" customFormat="1" ht="15" customHeight="1">
      <c r="A236" s="226">
        <v>44404</v>
      </c>
      <c r="B236" s="232" t="s">
        <v>41</v>
      </c>
      <c r="C236" s="232" t="s">
        <v>88</v>
      </c>
      <c r="D236" s="232"/>
      <c r="E236" s="228">
        <v>500</v>
      </c>
      <c r="F236" s="228"/>
      <c r="G236" s="228">
        <f t="shared" si="3"/>
        <v>38797654</v>
      </c>
      <c r="H236" s="232" t="s">
        <v>34</v>
      </c>
      <c r="I236" s="231"/>
      <c r="J236" s="231"/>
      <c r="K236" s="234"/>
      <c r="L236" s="227" t="s">
        <v>139</v>
      </c>
      <c r="M236" s="235"/>
      <c r="N236" s="235"/>
      <c r="O236" s="227"/>
      <c r="P236" s="212"/>
      <c r="Q236" s="212"/>
      <c r="R236" s="212"/>
      <c r="S236" s="212"/>
      <c r="T236" s="212"/>
      <c r="U236" s="212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2"/>
      <c r="AK236" s="212"/>
      <c r="AL236" s="212"/>
      <c r="AM236" s="212"/>
      <c r="AN236" s="212"/>
      <c r="AO236" s="212"/>
      <c r="AP236" s="212"/>
      <c r="AQ236" s="212"/>
      <c r="AR236" s="212"/>
      <c r="AS236" s="212"/>
      <c r="AT236" s="212"/>
      <c r="AU236" s="212"/>
      <c r="AV236" s="212"/>
      <c r="AW236" s="212"/>
      <c r="AX236" s="212"/>
      <c r="AY236" s="212"/>
      <c r="AZ236" s="212"/>
      <c r="BA236" s="212"/>
      <c r="BB236" s="212"/>
      <c r="BC236" s="212"/>
      <c r="BD236" s="212"/>
      <c r="BE236" s="212"/>
      <c r="BF236" s="212"/>
      <c r="BG236" s="212"/>
      <c r="BH236" s="212"/>
      <c r="BI236" s="212"/>
      <c r="BJ236" s="212"/>
      <c r="BK236" s="212"/>
    </row>
    <row r="237" spans="1:63" s="212" customFormat="1" ht="15" customHeight="1">
      <c r="A237" s="226">
        <v>44404</v>
      </c>
      <c r="B237" s="232" t="s">
        <v>232</v>
      </c>
      <c r="C237" s="232" t="s">
        <v>2</v>
      </c>
      <c r="D237" s="232" t="s">
        <v>6</v>
      </c>
      <c r="E237" s="228"/>
      <c r="F237" s="228">
        <v>401239</v>
      </c>
      <c r="G237" s="228">
        <f t="shared" si="3"/>
        <v>38396415</v>
      </c>
      <c r="H237" s="232" t="s">
        <v>34</v>
      </c>
      <c r="I237" s="231"/>
      <c r="J237" s="231" t="s">
        <v>135</v>
      </c>
      <c r="K237" s="234" t="s">
        <v>136</v>
      </c>
      <c r="L237" s="227" t="s">
        <v>139</v>
      </c>
      <c r="M237" s="227"/>
      <c r="N237" s="235"/>
      <c r="O237" s="227"/>
      <c r="P237" s="207"/>
      <c r="Q237" s="207"/>
      <c r="R237" s="207"/>
      <c r="S237" s="207"/>
      <c r="T237" s="207"/>
      <c r="U237" s="207"/>
      <c r="V237" s="207"/>
      <c r="W237" s="207"/>
      <c r="X237" s="207"/>
      <c r="Y237" s="207"/>
      <c r="Z237" s="207"/>
      <c r="AA237" s="207"/>
      <c r="AB237" s="207"/>
      <c r="AC237" s="207"/>
      <c r="AD237" s="207"/>
      <c r="AE237" s="207"/>
      <c r="AF237" s="207"/>
      <c r="AG237" s="207"/>
      <c r="AH237" s="207"/>
      <c r="AI237" s="207"/>
      <c r="AJ237" s="207"/>
      <c r="AK237" s="207"/>
      <c r="AL237" s="207"/>
      <c r="AM237" s="207"/>
      <c r="AN237" s="207"/>
      <c r="AO237" s="207"/>
      <c r="AP237" s="207"/>
      <c r="AQ237" s="207"/>
      <c r="AR237" s="207"/>
      <c r="AS237" s="207"/>
      <c r="AT237" s="207"/>
      <c r="AU237" s="207"/>
      <c r="AV237" s="207"/>
      <c r="AW237" s="207"/>
      <c r="AX237" s="207"/>
      <c r="AY237" s="207"/>
      <c r="AZ237" s="207"/>
      <c r="BA237" s="207"/>
      <c r="BB237" s="207"/>
      <c r="BC237" s="207"/>
      <c r="BD237" s="207"/>
      <c r="BE237" s="207"/>
      <c r="BF237" s="207"/>
      <c r="BG237" s="207"/>
      <c r="BH237" s="207"/>
      <c r="BI237" s="207"/>
      <c r="BJ237" s="207"/>
      <c r="BK237" s="207"/>
    </row>
    <row r="238" spans="1:63" s="212" customFormat="1" ht="15" customHeight="1">
      <c r="A238" s="226">
        <v>44404</v>
      </c>
      <c r="B238" s="232" t="s">
        <v>233</v>
      </c>
      <c r="C238" s="232" t="s">
        <v>177</v>
      </c>
      <c r="D238" s="232" t="s">
        <v>8</v>
      </c>
      <c r="E238" s="228"/>
      <c r="F238" s="228">
        <v>1500</v>
      </c>
      <c r="G238" s="228">
        <f t="shared" si="3"/>
        <v>38394915</v>
      </c>
      <c r="H238" s="232" t="s">
        <v>34</v>
      </c>
      <c r="I238" s="231" t="s">
        <v>45</v>
      </c>
      <c r="J238" s="231" t="s">
        <v>135</v>
      </c>
      <c r="K238" s="234" t="s">
        <v>136</v>
      </c>
      <c r="L238" s="227" t="s">
        <v>139</v>
      </c>
      <c r="M238" s="227"/>
      <c r="N238" s="235"/>
      <c r="O238" s="227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8"/>
      <c r="AI238" s="118"/>
      <c r="AJ238" s="118"/>
      <c r="AK238" s="118"/>
      <c r="AL238" s="118"/>
      <c r="AM238" s="118"/>
      <c r="AN238" s="118"/>
      <c r="AO238" s="118"/>
      <c r="AP238" s="118"/>
      <c r="AQ238" s="118"/>
      <c r="AR238" s="118"/>
      <c r="AS238" s="118"/>
      <c r="AT238" s="118"/>
      <c r="AU238" s="118"/>
      <c r="AV238" s="118"/>
      <c r="AW238" s="118"/>
      <c r="AX238" s="118"/>
      <c r="AY238" s="118"/>
      <c r="AZ238" s="118"/>
      <c r="BA238" s="118"/>
      <c r="BB238" s="118"/>
      <c r="BC238" s="118"/>
      <c r="BD238" s="118"/>
      <c r="BE238" s="118"/>
      <c r="BF238" s="118"/>
      <c r="BG238" s="118"/>
      <c r="BH238" s="118"/>
      <c r="BI238" s="118"/>
      <c r="BJ238" s="118"/>
      <c r="BK238" s="118"/>
    </row>
    <row r="239" spans="1:63" s="118" customFormat="1" ht="15" customHeight="1">
      <c r="A239" s="226">
        <v>44404</v>
      </c>
      <c r="B239" s="232" t="s">
        <v>234</v>
      </c>
      <c r="C239" s="232" t="s">
        <v>258</v>
      </c>
      <c r="D239" s="232" t="s">
        <v>344</v>
      </c>
      <c r="E239" s="228"/>
      <c r="F239" s="228">
        <v>20000</v>
      </c>
      <c r="G239" s="228">
        <f t="shared" si="3"/>
        <v>38374915</v>
      </c>
      <c r="H239" s="232" t="s">
        <v>34</v>
      </c>
      <c r="I239" s="231"/>
      <c r="J239" s="231" t="s">
        <v>135</v>
      </c>
      <c r="K239" s="234" t="s">
        <v>136</v>
      </c>
      <c r="L239" s="227" t="s">
        <v>139</v>
      </c>
      <c r="M239" s="227"/>
      <c r="N239" s="235"/>
      <c r="O239" s="227"/>
    </row>
    <row r="240" spans="1:63" s="118" customFormat="1" ht="15" customHeight="1">
      <c r="A240" s="226">
        <v>44404</v>
      </c>
      <c r="B240" s="234" t="s">
        <v>257</v>
      </c>
      <c r="C240" s="234" t="s">
        <v>2</v>
      </c>
      <c r="D240" s="237" t="s">
        <v>338</v>
      </c>
      <c r="E240" s="228"/>
      <c r="F240" s="228">
        <v>11000</v>
      </c>
      <c r="G240" s="228">
        <f t="shared" si="3"/>
        <v>38363915</v>
      </c>
      <c r="H240" s="232" t="s">
        <v>39</v>
      </c>
      <c r="I240" s="231" t="s">
        <v>45</v>
      </c>
      <c r="J240" s="231" t="s">
        <v>135</v>
      </c>
      <c r="K240" s="234" t="s">
        <v>136</v>
      </c>
      <c r="L240" s="227" t="s">
        <v>139</v>
      </c>
      <c r="M240" s="235"/>
      <c r="N240" s="235"/>
      <c r="O240" s="235"/>
      <c r="P240" s="207"/>
      <c r="Q240" s="207"/>
      <c r="R240" s="207"/>
      <c r="S240" s="207"/>
      <c r="T240" s="207"/>
      <c r="U240" s="207"/>
      <c r="V240" s="207"/>
      <c r="W240" s="207"/>
      <c r="X240" s="207"/>
      <c r="Y240" s="207"/>
      <c r="Z240" s="207"/>
      <c r="AA240" s="207"/>
      <c r="AB240" s="207"/>
      <c r="AC240" s="207"/>
      <c r="AD240" s="207"/>
      <c r="AE240" s="207"/>
      <c r="AF240" s="207"/>
      <c r="AG240" s="207"/>
      <c r="AH240" s="207"/>
      <c r="AI240" s="207"/>
      <c r="AJ240" s="207"/>
      <c r="AK240" s="207"/>
      <c r="AL240" s="207"/>
      <c r="AM240" s="207"/>
      <c r="AN240" s="207"/>
      <c r="AO240" s="207"/>
      <c r="AP240" s="207"/>
      <c r="AQ240" s="207"/>
      <c r="AR240" s="207"/>
      <c r="AS240" s="207"/>
      <c r="AT240" s="207"/>
      <c r="AU240" s="207"/>
      <c r="AV240" s="207"/>
      <c r="AW240" s="207"/>
      <c r="AX240" s="207"/>
      <c r="AY240" s="207"/>
      <c r="AZ240" s="207"/>
      <c r="BA240" s="207"/>
      <c r="BB240" s="207"/>
      <c r="BC240" s="207"/>
      <c r="BD240" s="207"/>
      <c r="BE240" s="207"/>
      <c r="BF240" s="207"/>
      <c r="BG240" s="207"/>
      <c r="BH240" s="207"/>
      <c r="BI240" s="207"/>
      <c r="BJ240" s="207"/>
      <c r="BK240" s="207"/>
    </row>
    <row r="241" spans="1:63" s="118" customFormat="1" ht="15" customHeight="1">
      <c r="A241" s="226">
        <v>44404</v>
      </c>
      <c r="B241" s="232" t="s">
        <v>296</v>
      </c>
      <c r="C241" s="232" t="s">
        <v>43</v>
      </c>
      <c r="D241" s="232" t="s">
        <v>6</v>
      </c>
      <c r="E241" s="228"/>
      <c r="F241" s="228">
        <v>15300</v>
      </c>
      <c r="G241" s="228">
        <f t="shared" si="3"/>
        <v>38348615</v>
      </c>
      <c r="H241" s="232" t="s">
        <v>41</v>
      </c>
      <c r="I241" s="231" t="s">
        <v>335</v>
      </c>
      <c r="J241" s="231" t="s">
        <v>118</v>
      </c>
      <c r="K241" s="234" t="s">
        <v>137</v>
      </c>
      <c r="L241" s="227" t="s">
        <v>139</v>
      </c>
      <c r="M241" s="4" t="s">
        <v>462</v>
      </c>
      <c r="N241" s="235" t="s">
        <v>142</v>
      </c>
      <c r="O241" s="227"/>
      <c r="P241" s="212"/>
      <c r="Q241" s="212"/>
      <c r="R241" s="212"/>
      <c r="S241" s="212"/>
      <c r="T241" s="212"/>
      <c r="U241" s="212"/>
      <c r="V241" s="212"/>
      <c r="W241" s="212"/>
      <c r="X241" s="212"/>
      <c r="Y241" s="212"/>
      <c r="Z241" s="212"/>
      <c r="AA241" s="212"/>
      <c r="AB241" s="212"/>
      <c r="AC241" s="212"/>
      <c r="AD241" s="212"/>
      <c r="AE241" s="212"/>
      <c r="AF241" s="212"/>
      <c r="AG241" s="212"/>
      <c r="AH241" s="212"/>
      <c r="AI241" s="212"/>
      <c r="AJ241" s="212"/>
      <c r="AK241" s="212"/>
      <c r="AL241" s="212"/>
      <c r="AM241" s="212"/>
      <c r="AN241" s="212"/>
      <c r="AO241" s="212"/>
      <c r="AP241" s="212"/>
      <c r="AQ241" s="212"/>
      <c r="AR241" s="212"/>
      <c r="AS241" s="212"/>
      <c r="AT241" s="212"/>
      <c r="AU241" s="212"/>
      <c r="AV241" s="212"/>
      <c r="AW241" s="212"/>
      <c r="AX241" s="212"/>
      <c r="AY241" s="212"/>
      <c r="AZ241" s="212"/>
      <c r="BA241" s="212"/>
      <c r="BB241" s="212"/>
      <c r="BC241" s="212"/>
      <c r="BD241" s="212"/>
      <c r="BE241" s="212"/>
      <c r="BF241" s="212"/>
      <c r="BG241" s="212"/>
      <c r="BH241" s="212"/>
      <c r="BI241" s="212"/>
      <c r="BJ241" s="212"/>
      <c r="BK241" s="212"/>
    </row>
    <row r="242" spans="1:63" s="213" customFormat="1" ht="15" customHeight="1">
      <c r="A242" s="226">
        <v>44404</v>
      </c>
      <c r="B242" s="232" t="s">
        <v>295</v>
      </c>
      <c r="C242" s="232" t="s">
        <v>88</v>
      </c>
      <c r="D242" s="232"/>
      <c r="E242" s="228"/>
      <c r="F242" s="228">
        <v>500</v>
      </c>
      <c r="G242" s="228">
        <f t="shared" si="3"/>
        <v>38348115</v>
      </c>
      <c r="H242" s="232" t="s">
        <v>41</v>
      </c>
      <c r="I242" s="231" t="s">
        <v>335</v>
      </c>
      <c r="J242" s="239"/>
      <c r="K242" s="234"/>
      <c r="L242" s="227" t="s">
        <v>139</v>
      </c>
      <c r="M242" s="235"/>
      <c r="N242" s="235"/>
      <c r="O242" s="227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  <c r="AG242" s="118"/>
      <c r="AH242" s="118"/>
      <c r="AI242" s="118"/>
      <c r="AJ242" s="118"/>
      <c r="AK242" s="118"/>
      <c r="AL242" s="118"/>
      <c r="AM242" s="118"/>
      <c r="AN242" s="118"/>
      <c r="AO242" s="118"/>
      <c r="AP242" s="118"/>
      <c r="AQ242" s="118"/>
      <c r="AR242" s="118"/>
      <c r="AS242" s="118"/>
      <c r="AT242" s="118"/>
      <c r="AU242" s="118"/>
      <c r="AV242" s="118"/>
      <c r="AW242" s="118"/>
      <c r="AX242" s="118"/>
      <c r="AY242" s="118"/>
      <c r="AZ242" s="118"/>
      <c r="BA242" s="118"/>
      <c r="BB242" s="118"/>
      <c r="BC242" s="118"/>
      <c r="BD242" s="118"/>
      <c r="BE242" s="118"/>
      <c r="BF242" s="118"/>
      <c r="BG242" s="118"/>
      <c r="BH242" s="118"/>
      <c r="BI242" s="118"/>
      <c r="BJ242" s="118"/>
      <c r="BK242" s="118"/>
    </row>
    <row r="243" spans="1:63" s="213" customFormat="1" ht="15" customHeight="1">
      <c r="A243" s="226">
        <v>44405</v>
      </c>
      <c r="B243" s="232" t="s">
        <v>235</v>
      </c>
      <c r="C243" s="232" t="s">
        <v>10</v>
      </c>
      <c r="D243" s="232" t="s">
        <v>8</v>
      </c>
      <c r="E243" s="228"/>
      <c r="F243" s="228">
        <v>75625</v>
      </c>
      <c r="G243" s="228">
        <f t="shared" si="3"/>
        <v>38272490</v>
      </c>
      <c r="H243" s="232" t="s">
        <v>34</v>
      </c>
      <c r="I243" s="231" t="s">
        <v>45</v>
      </c>
      <c r="J243" s="231" t="s">
        <v>135</v>
      </c>
      <c r="K243" s="234" t="s">
        <v>136</v>
      </c>
      <c r="L243" s="227" t="s">
        <v>139</v>
      </c>
      <c r="M243" s="227"/>
      <c r="N243" s="235"/>
      <c r="O243" s="227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Q243" s="118"/>
      <c r="AR243" s="118"/>
      <c r="AS243" s="118"/>
      <c r="AT243" s="118"/>
      <c r="AU243" s="118"/>
      <c r="AV243" s="118"/>
      <c r="AW243" s="118"/>
      <c r="AX243" s="118"/>
      <c r="AY243" s="118"/>
      <c r="AZ243" s="118"/>
      <c r="BA243" s="118"/>
      <c r="BB243" s="118"/>
      <c r="BC243" s="118"/>
      <c r="BD243" s="118"/>
      <c r="BE243" s="118"/>
      <c r="BF243" s="118"/>
      <c r="BG243" s="118"/>
      <c r="BH243" s="118"/>
      <c r="BI243" s="118"/>
      <c r="BJ243" s="118"/>
      <c r="BK243" s="118"/>
    </row>
    <row r="244" spans="1:63" s="212" customFormat="1" ht="15" customHeight="1">
      <c r="A244" s="226">
        <v>44405</v>
      </c>
      <c r="B244" s="232" t="s">
        <v>38</v>
      </c>
      <c r="C244" s="232" t="s">
        <v>88</v>
      </c>
      <c r="D244" s="232"/>
      <c r="E244" s="228"/>
      <c r="F244" s="228">
        <v>100000</v>
      </c>
      <c r="G244" s="228">
        <f t="shared" si="3"/>
        <v>38172490</v>
      </c>
      <c r="H244" s="232" t="s">
        <v>34</v>
      </c>
      <c r="I244" s="231"/>
      <c r="J244" s="231"/>
      <c r="K244" s="234"/>
      <c r="L244" s="227" t="s">
        <v>139</v>
      </c>
      <c r="M244" s="227"/>
      <c r="N244" s="235"/>
      <c r="O244" s="227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  <c r="AG244" s="118"/>
      <c r="AH244" s="118"/>
      <c r="AI244" s="118"/>
      <c r="AJ244" s="118"/>
      <c r="AK244" s="118"/>
      <c r="AL244" s="118"/>
      <c r="AM244" s="118"/>
      <c r="AN244" s="118"/>
      <c r="AO244" s="118"/>
      <c r="AP244" s="118"/>
      <c r="AQ244" s="118"/>
      <c r="AR244" s="118"/>
      <c r="AS244" s="118"/>
      <c r="AT244" s="118"/>
      <c r="AU244" s="118"/>
      <c r="AV244" s="118"/>
      <c r="AW244" s="118"/>
      <c r="AX244" s="118"/>
      <c r="AY244" s="118"/>
      <c r="AZ244" s="118"/>
      <c r="BA244" s="118"/>
      <c r="BB244" s="118"/>
      <c r="BC244" s="118"/>
      <c r="BD244" s="118"/>
      <c r="BE244" s="118"/>
      <c r="BF244" s="118"/>
      <c r="BG244" s="118"/>
      <c r="BH244" s="118"/>
      <c r="BI244" s="118"/>
      <c r="BJ244" s="118"/>
      <c r="BK244" s="118"/>
    </row>
    <row r="245" spans="1:63" s="118" customFormat="1" ht="15" customHeight="1">
      <c r="A245" s="226">
        <v>44405</v>
      </c>
      <c r="B245" s="232" t="s">
        <v>236</v>
      </c>
      <c r="C245" s="232" t="s">
        <v>340</v>
      </c>
      <c r="D245" s="232" t="s">
        <v>5</v>
      </c>
      <c r="E245" s="228"/>
      <c r="F245" s="228">
        <v>4830</v>
      </c>
      <c r="G245" s="228">
        <f t="shared" si="3"/>
        <v>38167660</v>
      </c>
      <c r="H245" s="232" t="s">
        <v>34</v>
      </c>
      <c r="I245" s="231" t="s">
        <v>45</v>
      </c>
      <c r="J245" s="239" t="s">
        <v>118</v>
      </c>
      <c r="K245" s="234" t="s">
        <v>137</v>
      </c>
      <c r="L245" s="227" t="s">
        <v>139</v>
      </c>
      <c r="M245" s="4" t="s">
        <v>463</v>
      </c>
      <c r="N245" s="235" t="s">
        <v>138</v>
      </c>
      <c r="O245" s="227"/>
    </row>
    <row r="246" spans="1:63" s="118" customFormat="1" ht="15" customHeight="1">
      <c r="A246" s="226">
        <v>44405</v>
      </c>
      <c r="B246" s="232" t="s">
        <v>167</v>
      </c>
      <c r="C246" s="232" t="s">
        <v>9</v>
      </c>
      <c r="D246" s="232" t="s">
        <v>33</v>
      </c>
      <c r="E246" s="228"/>
      <c r="F246" s="228">
        <v>39000</v>
      </c>
      <c r="G246" s="228">
        <f t="shared" si="3"/>
        <v>38128660</v>
      </c>
      <c r="H246" s="232" t="s">
        <v>34</v>
      </c>
      <c r="I246" s="231" t="s">
        <v>335</v>
      </c>
      <c r="J246" s="231" t="s">
        <v>135</v>
      </c>
      <c r="K246" s="234" t="s">
        <v>136</v>
      </c>
      <c r="L246" s="227" t="s">
        <v>139</v>
      </c>
      <c r="M246" s="227"/>
      <c r="N246" s="235"/>
      <c r="O246" s="227"/>
    </row>
    <row r="247" spans="1:63" s="212" customFormat="1" ht="15" customHeight="1">
      <c r="A247" s="226">
        <v>44405</v>
      </c>
      <c r="B247" s="232" t="s">
        <v>167</v>
      </c>
      <c r="C247" s="232" t="s">
        <v>9</v>
      </c>
      <c r="D247" s="232" t="s">
        <v>33</v>
      </c>
      <c r="E247" s="228"/>
      <c r="F247" s="228">
        <v>23000</v>
      </c>
      <c r="G247" s="228">
        <f t="shared" si="3"/>
        <v>38105660</v>
      </c>
      <c r="H247" s="232" t="s">
        <v>34</v>
      </c>
      <c r="I247" s="231" t="s">
        <v>335</v>
      </c>
      <c r="J247" s="231" t="s">
        <v>135</v>
      </c>
      <c r="K247" s="234" t="s">
        <v>136</v>
      </c>
      <c r="L247" s="227" t="s">
        <v>139</v>
      </c>
      <c r="M247" s="235"/>
      <c r="N247" s="235"/>
      <c r="O247" s="227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  <c r="AG247" s="118"/>
      <c r="AH247" s="118"/>
      <c r="AI247" s="118"/>
      <c r="AJ247" s="118"/>
      <c r="AK247" s="118"/>
      <c r="AL247" s="118"/>
      <c r="AM247" s="118"/>
      <c r="AN247" s="118"/>
      <c r="AO247" s="118"/>
      <c r="AP247" s="118"/>
      <c r="AQ247" s="118"/>
      <c r="AR247" s="118"/>
      <c r="AS247" s="118"/>
      <c r="AT247" s="118"/>
      <c r="AU247" s="118"/>
      <c r="AV247" s="118"/>
      <c r="AW247" s="118"/>
      <c r="AX247" s="118"/>
      <c r="AY247" s="118"/>
      <c r="AZ247" s="118"/>
      <c r="BA247" s="118"/>
      <c r="BB247" s="118"/>
      <c r="BC247" s="118"/>
      <c r="BD247" s="118"/>
      <c r="BE247" s="118"/>
      <c r="BF247" s="118"/>
      <c r="BG247" s="118"/>
      <c r="BH247" s="118"/>
      <c r="BI247" s="118"/>
      <c r="BJ247" s="118"/>
      <c r="BK247" s="118"/>
    </row>
    <row r="248" spans="1:63" s="212" customFormat="1" ht="15" customHeight="1">
      <c r="A248" s="226">
        <v>44405</v>
      </c>
      <c r="B248" s="232" t="s">
        <v>237</v>
      </c>
      <c r="C248" s="232" t="s">
        <v>177</v>
      </c>
      <c r="D248" s="232" t="s">
        <v>8</v>
      </c>
      <c r="E248" s="228"/>
      <c r="F248" s="228">
        <v>7000</v>
      </c>
      <c r="G248" s="228">
        <f t="shared" si="3"/>
        <v>38098660</v>
      </c>
      <c r="H248" s="232" t="s">
        <v>34</v>
      </c>
      <c r="I248" s="231" t="s">
        <v>45</v>
      </c>
      <c r="J248" s="231" t="s">
        <v>135</v>
      </c>
      <c r="K248" s="234" t="s">
        <v>136</v>
      </c>
      <c r="L248" s="227" t="s">
        <v>139</v>
      </c>
      <c r="M248" s="235"/>
      <c r="N248" s="235"/>
      <c r="O248" s="227"/>
    </row>
    <row r="249" spans="1:63" s="118" customFormat="1" ht="15" customHeight="1">
      <c r="A249" s="226">
        <v>44405</v>
      </c>
      <c r="B249" s="232" t="s">
        <v>238</v>
      </c>
      <c r="C249" s="232" t="s">
        <v>177</v>
      </c>
      <c r="D249" s="232" t="s">
        <v>8</v>
      </c>
      <c r="E249" s="228"/>
      <c r="F249" s="228">
        <v>3000</v>
      </c>
      <c r="G249" s="228">
        <f t="shared" si="3"/>
        <v>38095660</v>
      </c>
      <c r="H249" s="232" t="s">
        <v>34</v>
      </c>
      <c r="I249" s="231" t="s">
        <v>45</v>
      </c>
      <c r="J249" s="231" t="s">
        <v>135</v>
      </c>
      <c r="K249" s="234" t="s">
        <v>136</v>
      </c>
      <c r="L249" s="227" t="s">
        <v>139</v>
      </c>
      <c r="M249" s="227"/>
      <c r="N249" s="235"/>
      <c r="O249" s="227"/>
      <c r="P249" s="212"/>
      <c r="Q249" s="212"/>
      <c r="R249" s="212"/>
      <c r="S249" s="212"/>
      <c r="T249" s="212"/>
      <c r="U249" s="212"/>
      <c r="V249" s="212"/>
      <c r="W249" s="212"/>
      <c r="X249" s="212"/>
      <c r="Y249" s="212"/>
      <c r="Z249" s="212"/>
      <c r="AA249" s="212"/>
      <c r="AB249" s="212"/>
      <c r="AC249" s="212"/>
      <c r="AD249" s="212"/>
      <c r="AE249" s="212"/>
      <c r="AF249" s="212"/>
      <c r="AG249" s="212"/>
      <c r="AH249" s="212"/>
      <c r="AI249" s="212"/>
      <c r="AJ249" s="212"/>
      <c r="AK249" s="212"/>
      <c r="AL249" s="212"/>
      <c r="AM249" s="212"/>
      <c r="AN249" s="212"/>
      <c r="AO249" s="212"/>
      <c r="AP249" s="212"/>
      <c r="AQ249" s="212"/>
      <c r="AR249" s="212"/>
      <c r="AS249" s="212"/>
      <c r="AT249" s="212"/>
      <c r="AU249" s="212"/>
      <c r="AV249" s="212"/>
      <c r="AW249" s="212"/>
      <c r="AX249" s="212"/>
      <c r="AY249" s="212"/>
      <c r="AZ249" s="212"/>
      <c r="BA249" s="212"/>
      <c r="BB249" s="212"/>
      <c r="BC249" s="212"/>
      <c r="BD249" s="212"/>
      <c r="BE249" s="212"/>
      <c r="BF249" s="212"/>
      <c r="BG249" s="212"/>
      <c r="BH249" s="212"/>
      <c r="BI249" s="212"/>
      <c r="BJ249" s="212"/>
      <c r="BK249" s="212"/>
    </row>
    <row r="250" spans="1:63" s="118" customFormat="1" ht="15" customHeight="1">
      <c r="A250" s="226">
        <v>44405</v>
      </c>
      <c r="B250" s="232" t="s">
        <v>39</v>
      </c>
      <c r="C250" s="232" t="s">
        <v>88</v>
      </c>
      <c r="D250" s="232"/>
      <c r="E250" s="228"/>
      <c r="F250" s="228">
        <v>26150</v>
      </c>
      <c r="G250" s="228">
        <f t="shared" si="3"/>
        <v>38069510</v>
      </c>
      <c r="H250" s="232" t="s">
        <v>34</v>
      </c>
      <c r="I250" s="231"/>
      <c r="J250" s="231"/>
      <c r="K250" s="234"/>
      <c r="L250" s="227" t="s">
        <v>139</v>
      </c>
      <c r="M250" s="227"/>
      <c r="N250" s="235"/>
      <c r="O250" s="227"/>
      <c r="P250" s="212"/>
      <c r="Q250" s="212"/>
      <c r="R250" s="212"/>
      <c r="S250" s="212"/>
      <c r="T250" s="212"/>
      <c r="U250" s="212"/>
      <c r="V250" s="212"/>
      <c r="W250" s="212"/>
      <c r="X250" s="212"/>
      <c r="Y250" s="212"/>
      <c r="Z250" s="212"/>
      <c r="AA250" s="212"/>
      <c r="AB250" s="212"/>
      <c r="AC250" s="212"/>
      <c r="AD250" s="212"/>
      <c r="AE250" s="212"/>
      <c r="AF250" s="212"/>
      <c r="AG250" s="212"/>
      <c r="AH250" s="212"/>
      <c r="AI250" s="212"/>
      <c r="AJ250" s="212"/>
      <c r="AK250" s="212"/>
      <c r="AL250" s="212"/>
      <c r="AM250" s="212"/>
      <c r="AN250" s="212"/>
      <c r="AO250" s="212"/>
      <c r="AP250" s="212"/>
      <c r="AQ250" s="212"/>
      <c r="AR250" s="212"/>
      <c r="AS250" s="212"/>
      <c r="AT250" s="212"/>
      <c r="AU250" s="212"/>
      <c r="AV250" s="212"/>
      <c r="AW250" s="212"/>
      <c r="AX250" s="212"/>
      <c r="AY250" s="212"/>
      <c r="AZ250" s="212"/>
      <c r="BA250" s="212"/>
      <c r="BB250" s="212"/>
      <c r="BC250" s="212"/>
      <c r="BD250" s="212"/>
      <c r="BE250" s="212"/>
      <c r="BF250" s="212"/>
      <c r="BG250" s="212"/>
      <c r="BH250" s="212"/>
      <c r="BI250" s="212"/>
      <c r="BJ250" s="212"/>
      <c r="BK250" s="212"/>
    </row>
    <row r="251" spans="1:63" s="118" customFormat="1" ht="15" customHeight="1">
      <c r="A251" s="226">
        <v>44405</v>
      </c>
      <c r="B251" s="232" t="s">
        <v>148</v>
      </c>
      <c r="C251" s="232" t="s">
        <v>88</v>
      </c>
      <c r="D251" s="232"/>
      <c r="E251" s="228"/>
      <c r="F251" s="228">
        <v>61000</v>
      </c>
      <c r="G251" s="228">
        <f t="shared" si="3"/>
        <v>38008510</v>
      </c>
      <c r="H251" s="232" t="s">
        <v>34</v>
      </c>
      <c r="I251" s="231"/>
      <c r="J251" s="231"/>
      <c r="K251" s="234"/>
      <c r="L251" s="227" t="s">
        <v>139</v>
      </c>
      <c r="M251" s="227"/>
      <c r="N251" s="235"/>
      <c r="O251" s="227"/>
      <c r="P251" s="212"/>
      <c r="Q251" s="212"/>
      <c r="R251" s="212"/>
      <c r="S251" s="212"/>
      <c r="T251" s="212"/>
      <c r="U251" s="212"/>
      <c r="V251" s="212"/>
      <c r="W251" s="212"/>
      <c r="X251" s="212"/>
      <c r="Y251" s="212"/>
      <c r="Z251" s="212"/>
      <c r="AA251" s="212"/>
      <c r="AB251" s="212"/>
      <c r="AC251" s="212"/>
      <c r="AD251" s="212"/>
      <c r="AE251" s="212"/>
      <c r="AF251" s="212"/>
      <c r="AG251" s="212"/>
      <c r="AH251" s="212"/>
      <c r="AI251" s="212"/>
      <c r="AJ251" s="212"/>
      <c r="AK251" s="212"/>
      <c r="AL251" s="212"/>
      <c r="AM251" s="212"/>
      <c r="AN251" s="212"/>
      <c r="AO251" s="212"/>
      <c r="AP251" s="212"/>
      <c r="AQ251" s="212"/>
      <c r="AR251" s="212"/>
      <c r="AS251" s="212"/>
      <c r="AT251" s="212"/>
      <c r="AU251" s="212"/>
      <c r="AV251" s="212"/>
      <c r="AW251" s="212"/>
      <c r="AX251" s="212"/>
      <c r="AY251" s="212"/>
      <c r="AZ251" s="212"/>
      <c r="BA251" s="212"/>
      <c r="BB251" s="212"/>
      <c r="BC251" s="212"/>
      <c r="BD251" s="212"/>
      <c r="BE251" s="212"/>
      <c r="BF251" s="212"/>
      <c r="BG251" s="212"/>
      <c r="BH251" s="212"/>
      <c r="BI251" s="212"/>
      <c r="BJ251" s="212"/>
      <c r="BK251" s="212"/>
    </row>
    <row r="252" spans="1:63" s="118" customFormat="1" ht="15" customHeight="1">
      <c r="A252" s="226">
        <v>44405</v>
      </c>
      <c r="B252" s="232" t="s">
        <v>348</v>
      </c>
      <c r="C252" s="232" t="s">
        <v>7</v>
      </c>
      <c r="D252" s="232" t="s">
        <v>6</v>
      </c>
      <c r="E252" s="228"/>
      <c r="F252" s="228">
        <v>37000</v>
      </c>
      <c r="G252" s="228">
        <f t="shared" si="3"/>
        <v>37971510</v>
      </c>
      <c r="H252" s="232" t="s">
        <v>34</v>
      </c>
      <c r="I252" s="231" t="s">
        <v>45</v>
      </c>
      <c r="J252" s="231" t="s">
        <v>118</v>
      </c>
      <c r="K252" s="234" t="s">
        <v>137</v>
      </c>
      <c r="L252" s="227" t="s">
        <v>139</v>
      </c>
      <c r="M252" s="4" t="s">
        <v>464</v>
      </c>
      <c r="N252" s="235" t="s">
        <v>141</v>
      </c>
      <c r="O252" s="227"/>
    </row>
    <row r="253" spans="1:63" s="118" customFormat="1" ht="15" customHeight="1">
      <c r="A253" s="226">
        <v>44405</v>
      </c>
      <c r="B253" s="232" t="s">
        <v>349</v>
      </c>
      <c r="C253" s="232" t="s">
        <v>7</v>
      </c>
      <c r="D253" s="232" t="s">
        <v>156</v>
      </c>
      <c r="E253" s="228"/>
      <c r="F253" s="228">
        <v>25000</v>
      </c>
      <c r="G253" s="228">
        <f t="shared" si="3"/>
        <v>37946510</v>
      </c>
      <c r="H253" s="232" t="s">
        <v>34</v>
      </c>
      <c r="I253" s="231"/>
      <c r="J253" s="231" t="s">
        <v>118</v>
      </c>
      <c r="K253" s="234" t="s">
        <v>137</v>
      </c>
      <c r="L253" s="227" t="s">
        <v>139</v>
      </c>
      <c r="M253" s="4" t="s">
        <v>465</v>
      </c>
      <c r="N253" s="235" t="s">
        <v>141</v>
      </c>
      <c r="O253" s="227"/>
    </row>
    <row r="254" spans="1:63" s="118" customFormat="1" ht="15" customHeight="1">
      <c r="A254" s="226">
        <v>44405</v>
      </c>
      <c r="B254" s="232" t="s">
        <v>350</v>
      </c>
      <c r="C254" s="232" t="s">
        <v>7</v>
      </c>
      <c r="D254" s="232" t="s">
        <v>89</v>
      </c>
      <c r="E254" s="228"/>
      <c r="F254" s="228">
        <v>21000</v>
      </c>
      <c r="G254" s="228">
        <f t="shared" si="3"/>
        <v>37925510</v>
      </c>
      <c r="H254" s="232" t="s">
        <v>34</v>
      </c>
      <c r="I254" s="231"/>
      <c r="J254" s="231" t="s">
        <v>118</v>
      </c>
      <c r="K254" s="234" t="s">
        <v>137</v>
      </c>
      <c r="L254" s="227" t="s">
        <v>139</v>
      </c>
      <c r="M254" s="4" t="s">
        <v>466</v>
      </c>
      <c r="N254" s="235" t="s">
        <v>141</v>
      </c>
      <c r="O254" s="227"/>
    </row>
    <row r="255" spans="1:63" s="118" customFormat="1" ht="15" customHeight="1">
      <c r="A255" s="226">
        <v>44405</v>
      </c>
      <c r="B255" s="232" t="s">
        <v>352</v>
      </c>
      <c r="C255" s="232" t="s">
        <v>7</v>
      </c>
      <c r="D255" s="232" t="s">
        <v>89</v>
      </c>
      <c r="E255" s="228"/>
      <c r="F255" s="228">
        <v>21000</v>
      </c>
      <c r="G255" s="228">
        <f t="shared" si="3"/>
        <v>37904510</v>
      </c>
      <c r="H255" s="232" t="s">
        <v>34</v>
      </c>
      <c r="I255" s="231"/>
      <c r="J255" s="231" t="s">
        <v>118</v>
      </c>
      <c r="K255" s="234" t="s">
        <v>137</v>
      </c>
      <c r="L255" s="227" t="s">
        <v>139</v>
      </c>
      <c r="M255" s="4" t="s">
        <v>467</v>
      </c>
      <c r="N255" s="235" t="s">
        <v>141</v>
      </c>
      <c r="O255" s="227"/>
    </row>
    <row r="256" spans="1:63" s="212" customFormat="1" ht="15" customHeight="1">
      <c r="A256" s="226">
        <v>44405</v>
      </c>
      <c r="B256" s="232" t="s">
        <v>351</v>
      </c>
      <c r="C256" s="232" t="s">
        <v>7</v>
      </c>
      <c r="D256" s="232" t="s">
        <v>156</v>
      </c>
      <c r="E256" s="228"/>
      <c r="F256" s="228">
        <v>32000</v>
      </c>
      <c r="G256" s="228">
        <f t="shared" si="3"/>
        <v>37872510</v>
      </c>
      <c r="H256" s="232" t="s">
        <v>34</v>
      </c>
      <c r="I256" s="231" t="s">
        <v>45</v>
      </c>
      <c r="J256" s="231" t="s">
        <v>118</v>
      </c>
      <c r="K256" s="234" t="s">
        <v>137</v>
      </c>
      <c r="L256" s="227" t="s">
        <v>139</v>
      </c>
      <c r="M256" s="4" t="s">
        <v>468</v>
      </c>
      <c r="N256" s="235" t="s">
        <v>141</v>
      </c>
      <c r="O256" s="227"/>
    </row>
    <row r="257" spans="1:63" s="118" customFormat="1" ht="15" customHeight="1">
      <c r="A257" s="226">
        <v>44405</v>
      </c>
      <c r="B257" s="232" t="s">
        <v>39</v>
      </c>
      <c r="C257" s="232" t="s">
        <v>88</v>
      </c>
      <c r="D257" s="232"/>
      <c r="E257" s="228"/>
      <c r="F257" s="228">
        <v>28000</v>
      </c>
      <c r="G257" s="228">
        <f t="shared" si="3"/>
        <v>37844510</v>
      </c>
      <c r="H257" s="232" t="s">
        <v>34</v>
      </c>
      <c r="I257" s="231"/>
      <c r="J257" s="231"/>
      <c r="K257" s="234"/>
      <c r="L257" s="227" t="s">
        <v>139</v>
      </c>
      <c r="M257" s="235"/>
      <c r="N257" s="235"/>
      <c r="O257" s="227"/>
    </row>
    <row r="258" spans="1:63" s="118" customFormat="1" ht="15" customHeight="1">
      <c r="A258" s="226">
        <v>44405</v>
      </c>
      <c r="B258" s="232" t="s">
        <v>290</v>
      </c>
      <c r="C258" s="232" t="s">
        <v>43</v>
      </c>
      <c r="D258" s="232" t="s">
        <v>89</v>
      </c>
      <c r="E258" s="228"/>
      <c r="F258" s="228">
        <v>5000</v>
      </c>
      <c r="G258" s="228">
        <f t="shared" si="3"/>
        <v>37839510</v>
      </c>
      <c r="H258" s="232" t="s">
        <v>46</v>
      </c>
      <c r="I258" s="231" t="s">
        <v>45</v>
      </c>
      <c r="J258" s="231" t="s">
        <v>118</v>
      </c>
      <c r="K258" s="234" t="s">
        <v>137</v>
      </c>
      <c r="L258" s="227" t="s">
        <v>139</v>
      </c>
      <c r="M258" s="4" t="s">
        <v>469</v>
      </c>
      <c r="N258" s="235" t="s">
        <v>142</v>
      </c>
      <c r="O258" s="227"/>
    </row>
    <row r="259" spans="1:63" s="118" customFormat="1" ht="15" customHeight="1">
      <c r="A259" s="226">
        <v>44405</v>
      </c>
      <c r="B259" s="232" t="s">
        <v>491</v>
      </c>
      <c r="C259" s="232" t="s">
        <v>117</v>
      </c>
      <c r="D259" s="232" t="s">
        <v>89</v>
      </c>
      <c r="E259" s="228"/>
      <c r="F259" s="228">
        <v>330000</v>
      </c>
      <c r="G259" s="228">
        <f t="shared" si="3"/>
        <v>37509510</v>
      </c>
      <c r="H259" s="232" t="s">
        <v>46</v>
      </c>
      <c r="I259" s="231" t="s">
        <v>45</v>
      </c>
      <c r="J259" s="231" t="s">
        <v>118</v>
      </c>
      <c r="K259" s="234" t="s">
        <v>137</v>
      </c>
      <c r="L259" s="227" t="s">
        <v>139</v>
      </c>
      <c r="M259" s="4" t="s">
        <v>470</v>
      </c>
      <c r="N259" s="235" t="s">
        <v>364</v>
      </c>
      <c r="O259" s="227"/>
    </row>
    <row r="260" spans="1:63" s="118" customFormat="1" ht="15" customHeight="1">
      <c r="A260" s="226">
        <v>44405</v>
      </c>
      <c r="B260" s="232" t="s">
        <v>34</v>
      </c>
      <c r="C260" s="232" t="s">
        <v>88</v>
      </c>
      <c r="D260" s="232" t="s">
        <v>89</v>
      </c>
      <c r="E260" s="228">
        <v>61000</v>
      </c>
      <c r="F260" s="228"/>
      <c r="G260" s="228">
        <f t="shared" si="3"/>
        <v>37570510</v>
      </c>
      <c r="H260" s="232" t="s">
        <v>46</v>
      </c>
      <c r="I260" s="231" t="s">
        <v>335</v>
      </c>
      <c r="J260" s="231"/>
      <c r="K260" s="234"/>
      <c r="L260" s="227" t="s">
        <v>139</v>
      </c>
      <c r="M260" s="235"/>
      <c r="N260" s="235"/>
      <c r="O260" s="227"/>
      <c r="P260" s="212"/>
      <c r="Q260" s="212"/>
      <c r="R260" s="212"/>
      <c r="S260" s="212"/>
      <c r="T260" s="212"/>
      <c r="U260" s="212"/>
      <c r="V260" s="212"/>
      <c r="W260" s="212"/>
      <c r="X260" s="212"/>
      <c r="Y260" s="212"/>
      <c r="Z260" s="212"/>
      <c r="AA260" s="212"/>
      <c r="AB260" s="212"/>
      <c r="AC260" s="212"/>
      <c r="AD260" s="212"/>
      <c r="AE260" s="212"/>
      <c r="AF260" s="212"/>
      <c r="AG260" s="212"/>
      <c r="AH260" s="212"/>
      <c r="AI260" s="212"/>
      <c r="AJ260" s="212"/>
      <c r="AK260" s="212"/>
      <c r="AL260" s="212"/>
      <c r="AM260" s="212"/>
      <c r="AN260" s="212"/>
      <c r="AO260" s="212"/>
      <c r="AP260" s="212"/>
      <c r="AQ260" s="212"/>
      <c r="AR260" s="212"/>
      <c r="AS260" s="212"/>
      <c r="AT260" s="212"/>
      <c r="AU260" s="212"/>
      <c r="AV260" s="212"/>
      <c r="AW260" s="212"/>
      <c r="AX260" s="212"/>
      <c r="AY260" s="212"/>
      <c r="AZ260" s="212"/>
      <c r="BA260" s="212"/>
      <c r="BB260" s="212"/>
      <c r="BC260" s="212"/>
      <c r="BD260" s="212"/>
      <c r="BE260" s="212"/>
      <c r="BF260" s="212"/>
      <c r="BG260" s="212"/>
      <c r="BH260" s="212"/>
      <c r="BI260" s="212"/>
      <c r="BJ260" s="212"/>
      <c r="BK260" s="212"/>
    </row>
    <row r="261" spans="1:63" s="118" customFormat="1" ht="15" customHeight="1">
      <c r="A261" s="226">
        <v>44405</v>
      </c>
      <c r="B261" s="234" t="s">
        <v>282</v>
      </c>
      <c r="C261" s="234" t="s">
        <v>2</v>
      </c>
      <c r="D261" s="234" t="s">
        <v>338</v>
      </c>
      <c r="E261" s="228"/>
      <c r="F261" s="228">
        <v>3000</v>
      </c>
      <c r="G261" s="228">
        <f t="shared" si="3"/>
        <v>37567510</v>
      </c>
      <c r="H261" s="232" t="s">
        <v>60</v>
      </c>
      <c r="I261" s="231" t="s">
        <v>45</v>
      </c>
      <c r="J261" s="231" t="s">
        <v>135</v>
      </c>
      <c r="K261" s="234" t="s">
        <v>136</v>
      </c>
      <c r="L261" s="227" t="s">
        <v>139</v>
      </c>
      <c r="M261" s="227"/>
      <c r="N261" s="235"/>
      <c r="O261" s="227"/>
      <c r="P261" s="207"/>
      <c r="Q261" s="207"/>
      <c r="R261" s="207"/>
      <c r="S261" s="207"/>
      <c r="T261" s="207"/>
      <c r="U261" s="207"/>
      <c r="V261" s="207"/>
      <c r="W261" s="207"/>
      <c r="X261" s="207"/>
      <c r="Y261" s="207"/>
      <c r="Z261" s="207"/>
      <c r="AA261" s="207"/>
      <c r="AB261" s="207"/>
      <c r="AC261" s="207"/>
      <c r="AD261" s="207"/>
      <c r="AE261" s="207"/>
      <c r="AF261" s="207"/>
      <c r="AG261" s="207"/>
      <c r="AH261" s="207"/>
      <c r="AI261" s="207"/>
      <c r="AJ261" s="207"/>
      <c r="AK261" s="207"/>
      <c r="AL261" s="207"/>
      <c r="AM261" s="207"/>
      <c r="AN261" s="207"/>
      <c r="AO261" s="207"/>
      <c r="AP261" s="207"/>
      <c r="AQ261" s="207"/>
      <c r="AR261" s="207"/>
      <c r="AS261" s="207"/>
      <c r="AT261" s="207"/>
      <c r="AU261" s="207"/>
      <c r="AV261" s="207"/>
      <c r="AW261" s="207"/>
      <c r="AX261" s="207"/>
      <c r="AY261" s="207"/>
      <c r="AZ261" s="207"/>
      <c r="BA261" s="207"/>
      <c r="BB261" s="207"/>
      <c r="BC261" s="207"/>
      <c r="BD261" s="207"/>
      <c r="BE261" s="207"/>
      <c r="BF261" s="207"/>
      <c r="BG261" s="207"/>
      <c r="BH261" s="207"/>
      <c r="BI261" s="207"/>
      <c r="BJ261" s="207"/>
      <c r="BK261" s="207"/>
    </row>
    <row r="262" spans="1:63" s="118" customFormat="1" ht="15" customHeight="1">
      <c r="A262" s="226">
        <v>44405</v>
      </c>
      <c r="B262" s="234" t="s">
        <v>256</v>
      </c>
      <c r="C262" s="232" t="s">
        <v>88</v>
      </c>
      <c r="D262" s="237" t="s">
        <v>156</v>
      </c>
      <c r="E262" s="228">
        <v>26150</v>
      </c>
      <c r="F262" s="228"/>
      <c r="G262" s="228">
        <f t="shared" si="3"/>
        <v>37593660</v>
      </c>
      <c r="H262" s="232" t="s">
        <v>39</v>
      </c>
      <c r="I262" s="231" t="s">
        <v>335</v>
      </c>
      <c r="J262" s="231"/>
      <c r="K262" s="234"/>
      <c r="L262" s="227" t="s">
        <v>139</v>
      </c>
      <c r="M262" s="235"/>
      <c r="N262" s="235"/>
      <c r="O262" s="227"/>
    </row>
    <row r="263" spans="1:63" s="118" customFormat="1" ht="15" customHeight="1">
      <c r="A263" s="226">
        <v>44405</v>
      </c>
      <c r="B263" s="234" t="s">
        <v>256</v>
      </c>
      <c r="C263" s="232" t="s">
        <v>88</v>
      </c>
      <c r="D263" s="237" t="s">
        <v>156</v>
      </c>
      <c r="E263" s="228">
        <v>28000</v>
      </c>
      <c r="F263" s="228"/>
      <c r="G263" s="228">
        <f t="shared" si="3"/>
        <v>37621660</v>
      </c>
      <c r="H263" s="232" t="s">
        <v>39</v>
      </c>
      <c r="I263" s="231" t="s">
        <v>335</v>
      </c>
      <c r="J263" s="231"/>
      <c r="K263" s="234"/>
      <c r="L263" s="227" t="s">
        <v>139</v>
      </c>
      <c r="M263" s="235"/>
      <c r="N263" s="235"/>
      <c r="O263" s="227"/>
      <c r="P263" s="212"/>
      <c r="Q263" s="212"/>
      <c r="R263" s="212"/>
      <c r="S263" s="212"/>
      <c r="T263" s="212"/>
      <c r="U263" s="212"/>
      <c r="V263" s="212"/>
      <c r="W263" s="212"/>
      <c r="X263" s="212"/>
      <c r="Y263" s="212"/>
      <c r="Z263" s="212"/>
      <c r="AA263" s="212"/>
      <c r="AB263" s="212"/>
      <c r="AC263" s="212"/>
      <c r="AD263" s="212"/>
      <c r="AE263" s="212"/>
      <c r="AF263" s="212"/>
      <c r="AG263" s="212"/>
      <c r="AH263" s="212"/>
      <c r="AI263" s="212"/>
      <c r="AJ263" s="212"/>
      <c r="AK263" s="212"/>
      <c r="AL263" s="212"/>
      <c r="AM263" s="212"/>
      <c r="AN263" s="212"/>
      <c r="AO263" s="212"/>
      <c r="AP263" s="212"/>
      <c r="AQ263" s="212"/>
      <c r="AR263" s="212"/>
      <c r="AS263" s="212"/>
      <c r="AT263" s="212"/>
      <c r="AU263" s="212"/>
      <c r="AV263" s="212"/>
      <c r="AW263" s="212"/>
      <c r="AX263" s="212"/>
      <c r="AY263" s="212"/>
      <c r="AZ263" s="212"/>
      <c r="BA263" s="212"/>
      <c r="BB263" s="212"/>
      <c r="BC263" s="212"/>
      <c r="BD263" s="212"/>
      <c r="BE263" s="212"/>
      <c r="BF263" s="212"/>
      <c r="BG263" s="212"/>
      <c r="BH263" s="212"/>
      <c r="BI263" s="212"/>
      <c r="BJ263" s="212"/>
      <c r="BK263" s="212"/>
    </row>
    <row r="264" spans="1:63" s="212" customFormat="1" ht="15" customHeight="1">
      <c r="A264" s="226">
        <v>44405</v>
      </c>
      <c r="B264" s="232" t="s">
        <v>297</v>
      </c>
      <c r="C264" s="232" t="s">
        <v>43</v>
      </c>
      <c r="D264" s="232" t="s">
        <v>33</v>
      </c>
      <c r="E264" s="228"/>
      <c r="F264" s="228">
        <v>59500</v>
      </c>
      <c r="G264" s="228">
        <f t="shared" si="3"/>
        <v>37562160</v>
      </c>
      <c r="H264" s="234" t="s">
        <v>40</v>
      </c>
      <c r="I264" s="231" t="s">
        <v>335</v>
      </c>
      <c r="J264" s="231" t="s">
        <v>118</v>
      </c>
      <c r="K264" s="234" t="s">
        <v>137</v>
      </c>
      <c r="L264" s="227" t="s">
        <v>139</v>
      </c>
      <c r="M264" s="4" t="s">
        <v>471</v>
      </c>
      <c r="N264" s="235" t="s">
        <v>142</v>
      </c>
      <c r="O264" s="227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8"/>
      <c r="AM264" s="118"/>
      <c r="AN264" s="118"/>
      <c r="AO264" s="118"/>
      <c r="AP264" s="118"/>
      <c r="AQ264" s="118"/>
      <c r="AR264" s="118"/>
      <c r="AS264" s="118"/>
      <c r="AT264" s="118"/>
      <c r="AU264" s="118"/>
      <c r="AV264" s="118"/>
      <c r="AW264" s="118"/>
      <c r="AX264" s="118"/>
      <c r="AY264" s="118"/>
      <c r="AZ264" s="118"/>
      <c r="BA264" s="118"/>
      <c r="BB264" s="118"/>
      <c r="BC264" s="118"/>
      <c r="BD264" s="118"/>
      <c r="BE264" s="118"/>
      <c r="BF264" s="118"/>
      <c r="BG264" s="118"/>
      <c r="BH264" s="118"/>
      <c r="BI264" s="118"/>
      <c r="BJ264" s="118"/>
      <c r="BK264" s="118"/>
    </row>
    <row r="265" spans="1:63" s="212" customFormat="1" ht="15" customHeight="1">
      <c r="A265" s="226">
        <v>44405</v>
      </c>
      <c r="B265" s="234" t="s">
        <v>260</v>
      </c>
      <c r="C265" s="232" t="s">
        <v>88</v>
      </c>
      <c r="D265" s="227" t="s">
        <v>156</v>
      </c>
      <c r="E265" s="228">
        <v>100000</v>
      </c>
      <c r="F265" s="228"/>
      <c r="G265" s="228">
        <f t="shared" si="3"/>
        <v>37662160</v>
      </c>
      <c r="H265" s="234" t="s">
        <v>38</v>
      </c>
      <c r="I265" s="231" t="s">
        <v>335</v>
      </c>
      <c r="J265" s="231"/>
      <c r="K265" s="234"/>
      <c r="L265" s="227" t="s">
        <v>139</v>
      </c>
      <c r="M265" s="235"/>
      <c r="N265" s="235"/>
      <c r="O265" s="227"/>
    </row>
    <row r="266" spans="1:63" s="212" customFormat="1" ht="15" customHeight="1">
      <c r="A266" s="226">
        <v>44406</v>
      </c>
      <c r="B266" s="232" t="s">
        <v>239</v>
      </c>
      <c r="C266" s="232" t="s">
        <v>88</v>
      </c>
      <c r="D266" s="232" t="s">
        <v>8</v>
      </c>
      <c r="E266" s="228">
        <v>1000000</v>
      </c>
      <c r="F266" s="228"/>
      <c r="G266" s="228">
        <f t="shared" si="3"/>
        <v>38662160</v>
      </c>
      <c r="H266" s="232" t="s">
        <v>34</v>
      </c>
      <c r="I266" s="231"/>
      <c r="J266" s="231"/>
      <c r="K266" s="234"/>
      <c r="L266" s="227" t="s">
        <v>139</v>
      </c>
      <c r="M266" s="235"/>
      <c r="N266" s="235"/>
      <c r="O266" s="227"/>
    </row>
    <row r="267" spans="1:63" s="212" customFormat="1" ht="15" customHeight="1">
      <c r="A267" s="226">
        <v>44406</v>
      </c>
      <c r="B267" s="232" t="s">
        <v>148</v>
      </c>
      <c r="C267" s="232" t="s">
        <v>88</v>
      </c>
      <c r="D267" s="232"/>
      <c r="E267" s="228"/>
      <c r="F267" s="228">
        <v>90000</v>
      </c>
      <c r="G267" s="228">
        <f t="shared" si="3"/>
        <v>38572160</v>
      </c>
      <c r="H267" s="232" t="s">
        <v>34</v>
      </c>
      <c r="I267" s="231"/>
      <c r="J267" s="231"/>
      <c r="K267" s="234"/>
      <c r="L267" s="227" t="s">
        <v>139</v>
      </c>
      <c r="M267" s="235"/>
      <c r="N267" s="235"/>
      <c r="O267" s="227"/>
    </row>
    <row r="268" spans="1:63" s="207" customFormat="1" ht="15" customHeight="1">
      <c r="A268" s="226">
        <v>44406</v>
      </c>
      <c r="B268" s="232" t="s">
        <v>60</v>
      </c>
      <c r="C268" s="232" t="s">
        <v>88</v>
      </c>
      <c r="D268" s="232"/>
      <c r="E268" s="228"/>
      <c r="F268" s="228">
        <v>10000</v>
      </c>
      <c r="G268" s="228">
        <f t="shared" si="3"/>
        <v>38562160</v>
      </c>
      <c r="H268" s="232" t="s">
        <v>34</v>
      </c>
      <c r="I268" s="231"/>
      <c r="J268" s="231"/>
      <c r="K268" s="234"/>
      <c r="L268" s="227" t="s">
        <v>139</v>
      </c>
      <c r="M268" s="235"/>
      <c r="N268" s="235"/>
      <c r="O268" s="227"/>
      <c r="P268" s="212"/>
      <c r="Q268" s="212"/>
      <c r="R268" s="212"/>
      <c r="S268" s="212"/>
      <c r="T268" s="212"/>
      <c r="U268" s="212"/>
      <c r="V268" s="212"/>
      <c r="W268" s="212"/>
      <c r="X268" s="212"/>
      <c r="Y268" s="212"/>
      <c r="Z268" s="212"/>
      <c r="AA268" s="212"/>
      <c r="AB268" s="212"/>
      <c r="AC268" s="212"/>
      <c r="AD268" s="212"/>
      <c r="AE268" s="212"/>
      <c r="AF268" s="212"/>
      <c r="AG268" s="212"/>
      <c r="AH268" s="212"/>
      <c r="AI268" s="212"/>
      <c r="AJ268" s="212"/>
      <c r="AK268" s="212"/>
      <c r="AL268" s="212"/>
      <c r="AM268" s="212"/>
      <c r="AN268" s="212"/>
      <c r="AO268" s="212"/>
      <c r="AP268" s="212"/>
      <c r="AQ268" s="212"/>
      <c r="AR268" s="212"/>
      <c r="AS268" s="212"/>
      <c r="AT268" s="212"/>
      <c r="AU268" s="212"/>
      <c r="AV268" s="212"/>
      <c r="AW268" s="212"/>
      <c r="AX268" s="212"/>
      <c r="AY268" s="212"/>
      <c r="AZ268" s="212"/>
      <c r="BA268" s="212"/>
      <c r="BB268" s="212"/>
      <c r="BC268" s="212"/>
      <c r="BD268" s="212"/>
      <c r="BE268" s="212"/>
      <c r="BF268" s="212"/>
      <c r="BG268" s="212"/>
      <c r="BH268" s="212"/>
      <c r="BI268" s="212"/>
      <c r="BJ268" s="212"/>
      <c r="BK268" s="212"/>
    </row>
    <row r="269" spans="1:63" s="118" customFormat="1" ht="15" customHeight="1">
      <c r="A269" s="226">
        <v>44406</v>
      </c>
      <c r="B269" s="232" t="s">
        <v>168</v>
      </c>
      <c r="C269" s="232" t="s">
        <v>340</v>
      </c>
      <c r="D269" s="232" t="s">
        <v>8</v>
      </c>
      <c r="E269" s="228"/>
      <c r="F269" s="228">
        <v>2700</v>
      </c>
      <c r="G269" s="228">
        <f t="shared" ref="G269:G332" si="4">+G268+E269-F269</f>
        <v>38559460</v>
      </c>
      <c r="H269" s="232" t="s">
        <v>34</v>
      </c>
      <c r="I269" s="231" t="s">
        <v>45</v>
      </c>
      <c r="J269" s="239" t="s">
        <v>118</v>
      </c>
      <c r="K269" s="234" t="s">
        <v>137</v>
      </c>
      <c r="L269" s="227" t="s">
        <v>139</v>
      </c>
      <c r="M269" s="4" t="s">
        <v>472</v>
      </c>
      <c r="N269" s="235" t="s">
        <v>138</v>
      </c>
      <c r="O269" s="227"/>
      <c r="P269" s="212"/>
      <c r="Q269" s="212"/>
      <c r="R269" s="212"/>
      <c r="S269" s="212"/>
      <c r="T269" s="212"/>
      <c r="U269" s="212"/>
      <c r="V269" s="212"/>
      <c r="W269" s="212"/>
      <c r="X269" s="212"/>
      <c r="Y269" s="212"/>
      <c r="Z269" s="212"/>
      <c r="AA269" s="212"/>
      <c r="AB269" s="212"/>
      <c r="AC269" s="212"/>
      <c r="AD269" s="212"/>
      <c r="AE269" s="212"/>
      <c r="AF269" s="212"/>
      <c r="AG269" s="212"/>
      <c r="AH269" s="212"/>
      <c r="AI269" s="212"/>
      <c r="AJ269" s="212"/>
      <c r="AK269" s="212"/>
      <c r="AL269" s="212"/>
      <c r="AM269" s="212"/>
      <c r="AN269" s="212"/>
      <c r="AO269" s="212"/>
      <c r="AP269" s="212"/>
      <c r="AQ269" s="212"/>
      <c r="AR269" s="212"/>
      <c r="AS269" s="212"/>
      <c r="AT269" s="212"/>
      <c r="AU269" s="212"/>
      <c r="AV269" s="212"/>
      <c r="AW269" s="212"/>
      <c r="AX269" s="212"/>
      <c r="AY269" s="212"/>
      <c r="AZ269" s="212"/>
      <c r="BA269" s="212"/>
      <c r="BB269" s="212"/>
      <c r="BC269" s="212"/>
      <c r="BD269" s="212"/>
      <c r="BE269" s="212"/>
      <c r="BF269" s="212"/>
      <c r="BG269" s="212"/>
      <c r="BH269" s="212"/>
      <c r="BI269" s="212"/>
      <c r="BJ269" s="212"/>
      <c r="BK269" s="212"/>
    </row>
    <row r="270" spans="1:63" s="212" customFormat="1" ht="15" customHeight="1">
      <c r="A270" s="226">
        <v>44406</v>
      </c>
      <c r="B270" s="232" t="s">
        <v>240</v>
      </c>
      <c r="C270" s="232" t="s">
        <v>9</v>
      </c>
      <c r="D270" s="232" t="s">
        <v>89</v>
      </c>
      <c r="E270" s="228"/>
      <c r="F270" s="228">
        <v>20000</v>
      </c>
      <c r="G270" s="228">
        <f t="shared" si="4"/>
        <v>38539460</v>
      </c>
      <c r="H270" s="232" t="s">
        <v>34</v>
      </c>
      <c r="I270" s="231" t="s">
        <v>335</v>
      </c>
      <c r="J270" s="231" t="s">
        <v>135</v>
      </c>
      <c r="K270" s="234" t="s">
        <v>136</v>
      </c>
      <c r="L270" s="227" t="s">
        <v>139</v>
      </c>
      <c r="M270" s="235"/>
      <c r="N270" s="235"/>
      <c r="O270" s="227"/>
    </row>
    <row r="271" spans="1:63" s="118" customFormat="1" ht="15" customHeight="1">
      <c r="A271" s="226">
        <v>44406</v>
      </c>
      <c r="B271" s="232" t="s">
        <v>291</v>
      </c>
      <c r="C271" s="232" t="s">
        <v>346</v>
      </c>
      <c r="D271" s="232" t="s">
        <v>89</v>
      </c>
      <c r="E271" s="228"/>
      <c r="F271" s="228">
        <v>25000</v>
      </c>
      <c r="G271" s="228">
        <f t="shared" si="4"/>
        <v>38514460</v>
      </c>
      <c r="H271" s="232" t="s">
        <v>46</v>
      </c>
      <c r="I271" s="231" t="s">
        <v>45</v>
      </c>
      <c r="J271" s="231" t="s">
        <v>135</v>
      </c>
      <c r="K271" s="234" t="s">
        <v>136</v>
      </c>
      <c r="L271" s="227" t="s">
        <v>139</v>
      </c>
      <c r="M271" s="235"/>
      <c r="N271" s="235"/>
      <c r="O271" s="227"/>
      <c r="P271" s="212"/>
      <c r="Q271" s="212"/>
      <c r="R271" s="212"/>
      <c r="S271" s="212"/>
      <c r="T271" s="212"/>
      <c r="U271" s="212"/>
      <c r="V271" s="212"/>
      <c r="W271" s="212"/>
      <c r="X271" s="212"/>
      <c r="Y271" s="212"/>
      <c r="Z271" s="212"/>
      <c r="AA271" s="212"/>
      <c r="AB271" s="212"/>
      <c r="AC271" s="212"/>
      <c r="AD271" s="212"/>
      <c r="AE271" s="212"/>
      <c r="AF271" s="212"/>
      <c r="AG271" s="212"/>
      <c r="AH271" s="212"/>
      <c r="AI271" s="212"/>
      <c r="AJ271" s="212"/>
      <c r="AK271" s="212"/>
      <c r="AL271" s="212"/>
      <c r="AM271" s="212"/>
      <c r="AN271" s="212"/>
      <c r="AO271" s="212"/>
      <c r="AP271" s="212"/>
      <c r="AQ271" s="212"/>
      <c r="AR271" s="212"/>
      <c r="AS271" s="212"/>
      <c r="AT271" s="212"/>
      <c r="AU271" s="212"/>
      <c r="AV271" s="212"/>
      <c r="AW271" s="212"/>
      <c r="AX271" s="212"/>
      <c r="AY271" s="212"/>
      <c r="AZ271" s="212"/>
      <c r="BA271" s="212"/>
      <c r="BB271" s="212"/>
      <c r="BC271" s="212"/>
      <c r="BD271" s="212"/>
      <c r="BE271" s="212"/>
      <c r="BF271" s="212"/>
      <c r="BG271" s="212"/>
      <c r="BH271" s="212"/>
      <c r="BI271" s="212"/>
      <c r="BJ271" s="212"/>
      <c r="BK271" s="212"/>
    </row>
    <row r="272" spans="1:63" s="118" customFormat="1" ht="15" customHeight="1">
      <c r="A272" s="226">
        <v>44406</v>
      </c>
      <c r="B272" s="232" t="s">
        <v>292</v>
      </c>
      <c r="C272" s="232" t="s">
        <v>177</v>
      </c>
      <c r="D272" s="232" t="s">
        <v>89</v>
      </c>
      <c r="E272" s="228"/>
      <c r="F272" s="228">
        <v>200</v>
      </c>
      <c r="G272" s="228">
        <f t="shared" si="4"/>
        <v>38514260</v>
      </c>
      <c r="H272" s="232" t="s">
        <v>46</v>
      </c>
      <c r="I272" s="231" t="s">
        <v>45</v>
      </c>
      <c r="J272" s="231" t="s">
        <v>135</v>
      </c>
      <c r="K272" s="234" t="s">
        <v>136</v>
      </c>
      <c r="L272" s="227" t="s">
        <v>139</v>
      </c>
      <c r="M272" s="227"/>
      <c r="N272" s="235"/>
      <c r="O272" s="227"/>
    </row>
    <row r="273" spans="1:63" s="207" customFormat="1" ht="15" customHeight="1">
      <c r="A273" s="226">
        <v>44406</v>
      </c>
      <c r="B273" s="232" t="s">
        <v>34</v>
      </c>
      <c r="C273" s="232" t="s">
        <v>88</v>
      </c>
      <c r="D273" s="232" t="s">
        <v>89</v>
      </c>
      <c r="E273" s="228">
        <v>90000</v>
      </c>
      <c r="F273" s="228"/>
      <c r="G273" s="228">
        <f t="shared" si="4"/>
        <v>38604260</v>
      </c>
      <c r="H273" s="232" t="s">
        <v>46</v>
      </c>
      <c r="I273" s="231" t="s">
        <v>335</v>
      </c>
      <c r="J273" s="231"/>
      <c r="K273" s="234"/>
      <c r="L273" s="227" t="s">
        <v>139</v>
      </c>
      <c r="M273" s="235"/>
      <c r="N273" s="235"/>
      <c r="O273" s="227"/>
      <c r="P273" s="212"/>
      <c r="Q273" s="212"/>
      <c r="R273" s="212"/>
      <c r="S273" s="212"/>
      <c r="T273" s="212"/>
      <c r="U273" s="212"/>
      <c r="V273" s="212"/>
      <c r="W273" s="212"/>
      <c r="X273" s="212"/>
      <c r="Y273" s="212"/>
      <c r="Z273" s="212"/>
      <c r="AA273" s="212"/>
      <c r="AB273" s="212"/>
      <c r="AC273" s="212"/>
      <c r="AD273" s="212"/>
      <c r="AE273" s="212"/>
      <c r="AF273" s="212"/>
      <c r="AG273" s="212"/>
      <c r="AH273" s="212"/>
      <c r="AI273" s="212"/>
      <c r="AJ273" s="212"/>
      <c r="AK273" s="212"/>
      <c r="AL273" s="212"/>
      <c r="AM273" s="212"/>
      <c r="AN273" s="212"/>
      <c r="AO273" s="212"/>
      <c r="AP273" s="212"/>
      <c r="AQ273" s="212"/>
      <c r="AR273" s="212"/>
      <c r="AS273" s="212"/>
      <c r="AT273" s="212"/>
      <c r="AU273" s="212"/>
      <c r="AV273" s="212"/>
      <c r="AW273" s="212"/>
      <c r="AX273" s="212"/>
      <c r="AY273" s="212"/>
      <c r="AZ273" s="212"/>
      <c r="BA273" s="212"/>
      <c r="BB273" s="212"/>
      <c r="BC273" s="212"/>
      <c r="BD273" s="212"/>
      <c r="BE273" s="212"/>
      <c r="BF273" s="212"/>
      <c r="BG273" s="212"/>
      <c r="BH273" s="212"/>
      <c r="BI273" s="212"/>
      <c r="BJ273" s="212"/>
      <c r="BK273" s="212"/>
    </row>
    <row r="274" spans="1:63" s="118" customFormat="1" ht="15" customHeight="1">
      <c r="A274" s="226">
        <v>44406</v>
      </c>
      <c r="B274" s="234" t="s">
        <v>273</v>
      </c>
      <c r="C274" s="232" t="s">
        <v>88</v>
      </c>
      <c r="D274" s="234" t="s">
        <v>6</v>
      </c>
      <c r="E274" s="228">
        <v>10000</v>
      </c>
      <c r="F274" s="228"/>
      <c r="G274" s="240">
        <f t="shared" si="4"/>
        <v>38614260</v>
      </c>
      <c r="H274" s="232" t="s">
        <v>60</v>
      </c>
      <c r="I274" s="231" t="s">
        <v>335</v>
      </c>
      <c r="J274" s="231"/>
      <c r="K274" s="238"/>
      <c r="L274" s="227" t="s">
        <v>139</v>
      </c>
      <c r="M274" s="235"/>
      <c r="N274" s="235"/>
      <c r="O274" s="227"/>
    </row>
    <row r="275" spans="1:63" s="207" customFormat="1" ht="15" customHeight="1">
      <c r="A275" s="226">
        <v>44406</v>
      </c>
      <c r="B275" s="234" t="s">
        <v>513</v>
      </c>
      <c r="C275" s="234" t="s">
        <v>247</v>
      </c>
      <c r="D275" s="237" t="s">
        <v>156</v>
      </c>
      <c r="E275" s="228"/>
      <c r="F275" s="228">
        <v>45000</v>
      </c>
      <c r="G275" s="228">
        <f t="shared" si="4"/>
        <v>38569260</v>
      </c>
      <c r="H275" s="234" t="s">
        <v>38</v>
      </c>
      <c r="I275" s="231" t="s">
        <v>45</v>
      </c>
      <c r="J275" s="231" t="s">
        <v>118</v>
      </c>
      <c r="K275" s="234" t="s">
        <v>137</v>
      </c>
      <c r="L275" s="227" t="s">
        <v>139</v>
      </c>
      <c r="M275" s="4" t="s">
        <v>473</v>
      </c>
      <c r="N275" s="235" t="s">
        <v>364</v>
      </c>
      <c r="O275" s="227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  <c r="AL275" s="118"/>
      <c r="AM275" s="118"/>
      <c r="AN275" s="118"/>
      <c r="AO275" s="118"/>
      <c r="AP275" s="118"/>
      <c r="AQ275" s="118"/>
      <c r="AR275" s="118"/>
      <c r="AS275" s="118"/>
      <c r="AT275" s="118"/>
      <c r="AU275" s="118"/>
      <c r="AV275" s="118"/>
      <c r="AW275" s="118"/>
      <c r="AX275" s="118"/>
      <c r="AY275" s="118"/>
      <c r="AZ275" s="118"/>
      <c r="BA275" s="118"/>
      <c r="BB275" s="118"/>
      <c r="BC275" s="118"/>
      <c r="BD275" s="118"/>
      <c r="BE275" s="118"/>
      <c r="BF275" s="118"/>
      <c r="BG275" s="118"/>
      <c r="BH275" s="118"/>
      <c r="BI275" s="118"/>
      <c r="BJ275" s="118"/>
      <c r="BK275" s="118"/>
    </row>
    <row r="276" spans="1:63" s="118" customFormat="1" ht="15" customHeight="1">
      <c r="A276" s="226">
        <v>44406</v>
      </c>
      <c r="B276" s="234" t="s">
        <v>269</v>
      </c>
      <c r="C276" s="234" t="s">
        <v>43</v>
      </c>
      <c r="D276" s="237" t="s">
        <v>156</v>
      </c>
      <c r="E276" s="228"/>
      <c r="F276" s="228">
        <v>4000</v>
      </c>
      <c r="G276" s="228">
        <f t="shared" si="4"/>
        <v>38565260</v>
      </c>
      <c r="H276" s="234" t="s">
        <v>38</v>
      </c>
      <c r="I276" s="231" t="s">
        <v>45</v>
      </c>
      <c r="J276" s="231" t="s">
        <v>135</v>
      </c>
      <c r="K276" s="234" t="s">
        <v>136</v>
      </c>
      <c r="L276" s="227" t="s">
        <v>139</v>
      </c>
      <c r="M276" s="235"/>
      <c r="N276" s="235"/>
      <c r="O276" s="227"/>
    </row>
    <row r="277" spans="1:63" s="118" customFormat="1" ht="15" customHeight="1">
      <c r="A277" s="226">
        <v>44406</v>
      </c>
      <c r="B277" s="236" t="s">
        <v>333</v>
      </c>
      <c r="C277" s="232" t="s">
        <v>88</v>
      </c>
      <c r="D277" s="241" t="s">
        <v>5</v>
      </c>
      <c r="E277" s="228"/>
      <c r="F277" s="228">
        <v>1000000</v>
      </c>
      <c r="G277" s="228">
        <f t="shared" si="4"/>
        <v>37565260</v>
      </c>
      <c r="H277" s="234" t="s">
        <v>32</v>
      </c>
      <c r="I277" s="231">
        <v>3643510</v>
      </c>
      <c r="J277" s="231"/>
      <c r="K277" s="234"/>
      <c r="L277" s="227" t="s">
        <v>139</v>
      </c>
      <c r="M277" s="227"/>
      <c r="N277" s="235"/>
      <c r="O277" s="227"/>
      <c r="P277" s="212"/>
      <c r="Q277" s="212"/>
      <c r="R277" s="212"/>
      <c r="S277" s="212"/>
      <c r="T277" s="212"/>
      <c r="U277" s="212"/>
      <c r="V277" s="212"/>
      <c r="W277" s="212"/>
      <c r="X277" s="212"/>
      <c r="Y277" s="212"/>
      <c r="Z277" s="212"/>
      <c r="AA277" s="212"/>
      <c r="AB277" s="212"/>
      <c r="AC277" s="212"/>
      <c r="AD277" s="212"/>
      <c r="AE277" s="212"/>
      <c r="AF277" s="212"/>
      <c r="AG277" s="212"/>
      <c r="AH277" s="212"/>
      <c r="AI277" s="212"/>
      <c r="AJ277" s="212"/>
      <c r="AK277" s="212"/>
      <c r="AL277" s="212"/>
      <c r="AM277" s="212"/>
      <c r="AN277" s="212"/>
      <c r="AO277" s="212"/>
      <c r="AP277" s="212"/>
      <c r="AQ277" s="212"/>
      <c r="AR277" s="212"/>
      <c r="AS277" s="212"/>
      <c r="AT277" s="212"/>
      <c r="AU277" s="212"/>
      <c r="AV277" s="212"/>
      <c r="AW277" s="212"/>
      <c r="AX277" s="212"/>
      <c r="AY277" s="212"/>
      <c r="AZ277" s="212"/>
      <c r="BA277" s="212"/>
      <c r="BB277" s="212"/>
      <c r="BC277" s="212"/>
      <c r="BD277" s="212"/>
      <c r="BE277" s="212"/>
      <c r="BF277" s="212"/>
      <c r="BG277" s="212"/>
      <c r="BH277" s="212"/>
      <c r="BI277" s="212"/>
      <c r="BJ277" s="212"/>
      <c r="BK277" s="212"/>
    </row>
    <row r="278" spans="1:63" s="207" customFormat="1" ht="15" customHeight="1">
      <c r="A278" s="226">
        <v>44407</v>
      </c>
      <c r="B278" s="232" t="s">
        <v>241</v>
      </c>
      <c r="C278" s="232" t="s">
        <v>166</v>
      </c>
      <c r="D278" s="232" t="s">
        <v>5</v>
      </c>
      <c r="E278" s="228"/>
      <c r="F278" s="228">
        <v>89175</v>
      </c>
      <c r="G278" s="228">
        <f t="shared" si="4"/>
        <v>37476085</v>
      </c>
      <c r="H278" s="232" t="s">
        <v>34</v>
      </c>
      <c r="I278" s="231" t="s">
        <v>45</v>
      </c>
      <c r="J278" s="231" t="s">
        <v>118</v>
      </c>
      <c r="K278" s="234" t="s">
        <v>137</v>
      </c>
      <c r="L278" s="227" t="s">
        <v>139</v>
      </c>
      <c r="M278" s="4" t="s">
        <v>474</v>
      </c>
      <c r="N278" s="235" t="s">
        <v>355</v>
      </c>
      <c r="O278" s="227"/>
      <c r="P278" s="213"/>
      <c r="Q278" s="213"/>
      <c r="R278" s="213"/>
      <c r="S278" s="213"/>
      <c r="T278" s="213"/>
      <c r="U278" s="213"/>
      <c r="V278" s="213"/>
      <c r="W278" s="213"/>
      <c r="X278" s="213"/>
      <c r="Y278" s="213"/>
      <c r="Z278" s="213"/>
      <c r="AA278" s="213"/>
      <c r="AB278" s="213"/>
      <c r="AC278" s="213"/>
      <c r="AD278" s="213"/>
      <c r="AE278" s="213"/>
      <c r="AF278" s="213"/>
      <c r="AG278" s="213"/>
      <c r="AH278" s="213"/>
      <c r="AI278" s="213"/>
      <c r="AJ278" s="213"/>
      <c r="AK278" s="213"/>
      <c r="AL278" s="213"/>
      <c r="AM278" s="213"/>
      <c r="AN278" s="213"/>
      <c r="AO278" s="213"/>
      <c r="AP278" s="213"/>
      <c r="AQ278" s="213"/>
      <c r="AR278" s="213"/>
      <c r="AS278" s="213"/>
      <c r="AT278" s="213"/>
      <c r="AU278" s="213"/>
      <c r="AV278" s="213"/>
      <c r="AW278" s="213"/>
      <c r="AX278" s="213"/>
      <c r="AY278" s="213"/>
      <c r="AZ278" s="213"/>
      <c r="BA278" s="213"/>
      <c r="BB278" s="213"/>
      <c r="BC278" s="213"/>
      <c r="BD278" s="213"/>
      <c r="BE278" s="213"/>
      <c r="BF278" s="213"/>
      <c r="BG278" s="213"/>
      <c r="BH278" s="213"/>
      <c r="BI278" s="213"/>
      <c r="BJ278" s="213"/>
      <c r="BK278" s="213"/>
    </row>
    <row r="279" spans="1:63" s="213" customFormat="1" ht="15" customHeight="1">
      <c r="A279" s="226">
        <v>44407</v>
      </c>
      <c r="B279" s="232" t="s">
        <v>108</v>
      </c>
      <c r="C279" s="232" t="s">
        <v>88</v>
      </c>
      <c r="D279" s="232"/>
      <c r="E279" s="228"/>
      <c r="F279" s="228">
        <v>10000</v>
      </c>
      <c r="G279" s="228">
        <f t="shared" si="4"/>
        <v>37466085</v>
      </c>
      <c r="H279" s="232" t="s">
        <v>34</v>
      </c>
      <c r="I279" s="231"/>
      <c r="J279" s="231"/>
      <c r="K279" s="234"/>
      <c r="L279" s="227" t="s">
        <v>139</v>
      </c>
      <c r="M279" s="227"/>
      <c r="N279" s="235"/>
      <c r="O279" s="227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  <c r="AG279" s="118"/>
      <c r="AH279" s="118"/>
      <c r="AI279" s="118"/>
      <c r="AJ279" s="118"/>
      <c r="AK279" s="118"/>
      <c r="AL279" s="118"/>
      <c r="AM279" s="118"/>
      <c r="AN279" s="118"/>
      <c r="AO279" s="118"/>
      <c r="AP279" s="118"/>
      <c r="AQ279" s="118"/>
      <c r="AR279" s="118"/>
      <c r="AS279" s="118"/>
      <c r="AT279" s="118"/>
      <c r="AU279" s="118"/>
      <c r="AV279" s="118"/>
      <c r="AW279" s="118"/>
      <c r="AX279" s="118"/>
      <c r="AY279" s="118"/>
      <c r="AZ279" s="118"/>
      <c r="BA279" s="118"/>
      <c r="BB279" s="118"/>
      <c r="BC279" s="118"/>
      <c r="BD279" s="118"/>
      <c r="BE279" s="118"/>
      <c r="BF279" s="118"/>
      <c r="BG279" s="118"/>
      <c r="BH279" s="118"/>
      <c r="BI279" s="118"/>
      <c r="BJ279" s="118"/>
      <c r="BK279" s="118"/>
    </row>
    <row r="280" spans="1:63" s="212" customFormat="1" ht="15" customHeight="1">
      <c r="A280" s="226">
        <v>44407</v>
      </c>
      <c r="B280" s="232" t="s">
        <v>242</v>
      </c>
      <c r="C280" s="232" t="s">
        <v>7</v>
      </c>
      <c r="D280" s="232" t="s">
        <v>344</v>
      </c>
      <c r="E280" s="228"/>
      <c r="F280" s="228">
        <v>10500</v>
      </c>
      <c r="G280" s="228">
        <f t="shared" si="4"/>
        <v>37455585</v>
      </c>
      <c r="H280" s="232" t="s">
        <v>34</v>
      </c>
      <c r="I280" s="231" t="s">
        <v>45</v>
      </c>
      <c r="J280" s="231" t="s">
        <v>135</v>
      </c>
      <c r="K280" s="234" t="s">
        <v>136</v>
      </c>
      <c r="L280" s="227" t="s">
        <v>139</v>
      </c>
      <c r="M280" s="227"/>
      <c r="N280" s="235"/>
      <c r="O280" s="235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  <c r="AG280" s="118"/>
      <c r="AH280" s="118"/>
      <c r="AI280" s="118"/>
      <c r="AJ280" s="118"/>
      <c r="AK280" s="118"/>
      <c r="AL280" s="118"/>
      <c r="AM280" s="118"/>
      <c r="AN280" s="118"/>
      <c r="AO280" s="118"/>
      <c r="AP280" s="118"/>
      <c r="AQ280" s="118"/>
      <c r="AR280" s="118"/>
      <c r="AS280" s="118"/>
      <c r="AT280" s="118"/>
      <c r="AU280" s="118"/>
      <c r="AV280" s="118"/>
      <c r="AW280" s="118"/>
      <c r="AX280" s="118"/>
      <c r="AY280" s="118"/>
      <c r="AZ280" s="118"/>
      <c r="BA280" s="118"/>
      <c r="BB280" s="118"/>
      <c r="BC280" s="118"/>
      <c r="BD280" s="118"/>
      <c r="BE280" s="118"/>
      <c r="BF280" s="118"/>
      <c r="BG280" s="118"/>
      <c r="BH280" s="118"/>
      <c r="BI280" s="118"/>
      <c r="BJ280" s="118"/>
      <c r="BK280" s="118"/>
    </row>
    <row r="281" spans="1:63" s="212" customFormat="1" ht="15" customHeight="1">
      <c r="A281" s="226">
        <v>44407</v>
      </c>
      <c r="B281" s="232" t="s">
        <v>243</v>
      </c>
      <c r="C281" s="232" t="s">
        <v>2</v>
      </c>
      <c r="D281" s="232" t="s">
        <v>6</v>
      </c>
      <c r="E281" s="228"/>
      <c r="F281" s="228">
        <v>441425</v>
      </c>
      <c r="G281" s="228">
        <f t="shared" si="4"/>
        <v>37014160</v>
      </c>
      <c r="H281" s="232" t="s">
        <v>34</v>
      </c>
      <c r="I281" s="231" t="s">
        <v>45</v>
      </c>
      <c r="J281" s="231" t="s">
        <v>135</v>
      </c>
      <c r="K281" s="234" t="s">
        <v>136</v>
      </c>
      <c r="L281" s="227" t="s">
        <v>139</v>
      </c>
      <c r="M281" s="227"/>
      <c r="N281" s="235"/>
      <c r="O281" s="227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  <c r="AG281" s="118"/>
      <c r="AH281" s="118"/>
      <c r="AI281" s="118"/>
      <c r="AJ281" s="118"/>
      <c r="AK281" s="118"/>
      <c r="AL281" s="118"/>
      <c r="AM281" s="118"/>
      <c r="AN281" s="118"/>
      <c r="AO281" s="118"/>
      <c r="AP281" s="118"/>
      <c r="AQ281" s="118"/>
      <c r="AR281" s="118"/>
      <c r="AS281" s="118"/>
      <c r="AT281" s="118"/>
      <c r="AU281" s="118"/>
      <c r="AV281" s="118"/>
      <c r="AW281" s="118"/>
      <c r="AX281" s="118"/>
      <c r="AY281" s="118"/>
      <c r="AZ281" s="118"/>
      <c r="BA281" s="118"/>
      <c r="BB281" s="118"/>
      <c r="BC281" s="118"/>
      <c r="BD281" s="118"/>
      <c r="BE281" s="118"/>
      <c r="BF281" s="118"/>
      <c r="BG281" s="118"/>
      <c r="BH281" s="118"/>
      <c r="BI281" s="118"/>
      <c r="BJ281" s="118"/>
      <c r="BK281" s="118"/>
    </row>
    <row r="282" spans="1:63" s="212" customFormat="1" ht="15" customHeight="1">
      <c r="A282" s="226">
        <v>44407</v>
      </c>
      <c r="B282" s="232" t="s">
        <v>244</v>
      </c>
      <c r="C282" s="232" t="s">
        <v>342</v>
      </c>
      <c r="D282" s="232" t="s">
        <v>89</v>
      </c>
      <c r="E282" s="228"/>
      <c r="F282" s="228">
        <v>-20000</v>
      </c>
      <c r="G282" s="228">
        <f t="shared" si="4"/>
        <v>37034160</v>
      </c>
      <c r="H282" s="232" t="s">
        <v>34</v>
      </c>
      <c r="I282" s="231"/>
      <c r="J282" s="231" t="s">
        <v>118</v>
      </c>
      <c r="K282" s="234" t="s">
        <v>137</v>
      </c>
      <c r="L282" s="227" t="s">
        <v>139</v>
      </c>
      <c r="M282" s="4" t="s">
        <v>475</v>
      </c>
      <c r="N282" s="235" t="s">
        <v>140</v>
      </c>
      <c r="O282" s="185"/>
      <c r="P282" s="207"/>
      <c r="Q282" s="207"/>
      <c r="R282" s="207"/>
      <c r="S282" s="207"/>
      <c r="T282" s="207"/>
      <c r="U282" s="207"/>
      <c r="V282" s="207"/>
      <c r="W282" s="207"/>
      <c r="X282" s="207"/>
      <c r="Y282" s="207"/>
      <c r="Z282" s="207"/>
      <c r="AA282" s="207"/>
      <c r="AB282" s="207"/>
      <c r="AC282" s="207"/>
      <c r="AD282" s="207"/>
      <c r="AE282" s="207"/>
      <c r="AF282" s="207"/>
      <c r="AG282" s="207"/>
      <c r="AH282" s="207"/>
      <c r="AI282" s="207"/>
      <c r="AJ282" s="207"/>
      <c r="AK282" s="207"/>
      <c r="AL282" s="207"/>
      <c r="AM282" s="207"/>
      <c r="AN282" s="207"/>
      <c r="AO282" s="207"/>
      <c r="AP282" s="207"/>
      <c r="AQ282" s="207"/>
      <c r="AR282" s="207"/>
      <c r="AS282" s="207"/>
      <c r="AT282" s="207"/>
      <c r="AU282" s="207"/>
      <c r="AV282" s="207"/>
      <c r="AW282" s="207"/>
      <c r="AX282" s="207"/>
      <c r="AY282" s="207"/>
      <c r="AZ282" s="207"/>
      <c r="BA282" s="207"/>
      <c r="BB282" s="207"/>
      <c r="BC282" s="207"/>
      <c r="BD282" s="207"/>
      <c r="BE282" s="207"/>
      <c r="BF282" s="207"/>
      <c r="BG282" s="207"/>
      <c r="BH282" s="207"/>
      <c r="BI282" s="207"/>
      <c r="BJ282" s="207"/>
      <c r="BK282" s="207"/>
    </row>
    <row r="283" spans="1:63" s="212" customFormat="1" ht="15" customHeight="1">
      <c r="A283" s="226">
        <v>44407</v>
      </c>
      <c r="B283" s="232" t="s">
        <v>60</v>
      </c>
      <c r="C283" s="232" t="s">
        <v>88</v>
      </c>
      <c r="D283" s="232"/>
      <c r="E283" s="228"/>
      <c r="F283" s="228">
        <v>20000</v>
      </c>
      <c r="G283" s="228">
        <f t="shared" si="4"/>
        <v>37014160</v>
      </c>
      <c r="H283" s="232" t="s">
        <v>34</v>
      </c>
      <c r="I283" s="231"/>
      <c r="J283" s="231"/>
      <c r="K283" s="234"/>
      <c r="L283" s="227" t="s">
        <v>139</v>
      </c>
      <c r="M283" s="235"/>
      <c r="N283" s="235"/>
      <c r="O283" s="227"/>
    </row>
    <row r="284" spans="1:63" s="118" customFormat="1" ht="15" customHeight="1">
      <c r="A284" s="226">
        <v>44407</v>
      </c>
      <c r="B284" s="232" t="s">
        <v>492</v>
      </c>
      <c r="C284" s="234" t="s">
        <v>345</v>
      </c>
      <c r="D284" s="232" t="s">
        <v>89</v>
      </c>
      <c r="E284" s="228"/>
      <c r="F284" s="228">
        <v>29000</v>
      </c>
      <c r="G284" s="228">
        <f t="shared" si="4"/>
        <v>36985160</v>
      </c>
      <c r="H284" s="232" t="s">
        <v>46</v>
      </c>
      <c r="I284" s="231" t="s">
        <v>335</v>
      </c>
      <c r="J284" s="231" t="s">
        <v>135</v>
      </c>
      <c r="K284" s="234" t="s">
        <v>136</v>
      </c>
      <c r="L284" s="227" t="s">
        <v>139</v>
      </c>
      <c r="M284" s="235"/>
      <c r="N284" s="235"/>
      <c r="O284" s="234"/>
      <c r="P284" s="212"/>
      <c r="Q284" s="212"/>
      <c r="R284" s="212"/>
      <c r="S284" s="212"/>
      <c r="T284" s="212"/>
      <c r="U284" s="212"/>
      <c r="V284" s="212"/>
      <c r="W284" s="212"/>
      <c r="X284" s="212"/>
      <c r="Y284" s="212"/>
      <c r="Z284" s="212"/>
      <c r="AA284" s="212"/>
      <c r="AB284" s="212"/>
      <c r="AC284" s="212"/>
      <c r="AD284" s="212"/>
      <c r="AE284" s="212"/>
      <c r="AF284" s="212"/>
      <c r="AG284" s="212"/>
      <c r="AH284" s="212"/>
      <c r="AI284" s="212"/>
      <c r="AJ284" s="212"/>
      <c r="AK284" s="212"/>
      <c r="AL284" s="212"/>
      <c r="AM284" s="212"/>
      <c r="AN284" s="212"/>
      <c r="AO284" s="212"/>
      <c r="AP284" s="212"/>
      <c r="AQ284" s="212"/>
      <c r="AR284" s="212"/>
      <c r="AS284" s="212"/>
      <c r="AT284" s="212"/>
      <c r="AU284" s="212"/>
      <c r="AV284" s="212"/>
      <c r="AW284" s="212"/>
      <c r="AX284" s="212"/>
      <c r="AY284" s="212"/>
      <c r="AZ284" s="212"/>
      <c r="BA284" s="212"/>
      <c r="BB284" s="212"/>
      <c r="BC284" s="212"/>
      <c r="BD284" s="212"/>
      <c r="BE284" s="212"/>
      <c r="BF284" s="212"/>
      <c r="BG284" s="212"/>
      <c r="BH284" s="212"/>
      <c r="BI284" s="212"/>
      <c r="BJ284" s="212"/>
      <c r="BK284" s="212"/>
    </row>
    <row r="285" spans="1:63" s="212" customFormat="1" ht="15" customHeight="1">
      <c r="A285" s="226">
        <v>44407</v>
      </c>
      <c r="B285" s="234" t="s">
        <v>283</v>
      </c>
      <c r="C285" s="234" t="s">
        <v>43</v>
      </c>
      <c r="D285" s="234" t="s">
        <v>6</v>
      </c>
      <c r="E285" s="228"/>
      <c r="F285" s="228">
        <v>191500</v>
      </c>
      <c r="G285" s="228">
        <f t="shared" si="4"/>
        <v>36793660</v>
      </c>
      <c r="H285" s="232" t="s">
        <v>60</v>
      </c>
      <c r="I285" s="231" t="s">
        <v>335</v>
      </c>
      <c r="J285" s="231" t="s">
        <v>118</v>
      </c>
      <c r="K285" s="238" t="s">
        <v>137</v>
      </c>
      <c r="L285" s="227" t="s">
        <v>139</v>
      </c>
      <c r="M285" s="4" t="s">
        <v>476</v>
      </c>
      <c r="N285" s="235" t="s">
        <v>142</v>
      </c>
      <c r="O285" s="227"/>
    </row>
    <row r="286" spans="1:63" s="118" customFormat="1" ht="15" customHeight="1">
      <c r="A286" s="226">
        <v>44407</v>
      </c>
      <c r="B286" s="234" t="s">
        <v>245</v>
      </c>
      <c r="C286" s="232" t="s">
        <v>88</v>
      </c>
      <c r="D286" s="234" t="s">
        <v>6</v>
      </c>
      <c r="E286" s="228">
        <v>20000</v>
      </c>
      <c r="F286" s="228"/>
      <c r="G286" s="240">
        <f t="shared" si="4"/>
        <v>36813660</v>
      </c>
      <c r="H286" s="232" t="s">
        <v>60</v>
      </c>
      <c r="I286" s="231" t="s">
        <v>335</v>
      </c>
      <c r="J286" s="231"/>
      <c r="K286" s="238"/>
      <c r="L286" s="227" t="s">
        <v>139</v>
      </c>
      <c r="M286" s="227"/>
      <c r="N286" s="235"/>
      <c r="O286" s="227"/>
    </row>
    <row r="287" spans="1:63" s="212" customFormat="1" ht="15" customHeight="1">
      <c r="A287" s="226">
        <v>44407</v>
      </c>
      <c r="B287" s="242" t="s">
        <v>293</v>
      </c>
      <c r="C287" s="242" t="s">
        <v>43</v>
      </c>
      <c r="D287" s="242" t="s">
        <v>6</v>
      </c>
      <c r="E287" s="228"/>
      <c r="F287" s="228">
        <v>28000</v>
      </c>
      <c r="G287" s="228">
        <f t="shared" si="4"/>
        <v>36785660</v>
      </c>
      <c r="H287" s="232" t="s">
        <v>129</v>
      </c>
      <c r="I287" s="231" t="s">
        <v>335</v>
      </c>
      <c r="J287" s="231" t="s">
        <v>118</v>
      </c>
      <c r="K287" s="238" t="s">
        <v>137</v>
      </c>
      <c r="L287" s="227" t="s">
        <v>139</v>
      </c>
      <c r="M287" s="4" t="s">
        <v>477</v>
      </c>
      <c r="N287" s="235" t="s">
        <v>142</v>
      </c>
      <c r="O287" s="227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  <c r="AG287" s="118"/>
      <c r="AH287" s="118"/>
      <c r="AI287" s="118"/>
      <c r="AJ287" s="118"/>
      <c r="AK287" s="118"/>
      <c r="AL287" s="118"/>
      <c r="AM287" s="118"/>
      <c r="AN287" s="118"/>
      <c r="AO287" s="118"/>
      <c r="AP287" s="118"/>
      <c r="AQ287" s="118"/>
      <c r="AR287" s="118"/>
      <c r="AS287" s="118"/>
      <c r="AT287" s="118"/>
      <c r="AU287" s="118"/>
      <c r="AV287" s="118"/>
      <c r="AW287" s="118"/>
      <c r="AX287" s="118"/>
      <c r="AY287" s="118"/>
      <c r="AZ287" s="118"/>
      <c r="BA287" s="118"/>
      <c r="BB287" s="118"/>
      <c r="BC287" s="118"/>
      <c r="BD287" s="118"/>
      <c r="BE287" s="118"/>
      <c r="BF287" s="118"/>
      <c r="BG287" s="118"/>
      <c r="BH287" s="118"/>
      <c r="BI287" s="118"/>
      <c r="BJ287" s="118"/>
      <c r="BK287" s="118"/>
    </row>
    <row r="288" spans="1:63" s="118" customFormat="1" ht="15" customHeight="1">
      <c r="A288" s="226">
        <v>44407</v>
      </c>
      <c r="B288" s="232" t="s">
        <v>245</v>
      </c>
      <c r="C288" s="232" t="s">
        <v>88</v>
      </c>
      <c r="D288" s="232"/>
      <c r="E288" s="228">
        <v>10000</v>
      </c>
      <c r="F288" s="228"/>
      <c r="G288" s="228">
        <f t="shared" si="4"/>
        <v>36795660</v>
      </c>
      <c r="H288" s="232" t="s">
        <v>108</v>
      </c>
      <c r="I288" s="231" t="s">
        <v>335</v>
      </c>
      <c r="J288" s="231"/>
      <c r="K288" s="234"/>
      <c r="L288" s="227" t="s">
        <v>139</v>
      </c>
      <c r="M288" s="227"/>
      <c r="N288" s="235"/>
      <c r="O288" s="227"/>
      <c r="P288" s="213"/>
      <c r="Q288" s="213"/>
      <c r="R288" s="213"/>
      <c r="S288" s="213"/>
      <c r="T288" s="213"/>
      <c r="U288" s="213"/>
      <c r="V288" s="213"/>
      <c r="W288" s="213"/>
      <c r="X288" s="213"/>
      <c r="Y288" s="213"/>
      <c r="Z288" s="213"/>
      <c r="AA288" s="213"/>
      <c r="AB288" s="213"/>
      <c r="AC288" s="213"/>
      <c r="AD288" s="213"/>
      <c r="AE288" s="213"/>
      <c r="AF288" s="213"/>
      <c r="AG288" s="213"/>
      <c r="AH288" s="213"/>
      <c r="AI288" s="213"/>
      <c r="AJ288" s="213"/>
      <c r="AK288" s="213"/>
      <c r="AL288" s="213"/>
      <c r="AM288" s="213"/>
      <c r="AN288" s="213"/>
      <c r="AO288" s="213"/>
      <c r="AP288" s="213"/>
      <c r="AQ288" s="213"/>
      <c r="AR288" s="213"/>
      <c r="AS288" s="213"/>
      <c r="AT288" s="213"/>
      <c r="AU288" s="213"/>
      <c r="AV288" s="213"/>
      <c r="AW288" s="213"/>
      <c r="AX288" s="213"/>
      <c r="AY288" s="213"/>
      <c r="AZ288" s="213"/>
      <c r="BA288" s="213"/>
      <c r="BB288" s="213"/>
      <c r="BC288" s="213"/>
      <c r="BD288" s="213"/>
      <c r="BE288" s="213"/>
      <c r="BF288" s="213"/>
      <c r="BG288" s="213"/>
      <c r="BH288" s="213"/>
      <c r="BI288" s="213"/>
      <c r="BJ288" s="213"/>
      <c r="BK288" s="213"/>
    </row>
    <row r="289" spans="1:63" s="212" customFormat="1" ht="15" customHeight="1">
      <c r="A289" s="226">
        <v>44407</v>
      </c>
      <c r="B289" s="232" t="s">
        <v>294</v>
      </c>
      <c r="C289" s="232" t="s">
        <v>43</v>
      </c>
      <c r="D289" s="232" t="s">
        <v>6</v>
      </c>
      <c r="E289" s="228"/>
      <c r="F289" s="228">
        <v>67000</v>
      </c>
      <c r="G289" s="228">
        <f t="shared" si="4"/>
        <v>36728660</v>
      </c>
      <c r="H289" s="232" t="s">
        <v>108</v>
      </c>
      <c r="I289" s="231" t="s">
        <v>335</v>
      </c>
      <c r="J289" s="231" t="s">
        <v>118</v>
      </c>
      <c r="K289" s="238" t="s">
        <v>137</v>
      </c>
      <c r="L289" s="227" t="s">
        <v>139</v>
      </c>
      <c r="M289" s="4" t="s">
        <v>478</v>
      </c>
      <c r="N289" s="235" t="s">
        <v>142</v>
      </c>
      <c r="O289" s="227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  <c r="AG289" s="118"/>
      <c r="AH289" s="118"/>
      <c r="AI289" s="118"/>
      <c r="AJ289" s="118"/>
      <c r="AK289" s="118"/>
      <c r="AL289" s="118"/>
      <c r="AM289" s="118"/>
      <c r="AN289" s="118"/>
      <c r="AO289" s="118"/>
      <c r="AP289" s="118"/>
      <c r="AQ289" s="118"/>
      <c r="AR289" s="118"/>
      <c r="AS289" s="118"/>
      <c r="AT289" s="118"/>
      <c r="AU289" s="118"/>
      <c r="AV289" s="118"/>
      <c r="AW289" s="118"/>
      <c r="AX289" s="118"/>
      <c r="AY289" s="118"/>
      <c r="AZ289" s="118"/>
      <c r="BA289" s="118"/>
      <c r="BB289" s="118"/>
      <c r="BC289" s="118"/>
      <c r="BD289" s="118"/>
      <c r="BE289" s="118"/>
      <c r="BF289" s="118"/>
      <c r="BG289" s="118"/>
      <c r="BH289" s="118"/>
      <c r="BI289" s="118"/>
      <c r="BJ289" s="118"/>
      <c r="BK289" s="118"/>
    </row>
    <row r="290" spans="1:63" s="118" customFormat="1" ht="15" customHeight="1">
      <c r="A290" s="226">
        <v>44407</v>
      </c>
      <c r="B290" s="234" t="s">
        <v>514</v>
      </c>
      <c r="C290" s="234" t="s">
        <v>354</v>
      </c>
      <c r="D290" s="237" t="s">
        <v>156</v>
      </c>
      <c r="E290" s="228"/>
      <c r="F290" s="228">
        <v>17500</v>
      </c>
      <c r="G290" s="228">
        <f t="shared" si="4"/>
        <v>36711160</v>
      </c>
      <c r="H290" s="234" t="s">
        <v>38</v>
      </c>
      <c r="I290" s="231" t="s">
        <v>335</v>
      </c>
      <c r="J290" s="231" t="s">
        <v>135</v>
      </c>
      <c r="K290" s="234" t="s">
        <v>136</v>
      </c>
      <c r="L290" s="227" t="s">
        <v>139</v>
      </c>
      <c r="M290" s="227"/>
      <c r="N290" s="235"/>
      <c r="O290" s="227"/>
    </row>
    <row r="291" spans="1:63" s="212" customFormat="1" ht="15" customHeight="1">
      <c r="A291" s="226">
        <v>44407</v>
      </c>
      <c r="B291" s="232" t="s">
        <v>301</v>
      </c>
      <c r="C291" s="232" t="s">
        <v>10</v>
      </c>
      <c r="D291" s="232" t="s">
        <v>5</v>
      </c>
      <c r="E291" s="228"/>
      <c r="F291" s="228">
        <v>260000</v>
      </c>
      <c r="G291" s="228">
        <f t="shared" si="4"/>
        <v>36451160</v>
      </c>
      <c r="H291" s="232" t="s">
        <v>31</v>
      </c>
      <c r="I291" s="231" t="s">
        <v>101</v>
      </c>
      <c r="J291" s="231" t="s">
        <v>135</v>
      </c>
      <c r="K291" s="234" t="s">
        <v>136</v>
      </c>
      <c r="L291" s="227" t="s">
        <v>139</v>
      </c>
      <c r="M291" s="235"/>
      <c r="N291" s="235"/>
      <c r="O291" s="227"/>
    </row>
    <row r="292" spans="1:63" s="212" customFormat="1" ht="15" customHeight="1">
      <c r="A292" s="226">
        <v>44407</v>
      </c>
      <c r="B292" s="232" t="s">
        <v>334</v>
      </c>
      <c r="C292" s="232" t="s">
        <v>336</v>
      </c>
      <c r="D292" s="232" t="s">
        <v>8</v>
      </c>
      <c r="E292" s="228"/>
      <c r="F292" s="228">
        <v>2600</v>
      </c>
      <c r="G292" s="228">
        <f t="shared" si="4"/>
        <v>36448560</v>
      </c>
      <c r="H292" s="234" t="s">
        <v>31</v>
      </c>
      <c r="I292" s="231" t="s">
        <v>353</v>
      </c>
      <c r="J292" s="231" t="s">
        <v>135</v>
      </c>
      <c r="K292" s="234" t="s">
        <v>136</v>
      </c>
      <c r="L292" s="227" t="s">
        <v>139</v>
      </c>
      <c r="M292" s="227"/>
      <c r="N292" s="235"/>
      <c r="O292" s="235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  <c r="AG292" s="118"/>
      <c r="AH292" s="118"/>
      <c r="AI292" s="118"/>
      <c r="AJ292" s="118"/>
      <c r="AK292" s="118"/>
      <c r="AL292" s="118"/>
      <c r="AM292" s="118"/>
      <c r="AN292" s="118"/>
      <c r="AO292" s="118"/>
      <c r="AP292" s="118"/>
      <c r="AQ292" s="118"/>
      <c r="AR292" s="118"/>
      <c r="AS292" s="118"/>
      <c r="AT292" s="118"/>
      <c r="AU292" s="118"/>
      <c r="AV292" s="118"/>
      <c r="AW292" s="118"/>
      <c r="AX292" s="118"/>
      <c r="AY292" s="118"/>
      <c r="AZ292" s="118"/>
      <c r="BA292" s="118"/>
      <c r="BB292" s="118"/>
      <c r="BC292" s="118"/>
      <c r="BD292" s="118"/>
      <c r="BE292" s="118"/>
      <c r="BF292" s="118"/>
      <c r="BG292" s="118"/>
      <c r="BH292" s="118"/>
      <c r="BI292" s="118"/>
      <c r="BJ292" s="118"/>
      <c r="BK292" s="118"/>
    </row>
    <row r="293" spans="1:63" s="212" customFormat="1" ht="15" customHeight="1">
      <c r="A293" s="226">
        <v>44407</v>
      </c>
      <c r="B293" s="232" t="s">
        <v>493</v>
      </c>
      <c r="C293" s="232" t="s">
        <v>117</v>
      </c>
      <c r="D293" s="232" t="s">
        <v>89</v>
      </c>
      <c r="E293" s="228"/>
      <c r="F293" s="228">
        <v>60000</v>
      </c>
      <c r="G293" s="228">
        <f t="shared" si="4"/>
        <v>36388560</v>
      </c>
      <c r="H293" s="232" t="s">
        <v>46</v>
      </c>
      <c r="I293" s="231" t="s">
        <v>45</v>
      </c>
      <c r="J293" s="231" t="s">
        <v>118</v>
      </c>
      <c r="K293" s="234" t="s">
        <v>137</v>
      </c>
      <c r="L293" s="227" t="s">
        <v>139</v>
      </c>
      <c r="M293" s="4" t="s">
        <v>480</v>
      </c>
      <c r="N293" s="235" t="s">
        <v>364</v>
      </c>
      <c r="O293" s="227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  <c r="AG293" s="118"/>
      <c r="AH293" s="118"/>
      <c r="AI293" s="118"/>
      <c r="AJ293" s="118"/>
      <c r="AK293" s="118"/>
      <c r="AL293" s="118"/>
      <c r="AM293" s="118"/>
      <c r="AN293" s="118"/>
      <c r="AO293" s="118"/>
      <c r="AP293" s="118"/>
      <c r="AQ293" s="118"/>
      <c r="AR293" s="118"/>
      <c r="AS293" s="118"/>
      <c r="AT293" s="118"/>
      <c r="AU293" s="118"/>
      <c r="AV293" s="118"/>
      <c r="AW293" s="118"/>
      <c r="AX293" s="118"/>
      <c r="AY293" s="118"/>
      <c r="AZ293" s="118"/>
      <c r="BA293" s="118"/>
      <c r="BB293" s="118"/>
      <c r="BC293" s="118"/>
      <c r="BD293" s="118"/>
      <c r="BE293" s="118"/>
      <c r="BF293" s="118"/>
      <c r="BG293" s="118"/>
      <c r="BH293" s="118"/>
      <c r="BI293" s="118"/>
      <c r="BJ293" s="118"/>
      <c r="BK293" s="118"/>
    </row>
    <row r="294" spans="1:63" s="118" customFormat="1" ht="15" customHeight="1">
      <c r="A294" s="226">
        <v>44408</v>
      </c>
      <c r="B294" s="232" t="s">
        <v>494</v>
      </c>
      <c r="C294" s="232" t="s">
        <v>43</v>
      </c>
      <c r="D294" s="232" t="s">
        <v>89</v>
      </c>
      <c r="E294" s="228"/>
      <c r="F294" s="228">
        <v>195700</v>
      </c>
      <c r="G294" s="228">
        <f t="shared" si="4"/>
        <v>36192860</v>
      </c>
      <c r="H294" s="232" t="s">
        <v>46</v>
      </c>
      <c r="I294" s="231" t="s">
        <v>335</v>
      </c>
      <c r="J294" s="231" t="s">
        <v>118</v>
      </c>
      <c r="K294" s="238" t="s">
        <v>137</v>
      </c>
      <c r="L294" s="227" t="s">
        <v>139</v>
      </c>
      <c r="M294" s="4" t="s">
        <v>479</v>
      </c>
      <c r="N294" s="235" t="s">
        <v>142</v>
      </c>
      <c r="O294" s="234"/>
    </row>
    <row r="295" spans="1:63" s="207" customFormat="1" ht="15" customHeight="1">
      <c r="A295" s="226">
        <v>44408</v>
      </c>
      <c r="B295" s="234" t="s">
        <v>504</v>
      </c>
      <c r="C295" s="234" t="s">
        <v>354</v>
      </c>
      <c r="D295" s="237" t="s">
        <v>156</v>
      </c>
      <c r="E295" s="228"/>
      <c r="F295" s="228">
        <v>23750</v>
      </c>
      <c r="G295" s="228">
        <f t="shared" si="4"/>
        <v>36169110</v>
      </c>
      <c r="H295" s="232" t="s">
        <v>39</v>
      </c>
      <c r="I295" s="231" t="s">
        <v>335</v>
      </c>
      <c r="J295" s="231" t="s">
        <v>135</v>
      </c>
      <c r="K295" s="234" t="s">
        <v>136</v>
      </c>
      <c r="L295" s="227" t="s">
        <v>139</v>
      </c>
      <c r="M295" s="227"/>
      <c r="N295" s="235"/>
      <c r="O295" s="227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  <c r="AG295" s="118"/>
      <c r="AH295" s="118"/>
      <c r="AI295" s="118"/>
      <c r="AJ295" s="118"/>
      <c r="AK295" s="118"/>
      <c r="AL295" s="118"/>
      <c r="AM295" s="118"/>
      <c r="AN295" s="118"/>
      <c r="AO295" s="118"/>
      <c r="AP295" s="118"/>
      <c r="AQ295" s="118"/>
      <c r="AR295" s="118"/>
      <c r="AS295" s="118"/>
      <c r="AT295" s="118"/>
      <c r="AU295" s="118"/>
      <c r="AV295" s="118"/>
      <c r="AW295" s="118"/>
      <c r="AX295" s="118"/>
      <c r="AY295" s="118"/>
      <c r="AZ295" s="118"/>
      <c r="BA295" s="118"/>
      <c r="BB295" s="118"/>
      <c r="BC295" s="118"/>
      <c r="BD295" s="118"/>
      <c r="BE295" s="118"/>
      <c r="BF295" s="118"/>
      <c r="BG295" s="118"/>
      <c r="BH295" s="118"/>
      <c r="BI295" s="118"/>
      <c r="BJ295" s="118"/>
      <c r="BK295" s="118"/>
    </row>
    <row r="296" spans="1:63" s="213" customFormat="1" ht="15" customHeight="1">
      <c r="A296" s="226">
        <v>44408</v>
      </c>
      <c r="B296" s="234" t="s">
        <v>505</v>
      </c>
      <c r="C296" s="234" t="s">
        <v>43</v>
      </c>
      <c r="D296" s="237" t="s">
        <v>156</v>
      </c>
      <c r="E296" s="228"/>
      <c r="F296" s="228">
        <v>107900</v>
      </c>
      <c r="G296" s="228">
        <f t="shared" si="4"/>
        <v>36061210</v>
      </c>
      <c r="H296" s="232" t="s">
        <v>39</v>
      </c>
      <c r="I296" s="231" t="s">
        <v>335</v>
      </c>
      <c r="J296" s="231" t="s">
        <v>118</v>
      </c>
      <c r="K296" s="238" t="s">
        <v>137</v>
      </c>
      <c r="L296" s="227" t="s">
        <v>139</v>
      </c>
      <c r="M296" s="4" t="s">
        <v>481</v>
      </c>
      <c r="N296" s="235" t="s">
        <v>142</v>
      </c>
      <c r="O296" s="227"/>
    </row>
    <row r="297" spans="1:63" s="207" customFormat="1" ht="15" customHeight="1">
      <c r="A297" s="226">
        <v>44408</v>
      </c>
      <c r="B297" s="234" t="s">
        <v>515</v>
      </c>
      <c r="C297" s="234" t="s">
        <v>247</v>
      </c>
      <c r="D297" s="237" t="s">
        <v>156</v>
      </c>
      <c r="E297" s="228"/>
      <c r="F297" s="228">
        <v>30000</v>
      </c>
      <c r="G297" s="228">
        <f t="shared" si="4"/>
        <v>36031210</v>
      </c>
      <c r="H297" s="234" t="s">
        <v>38</v>
      </c>
      <c r="I297" s="231" t="s">
        <v>45</v>
      </c>
      <c r="J297" s="231" t="s">
        <v>118</v>
      </c>
      <c r="K297" s="234" t="s">
        <v>137</v>
      </c>
      <c r="L297" s="227" t="s">
        <v>139</v>
      </c>
      <c r="M297" s="4" t="s">
        <v>482</v>
      </c>
      <c r="N297" s="235" t="s">
        <v>364</v>
      </c>
      <c r="O297" s="227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  <c r="AG297" s="118"/>
      <c r="AH297" s="118"/>
      <c r="AI297" s="118"/>
      <c r="AJ297" s="118"/>
      <c r="AK297" s="118"/>
      <c r="AL297" s="118"/>
      <c r="AM297" s="118"/>
      <c r="AN297" s="118"/>
      <c r="AO297" s="118"/>
      <c r="AP297" s="118"/>
      <c r="AQ297" s="118"/>
      <c r="AR297" s="118"/>
      <c r="AS297" s="118"/>
      <c r="AT297" s="118"/>
      <c r="AU297" s="118"/>
      <c r="AV297" s="118"/>
      <c r="AW297" s="118"/>
      <c r="AX297" s="118"/>
      <c r="AY297" s="118"/>
      <c r="AZ297" s="118"/>
      <c r="BA297" s="118"/>
      <c r="BB297" s="118"/>
      <c r="BC297" s="118"/>
      <c r="BD297" s="118"/>
      <c r="BE297" s="118"/>
      <c r="BF297" s="118"/>
      <c r="BG297" s="118"/>
      <c r="BH297" s="118"/>
      <c r="BI297" s="118"/>
      <c r="BJ297" s="118"/>
      <c r="BK297" s="118"/>
    </row>
    <row r="298" spans="1:63" s="207" customFormat="1" ht="15" customHeight="1">
      <c r="A298" s="226">
        <v>44408</v>
      </c>
      <c r="B298" s="234" t="s">
        <v>270</v>
      </c>
      <c r="C298" s="234" t="s">
        <v>43</v>
      </c>
      <c r="D298" s="237" t="s">
        <v>156</v>
      </c>
      <c r="E298" s="228"/>
      <c r="F298" s="228">
        <v>8000</v>
      </c>
      <c r="G298" s="228">
        <f t="shared" si="4"/>
        <v>36023210</v>
      </c>
      <c r="H298" s="234" t="s">
        <v>38</v>
      </c>
      <c r="I298" s="231" t="s">
        <v>45</v>
      </c>
      <c r="J298" s="231" t="s">
        <v>118</v>
      </c>
      <c r="K298" s="238" t="s">
        <v>137</v>
      </c>
      <c r="L298" s="227" t="s">
        <v>139</v>
      </c>
      <c r="M298" s="4" t="s">
        <v>483</v>
      </c>
      <c r="N298" s="235" t="s">
        <v>142</v>
      </c>
      <c r="O298" s="227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  <c r="AG298" s="118"/>
      <c r="AH298" s="118"/>
      <c r="AI298" s="118"/>
      <c r="AJ298" s="118"/>
      <c r="AK298" s="118"/>
      <c r="AL298" s="118"/>
      <c r="AM298" s="118"/>
      <c r="AN298" s="118"/>
      <c r="AO298" s="118"/>
      <c r="AP298" s="118"/>
      <c r="AQ298" s="118"/>
      <c r="AR298" s="118"/>
      <c r="AS298" s="118"/>
      <c r="AT298" s="118"/>
      <c r="AU298" s="118"/>
      <c r="AV298" s="118"/>
      <c r="AW298" s="118"/>
      <c r="AX298" s="118"/>
      <c r="AY298" s="118"/>
      <c r="AZ298" s="118"/>
      <c r="BA298" s="118"/>
      <c r="BB298" s="118"/>
      <c r="BC298" s="118"/>
      <c r="BD298" s="118"/>
      <c r="BE298" s="118"/>
      <c r="BF298" s="118"/>
      <c r="BG298" s="118"/>
      <c r="BH298" s="118"/>
      <c r="BI298" s="118"/>
      <c r="BJ298" s="118"/>
      <c r="BK298" s="118"/>
    </row>
    <row r="299" spans="1:63" s="212" customFormat="1" ht="15" customHeight="1">
      <c r="A299" s="226">
        <v>44408</v>
      </c>
      <c r="B299" s="234" t="s">
        <v>347</v>
      </c>
      <c r="C299" s="234" t="s">
        <v>43</v>
      </c>
      <c r="D299" s="237" t="s">
        <v>156</v>
      </c>
      <c r="E299" s="228"/>
      <c r="F299" s="228">
        <v>85000</v>
      </c>
      <c r="G299" s="228">
        <f t="shared" si="4"/>
        <v>35938210</v>
      </c>
      <c r="H299" s="234" t="s">
        <v>38</v>
      </c>
      <c r="I299" s="231" t="s">
        <v>335</v>
      </c>
      <c r="J299" s="231" t="s">
        <v>118</v>
      </c>
      <c r="K299" s="238" t="s">
        <v>137</v>
      </c>
      <c r="L299" s="227" t="s">
        <v>139</v>
      </c>
      <c r="M299" s="4" t="s">
        <v>484</v>
      </c>
      <c r="N299" s="235" t="s">
        <v>142</v>
      </c>
      <c r="O299" s="234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18"/>
      <c r="AN299" s="118"/>
      <c r="AO299" s="118"/>
      <c r="AP299" s="118"/>
      <c r="AQ299" s="118"/>
      <c r="AR299" s="118"/>
      <c r="AS299" s="118"/>
      <c r="AT299" s="118"/>
      <c r="AU299" s="118"/>
      <c r="AV299" s="118"/>
      <c r="AW299" s="118"/>
      <c r="AX299" s="118"/>
      <c r="AY299" s="118"/>
      <c r="AZ299" s="118"/>
      <c r="BA299" s="118"/>
      <c r="BB299" s="118"/>
      <c r="BC299" s="118"/>
      <c r="BD299" s="118"/>
      <c r="BE299" s="118"/>
      <c r="BF299" s="118"/>
      <c r="BG299" s="118"/>
      <c r="BH299" s="118"/>
      <c r="BI299" s="118"/>
      <c r="BJ299" s="118"/>
      <c r="BK299" s="118"/>
    </row>
    <row r="300" spans="1:63" s="118" customFormat="1" ht="15" customHeight="1">
      <c r="A300" s="244"/>
      <c r="B300" s="232"/>
      <c r="C300" s="232"/>
      <c r="D300" s="232"/>
      <c r="E300" s="228"/>
      <c r="F300" s="228"/>
      <c r="G300" s="228">
        <f t="shared" si="4"/>
        <v>35938210</v>
      </c>
      <c r="H300" s="245"/>
      <c r="I300" s="235"/>
      <c r="J300" s="231"/>
      <c r="K300" s="234"/>
      <c r="L300" s="227" t="s">
        <v>139</v>
      </c>
      <c r="M300" s="227"/>
      <c r="N300" s="235"/>
      <c r="O300" s="227"/>
    </row>
    <row r="301" spans="1:63" s="118" customFormat="1" ht="15" customHeight="1">
      <c r="A301" s="244"/>
      <c r="B301" s="232"/>
      <c r="C301" s="232"/>
      <c r="D301" s="232"/>
      <c r="E301" s="228"/>
      <c r="F301" s="228"/>
      <c r="G301" s="228">
        <f t="shared" si="4"/>
        <v>35938210</v>
      </c>
      <c r="H301" s="232"/>
      <c r="I301" s="235"/>
      <c r="J301" s="231"/>
      <c r="K301" s="234"/>
      <c r="L301" s="227" t="s">
        <v>139</v>
      </c>
      <c r="M301" s="227"/>
      <c r="N301" s="235"/>
      <c r="O301" s="227"/>
    </row>
    <row r="302" spans="1:63" s="118" customFormat="1" ht="15" customHeight="1">
      <c r="A302" s="226"/>
      <c r="B302" s="232"/>
      <c r="C302" s="232"/>
      <c r="D302" s="246"/>
      <c r="E302" s="228"/>
      <c r="F302" s="247"/>
      <c r="G302" s="228">
        <f t="shared" si="4"/>
        <v>35938210</v>
      </c>
      <c r="H302" s="234"/>
      <c r="I302" s="235"/>
      <c r="J302" s="231"/>
      <c r="K302" s="234"/>
      <c r="L302" s="227" t="s">
        <v>139</v>
      </c>
      <c r="M302" s="235"/>
      <c r="N302" s="235"/>
      <c r="O302" s="227"/>
    </row>
    <row r="303" spans="1:63" s="118" customFormat="1" ht="15" customHeight="1">
      <c r="A303" s="226"/>
      <c r="B303" s="232"/>
      <c r="C303" s="232"/>
      <c r="D303" s="246"/>
      <c r="E303" s="228"/>
      <c r="F303" s="247"/>
      <c r="G303" s="228">
        <f t="shared" si="4"/>
        <v>35938210</v>
      </c>
      <c r="H303" s="234"/>
      <c r="I303" s="235"/>
      <c r="J303" s="231"/>
      <c r="K303" s="234"/>
      <c r="L303" s="227" t="s">
        <v>139</v>
      </c>
      <c r="M303" s="235"/>
      <c r="N303" s="235"/>
      <c r="O303" s="227"/>
    </row>
    <row r="304" spans="1:63" s="118" customFormat="1" ht="15" customHeight="1">
      <c r="A304" s="217"/>
      <c r="B304" s="186"/>
      <c r="C304" s="186"/>
      <c r="D304" s="186"/>
      <c r="E304" s="209"/>
      <c r="F304" s="208"/>
      <c r="G304" s="209">
        <f t="shared" si="4"/>
        <v>35938210</v>
      </c>
      <c r="H304" s="186"/>
      <c r="I304" s="187"/>
      <c r="J304" s="192"/>
      <c r="K304" s="184"/>
      <c r="L304" s="185" t="s">
        <v>139</v>
      </c>
      <c r="M304" s="185"/>
      <c r="N304" s="187"/>
      <c r="O304" s="185"/>
      <c r="P304" s="207"/>
      <c r="Q304" s="207"/>
      <c r="R304" s="207"/>
      <c r="S304" s="207"/>
      <c r="T304" s="207"/>
      <c r="U304" s="207"/>
      <c r="V304" s="207"/>
      <c r="W304" s="207"/>
      <c r="X304" s="207"/>
      <c r="Y304" s="207"/>
      <c r="Z304" s="207"/>
      <c r="AA304" s="207"/>
      <c r="AB304" s="207"/>
      <c r="AC304" s="207"/>
      <c r="AD304" s="207"/>
      <c r="AE304" s="207"/>
      <c r="AF304" s="207"/>
      <c r="AG304" s="207"/>
      <c r="AH304" s="207"/>
      <c r="AI304" s="207"/>
      <c r="AJ304" s="207"/>
      <c r="AK304" s="207"/>
      <c r="AL304" s="207"/>
      <c r="AM304" s="207"/>
      <c r="AN304" s="207"/>
      <c r="AO304" s="207"/>
      <c r="AP304" s="207"/>
      <c r="AQ304" s="207"/>
      <c r="AR304" s="207"/>
      <c r="AS304" s="207"/>
      <c r="AT304" s="207"/>
      <c r="AU304" s="207"/>
      <c r="AV304" s="207"/>
      <c r="AW304" s="207"/>
      <c r="AX304" s="207"/>
      <c r="AY304" s="207"/>
      <c r="AZ304" s="207"/>
      <c r="BA304" s="207"/>
      <c r="BB304" s="207"/>
      <c r="BC304" s="207"/>
      <c r="BD304" s="207"/>
      <c r="BE304" s="207"/>
      <c r="BF304" s="207"/>
      <c r="BG304" s="207"/>
      <c r="BH304" s="207"/>
      <c r="BI304" s="207"/>
      <c r="BJ304" s="207"/>
      <c r="BK304" s="207"/>
    </row>
    <row r="305" spans="1:63" s="212" customFormat="1" ht="15" customHeight="1">
      <c r="A305" s="217"/>
      <c r="B305" s="186"/>
      <c r="C305" s="210"/>
      <c r="D305" s="210"/>
      <c r="E305" s="209"/>
      <c r="F305" s="208"/>
      <c r="G305" s="209">
        <f t="shared" si="4"/>
        <v>35938210</v>
      </c>
      <c r="H305" s="186"/>
      <c r="I305" s="187"/>
      <c r="J305" s="192"/>
      <c r="K305" s="184"/>
      <c r="L305" s="185" t="s">
        <v>139</v>
      </c>
      <c r="M305" s="185"/>
      <c r="N305" s="187"/>
      <c r="O305" s="185"/>
      <c r="P305" s="213"/>
      <c r="Q305" s="213"/>
      <c r="R305" s="213"/>
      <c r="S305" s="213"/>
      <c r="T305" s="213"/>
      <c r="U305" s="213"/>
      <c r="V305" s="213"/>
      <c r="W305" s="213"/>
      <c r="X305" s="213"/>
      <c r="Y305" s="213"/>
      <c r="Z305" s="213"/>
      <c r="AA305" s="213"/>
      <c r="AB305" s="213"/>
      <c r="AC305" s="213"/>
      <c r="AD305" s="213"/>
      <c r="AE305" s="213"/>
      <c r="AF305" s="213"/>
      <c r="AG305" s="213"/>
      <c r="AH305" s="213"/>
      <c r="AI305" s="213"/>
      <c r="AJ305" s="213"/>
      <c r="AK305" s="213"/>
      <c r="AL305" s="213"/>
      <c r="AM305" s="213"/>
      <c r="AN305" s="213"/>
      <c r="AO305" s="213"/>
      <c r="AP305" s="213"/>
      <c r="AQ305" s="213"/>
      <c r="AR305" s="213"/>
      <c r="AS305" s="213"/>
      <c r="AT305" s="213"/>
      <c r="AU305" s="213"/>
      <c r="AV305" s="213"/>
      <c r="AW305" s="213"/>
      <c r="AX305" s="213"/>
      <c r="AY305" s="213"/>
      <c r="AZ305" s="213"/>
      <c r="BA305" s="213"/>
      <c r="BB305" s="213"/>
      <c r="BC305" s="213"/>
      <c r="BD305" s="213"/>
      <c r="BE305" s="213"/>
      <c r="BF305" s="213"/>
      <c r="BG305" s="213"/>
      <c r="BH305" s="213"/>
      <c r="BI305" s="213"/>
      <c r="BJ305" s="213"/>
      <c r="BK305" s="213"/>
    </row>
    <row r="306" spans="1:63" s="212" customFormat="1" ht="15" customHeight="1">
      <c r="A306" s="217"/>
      <c r="B306" s="186"/>
      <c r="C306" s="186"/>
      <c r="D306" s="210"/>
      <c r="E306" s="209"/>
      <c r="F306" s="208"/>
      <c r="G306" s="209">
        <f t="shared" si="4"/>
        <v>35938210</v>
      </c>
      <c r="H306" s="186"/>
      <c r="I306" s="187"/>
      <c r="J306" s="192"/>
      <c r="K306" s="184"/>
      <c r="L306" s="185" t="s">
        <v>139</v>
      </c>
      <c r="M306" s="187"/>
      <c r="N306" s="187"/>
      <c r="O306" s="185"/>
      <c r="P306" s="213"/>
      <c r="Q306" s="213"/>
      <c r="R306" s="213"/>
      <c r="S306" s="213"/>
      <c r="T306" s="213"/>
      <c r="U306" s="213"/>
      <c r="V306" s="213"/>
      <c r="W306" s="213"/>
      <c r="X306" s="213"/>
      <c r="Y306" s="213"/>
      <c r="Z306" s="213"/>
      <c r="AA306" s="213"/>
      <c r="AB306" s="213"/>
      <c r="AC306" s="213"/>
      <c r="AD306" s="213"/>
      <c r="AE306" s="213"/>
      <c r="AF306" s="213"/>
      <c r="AG306" s="213"/>
      <c r="AH306" s="213"/>
      <c r="AI306" s="213"/>
      <c r="AJ306" s="213"/>
      <c r="AK306" s="213"/>
      <c r="AL306" s="213"/>
      <c r="AM306" s="213"/>
      <c r="AN306" s="213"/>
      <c r="AO306" s="213"/>
      <c r="AP306" s="213"/>
      <c r="AQ306" s="213"/>
      <c r="AR306" s="213"/>
      <c r="AS306" s="213"/>
      <c r="AT306" s="213"/>
      <c r="AU306" s="213"/>
      <c r="AV306" s="213"/>
      <c r="AW306" s="213"/>
      <c r="AX306" s="213"/>
      <c r="AY306" s="213"/>
      <c r="AZ306" s="213"/>
      <c r="BA306" s="213"/>
      <c r="BB306" s="213"/>
      <c r="BC306" s="213"/>
      <c r="BD306" s="213"/>
      <c r="BE306" s="213"/>
      <c r="BF306" s="213"/>
      <c r="BG306" s="213"/>
      <c r="BH306" s="213"/>
      <c r="BI306" s="213"/>
      <c r="BJ306" s="213"/>
      <c r="BK306" s="213"/>
    </row>
    <row r="307" spans="1:63" s="118" customFormat="1" ht="15" customHeight="1">
      <c r="A307" s="217"/>
      <c r="B307" s="186"/>
      <c r="C307" s="186"/>
      <c r="D307" s="186"/>
      <c r="E307" s="209"/>
      <c r="F307" s="208"/>
      <c r="G307" s="209">
        <f t="shared" si="4"/>
        <v>35938210</v>
      </c>
      <c r="H307" s="184"/>
      <c r="I307" s="187"/>
      <c r="J307" s="192"/>
      <c r="K307" s="184"/>
      <c r="L307" s="185" t="s">
        <v>139</v>
      </c>
      <c r="M307" s="185"/>
      <c r="N307" s="187"/>
      <c r="O307" s="185"/>
      <c r="P307" s="207"/>
      <c r="Q307" s="207"/>
      <c r="R307" s="207"/>
      <c r="S307" s="207"/>
      <c r="T307" s="207"/>
      <c r="U307" s="207"/>
      <c r="V307" s="207"/>
      <c r="W307" s="207"/>
      <c r="X307" s="207"/>
      <c r="Y307" s="207"/>
      <c r="Z307" s="207"/>
      <c r="AA307" s="207"/>
      <c r="AB307" s="207"/>
      <c r="AC307" s="207"/>
      <c r="AD307" s="207"/>
      <c r="AE307" s="207"/>
      <c r="AF307" s="207"/>
      <c r="AG307" s="207"/>
      <c r="AH307" s="207"/>
      <c r="AI307" s="207"/>
      <c r="AJ307" s="207"/>
      <c r="AK307" s="207"/>
      <c r="AL307" s="207"/>
      <c r="AM307" s="207"/>
      <c r="AN307" s="207"/>
      <c r="AO307" s="207"/>
      <c r="AP307" s="207"/>
      <c r="AQ307" s="207"/>
      <c r="AR307" s="207"/>
      <c r="AS307" s="207"/>
      <c r="AT307" s="207"/>
      <c r="AU307" s="207"/>
      <c r="AV307" s="207"/>
      <c r="AW307" s="207"/>
      <c r="AX307" s="207"/>
      <c r="AY307" s="207"/>
      <c r="AZ307" s="207"/>
      <c r="BA307" s="207"/>
      <c r="BB307" s="207"/>
      <c r="BC307" s="207"/>
      <c r="BD307" s="207"/>
      <c r="BE307" s="207"/>
      <c r="BF307" s="207"/>
      <c r="BG307" s="207"/>
      <c r="BH307" s="207"/>
      <c r="BI307" s="207"/>
      <c r="BJ307" s="207"/>
      <c r="BK307" s="207"/>
    </row>
    <row r="308" spans="1:63" s="126" customFormat="1" ht="22.5" customHeight="1">
      <c r="A308" s="127"/>
      <c r="B308" s="127"/>
      <c r="C308" s="127"/>
      <c r="D308" s="127"/>
      <c r="E308" s="132"/>
      <c r="F308" s="191"/>
      <c r="G308" s="128"/>
      <c r="H308" s="128"/>
      <c r="I308" s="136"/>
      <c r="J308" s="129"/>
      <c r="K308" s="127"/>
      <c r="L308" s="127"/>
      <c r="M308" s="127"/>
      <c r="N308" s="127"/>
      <c r="O308" s="127"/>
    </row>
  </sheetData>
  <autoFilter ref="A11:GQ308">
    <filterColumn colId="2"/>
    <filterColumn colId="7"/>
    <filterColumn colId="9"/>
    <filterColumn colId="10"/>
    <filterColumn colId="13"/>
    <filterColumn colId="14"/>
    <sortState ref="A12:BK308">
      <sortCondition ref="A11:A308"/>
    </sortState>
  </autoFilter>
  <sortState ref="A18:O299">
    <sortCondition ref="M18"/>
  </sortState>
  <mergeCells count="1">
    <mergeCell ref="A1:O1"/>
  </mergeCells>
  <dataValidations count="6">
    <dataValidation type="list" allowBlank="1" showInputMessage="1" showErrorMessage="1" sqref="C305">
      <formula1>$M$9:$M$14</formula1>
    </dataValidation>
    <dataValidation type="list" allowBlank="1" showInputMessage="1" showErrorMessage="1" sqref="C148:C152 C163 C155 C157">
      <formula1>$N$11:$N$18</formula1>
    </dataValidation>
    <dataValidation type="list" allowBlank="1" showInputMessage="1" showErrorMessage="1" sqref="C191:C194 C203">
      <formula1>$N$3907:$N$3927</formula1>
    </dataValidation>
    <dataValidation type="list" allowBlank="1" showInputMessage="1" showErrorMessage="1" sqref="C272 C275:C276 C270">
      <formula1>$N$3775:$N$3795</formula1>
    </dataValidation>
    <dataValidation type="list" allowBlank="1" showInputMessage="1" showErrorMessage="1" sqref="C281 C287 C285">
      <formula1>$N$28:$N$570</formula1>
    </dataValidation>
    <dataValidation type="list" allowBlank="1" showInputMessage="1" showErrorMessage="1" sqref="C258:C259 C231 C237:C238 C241 C243 C189:C190 C246:C248 C233:C234">
      <formula1>$N$22:$N$1078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[5]Feuil1!#REF!</xm:f>
          </x14:formula1>
          <xm:sqref>C135 C24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Récapitulatif</vt:lpstr>
      <vt:lpstr>Feuil1</vt:lpstr>
      <vt:lpstr>Donateurs </vt:lpstr>
      <vt:lpstr>DATA  JUILLET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CJ2018-3</cp:lastModifiedBy>
  <cp:lastPrinted>2021-06-11T09:45:49Z</cp:lastPrinted>
  <dcterms:created xsi:type="dcterms:W3CDTF">2020-09-02T13:35:58Z</dcterms:created>
  <dcterms:modified xsi:type="dcterms:W3CDTF">2021-09-08T11:53:58Z</dcterms:modified>
</cp:coreProperties>
</file>