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Tiffany Handford\Downloads\"/>
    </mc:Choice>
  </mc:AlternateContent>
  <xr:revisionPtr revIDLastSave="0" documentId="8_{E3ACD9F4-0031-477E-AC5E-DD85EA099C1F}" xr6:coauthVersionLast="47" xr6:coauthVersionMax="47" xr10:uidLastSave="{00000000-0000-0000-0000-000000000000}"/>
  <bookViews>
    <workbookView xWindow="-120" yWindow="-120" windowWidth="20730" windowHeight="11160" tabRatio="553" activeTab="3" xr2:uid="{00000000-000D-0000-FFFF-FFFF00000000}"/>
  </bookViews>
  <sheets>
    <sheet name="Récapitulatif" sheetId="16" r:id="rId1"/>
    <sheet name="Donateurs" sheetId="113" r:id="rId2"/>
    <sheet name="Feuil3" sheetId="114" r:id="rId3"/>
    <sheet name="DATA  Sept 2021" sheetId="95" r:id="rId4"/>
  </sheets>
  <externalReferences>
    <externalReference r:id="rId5"/>
    <externalReference r:id="rId6"/>
  </externalReferences>
  <definedNames>
    <definedName name="_xlnm._FilterDatabase" localSheetId="3" hidden="1">'DATA  Sept 2021'!$A$11:$O$203</definedName>
    <definedName name="_xlnm._FilterDatabase" localSheetId="2" hidden="1">Feuil3!$A$3:$AO$17</definedName>
    <definedName name="Départements">[1]Feuil6!$G$6:$G$14</definedName>
    <definedName name="Dépenses">[1]Feuil6!$A$6:$A$25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6" l="1"/>
  <c r="C5" i="113"/>
  <c r="C38" i="16" l="1"/>
  <c r="F5" i="16" l="1"/>
  <c r="E3" i="16"/>
  <c r="D9" i="16"/>
  <c r="D8" i="16"/>
  <c r="E29" i="16" s="1"/>
  <c r="D7" i="16"/>
  <c r="E28" i="16" s="1"/>
  <c r="D6" i="16"/>
  <c r="E27" i="16" s="1"/>
  <c r="D5" i="16"/>
  <c r="E38" i="16" s="1"/>
  <c r="C16" i="16"/>
  <c r="AS8" i="114"/>
  <c r="AT8" i="114" s="1"/>
  <c r="AR6" i="114"/>
  <c r="AR16" i="114"/>
  <c r="AU16" i="114" l="1"/>
  <c r="AS16" i="114"/>
  <c r="AT16" i="114" s="1"/>
  <c r="AU15" i="114"/>
  <c r="AS15" i="114"/>
  <c r="AT15" i="114" s="1"/>
  <c r="AR15" i="114"/>
  <c r="AU14" i="114"/>
  <c r="AS14" i="114"/>
  <c r="AT14" i="114" s="1"/>
  <c r="AR14" i="114"/>
  <c r="AU13" i="114"/>
  <c r="AS13" i="114"/>
  <c r="AT13" i="114" s="1"/>
  <c r="AR13" i="114"/>
  <c r="AU12" i="114"/>
  <c r="AS12" i="114"/>
  <c r="AT12" i="114" s="1"/>
  <c r="AR12" i="114"/>
  <c r="AU11" i="114"/>
  <c r="AS11" i="114"/>
  <c r="AT11" i="114" s="1"/>
  <c r="AR11" i="114"/>
  <c r="AU10" i="114"/>
  <c r="AS10" i="114"/>
  <c r="AT10" i="114" s="1"/>
  <c r="AR10" i="114"/>
  <c r="AU9" i="114"/>
  <c r="AS9" i="114"/>
  <c r="AT9" i="114" s="1"/>
  <c r="AR9" i="114"/>
  <c r="AU8" i="114"/>
  <c r="AR8" i="114"/>
  <c r="AU7" i="114"/>
  <c r="AS7" i="114"/>
  <c r="AT7" i="114" s="1"/>
  <c r="AR7" i="114"/>
  <c r="AU6" i="114"/>
  <c r="AS6" i="114"/>
  <c r="AS17" i="114" l="1"/>
  <c r="AT17" i="114" s="1"/>
  <c r="AT6" i="114"/>
  <c r="AR17" i="114"/>
  <c r="AU17" i="114"/>
  <c r="F98" i="95" l="1"/>
  <c r="F96" i="95"/>
  <c r="A28" i="16" l="1"/>
  <c r="A29" i="16" s="1"/>
  <c r="A30" i="16" s="1"/>
  <c r="A31" i="16" s="1"/>
  <c r="A32" i="16" s="1"/>
  <c r="A33" i="16" s="1"/>
  <c r="A34" i="16" s="1"/>
  <c r="A35" i="16" s="1"/>
  <c r="C41" i="16"/>
  <c r="C40" i="16"/>
  <c r="C36" i="16"/>
  <c r="C35" i="16"/>
  <c r="C34" i="16"/>
  <c r="C33" i="16"/>
  <c r="C32" i="16"/>
  <c r="C31" i="16"/>
  <c r="C30" i="16"/>
  <c r="C29" i="16"/>
  <c r="C28" i="16"/>
  <c r="C27" i="16"/>
  <c r="A19" i="16"/>
  <c r="G15" i="16"/>
  <c r="F15" i="16"/>
  <c r="H36" i="16" s="1"/>
  <c r="E15" i="16"/>
  <c r="I36" i="16" s="1"/>
  <c r="D15" i="16"/>
  <c r="E36" i="16" s="1"/>
  <c r="A15" i="16"/>
  <c r="G14" i="16"/>
  <c r="F14" i="16"/>
  <c r="H35" i="16" s="1"/>
  <c r="E14" i="16"/>
  <c r="I35" i="16" s="1"/>
  <c r="D14" i="16"/>
  <c r="G13" i="16"/>
  <c r="F13" i="16"/>
  <c r="H34" i="16" s="1"/>
  <c r="E13" i="16"/>
  <c r="I34" i="16" s="1"/>
  <c r="D13" i="16"/>
  <c r="E34" i="16" s="1"/>
  <c r="G12" i="16"/>
  <c r="F12" i="16"/>
  <c r="H33" i="16" s="1"/>
  <c r="E12" i="16"/>
  <c r="I33" i="16" s="1"/>
  <c r="D12" i="16"/>
  <c r="E33" i="16" s="1"/>
  <c r="A12" i="16"/>
  <c r="G11" i="16"/>
  <c r="F11" i="16"/>
  <c r="H32" i="16" s="1"/>
  <c r="E11" i="16"/>
  <c r="I32" i="16" s="1"/>
  <c r="D11" i="16"/>
  <c r="A11" i="16"/>
  <c r="G10" i="16"/>
  <c r="F10" i="16"/>
  <c r="H31" i="16" s="1"/>
  <c r="E10" i="16"/>
  <c r="I31" i="16" s="1"/>
  <c r="D10" i="16"/>
  <c r="E31" i="16" s="1"/>
  <c r="A10" i="16"/>
  <c r="G9" i="16"/>
  <c r="F9" i="16"/>
  <c r="H30" i="16" s="1"/>
  <c r="E9" i="16"/>
  <c r="I30" i="16" s="1"/>
  <c r="E30" i="16"/>
  <c r="A9" i="16"/>
  <c r="G8" i="16"/>
  <c r="F8" i="16"/>
  <c r="H29" i="16" s="1"/>
  <c r="E8" i="16"/>
  <c r="I29" i="16" s="1"/>
  <c r="A8" i="16"/>
  <c r="G7" i="16"/>
  <c r="F7" i="16"/>
  <c r="H28" i="16" s="1"/>
  <c r="E7" i="16"/>
  <c r="I28" i="16" s="1"/>
  <c r="A7" i="16"/>
  <c r="G6" i="16"/>
  <c r="F6" i="16"/>
  <c r="H27" i="16" s="1"/>
  <c r="J27" i="16" s="1"/>
  <c r="E6" i="16"/>
  <c r="I27" i="16" s="1"/>
  <c r="A6" i="16"/>
  <c r="G5" i="16"/>
  <c r="H38" i="16"/>
  <c r="E5" i="16"/>
  <c r="I38" i="16" s="1"/>
  <c r="A5" i="16"/>
  <c r="G4" i="16"/>
  <c r="F4" i="16"/>
  <c r="H41" i="16" s="1"/>
  <c r="E4" i="16"/>
  <c r="I41" i="16" s="1"/>
  <c r="D4" i="16"/>
  <c r="A4" i="16"/>
  <c r="F3" i="16"/>
  <c r="I40" i="16"/>
  <c r="D3" i="16"/>
  <c r="C5" i="95"/>
  <c r="A36" i="16" l="1"/>
  <c r="A38" i="16" s="1"/>
  <c r="A40" i="16" s="1"/>
  <c r="A41" i="16" s="1"/>
  <c r="I14" i="16"/>
  <c r="J14" i="16" s="1"/>
  <c r="I4" i="16"/>
  <c r="I11" i="16"/>
  <c r="J11" i="16" s="1"/>
  <c r="G16" i="16"/>
  <c r="B19" i="16" s="1"/>
  <c r="J41" i="16"/>
  <c r="I7" i="16"/>
  <c r="J7" i="16" s="1"/>
  <c r="F16" i="16"/>
  <c r="J33" i="16"/>
  <c r="I5" i="16"/>
  <c r="J5" i="16" s="1"/>
  <c r="J36" i="16"/>
  <c r="C42" i="16"/>
  <c r="J29" i="16"/>
  <c r="I3" i="16"/>
  <c r="J3" i="16" s="1"/>
  <c r="J4" i="16"/>
  <c r="I8" i="16"/>
  <c r="J8" i="16" s="1"/>
  <c r="I13" i="16"/>
  <c r="J13" i="16" s="1"/>
  <c r="J38" i="16"/>
  <c r="I42" i="16"/>
  <c r="J30" i="16"/>
  <c r="J34" i="16"/>
  <c r="J31" i="16"/>
  <c r="I12" i="16"/>
  <c r="J12" i="16" s="1"/>
  <c r="I15" i="16"/>
  <c r="J15" i="16" s="1"/>
  <c r="E16" i="16"/>
  <c r="J28" i="16"/>
  <c r="E35" i="16"/>
  <c r="J35" i="16" s="1"/>
  <c r="I9" i="16"/>
  <c r="J9" i="16" s="1"/>
  <c r="D16" i="16"/>
  <c r="E32" i="16"/>
  <c r="J32" i="16" s="1"/>
  <c r="H40" i="16"/>
  <c r="J40" i="16" s="1"/>
  <c r="I6" i="16"/>
  <c r="J6" i="16" s="1"/>
  <c r="I10" i="16"/>
  <c r="J10" i="16" s="1"/>
  <c r="C6" i="95"/>
  <c r="C7" i="95" s="1"/>
  <c r="C19" i="16" l="1"/>
  <c r="D19" i="16" s="1"/>
  <c r="I16" i="16"/>
  <c r="D7" i="95" s="1"/>
  <c r="K32" i="16"/>
  <c r="K35" i="16"/>
  <c r="K40" i="16"/>
  <c r="K36" i="16"/>
  <c r="K28" i="16"/>
  <c r="K38" i="16"/>
  <c r="K34" i="16"/>
  <c r="K29" i="16"/>
  <c r="K41" i="16"/>
  <c r="G18" i="16"/>
  <c r="K31" i="16"/>
  <c r="K33" i="16"/>
  <c r="J42" i="16"/>
  <c r="K27" i="16"/>
  <c r="K30" i="16"/>
  <c r="G12" i="95"/>
  <c r="G13" i="95" s="1"/>
  <c r="G14" i="95" s="1"/>
  <c r="G15" i="95" s="1"/>
  <c r="G16" i="95" s="1"/>
  <c r="G17" i="95" s="1"/>
  <c r="G18" i="95" s="1"/>
  <c r="G19" i="95" s="1"/>
  <c r="G20" i="95" s="1"/>
  <c r="G21" i="95" s="1"/>
  <c r="G22" i="95" s="1"/>
  <c r="G23" i="95" s="1"/>
  <c r="G24" i="95" s="1"/>
  <c r="G25" i="95" s="1"/>
  <c r="G26" i="95" s="1"/>
  <c r="G27" i="95" s="1"/>
  <c r="G28" i="95" s="1"/>
  <c r="G29" i="95" s="1"/>
  <c r="G30" i="95" s="1"/>
  <c r="G31" i="95" s="1"/>
  <c r="G32" i="95" s="1"/>
  <c r="G33" i="95" s="1"/>
  <c r="G34" i="95" s="1"/>
  <c r="G35" i="95" s="1"/>
  <c r="G36" i="95" s="1"/>
  <c r="G37" i="95" s="1"/>
  <c r="G38" i="95" s="1"/>
  <c r="E6" i="95" l="1"/>
  <c r="J16" i="16"/>
  <c r="I17" i="16"/>
  <c r="E19" i="16"/>
  <c r="K42" i="16"/>
  <c r="C64" i="16"/>
  <c r="C50" i="16"/>
  <c r="C59" i="16"/>
  <c r="I55" i="16" l="1"/>
  <c r="I56" i="16"/>
  <c r="I57" i="16"/>
  <c r="I58" i="16"/>
  <c r="I59" i="16"/>
  <c r="I60" i="16"/>
  <c r="I54" i="16"/>
  <c r="I53" i="16"/>
  <c r="I64" i="16"/>
  <c r="H59" i="16"/>
  <c r="E59" i="16"/>
  <c r="J59" i="16" l="1"/>
  <c r="K59" i="16" l="1"/>
  <c r="C65" i="16" l="1"/>
  <c r="C62" i="16"/>
  <c r="C60" i="16"/>
  <c r="C58" i="16"/>
  <c r="C57" i="16"/>
  <c r="C56" i="16"/>
  <c r="C55" i="16"/>
  <c r="C54" i="16"/>
  <c r="C53" i="16"/>
  <c r="C52" i="16"/>
  <c r="C51" i="16"/>
  <c r="H64" i="16"/>
  <c r="J64" i="16" s="1"/>
  <c r="C85" i="16"/>
  <c r="K64" i="16" l="1"/>
  <c r="C66" i="16"/>
  <c r="C88" i="16"/>
  <c r="J88" i="16" s="1"/>
  <c r="K88" i="16" s="1"/>
  <c r="C87" i="16"/>
  <c r="J87" i="16" s="1"/>
  <c r="K87" i="16" s="1"/>
  <c r="J85" i="16"/>
  <c r="C75" i="16"/>
  <c r="J75" i="16" s="1"/>
  <c r="C76" i="16"/>
  <c r="J76" i="16" s="1"/>
  <c r="C77" i="16"/>
  <c r="J77" i="16" s="1"/>
  <c r="C78" i="16"/>
  <c r="J78" i="16" s="1"/>
  <c r="C79" i="16"/>
  <c r="J79" i="16" s="1"/>
  <c r="C80" i="16"/>
  <c r="J80" i="16" s="1"/>
  <c r="C81" i="16"/>
  <c r="J81" i="16" s="1"/>
  <c r="C82" i="16"/>
  <c r="C83" i="16"/>
  <c r="J83" i="16" s="1"/>
  <c r="C74" i="16"/>
  <c r="J74" i="16" s="1"/>
  <c r="I89" i="16"/>
  <c r="J82" i="16"/>
  <c r="C89" i="16" l="1"/>
  <c r="J89" i="16"/>
  <c r="G90" i="16" s="1"/>
  <c r="K80" i="16" l="1"/>
  <c r="K76" i="16"/>
  <c r="K85" i="16"/>
  <c r="K83" i="16" l="1"/>
  <c r="K75" i="16"/>
  <c r="K74" i="16"/>
  <c r="K81" i="16"/>
  <c r="K77" i="16"/>
  <c r="K78" i="16"/>
  <c r="K79" i="16"/>
  <c r="K82" i="16"/>
  <c r="K89" i="16" l="1"/>
  <c r="F101" i="16" l="1"/>
  <c r="H100" i="16"/>
  <c r="F99" i="16"/>
  <c r="C109" i="16" l="1"/>
  <c r="J109" i="16" s="1"/>
  <c r="C108" i="16"/>
  <c r="J108" i="16" s="1"/>
  <c r="C107" i="16"/>
  <c r="J107" i="16" s="1"/>
  <c r="C106" i="16"/>
  <c r="J106" i="16" s="1"/>
  <c r="C105" i="16"/>
  <c r="J105" i="16" s="1"/>
  <c r="C104" i="16"/>
  <c r="J104" i="16" s="1"/>
  <c r="C103" i="16"/>
  <c r="J103" i="16" s="1"/>
  <c r="C102" i="16"/>
  <c r="J102" i="16" s="1"/>
  <c r="C101" i="16"/>
  <c r="J101" i="16" s="1"/>
  <c r="C100" i="16"/>
  <c r="J100" i="16" s="1"/>
  <c r="C99" i="16"/>
  <c r="J99" i="16" s="1"/>
  <c r="C98" i="16"/>
  <c r="J98" i="16" s="1"/>
  <c r="C111" i="16"/>
  <c r="J111" i="16" s="1"/>
  <c r="C114" i="16"/>
  <c r="J114" i="16" s="1"/>
  <c r="I115" i="16"/>
  <c r="C141" i="16"/>
  <c r="C113" i="16" l="1"/>
  <c r="J113" i="16" s="1"/>
  <c r="J115" i="16" s="1"/>
  <c r="C115" i="16" l="1"/>
  <c r="I141" i="16" l="1"/>
  <c r="J140" i="16" l="1"/>
  <c r="J139" i="16"/>
  <c r="J137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41" i="16" l="1"/>
  <c r="J160" i="16" l="1"/>
  <c r="J159" i="16"/>
  <c r="J158" i="16"/>
  <c r="J157" i="16"/>
  <c r="J156" i="16"/>
  <c r="J155" i="16"/>
  <c r="J154" i="16"/>
  <c r="J152" i="16"/>
  <c r="J149" i="16"/>
  <c r="J163" i="16"/>
  <c r="J166" i="16"/>
  <c r="J165" i="16"/>
  <c r="I167" i="16"/>
  <c r="J153" i="16"/>
  <c r="C167" i="16" l="1"/>
  <c r="J151" i="16"/>
  <c r="J150" i="16"/>
  <c r="J161" i="16"/>
  <c r="J167" i="16" l="1"/>
  <c r="F187" i="16" l="1"/>
  <c r="H187" i="16"/>
  <c r="F178" i="16"/>
  <c r="H177" i="16"/>
  <c r="F176" i="16"/>
  <c r="I193" i="16"/>
  <c r="J187" i="16" l="1"/>
  <c r="J186" i="16"/>
  <c r="J185" i="16"/>
  <c r="J184" i="16"/>
  <c r="J183" i="16"/>
  <c r="J182" i="16"/>
  <c r="J181" i="16"/>
  <c r="J180" i="16"/>
  <c r="J179" i="16"/>
  <c r="J178" i="16"/>
  <c r="J177" i="16"/>
  <c r="J176" i="16"/>
  <c r="J189" i="16"/>
  <c r="J192" i="16"/>
  <c r="J191" i="16"/>
  <c r="J175" i="16" l="1"/>
  <c r="J193" i="16" s="1"/>
  <c r="C193" i="16"/>
  <c r="I222" i="16" l="1"/>
  <c r="J216" i="16"/>
  <c r="J202" i="16" l="1"/>
  <c r="J215" i="16" l="1"/>
  <c r="J214" i="16"/>
  <c r="J213" i="16"/>
  <c r="J212" i="16"/>
  <c r="J211" i="16"/>
  <c r="J210" i="16"/>
  <c r="J209" i="16"/>
  <c r="J208" i="16"/>
  <c r="J207" i="16"/>
  <c r="J206" i="16"/>
  <c r="J205" i="16"/>
  <c r="J204" i="16"/>
  <c r="C218" i="16"/>
  <c r="J218" i="16" s="1"/>
  <c r="C221" i="16"/>
  <c r="J221" i="16" s="1"/>
  <c r="C220" i="16"/>
  <c r="J220" i="16" s="1"/>
  <c r="C249" i="16"/>
  <c r="J203" i="16" l="1"/>
  <c r="J222" i="16" s="1"/>
  <c r="C222" i="16"/>
  <c r="J262" i="16" l="1"/>
  <c r="J243" i="16" l="1"/>
  <c r="J242" i="16"/>
  <c r="J241" i="16"/>
  <c r="J240" i="16"/>
  <c r="J239" i="16"/>
  <c r="J238" i="16"/>
  <c r="J237" i="16"/>
  <c r="J236" i="16"/>
  <c r="J235" i="16"/>
  <c r="J234" i="16"/>
  <c r="J233" i="16"/>
  <c r="J232" i="16"/>
  <c r="J231" i="16"/>
  <c r="J245" i="16"/>
  <c r="J248" i="16"/>
  <c r="J247" i="16"/>
  <c r="I249" i="16"/>
  <c r="J230" i="16" l="1"/>
  <c r="J249" i="16" s="1"/>
  <c r="I277" i="16" l="1"/>
  <c r="J270" i="16" l="1"/>
  <c r="J267" i="16" l="1"/>
  <c r="J263" i="16"/>
  <c r="J259" i="16"/>
  <c r="J273" i="16"/>
  <c r="J275" i="16"/>
  <c r="J276" i="16"/>
  <c r="J269" i="16"/>
  <c r="J268" i="16"/>
  <c r="J266" i="16"/>
  <c r="J265" i="16"/>
  <c r="J264" i="16"/>
  <c r="J261" i="16"/>
  <c r="J260" i="16"/>
  <c r="J258" i="16"/>
  <c r="J271" i="16" l="1"/>
  <c r="J277" i="16" s="1"/>
  <c r="K277" i="16" s="1"/>
  <c r="C194" i="16" l="1"/>
  <c r="C168" i="16"/>
  <c r="J294" i="16"/>
  <c r="J295" i="16" l="1"/>
  <c r="J293" i="16"/>
  <c r="J292" i="16"/>
  <c r="J291" i="16"/>
  <c r="J290" i="16"/>
  <c r="J289" i="16"/>
  <c r="J288" i="16"/>
  <c r="J287" i="16"/>
  <c r="J286" i="16"/>
  <c r="J285" i="16"/>
  <c r="J299" i="16"/>
  <c r="J302" i="16"/>
  <c r="J301" i="16"/>
  <c r="J297" i="16" l="1"/>
  <c r="J296" i="16"/>
  <c r="J303" i="16" l="1"/>
  <c r="J321" i="16" l="1"/>
  <c r="F311" i="16" l="1"/>
  <c r="J345" i="16"/>
  <c r="J348" i="16"/>
  <c r="J329" i="16"/>
  <c r="J328" i="16"/>
  <c r="J327" i="16"/>
  <c r="C320" i="16" l="1"/>
  <c r="J320" i="16" s="1"/>
  <c r="C319" i="16"/>
  <c r="J319" i="16" s="1"/>
  <c r="C318" i="16"/>
  <c r="J318" i="16" s="1"/>
  <c r="C317" i="16"/>
  <c r="J317" i="16" s="1"/>
  <c r="C316" i="16"/>
  <c r="J316" i="16" s="1"/>
  <c r="J315" i="16"/>
  <c r="C314" i="16"/>
  <c r="J314" i="16" s="1"/>
  <c r="C313" i="16"/>
  <c r="J313" i="16" s="1"/>
  <c r="C312" i="16"/>
  <c r="J312" i="16" s="1"/>
  <c r="C311" i="16"/>
  <c r="J311" i="16" s="1"/>
  <c r="C323" i="16"/>
  <c r="J323" i="16" s="1"/>
  <c r="C326" i="16"/>
  <c r="J326" i="16" s="1"/>
  <c r="C325" i="16" l="1"/>
  <c r="J325" i="16" s="1"/>
  <c r="J330" i="16" s="1"/>
  <c r="J356" i="16" l="1"/>
  <c r="J355" i="16"/>
  <c r="J354" i="16"/>
  <c r="J407" i="16"/>
  <c r="J380" i="16"/>
  <c r="J379" i="16"/>
  <c r="J377" i="16"/>
  <c r="E375" i="16"/>
  <c r="J375" i="16" s="1"/>
  <c r="E374" i="16"/>
  <c r="J374" i="16" s="1"/>
  <c r="E372" i="16"/>
  <c r="J372" i="16" s="1"/>
  <c r="H371" i="16"/>
  <c r="E371" i="16"/>
  <c r="F370" i="16"/>
  <c r="E370" i="16"/>
  <c r="E369" i="16"/>
  <c r="J369" i="16" s="1"/>
  <c r="I368" i="16"/>
  <c r="H368" i="16"/>
  <c r="E368" i="16"/>
  <c r="I367" i="16"/>
  <c r="E367" i="16"/>
  <c r="H366" i="16"/>
  <c r="E366" i="16"/>
  <c r="I365" i="16"/>
  <c r="J357" i="16"/>
  <c r="J341" i="16"/>
  <c r="J353" i="16"/>
  <c r="B341" i="16" l="1"/>
  <c r="B345" i="16"/>
  <c r="B346" i="16"/>
  <c r="B339" i="16"/>
  <c r="B342" i="16"/>
  <c r="B343" i="16"/>
  <c r="B340" i="16"/>
  <c r="B344" i="16"/>
  <c r="J340" i="16"/>
  <c r="I382" i="16"/>
  <c r="J367" i="16"/>
  <c r="J350" i="16"/>
  <c r="J366" i="16"/>
  <c r="J338" i="16"/>
  <c r="J344" i="16"/>
  <c r="J339" i="16"/>
  <c r="J352" i="16"/>
  <c r="J347" i="16"/>
  <c r="J370" i="16"/>
  <c r="J368" i="16"/>
  <c r="J371" i="16"/>
  <c r="J365" i="16"/>
  <c r="J343" i="16" l="1"/>
  <c r="J342" i="16"/>
  <c r="J346" i="16"/>
  <c r="C373" i="16"/>
  <c r="J358" i="16" l="1"/>
  <c r="C382" i="16"/>
  <c r="J373" i="16"/>
  <c r="J382" i="16" s="1"/>
  <c r="K111" i="16" l="1"/>
  <c r="K98" i="16"/>
  <c r="K114" i="16"/>
  <c r="K104" i="16"/>
  <c r="K109" i="16"/>
  <c r="K108" i="16"/>
  <c r="K180" i="16" l="1"/>
  <c r="K102" i="16"/>
  <c r="K131" i="16"/>
  <c r="K105" i="16"/>
  <c r="K100" i="16"/>
  <c r="K132" i="16"/>
  <c r="K106" i="16"/>
  <c r="K101" i="16"/>
  <c r="K99" i="16"/>
  <c r="K129" i="16"/>
  <c r="K103" i="16"/>
  <c r="K133" i="16"/>
  <c r="K128" i="16"/>
  <c r="K181" i="16"/>
  <c r="K177" i="16"/>
  <c r="K192" i="16"/>
  <c r="K140" i="16"/>
  <c r="K127" i="16"/>
  <c r="K179" i="16"/>
  <c r="K134" i="16"/>
  <c r="K186" i="16"/>
  <c r="K135" i="16"/>
  <c r="K187" i="16"/>
  <c r="K182" i="16"/>
  <c r="K130" i="16"/>
  <c r="K189" i="16"/>
  <c r="K137" i="16"/>
  <c r="K113" i="16"/>
  <c r="K176" i="16"/>
  <c r="K184" i="16"/>
  <c r="K175" i="16"/>
  <c r="K183" i="16"/>
  <c r="K126" i="16"/>
  <c r="K124" i="16"/>
  <c r="K125" i="16"/>
  <c r="K178" i="16"/>
  <c r="K123" i="16"/>
  <c r="K185" i="16" l="1"/>
  <c r="K107" i="16"/>
  <c r="K191" i="16"/>
  <c r="K139" i="16"/>
  <c r="K115" i="16" l="1"/>
  <c r="K193" i="16"/>
  <c r="K330" i="16"/>
  <c r="K141" i="16"/>
  <c r="H50" i="16" l="1"/>
  <c r="H51" i="16"/>
  <c r="H62" i="16"/>
  <c r="H52" i="16"/>
  <c r="I62" i="16"/>
  <c r="H65" i="16"/>
  <c r="H56" i="16"/>
  <c r="H55" i="16"/>
  <c r="H53" i="16"/>
  <c r="H57" i="16"/>
  <c r="J57" i="16" s="1"/>
  <c r="I50" i="16"/>
  <c r="H54" i="16"/>
  <c r="I65" i="16"/>
  <c r="H58" i="16"/>
  <c r="H60" i="16"/>
  <c r="I52" i="16"/>
  <c r="E56" i="16"/>
  <c r="E55" i="16"/>
  <c r="E54" i="16"/>
  <c r="I51" i="16"/>
  <c r="E58" i="16"/>
  <c r="K57" i="16" l="1"/>
  <c r="J65" i="16"/>
  <c r="K65" i="16" s="1"/>
  <c r="J52" i="16"/>
  <c r="K52" i="16" s="1"/>
  <c r="E53" i="16"/>
  <c r="J53" i="16" s="1"/>
  <c r="K53" i="16" s="1"/>
  <c r="E51" i="16"/>
  <c r="J51" i="16" s="1"/>
  <c r="E60" i="16"/>
  <c r="J60" i="16" s="1"/>
  <c r="K60" i="16" s="1"/>
  <c r="I66" i="16"/>
  <c r="J55" i="16"/>
  <c r="J58" i="16"/>
  <c r="J54" i="16"/>
  <c r="E50" i="16"/>
  <c r="J50" i="16" s="1"/>
  <c r="J56" i="16"/>
  <c r="J62" i="16"/>
  <c r="K55" i="16" l="1"/>
  <c r="K62" i="16"/>
  <c r="K51" i="16"/>
  <c r="K50" i="16"/>
  <c r="J66" i="16"/>
  <c r="K54" i="16"/>
  <c r="K56" i="16"/>
  <c r="K58" i="16"/>
  <c r="G67" i="16" l="1"/>
  <c r="K66" i="16"/>
  <c r="A3" i="16"/>
  <c r="G39" i="95"/>
  <c r="G40" i="95" s="1"/>
  <c r="G41" i="95" s="1"/>
  <c r="G42" i="95" s="1"/>
  <c r="G43" i="95" s="1"/>
  <c r="G44" i="95" s="1"/>
  <c r="G45" i="95" s="1"/>
  <c r="G46" i="95" s="1"/>
  <c r="G47" i="95" s="1"/>
  <c r="G48" i="95" s="1"/>
  <c r="G49" i="95" s="1"/>
  <c r="G50" i="95" s="1"/>
  <c r="G51" i="95" s="1"/>
  <c r="G52" i="95" s="1"/>
  <c r="G53" i="95" s="1"/>
  <c r="G54" i="95" s="1"/>
  <c r="G55" i="95" s="1"/>
  <c r="G56" i="95" s="1"/>
  <c r="G57" i="95" s="1"/>
  <c r="G58" i="95" s="1"/>
  <c r="G59" i="95" s="1"/>
  <c r="G60" i="95" s="1"/>
  <c r="G61" i="95" s="1"/>
  <c r="G62" i="95" s="1"/>
  <c r="G63" i="95" s="1"/>
  <c r="G64" i="95" s="1"/>
  <c r="G65" i="95" s="1"/>
  <c r="G66" i="95" s="1"/>
  <c r="G67" i="95" s="1"/>
  <c r="G68" i="95" s="1"/>
  <c r="G69" i="95" s="1"/>
  <c r="G70" i="95" s="1"/>
  <c r="G71" i="95" s="1"/>
  <c r="G72" i="95" s="1"/>
  <c r="G73" i="95" s="1"/>
  <c r="G74" i="95" s="1"/>
  <c r="G75" i="95" s="1"/>
  <c r="G76" i="95" s="1"/>
  <c r="G77" i="95" s="1"/>
  <c r="G78" i="95" s="1"/>
  <c r="G79" i="95" s="1"/>
  <c r="G80" i="95" s="1"/>
  <c r="G81" i="95" s="1"/>
  <c r="G82" i="95" s="1"/>
  <c r="G83" i="95" s="1"/>
  <c r="G84" i="95" s="1"/>
  <c r="G85" i="95" s="1"/>
  <c r="G86" i="95" s="1"/>
  <c r="G87" i="95" s="1"/>
  <c r="G88" i="95" s="1"/>
  <c r="G89" i="95" s="1"/>
  <c r="G90" i="95" s="1"/>
  <c r="G91" i="95" s="1"/>
  <c r="G92" i="95" s="1"/>
  <c r="G93" i="95" s="1"/>
  <c r="G94" i="95" s="1"/>
  <c r="G95" i="95" s="1"/>
  <c r="G96" i="95" s="1"/>
  <c r="G97" i="95" s="1"/>
  <c r="G98" i="95" s="1"/>
  <c r="G99" i="95" s="1"/>
  <c r="G100" i="95" s="1"/>
  <c r="G101" i="95" s="1"/>
  <c r="G102" i="95" s="1"/>
  <c r="G103" i="95" s="1"/>
  <c r="G104" i="95" s="1"/>
  <c r="G105" i="95" s="1"/>
  <c r="G106" i="95" s="1"/>
  <c r="G107" i="95" s="1"/>
  <c r="G108" i="95" s="1"/>
  <c r="G109" i="95" s="1"/>
  <c r="G110" i="95" s="1"/>
  <c r="G111" i="95" s="1"/>
  <c r="G112" i="95" s="1"/>
  <c r="G113" i="95" s="1"/>
  <c r="G114" i="95" s="1"/>
  <c r="G115" i="95" s="1"/>
  <c r="G116" i="95" s="1"/>
  <c r="G117" i="95" s="1"/>
  <c r="G118" i="95" s="1"/>
  <c r="G119" i="95" s="1"/>
  <c r="G120" i="95" s="1"/>
  <c r="G121" i="95" s="1"/>
  <c r="G122" i="95" s="1"/>
  <c r="G123" i="95" s="1"/>
  <c r="G124" i="95" s="1"/>
  <c r="G125" i="95" s="1"/>
  <c r="G126" i="95" s="1"/>
  <c r="G127" i="95" s="1"/>
  <c r="G128" i="95" s="1"/>
  <c r="G129" i="95" s="1"/>
  <c r="G130" i="95" s="1"/>
  <c r="G131" i="95" s="1"/>
  <c r="G132" i="95" s="1"/>
  <c r="G133" i="95" s="1"/>
  <c r="G134" i="95" s="1"/>
  <c r="G135" i="95" s="1"/>
  <c r="G136" i="95" s="1"/>
  <c r="G137" i="95" s="1"/>
  <c r="G138" i="95" s="1"/>
  <c r="G139" i="95" s="1"/>
  <c r="G140" i="95" s="1"/>
  <c r="G141" i="95" s="1"/>
  <c r="G142" i="95" s="1"/>
  <c r="G143" i="95" s="1"/>
  <c r="G144" i="95" s="1"/>
  <c r="G145" i="95" s="1"/>
  <c r="G146" i="95" s="1"/>
  <c r="G147" i="95" s="1"/>
  <c r="G148" i="95" s="1"/>
  <c r="G149" i="95" s="1"/>
  <c r="G150" i="95" s="1"/>
  <c r="G151" i="95" s="1"/>
  <c r="G152" i="95" s="1"/>
  <c r="G153" i="95" s="1"/>
  <c r="G154" i="95" s="1"/>
  <c r="G155" i="95" s="1"/>
  <c r="G156" i="95" s="1"/>
  <c r="G157" i="95" s="1"/>
  <c r="G158" i="95" s="1"/>
  <c r="G159" i="95" s="1"/>
  <c r="G160" i="95" s="1"/>
  <c r="G161" i="95" s="1"/>
  <c r="G162" i="95" s="1"/>
  <c r="G163" i="95" s="1"/>
  <c r="G164" i="95" s="1"/>
  <c r="G165" i="95" s="1"/>
  <c r="G166" i="95" s="1"/>
  <c r="G167" i="95" s="1"/>
  <c r="G168" i="95" s="1"/>
  <c r="G169" i="95" s="1"/>
  <c r="G170" i="95" s="1"/>
  <c r="G171" i="95" s="1"/>
  <c r="G172" i="95" s="1"/>
  <c r="G173" i="95" s="1"/>
  <c r="G174" i="95" s="1"/>
  <c r="G175" i="95" s="1"/>
  <c r="G176" i="95" s="1"/>
  <c r="G177" i="95" s="1"/>
  <c r="G178" i="95" s="1"/>
  <c r="G179" i="95" s="1"/>
  <c r="G180" i="95" s="1"/>
  <c r="G181" i="95" s="1"/>
  <c r="G182" i="95" s="1"/>
  <c r="G183" i="95" s="1"/>
  <c r="G184" i="95" s="1"/>
</calcChain>
</file>

<file path=xl/sharedStrings.xml><?xml version="1.0" encoding="utf-8"?>
<sst xmlns="http://schemas.openxmlformats.org/spreadsheetml/2006/main" count="2089" uniqueCount="392">
  <si>
    <t>Date</t>
  </si>
  <si>
    <t>Département</t>
  </si>
  <si>
    <t>Personnel</t>
  </si>
  <si>
    <t>Légal</t>
  </si>
  <si>
    <t>Rent &amp; Utilities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</si>
  <si>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</si>
  <si>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</si>
  <si>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</si>
  <si>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</si>
  <si>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</si>
  <si>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</si>
  <si>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</si>
  <si>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</si>
  <si>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</si>
  <si>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</si>
  <si>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</si>
  <si>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</si>
  <si>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</si>
  <si>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</si>
  <si>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</si>
  <si>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</si>
  <si>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</si>
  <si>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</si>
  <si>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</si>
  <si>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</si>
  <si>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</si>
  <si>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</si>
  <si>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</si>
  <si>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</si>
  <si>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</si>
  <si>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</si>
  <si>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</si>
  <si>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</si>
  <si>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</si>
  <si>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</si>
  <si>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</si>
  <si>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</si>
  <si>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</si>
  <si>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</si>
  <si>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</si>
  <si>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</si>
  <si>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</si>
  <si>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</si>
  <si>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</si>
  <si>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</si>
  <si>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</si>
  <si>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</si>
  <si>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</si>
  <si>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</si>
  <si>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</si>
  <si>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</si>
  <si>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 xml:space="preserve">BCI </t>
  </si>
  <si>
    <t>BCI  sous-compte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</si>
  <si>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</si>
  <si>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</si>
  <si>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</si>
  <si>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</si>
  <si>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</si>
  <si>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</si>
  <si>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</si>
  <si>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</si>
  <si>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</si>
  <si>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</si>
  <si>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</si>
  <si>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</si>
  <si>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</si>
  <si>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</si>
  <si>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</si>
  <si>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</si>
  <si>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</si>
  <si>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</si>
  <si>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</si>
  <si>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</si>
  <si>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</si>
  <si>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</si>
  <si>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</si>
  <si>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</si>
  <si>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</si>
  <si>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</si>
  <si>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</si>
  <si>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</si>
  <si>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</si>
  <si>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</si>
  <si>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</si>
  <si>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</si>
  <si>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</si>
  <si>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</si>
  <si>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</si>
  <si>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</si>
  <si>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</si>
  <si>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</si>
  <si>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</si>
  <si>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</si>
  <si>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</si>
  <si>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</si>
  <si>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</si>
  <si>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</si>
  <si>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</si>
  <si>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</si>
  <si>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</si>
  <si>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</si>
  <si>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</si>
  <si>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</si>
  <si>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</si>
  <si>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</si>
  <si>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</si>
  <si>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</si>
  <si>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</si>
  <si>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</si>
  <si>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</si>
  <si>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</si>
  <si>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</si>
  <si>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</si>
  <si>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</si>
  <si>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</si>
  <si>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</si>
  <si>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</si>
  <si>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</si>
  <si>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</si>
  <si>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</si>
  <si>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</si>
  <si>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</si>
  <si>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</si>
  <si>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</si>
  <si>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</si>
  <si>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</si>
  <si>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</si>
  <si>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</si>
  <si>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</si>
  <si>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</si>
  <si>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</si>
  <si>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</si>
  <si>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</si>
  <si>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</si>
  <si>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</si>
  <si>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</si>
  <si>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</si>
  <si>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</si>
  <si>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</si>
  <si>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</si>
  <si>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</si>
  <si>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</si>
  <si>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</si>
  <si>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</si>
  <si>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</si>
  <si>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</si>
  <si>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</si>
  <si>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</si>
  <si>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</si>
  <si>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</si>
  <si>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Solde au 01/07/2021</t>
  </si>
  <si>
    <t>Bank Fees</t>
  </si>
  <si>
    <t>Flight</t>
  </si>
  <si>
    <t>Transfer Fees</t>
  </si>
  <si>
    <t>Lawyer Fees</t>
  </si>
  <si>
    <t>Jail Visits</t>
  </si>
  <si>
    <t>Trust Building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</si>
  <si>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</si>
  <si>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</si>
  <si>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</si>
  <si>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</si>
  <si>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</si>
  <si>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</si>
  <si>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</si>
  <si>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CONGO</t>
  </si>
  <si>
    <t>Grace</t>
  </si>
  <si>
    <t>Godfré</t>
  </si>
  <si>
    <t xml:space="preserve">Versement </t>
  </si>
  <si>
    <t>Equipement</t>
  </si>
  <si>
    <t>i23C</t>
  </si>
  <si>
    <t>Média</t>
  </si>
  <si>
    <t>RAPPORT FINANCIER SEPTEMBRE 2021</t>
  </si>
  <si>
    <t>Solde au 01/09/2021</t>
  </si>
  <si>
    <t>BALANCE 1 Septembre 2021</t>
  </si>
  <si>
    <t>TOTAL RECU EN Septembre</t>
  </si>
  <si>
    <t>TOTAL DEPENSE EN Septembre</t>
  </si>
  <si>
    <t>BALANCE 30 Septembre 2021</t>
  </si>
  <si>
    <t>BALANCE CAISSES ET BANQUE AU 30 Septembre 2021</t>
  </si>
  <si>
    <t>Balance a   01 Septembre 2021</t>
  </si>
  <si>
    <t>Godfre</t>
  </si>
  <si>
    <t>Reglement facture E²C/Juillet-Aout 2021/bureau PALF</t>
  </si>
  <si>
    <t>Office</t>
  </si>
  <si>
    <t>Frais de formation mois d'août 2021/Crepin</t>
  </si>
  <si>
    <t>Team Building</t>
  </si>
  <si>
    <t>Oui</t>
  </si>
  <si>
    <t>Achat pagne/cadeau anniversaire Odile</t>
  </si>
  <si>
    <t>BCI-3654454-34</t>
  </si>
  <si>
    <t>achat 02 parapheurs à signature Pour Bureau</t>
  </si>
  <si>
    <t>Achat ampoule Guerite/bureau PALF</t>
  </si>
  <si>
    <t>OUI</t>
  </si>
  <si>
    <t>Achat carburant Groupe electrogiène/bureau</t>
  </si>
  <si>
    <t>Achat credit  teléphonique MTN/staff PALF/2ème partie Septembre  2021/management</t>
  </si>
  <si>
    <t xml:space="preserve">Téléphone </t>
  </si>
  <si>
    <t>Achat credit  teléphonique MTN/staff PALF/2ème partie Septembre 2021/légal</t>
  </si>
  <si>
    <t>Legal</t>
  </si>
  <si>
    <t>Achat credit  teléphonique MTN/staff PALF/2ème partie Septembre 2021/Investigation</t>
  </si>
  <si>
    <t>Achat credit  teléphonique MTN/staff PALF/2ème partie Septembre 2021/Média</t>
  </si>
  <si>
    <t>Achat credit  teléphonique Airtel/staff PALF/2ème partie Septembre 2021/Légal</t>
  </si>
  <si>
    <t>Téléphone</t>
  </si>
  <si>
    <t>Achat credit  teléphonique Airtel/staff PALF/2ème partie Septembre 2021/Investigation</t>
  </si>
  <si>
    <t>Indemnité de stage Grace MOLENDE/Du 15 au 30 Septembre 2021</t>
  </si>
  <si>
    <t>Achat matériel pour reparation surpresseur/roulement,crepine,embou,teflons</t>
  </si>
  <si>
    <t>Main d'œuvre reparation surpresseur</t>
  </si>
  <si>
    <t>Achat flexible mitigeur du Lavabo</t>
  </si>
  <si>
    <t>Main d'œuvre reparation du Lavabo/changement Flexible</t>
  </si>
  <si>
    <t>Frais de mission maitre Severin Biyoudi du 21 au 23/09/2021/à pointe-noire</t>
  </si>
  <si>
    <t>Serdroque</t>
  </si>
  <si>
    <t>Achat carte sim et credit /Serdroque</t>
  </si>
  <si>
    <t>Crepin</t>
  </si>
  <si>
    <t>Frais de transfert charden farell/I23C</t>
  </si>
  <si>
    <t>Reglement loyer Tiffany mois de Septembre 2021/400USD</t>
  </si>
  <si>
    <t>Reglement factures Zanne LABUSCHAGNE/Production Septième newsletter</t>
  </si>
  <si>
    <t>Frais de transfert western Union/zanne</t>
  </si>
  <si>
    <t>Achat cameras pour enqueteurs</t>
  </si>
  <si>
    <t>Frais de transfert charden Farell/crepin et serdroque</t>
  </si>
  <si>
    <t>Achat Eau /03 bonbonnes</t>
  </si>
  <si>
    <t>Frais de formation mois de Septembre 2021/Evariste</t>
  </si>
  <si>
    <t>BCI-3643528</t>
  </si>
  <si>
    <t>BCI-3643529</t>
  </si>
  <si>
    <t>Frais d'assurance santé pour Tiffany Gobert</t>
  </si>
  <si>
    <t>Reglement Facture Internet/mois d'octobre 2021 congo telecom</t>
  </si>
  <si>
    <t>Frais de mission maitre Scrutin Mouyeti du 27 au 29 septembre 2021/0 à Dolisie</t>
  </si>
  <si>
    <t>Achat Papier toiltte,lait sucre,matinal,sac poubelle et produit de nettoyage</t>
  </si>
  <si>
    <t>Remboursement frais achat billet Brazzaville-Paris-Brazzaville/Tiffany GOBERT</t>
  </si>
  <si>
    <t>BCI-3643535</t>
  </si>
  <si>
    <t>Reglement prestation Technicienne de Surface mois de Septembre 2021/MFIELO</t>
  </si>
  <si>
    <t>Trust building (achat 3 cartes sim pour enqueteur)</t>
  </si>
  <si>
    <t>I23c</t>
  </si>
  <si>
    <t>Décharge</t>
  </si>
  <si>
    <t>Achat Billet: Brazzaville-Pointe-Noire</t>
  </si>
  <si>
    <t>Reçu de caisse, avance Mission Pointe-Noire et Dolisie du 21 au 25/09/2021.</t>
  </si>
  <si>
    <t>Frais de la grosse du cas KOUMBA IBAYI</t>
  </si>
  <si>
    <t>Achat Billet: Pointe Noire-Dolisie</t>
  </si>
  <si>
    <t>Travel Subsistence</t>
  </si>
  <si>
    <t>Reçu de caisse</t>
  </si>
  <si>
    <t>Frais de l'expédition du cas KIGNOUMBA et consorts</t>
  </si>
  <si>
    <t xml:space="preserve">Achat Billet : Dolisie-Brazzaville </t>
  </si>
  <si>
    <t>Cumul Frais de Transport local Mois de Septembre 2021/crépin</t>
  </si>
  <si>
    <t>Reçu de la caisse</t>
  </si>
  <si>
    <t xml:space="preserve">Achat d'un document excel pour la formation </t>
  </si>
  <si>
    <t>Cumul frais de transport Local Septembre 2021/Evariste</t>
  </si>
  <si>
    <t>Media</t>
  </si>
  <si>
    <t>Réçu de caisse</t>
  </si>
  <si>
    <t>Achat billet BZ-PN (Mission Pn)</t>
  </si>
  <si>
    <t>Achat billet PN-Dolisie (départ pour Dolisie)</t>
  </si>
  <si>
    <t>Achat billet Dolisie-Brazzaville (retour à Brazzaville)</t>
  </si>
  <si>
    <t>Cumul Frais Trust Building du Mois de Septembre/I23C</t>
  </si>
  <si>
    <t>Trust building</t>
  </si>
  <si>
    <t>Cumul Frais de Transport Local du Mois de Septembre 2021/I23C</t>
  </si>
  <si>
    <t>Reçu Caisse/ Tiffany</t>
  </si>
  <si>
    <t>Cumul frais transport local mois de Septembre 2021/Tiffany</t>
  </si>
  <si>
    <t>Reçu caisse</t>
  </si>
  <si>
    <t>Cumul frais de transport local mois de Septembre 2021/Merveille</t>
  </si>
  <si>
    <t>Reçu Caisse</t>
  </si>
  <si>
    <t>Cumul frais de transport local mois de Septembre 2021/GRACE</t>
  </si>
  <si>
    <t>Achat billet aller(BZV-Dolisie)</t>
  </si>
  <si>
    <t>Achat billet retour(Dolisie- BZV)</t>
  </si>
  <si>
    <t>Achat billet aller(BZV-Owando)</t>
  </si>
  <si>
    <t>Achat billet retour(Owando- BZV)</t>
  </si>
  <si>
    <t>Cumul Frais de Transport Local Septembre 2021/Godfré</t>
  </si>
  <si>
    <t xml:space="preserve">Reçu Caisse, avance frais de mission du 21 au 24-09-2021 </t>
  </si>
  <si>
    <t xml:space="preserve">Achat Billet aller: Brazzaville-Pointe Noire </t>
  </si>
  <si>
    <t xml:space="preserve">Achat Billet: Pointe Noire-Dolisie </t>
  </si>
  <si>
    <t>Cumul Jail Visits Mois de Septembre 2021/Serdroque</t>
  </si>
  <si>
    <t>Cumul Frais de Transport Local Septembre 2021 /Serdroque</t>
  </si>
  <si>
    <t>Relevé</t>
  </si>
  <si>
    <t>Fais Bancaire MVT&amp;TAXES</t>
  </si>
  <si>
    <t>Paiement frais de congés crepin IBOUI IBOUILI</t>
  </si>
  <si>
    <t>Solde  honoraires contrat n°34/Pointe-Noire/maitre Séverin /3643525</t>
  </si>
  <si>
    <t>Acompte  honoraires contrat n°37/Pointe-Noire/maitre Séverin /3643526</t>
  </si>
  <si>
    <t>Paiement salaire du mois d'Août 2021/Tiffany GOBERT/chq n°3643523</t>
  </si>
  <si>
    <t>Frais de consultation avocat Mois de Septembre 2021/LOCKO Christian/3643524</t>
  </si>
  <si>
    <t>Reglement loyer mois de Septembre 2021/Bureau PALF</t>
  </si>
  <si>
    <t>Retrait especes/appro caisse/bord n°3643528</t>
  </si>
  <si>
    <t>Retrait especes/appro caisse/bord n°3643529</t>
  </si>
  <si>
    <t>Paiement salaire du mois de Septembre 2021/ Evariste LELOUSSI/chq n°3643532</t>
  </si>
  <si>
    <t>Paiement salaire du mois de Septembre 2021/MAHANGA Merveille/chq n°3643533</t>
  </si>
  <si>
    <t>Paiement salaire du mois de Septembre 2021/Tiffany GOBERT/chq n°3643534</t>
  </si>
  <si>
    <t>Reglement facture honoraire du mois de Septembre 2021/I23C/chq n°3643531</t>
  </si>
  <si>
    <t>Retrait especes/appro caisse/bord n°3643535</t>
  </si>
  <si>
    <t>BCI-Sous Compte</t>
  </si>
  <si>
    <t>Retrait especes/appro caisse/bord n°3654454</t>
  </si>
  <si>
    <t>Solde reliquat honoraire de Consultation ouverture association/ONG EAGLE-CONGO</t>
  </si>
  <si>
    <t>PALF</t>
  </si>
  <si>
    <t>RALFF</t>
  </si>
  <si>
    <t>4.5</t>
  </si>
  <si>
    <t>5.6</t>
  </si>
  <si>
    <t>Cumul Jail Visits Mois de Septembre 2021/Godfré</t>
  </si>
  <si>
    <t>5.2.2</t>
  </si>
  <si>
    <t>4.3</t>
  </si>
  <si>
    <t>1.1.1.7</t>
  </si>
  <si>
    <t>1.1.1.1</t>
  </si>
  <si>
    <t>1.1.1.4</t>
  </si>
  <si>
    <t>1.1.2.1</t>
  </si>
  <si>
    <t>1.1.1.9</t>
  </si>
  <si>
    <t>ECF</t>
  </si>
  <si>
    <t>Publications</t>
  </si>
  <si>
    <t>5.8</t>
  </si>
  <si>
    <t>4.4</t>
  </si>
  <si>
    <t>Paiement assurance multirisque professionnelle annuelle/ Bureau PALF</t>
  </si>
  <si>
    <t>4.2</t>
  </si>
  <si>
    <t>MOD / Entretien géneral jardin bureau</t>
  </si>
  <si>
    <t>2.2</t>
  </si>
  <si>
    <t>SERDROQUE NKODNZO - CONGO Frais d'Hotel 08 nuités du 23/09 au 01/10/2021/Dolisie</t>
  </si>
  <si>
    <t>SERDROQUE NKODNZO - CONGO Food Allowance du Mission 21/09 au 01/10/2021</t>
  </si>
  <si>
    <t>SERDROQUE NKODNZO - CONGO Cumul Ration Journalière Mois de Septembre 2021</t>
  </si>
  <si>
    <t>SERDROQUE NKODNZO - CONGO Frais d'Hotel 02 nuités à Pointe Noire du 21 au 23 septembre 2021/Pointe Noire</t>
  </si>
  <si>
    <t>I23C - CONGO - Food allowance PN - Dolisie du 19 au 25 septembre 2021</t>
  </si>
  <si>
    <t>I23C - CONGO - Paiement Hôtel 4 nuitées du 19 au 23 septembre 2021/Pointe Noire</t>
  </si>
  <si>
    <t>I23C - CONGO - Paiment hôtel 2 nuitées du 23 au 25 Septembre 2021/Dolisie</t>
  </si>
  <si>
    <t>1.3.2</t>
  </si>
  <si>
    <t>GODFRE MALONGA - CONGO - Food Allowance Mission du 02 au 04/09/2021 Dolsie</t>
  </si>
  <si>
    <t>GODFRE MALONGA - CONGO - Frais d'hotel du 02 au 04 Septembre 2021/Dolisie</t>
  </si>
  <si>
    <t>GODFRE MALONGA - CONGO - Food Allowance Mission du 07 au 10/09/2021 Owando</t>
  </si>
  <si>
    <t>GODFRE MALONGA - CONGO - Frais d'hotel du 07 au 10 Septembre 2021 à Owando</t>
  </si>
  <si>
    <t>GODFRE MALONGA - CONGO - Cumul Ration du Mois de Septembre 2021</t>
  </si>
  <si>
    <t>CREPIN IBOUILI - CONGO - Frais de d'Hotet 02 Nuitées à Pointe-Noire du 21 au 23/09/2021</t>
  </si>
  <si>
    <t>CREPIN IBOUILI - CONGO - Food-Allowance Mission du 21/09 au 01/10/2021 à Pointe Noire et Dolisie</t>
  </si>
  <si>
    <t>CREPIN IBOUILI - CONGO - Frais d'Hotel 08 Nuitées du 23/09/ au 01/10/2021 à Dolisie</t>
  </si>
  <si>
    <t>4.6</t>
  </si>
  <si>
    <t>Cumul Frais Bancaire /COMISSION MVT/TAXES/WEB BANK</t>
  </si>
  <si>
    <t>Achat credit  teléphonique MTN/staff PALF/2ème partie Septembre 2021/légal(Volontariat)</t>
  </si>
  <si>
    <t>Achat credit  teléphonique MTN PALF/Première partie Octobre  2021/Media</t>
  </si>
  <si>
    <t>Achat credit  teléphonique MTN/PALF/Première partie Octobre  2021/Investigation</t>
  </si>
  <si>
    <t>Achat credit  teléphonique MTN/PALF/Première partie Octobre  2021/Légal (Volontariat)</t>
  </si>
  <si>
    <t xml:space="preserve">Achat credit  teléphonique MTN/PALF/Première partie Octobre  2021/Legal </t>
  </si>
  <si>
    <t>Achat credit  teléphonique MTN/PALF/Première partie Octobre  2021/Management</t>
  </si>
  <si>
    <t>Achat credit  teléphonique Airtel/ PALF/Première partie Octobre 2021/Management</t>
  </si>
  <si>
    <t>Achat credit  teléphonique Airtel/PALF/Première partie Octobre 2021/Legal</t>
  </si>
  <si>
    <t>Achat credit  teléphonique Airtel/PALF/Première partie Octobre 2021/Investigation</t>
  </si>
  <si>
    <t>Achat credit  teléphonique Airtel/PALF/Première partie Octobre 2021/Media</t>
  </si>
  <si>
    <t>RALFF-CO2552</t>
  </si>
  <si>
    <t>RALFF-CO2553</t>
  </si>
  <si>
    <t>RALFF-CO2554</t>
  </si>
  <si>
    <t>RALFF-CO2556</t>
  </si>
  <si>
    <t>RALFF-CO2557</t>
  </si>
  <si>
    <t>RALFF-CO2558</t>
  </si>
  <si>
    <t>RALFF-CO2559</t>
  </si>
  <si>
    <t>RALFF-CO2560</t>
  </si>
  <si>
    <t>RALFF-CO2561</t>
  </si>
  <si>
    <t>RALFF-CO2562</t>
  </si>
  <si>
    <t>RALFF-CO2563</t>
  </si>
  <si>
    <t>RALFF-CO2564</t>
  </si>
  <si>
    <t>RALFF-CO2565</t>
  </si>
  <si>
    <t>RALFF-CO2566</t>
  </si>
  <si>
    <t>RALFF-CO2567</t>
  </si>
  <si>
    <t>RALFF-CO2568</t>
  </si>
  <si>
    <t>RALFF-CO2569</t>
  </si>
  <si>
    <t>RALFF-CO2570</t>
  </si>
  <si>
    <t>RALFF-CO2571</t>
  </si>
  <si>
    <t>RALFF-CO2572</t>
  </si>
  <si>
    <t>RALFF-CO2573</t>
  </si>
  <si>
    <t>RALFF-CO2574</t>
  </si>
  <si>
    <t>RALFF-CO2575</t>
  </si>
  <si>
    <t>RALFF-CO2576</t>
  </si>
  <si>
    <t>RALFF-CO2577</t>
  </si>
  <si>
    <t>RALFF-CO2578</t>
  </si>
  <si>
    <t>RALFF-CO2579</t>
  </si>
  <si>
    <t>RALFF-CO2580</t>
  </si>
  <si>
    <t>RALFF-CO2581</t>
  </si>
  <si>
    <t>RALFF-CO2582</t>
  </si>
  <si>
    <t>RALFF-CO2583</t>
  </si>
  <si>
    <t>RALFF-CO2584</t>
  </si>
  <si>
    <t>RALFF-CO2585</t>
  </si>
  <si>
    <t>RALFF-CO2586</t>
  </si>
  <si>
    <t>RALFF-CO2587</t>
  </si>
  <si>
    <t>RALFF-CO2588</t>
  </si>
  <si>
    <t>RALFF-CO2589</t>
  </si>
  <si>
    <t>RALFF-CO2590</t>
  </si>
  <si>
    <t>RALFF-CO2591</t>
  </si>
  <si>
    <t>RALFF-CO2592</t>
  </si>
  <si>
    <t>RALFF-CO2593</t>
  </si>
  <si>
    <t>RALFF-CO2594</t>
  </si>
  <si>
    <t>RALFF-CO2595</t>
  </si>
  <si>
    <t>RALFF-CO2596</t>
  </si>
  <si>
    <t>RALFF-CO2597</t>
  </si>
  <si>
    <t>RALFF-CO2598</t>
  </si>
  <si>
    <t>RALFF-CO2599</t>
  </si>
  <si>
    <t>RALFF-CO2600</t>
  </si>
  <si>
    <t>RALFF-CO2601</t>
  </si>
  <si>
    <t>RALFF-CO2602</t>
  </si>
  <si>
    <t>RALFF-CO2603</t>
  </si>
  <si>
    <t>RALFF-CO2604</t>
  </si>
  <si>
    <t>RALFF-CO2605</t>
  </si>
  <si>
    <t>RALFF-CO2606</t>
  </si>
  <si>
    <t>RALFF-CO2607</t>
  </si>
  <si>
    <t>RALFF-CO2608</t>
  </si>
  <si>
    <t>RALFF-CO2609</t>
  </si>
  <si>
    <t>RALFF-CO2610</t>
  </si>
  <si>
    <t>RALFF-CO2611</t>
  </si>
  <si>
    <t>Telephone</t>
  </si>
  <si>
    <t>Court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</si>
</sst>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F_C_F_A_-;\-* #,##0\ _F_C_F_A_-;_-* &quot;-&quot;\ _F_C_F_A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\ _€_-;\-* #,##0\ _€_-;_-* &quot;-&quot;??\ _€_-;_-@"/>
    <numFmt numFmtId="168" formatCode="[$-409]d\-mmm\-yy;@"/>
    <numFmt numFmtId="169" formatCode="[$-40C]0"/>
    <numFmt numFmtId="170" formatCode="_-* #,##0.000\ _F_C_F_A_-;\-* #,##0.000\ _F_C_F_A_-;_-* &quot;-&quot;\ _F_C_F_A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18"/>
      <color theme="0"/>
      <name val="Arial Narrow"/>
      <family val="2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23" fillId="0" borderId="0" applyBorder="0" applyProtection="0"/>
  </cellStyleXfs>
  <cellXfs count="310">
    <xf numFmtId="0" fontId="0" fillId="0" borderId="0" xfId="0"/>
    <xf numFmtId="0" fontId="0" fillId="0" borderId="0" xfId="0" applyFill="1" applyAlignment="1"/>
    <xf numFmtId="166" fontId="0" fillId="0" borderId="0" xfId="1" applyNumberFormat="1" applyFont="1" applyFill="1" applyProtection="1"/>
    <xf numFmtId="0" fontId="0" fillId="0" borderId="1" xfId="0" applyFill="1" applyBorder="1" applyAlignment="1"/>
    <xf numFmtId="166" fontId="0" fillId="0" borderId="1" xfId="0" applyNumberFormat="1" applyFill="1" applyBorder="1" applyAlignment="1"/>
    <xf numFmtId="166" fontId="0" fillId="0" borderId="0" xfId="0" applyNumberFormat="1" applyFill="1" applyAlignme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6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6" fontId="14" fillId="0" borderId="0" xfId="1" applyNumberFormat="1" applyFont="1" applyBorder="1" applyProtection="1">
      <protection locked="0"/>
    </xf>
    <xf numFmtId="166" fontId="15" fillId="0" borderId="0" xfId="1" applyNumberFormat="1" applyFont="1" applyBorder="1" applyProtection="1">
      <protection locked="0"/>
    </xf>
    <xf numFmtId="166" fontId="12" fillId="0" borderId="0" xfId="0" applyNumberFormat="1" applyFont="1" applyFill="1" applyBorder="1" applyAlignment="1"/>
    <xf numFmtId="166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6" fontId="4" fillId="0" borderId="0" xfId="1" applyNumberFormat="1" applyFont="1" applyFill="1" applyProtection="1"/>
    <xf numFmtId="166" fontId="5" fillId="0" borderId="3" xfId="1" applyNumberFormat="1" applyFont="1" applyFill="1" applyBorder="1" applyAlignment="1" applyProtection="1">
      <alignment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6" fontId="4" fillId="10" borderId="5" xfId="1" applyNumberFormat="1" applyFont="1" applyFill="1" applyBorder="1" applyProtection="1"/>
    <xf numFmtId="166" fontId="4" fillId="10" borderId="5" xfId="0" applyNumberFormat="1" applyFont="1" applyFill="1" applyBorder="1" applyAlignment="1"/>
    <xf numFmtId="166" fontId="4" fillId="0" borderId="3" xfId="1" applyNumberFormat="1" applyFont="1" applyBorder="1" applyProtection="1"/>
    <xf numFmtId="166" fontId="0" fillId="0" borderId="1" xfId="1" applyNumberFormat="1" applyFont="1" applyFill="1" applyBorder="1" applyProtection="1"/>
    <xf numFmtId="166" fontId="4" fillId="0" borderId="6" xfId="1" applyNumberFormat="1" applyFont="1" applyFill="1" applyBorder="1" applyProtection="1"/>
    <xf numFmtId="166" fontId="4" fillId="0" borderId="1" xfId="0" applyNumberFormat="1" applyFont="1" applyFill="1" applyBorder="1" applyAlignment="1"/>
    <xf numFmtId="166" fontId="4" fillId="0" borderId="1" xfId="1" applyNumberFormat="1" applyFont="1" applyFill="1" applyBorder="1" applyProtection="1"/>
    <xf numFmtId="166" fontId="19" fillId="0" borderId="1" xfId="1" applyNumberFormat="1" applyFont="1" applyFill="1" applyBorder="1" applyProtection="1"/>
    <xf numFmtId="166" fontId="1" fillId="0" borderId="1" xfId="1" applyNumberFormat="1" applyFont="1" applyFill="1" applyBorder="1" applyProtection="1"/>
    <xf numFmtId="166" fontId="5" fillId="10" borderId="4" xfId="1" applyNumberFormat="1" applyFont="1" applyFill="1" applyBorder="1" applyAlignment="1" applyProtection="1">
      <alignment horizontal="left"/>
    </xf>
    <xf numFmtId="166" fontId="5" fillId="10" borderId="5" xfId="1" applyNumberFormat="1" applyFont="1" applyFill="1" applyBorder="1" applyAlignment="1" applyProtection="1">
      <alignment horizontal="left"/>
    </xf>
    <xf numFmtId="166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6" fontId="4" fillId="0" borderId="1" xfId="1" applyNumberFormat="1" applyFont="1" applyFill="1" applyBorder="1" applyAlignment="1" applyProtection="1"/>
    <xf numFmtId="166" fontId="4" fillId="0" borderId="6" xfId="1" applyNumberFormat="1" applyFont="1" applyBorder="1" applyProtection="1"/>
    <xf numFmtId="166" fontId="20" fillId="0" borderId="1" xfId="1" applyNumberFormat="1" applyFont="1" applyBorder="1" applyProtection="1"/>
    <xf numFmtId="166" fontId="20" fillId="0" borderId="0" xfId="1" applyNumberFormat="1" applyFont="1" applyProtection="1"/>
    <xf numFmtId="166" fontId="10" fillId="0" borderId="1" xfId="0" applyNumberFormat="1" applyFont="1" applyBorder="1" applyAlignment="1"/>
    <xf numFmtId="0" fontId="18" fillId="10" borderId="4" xfId="0" applyFont="1" applyFill="1" applyBorder="1" applyAlignment="1"/>
    <xf numFmtId="166" fontId="0" fillId="0" borderId="1" xfId="1" applyNumberFormat="1" applyFont="1" applyBorder="1" applyProtection="1"/>
    <xf numFmtId="166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6" fontId="16" fillId="0" borderId="6" xfId="1" applyNumberFormat="1" applyFont="1" applyBorder="1" applyProtection="1"/>
    <xf numFmtId="166" fontId="19" fillId="0" borderId="6" xfId="1" applyNumberFormat="1" applyFont="1" applyBorder="1" applyProtection="1"/>
    <xf numFmtId="166" fontId="19" fillId="0" borderId="1" xfId="1" applyNumberFormat="1" applyFont="1" applyBorder="1" applyAlignment="1" applyProtection="1">
      <alignment vertical="center"/>
    </xf>
    <xf numFmtId="166" fontId="19" fillId="5" borderId="1" xfId="1" applyNumberFormat="1" applyFont="1" applyFill="1" applyBorder="1" applyProtection="1"/>
    <xf numFmtId="166" fontId="9" fillId="0" borderId="3" xfId="1" applyNumberFormat="1" applyFont="1" applyFill="1" applyBorder="1" applyProtection="1"/>
    <xf numFmtId="166" fontId="19" fillId="5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Protection="1"/>
    <xf numFmtId="166" fontId="19" fillId="0" borderId="1" xfId="1" applyNumberFormat="1" applyFont="1" applyFill="1" applyBorder="1" applyAlignment="1" applyProtection="1">
      <alignment horizontal="center" vertical="center"/>
    </xf>
    <xf numFmtId="166" fontId="8" fillId="0" borderId="6" xfId="1" applyNumberFormat="1" applyFont="1" applyFill="1" applyBorder="1" applyProtection="1"/>
    <xf numFmtId="166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6" fontId="23" fillId="0" borderId="1" xfId="1" applyNumberFormat="1" applyFont="1" applyBorder="1" applyProtection="1">
      <protection locked="0"/>
    </xf>
    <xf numFmtId="166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5" fillId="0" borderId="0" xfId="0" applyFont="1" applyFill="1" applyBorder="1" applyAlignment="1"/>
    <xf numFmtId="0" fontId="27" fillId="0" borderId="0" xfId="0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Fill="1" applyBorder="1"/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6" fontId="4" fillId="0" borderId="0" xfId="1" applyNumberFormat="1" applyFont="1" applyFill="1" applyBorder="1" applyProtection="1"/>
    <xf numFmtId="166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6" fontId="4" fillId="17" borderId="5" xfId="1" applyNumberFormat="1" applyFont="1" applyFill="1" applyBorder="1" applyProtection="1"/>
    <xf numFmtId="166" fontId="4" fillId="17" borderId="5" xfId="0" applyNumberFormat="1" applyFont="1" applyFill="1" applyBorder="1" applyAlignment="1"/>
    <xf numFmtId="166" fontId="4" fillId="0" borderId="3" xfId="1" applyNumberFormat="1" applyFont="1" applyFill="1" applyBorder="1" applyProtection="1"/>
    <xf numFmtId="166" fontId="24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horizontal="center" vertical="center"/>
    </xf>
    <xf numFmtId="166" fontId="23" fillId="0" borderId="1" xfId="1" applyNumberFormat="1" applyFont="1" applyFill="1" applyBorder="1" applyProtection="1"/>
    <xf numFmtId="166" fontId="28" fillId="0" borderId="1" xfId="1" applyNumberFormat="1" applyFont="1" applyFill="1" applyBorder="1" applyProtection="1"/>
    <xf numFmtId="166" fontId="23" fillId="0" borderId="0" xfId="1" applyNumberFormat="1" applyFont="1" applyFill="1" applyBorder="1" applyProtection="1"/>
    <xf numFmtId="166" fontId="5" fillId="17" borderId="4" xfId="1" applyNumberFormat="1" applyFont="1" applyFill="1" applyBorder="1" applyAlignment="1" applyProtection="1">
      <alignment horizontal="left"/>
    </xf>
    <xf numFmtId="166" fontId="5" fillId="17" borderId="5" xfId="1" applyNumberFormat="1" applyFont="1" applyFill="1" applyBorder="1" applyAlignment="1" applyProtection="1">
      <alignment horizontal="left"/>
    </xf>
    <xf numFmtId="166" fontId="4" fillId="17" borderId="1" xfId="0" applyNumberFormat="1" applyFont="1" applyFill="1" applyBorder="1" applyAlignment="1"/>
    <xf numFmtId="166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6" fontId="29" fillId="0" borderId="0" xfId="1" applyNumberFormat="1" applyFont="1" applyFill="1" applyBorder="1" applyProtection="1"/>
    <xf numFmtId="166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6" fontId="30" fillId="0" borderId="3" xfId="1" applyNumberFormat="1" applyFont="1" applyFill="1" applyBorder="1" applyProtection="1"/>
    <xf numFmtId="166" fontId="28" fillId="0" borderId="6" xfId="1" applyNumberFormat="1" applyFont="1" applyFill="1" applyBorder="1" applyProtection="1"/>
    <xf numFmtId="166" fontId="28" fillId="18" borderId="1" xfId="1" applyNumberFormat="1" applyFont="1" applyFill="1" applyBorder="1" applyProtection="1"/>
    <xf numFmtId="166" fontId="28" fillId="18" borderId="1" xfId="1" applyNumberFormat="1" applyFont="1" applyFill="1" applyBorder="1" applyAlignment="1" applyProtection="1">
      <alignment vertical="center"/>
    </xf>
    <xf numFmtId="166" fontId="31" fillId="0" borderId="6" xfId="1" applyNumberFormat="1" applyFont="1" applyFill="1" applyBorder="1" applyProtection="1"/>
    <xf numFmtId="166" fontId="31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vertical="center"/>
    </xf>
    <xf numFmtId="166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6" fontId="19" fillId="0" borderId="6" xfId="1" applyNumberFormat="1" applyFont="1" applyFill="1" applyBorder="1" applyProtection="1"/>
    <xf numFmtId="166" fontId="19" fillId="0" borderId="1" xfId="0" applyNumberFormat="1" applyFont="1" applyFill="1" applyBorder="1" applyAlignment="1"/>
    <xf numFmtId="166" fontId="7" fillId="0" borderId="0" xfId="0" applyNumberFormat="1" applyFont="1" applyAlignment="1">
      <alignment vertical="center"/>
    </xf>
    <xf numFmtId="0" fontId="0" fillId="0" borderId="0" xfId="0" applyFont="1" applyFill="1" applyAlignment="1"/>
    <xf numFmtId="166" fontId="8" fillId="0" borderId="6" xfId="1" applyNumberFormat="1" applyFont="1" applyBorder="1" applyProtection="1"/>
    <xf numFmtId="166" fontId="8" fillId="0" borderId="1" xfId="1" applyNumberFormat="1" applyFont="1" applyFill="1" applyBorder="1" applyProtection="1"/>
    <xf numFmtId="166" fontId="32" fillId="0" borderId="0" xfId="0" applyNumberFormat="1" applyFont="1" applyAlignment="1">
      <alignment vertical="center"/>
    </xf>
    <xf numFmtId="14" fontId="32" fillId="12" borderId="1" xfId="0" applyNumberFormat="1" applyFont="1" applyFill="1" applyBorder="1" applyAlignment="1"/>
    <xf numFmtId="0" fontId="32" fillId="12" borderId="1" xfId="0" applyFont="1" applyFill="1" applyBorder="1" applyAlignment="1"/>
    <xf numFmtId="166" fontId="32" fillId="12" borderId="1" xfId="1" applyNumberFormat="1" applyFont="1" applyFill="1" applyBorder="1" applyProtection="1"/>
    <xf numFmtId="0" fontId="0" fillId="19" borderId="0" xfId="0" applyFill="1" applyAlignment="1"/>
    <xf numFmtId="0" fontId="0" fillId="5" borderId="0" xfId="0" applyFill="1" applyAlignment="1"/>
    <xf numFmtId="0" fontId="6" fillId="20" borderId="0" xfId="0" applyFont="1" applyFill="1"/>
    <xf numFmtId="166" fontId="6" fillId="20" borderId="0" xfId="1" applyNumberFormat="1" applyFont="1" applyFill="1"/>
    <xf numFmtId="0" fontId="34" fillId="21" borderId="1" xfId="0" applyFont="1" applyFill="1" applyBorder="1" applyAlignment="1"/>
    <xf numFmtId="3" fontId="0" fillId="0" borderId="0" xfId="1" applyNumberFormat="1" applyFont="1" applyFill="1" applyAlignment="1" applyProtection="1">
      <alignment horizontal="right"/>
    </xf>
    <xf numFmtId="3" fontId="6" fillId="20" borderId="0" xfId="1" applyNumberFormat="1" applyFont="1" applyFill="1" applyAlignment="1">
      <alignment horizontal="right"/>
    </xf>
    <xf numFmtId="3" fontId="32" fillId="12" borderId="1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2" fillId="12" borderId="1" xfId="0" applyFont="1" applyFill="1" applyBorder="1" applyAlignment="1">
      <alignment horizontal="center"/>
    </xf>
    <xf numFmtId="0" fontId="6" fillId="20" borderId="0" xfId="0" applyFont="1" applyFill="1" applyAlignment="1">
      <alignment horizont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7" fillId="22" borderId="0" xfId="0" applyNumberFormat="1" applyFont="1" applyFill="1" applyAlignment="1">
      <alignment vertical="center"/>
    </xf>
    <xf numFmtId="166" fontId="15" fillId="0" borderId="1" xfId="1" applyNumberFormat="1" applyFont="1" applyBorder="1" applyProtection="1">
      <protection locked="0"/>
    </xf>
    <xf numFmtId="166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6" fontId="0" fillId="3" borderId="1" xfId="1" applyNumberFormat="1" applyFont="1" applyFill="1" applyBorder="1" applyProtection="1"/>
    <xf numFmtId="166" fontId="4" fillId="3" borderId="1" xfId="1" applyNumberFormat="1" applyFont="1" applyFill="1" applyBorder="1" applyProtection="1"/>
    <xf numFmtId="166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6" fontId="1" fillId="3" borderId="1" xfId="1" applyNumberFormat="1" applyFont="1" applyFill="1" applyBorder="1" applyProtection="1"/>
    <xf numFmtId="166" fontId="4" fillId="3" borderId="1" xfId="0" applyNumberFormat="1" applyFont="1" applyFill="1" applyBorder="1" applyAlignment="1"/>
    <xf numFmtId="0" fontId="0" fillId="23" borderId="1" xfId="0" applyFill="1" applyBorder="1" applyAlignment="1"/>
    <xf numFmtId="164" fontId="0" fillId="23" borderId="1" xfId="4" applyFont="1" applyFill="1" applyBorder="1" applyAlignment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6" fontId="23" fillId="21" borderId="1" xfId="1" applyNumberFormat="1" applyFont="1" applyFill="1" applyBorder="1" applyProtection="1">
      <protection locked="0"/>
    </xf>
    <xf numFmtId="166" fontId="24" fillId="21" borderId="1" xfId="1" applyNumberFormat="1" applyFont="1" applyFill="1" applyBorder="1" applyProtection="1">
      <protection locked="0"/>
    </xf>
    <xf numFmtId="166" fontId="4" fillId="5" borderId="1" xfId="1" applyNumberFormat="1" applyFont="1" applyFill="1" applyBorder="1" applyProtection="1"/>
    <xf numFmtId="166" fontId="19" fillId="21" borderId="1" xfId="1" applyNumberFormat="1" applyFont="1" applyFill="1" applyBorder="1" applyProtection="1"/>
    <xf numFmtId="166" fontId="4" fillId="21" borderId="1" xfId="0" applyNumberFormat="1" applyFont="1" applyFill="1" applyBorder="1" applyAlignment="1"/>
    <xf numFmtId="166" fontId="4" fillId="0" borderId="1" xfId="1" applyNumberFormat="1" applyFont="1" applyBorder="1" applyProtection="1"/>
    <xf numFmtId="166" fontId="4" fillId="21" borderId="1" xfId="1" applyNumberFormat="1" applyFont="1" applyFill="1" applyBorder="1" applyProtection="1"/>
    <xf numFmtId="166" fontId="19" fillId="5" borderId="1" xfId="0" applyNumberFormat="1" applyFont="1" applyFill="1" applyBorder="1" applyAlignment="1"/>
    <xf numFmtId="166" fontId="19" fillId="0" borderId="1" xfId="1" applyNumberFormat="1" applyFont="1" applyBorder="1" applyProtection="1"/>
    <xf numFmtId="166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6" fontId="19" fillId="0" borderId="3" xfId="1" applyNumberFormat="1" applyFont="1" applyFill="1" applyBorder="1" applyProtection="1"/>
    <xf numFmtId="0" fontId="35" fillId="0" borderId="0" xfId="0" applyFont="1" applyAlignment="1">
      <alignment vertical="center"/>
    </xf>
    <xf numFmtId="3" fontId="2" fillId="24" borderId="0" xfId="1" applyNumberFormat="1" applyFont="1" applyFill="1" applyAlignment="1" applyProtection="1">
      <alignment horizontal="right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38" fillId="0" borderId="0" xfId="1" applyNumberFormat="1" applyFont="1" applyBorder="1" applyProtection="1">
      <protection locked="0"/>
    </xf>
    <xf numFmtId="166" fontId="8" fillId="0" borderId="1" xfId="1" applyNumberFormat="1" applyFont="1" applyFill="1" applyBorder="1" applyAlignment="1" applyProtection="1">
      <alignment horizontal="center" vertical="center"/>
    </xf>
    <xf numFmtId="166" fontId="8" fillId="5" borderId="1" xfId="1" applyNumberFormat="1" applyFont="1" applyFill="1" applyBorder="1" applyProtection="1"/>
    <xf numFmtId="166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6" fontId="8" fillId="0" borderId="1" xfId="1" applyNumberFormat="1" applyFont="1" applyBorder="1" applyProtection="1"/>
    <xf numFmtId="0" fontId="9" fillId="5" borderId="0" xfId="0" applyFont="1" applyFill="1" applyBorder="1" applyAlignment="1">
      <alignment vertical="center"/>
    </xf>
    <xf numFmtId="166" fontId="37" fillId="0" borderId="0" xfId="0" applyNumberFormat="1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vertical="center"/>
    </xf>
    <xf numFmtId="166" fontId="7" fillId="0" borderId="0" xfId="0" applyNumberFormat="1" applyFont="1" applyFill="1" applyAlignment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4" fillId="0" borderId="4" xfId="0" applyFont="1" applyFill="1" applyBorder="1" applyAlignment="1"/>
    <xf numFmtId="166" fontId="19" fillId="0" borderId="1" xfId="0" applyNumberFormat="1" applyFont="1" applyBorder="1" applyAlignment="1"/>
    <xf numFmtId="0" fontId="44" fillId="0" borderId="0" xfId="0" applyFont="1" applyFill="1" applyBorder="1" applyAlignment="1"/>
    <xf numFmtId="0" fontId="44" fillId="0" borderId="1" xfId="0" applyFont="1" applyFill="1" applyBorder="1" applyAlignment="1"/>
    <xf numFmtId="166" fontId="19" fillId="0" borderId="3" xfId="1" applyNumberFormat="1" applyFont="1" applyBorder="1" applyProtection="1"/>
    <xf numFmtId="166" fontId="1" fillId="0" borderId="1" xfId="1" applyNumberFormat="1" applyFont="1" applyBorder="1" applyProtection="1"/>
    <xf numFmtId="166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6" fontId="15" fillId="0" borderId="0" xfId="1" applyNumberFormat="1" applyFont="1" applyFill="1" applyBorder="1" applyProtection="1">
      <protection locked="0"/>
    </xf>
    <xf numFmtId="166" fontId="14" fillId="0" borderId="0" xfId="1" applyNumberFormat="1" applyFont="1" applyFill="1" applyBorder="1" applyProtection="1">
      <protection locked="0"/>
    </xf>
    <xf numFmtId="166" fontId="13" fillId="0" borderId="0" xfId="0" applyNumberFormat="1" applyFont="1" applyFill="1" applyBorder="1" applyAlignment="1">
      <alignment vertical="center"/>
    </xf>
    <xf numFmtId="15" fontId="47" fillId="0" borderId="1" xfId="0" applyNumberFormat="1" applyFont="1" applyFill="1" applyBorder="1" applyAlignment="1"/>
    <xf numFmtId="0" fontId="47" fillId="0" borderId="1" xfId="0" applyFont="1" applyFill="1" applyBorder="1" applyAlignment="1"/>
    <xf numFmtId="166" fontId="47" fillId="0" borderId="1" xfId="1" applyNumberFormat="1" applyFont="1" applyFill="1" applyBorder="1"/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/>
    <xf numFmtId="0" fontId="47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left"/>
    </xf>
    <xf numFmtId="0" fontId="47" fillId="0" borderId="1" xfId="2" applyFont="1" applyFill="1" applyBorder="1" applyAlignment="1" applyProtection="1"/>
    <xf numFmtId="0" fontId="47" fillId="0" borderId="1" xfId="0" applyFont="1" applyFill="1" applyBorder="1" applyAlignment="1">
      <alignment horizontal="left" vertical="center"/>
    </xf>
    <xf numFmtId="166" fontId="47" fillId="0" borderId="1" xfId="1" applyNumberFormat="1" applyFont="1" applyFill="1" applyBorder="1" applyAlignment="1" applyProtection="1"/>
    <xf numFmtId="166" fontId="47" fillId="0" borderId="1" xfId="0" applyNumberFormat="1" applyFont="1" applyFill="1" applyBorder="1" applyAlignment="1">
      <alignment vertical="center"/>
    </xf>
    <xf numFmtId="169" fontId="47" fillId="0" borderId="1" xfId="2" applyNumberFormat="1" applyFont="1" applyFill="1" applyBorder="1" applyAlignment="1">
      <alignment vertical="top"/>
    </xf>
    <xf numFmtId="167" fontId="47" fillId="0" borderId="1" xfId="0" applyNumberFormat="1" applyFont="1" applyFill="1" applyBorder="1"/>
    <xf numFmtId="14" fontId="48" fillId="0" borderId="1" xfId="0" applyNumberFormat="1" applyFont="1" applyFill="1" applyBorder="1"/>
    <xf numFmtId="169" fontId="47" fillId="0" borderId="1" xfId="2" applyNumberFormat="1" applyFont="1" applyFill="1" applyBorder="1" applyAlignment="1">
      <alignment vertical="top" wrapText="1"/>
    </xf>
    <xf numFmtId="14" fontId="47" fillId="0" borderId="1" xfId="0" applyNumberFormat="1" applyFont="1" applyFill="1" applyBorder="1" applyAlignment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/>
    <xf numFmtId="15" fontId="40" fillId="0" borderId="1" xfId="0" applyNumberFormat="1" applyFont="1" applyFill="1" applyBorder="1" applyAlignment="1"/>
    <xf numFmtId="0" fontId="40" fillId="0" borderId="1" xfId="0" applyFont="1" applyFill="1" applyBorder="1"/>
    <xf numFmtId="166" fontId="40" fillId="0" borderId="1" xfId="1" applyNumberFormat="1" applyFont="1" applyFill="1" applyBorder="1"/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14" fontId="40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5" borderId="0" xfId="0" applyFill="1" applyBorder="1" applyAlignment="1">
      <alignment vertical="center"/>
    </xf>
    <xf numFmtId="166" fontId="24" fillId="0" borderId="1" xfId="1" applyNumberFormat="1" applyFont="1" applyFill="1" applyBorder="1" applyProtection="1">
      <protection locked="0"/>
    </xf>
    <xf numFmtId="166" fontId="19" fillId="21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0" fillId="0" borderId="1" xfId="2" applyFont="1" applyFill="1" applyBorder="1" applyAlignment="1" applyProtection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vertical="center"/>
    </xf>
    <xf numFmtId="0" fontId="25" fillId="20" borderId="0" xfId="0" applyFont="1" applyFill="1"/>
    <xf numFmtId="166" fontId="0" fillId="0" borderId="0" xfId="0" applyNumberFormat="1" applyFont="1" applyFill="1" applyAlignment="1"/>
    <xf numFmtId="166" fontId="40" fillId="0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20" borderId="0" xfId="0" applyFont="1" applyFill="1" applyAlignment="1">
      <alignment horizontal="left"/>
    </xf>
    <xf numFmtId="0" fontId="0" fillId="0" borderId="0" xfId="0" applyFill="1" applyBorder="1" applyAlignment="1"/>
    <xf numFmtId="164" fontId="0" fillId="0" borderId="0" xfId="0" applyNumberFormat="1"/>
    <xf numFmtId="170" fontId="0" fillId="0" borderId="0" xfId="0" applyNumberFormat="1"/>
    <xf numFmtId="166" fontId="40" fillId="0" borderId="1" xfId="1" applyNumberFormat="1" applyFont="1" applyFill="1" applyBorder="1" applyAlignment="1">
      <alignment horizontal="left" vertical="center" wrapText="1"/>
    </xf>
    <xf numFmtId="166" fontId="47" fillId="0" borderId="1" xfId="1" applyNumberFormat="1" applyFont="1" applyFill="1" applyBorder="1" applyAlignment="1">
      <alignment horizontal="left" vertical="center" wrapText="1"/>
    </xf>
    <xf numFmtId="169" fontId="47" fillId="0" borderId="1" xfId="2" applyNumberFormat="1" applyFont="1" applyFill="1" applyBorder="1" applyAlignment="1">
      <alignment horizontal="left" vertical="center"/>
    </xf>
    <xf numFmtId="15" fontId="47" fillId="0" borderId="1" xfId="0" applyNumberFormat="1" applyFont="1" applyFill="1" applyBorder="1" applyAlignment="1">
      <alignment horizontal="left" vertical="center"/>
    </xf>
    <xf numFmtId="166" fontId="47" fillId="0" borderId="1" xfId="1" applyNumberFormat="1" applyFont="1" applyFill="1" applyBorder="1" applyAlignment="1">
      <alignment horizontal="left" vertical="center"/>
    </xf>
    <xf numFmtId="3" fontId="47" fillId="0" borderId="1" xfId="1" applyNumberFormat="1" applyFont="1" applyFill="1" applyBorder="1" applyAlignment="1" applyProtection="1">
      <alignment horizontal="left" vertical="center"/>
    </xf>
    <xf numFmtId="166" fontId="47" fillId="0" borderId="1" xfId="1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5" fontId="40" fillId="0" borderId="1" xfId="0" applyNumberFormat="1" applyFont="1" applyFill="1" applyBorder="1" applyAlignment="1">
      <alignment horizontal="left" vertical="center"/>
    </xf>
    <xf numFmtId="166" fontId="40" fillId="0" borderId="1" xfId="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7" fillId="0" borderId="1" xfId="2" applyFont="1" applyFill="1" applyBorder="1" applyAlignment="1" applyProtection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3" fontId="0" fillId="0" borderId="0" xfId="1" applyNumberFormat="1" applyFont="1" applyFill="1" applyAlignment="1" applyProtection="1">
      <alignment horizontal="center"/>
    </xf>
    <xf numFmtId="166" fontId="47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40" fillId="0" borderId="1" xfId="1" applyNumberFormat="1" applyFont="1" applyFill="1" applyBorder="1" applyAlignment="1">
      <alignment horizontal="center" vertical="center"/>
    </xf>
    <xf numFmtId="166" fontId="47" fillId="0" borderId="1" xfId="1" applyNumberFormat="1" applyFont="1" applyFill="1" applyBorder="1" applyAlignment="1">
      <alignment horizontal="center"/>
    </xf>
    <xf numFmtId="3" fontId="47" fillId="0" borderId="1" xfId="1" applyNumberFormat="1" applyFont="1" applyFill="1" applyBorder="1" applyAlignment="1">
      <alignment horizontal="center"/>
    </xf>
    <xf numFmtId="3" fontId="40" fillId="0" borderId="1" xfId="1" applyNumberFormat="1" applyFont="1" applyFill="1" applyBorder="1" applyAlignment="1">
      <alignment horizontal="center"/>
    </xf>
    <xf numFmtId="3" fontId="6" fillId="20" borderId="0" xfId="1" applyNumberFormat="1" applyFont="1" applyFill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3" fillId="20" borderId="0" xfId="0" applyFont="1" applyFill="1" applyAlignment="1">
      <alignment horizontal="center"/>
    </xf>
    <xf numFmtId="0" fontId="39" fillId="20" borderId="0" xfId="0" applyFont="1" applyFill="1" applyAlignment="1">
      <alignment horizontal="center"/>
    </xf>
  </cellXfs>
  <cellStyles count="7">
    <cellStyle name="Excel Built-in Comma" xfId="6" xr:uid="{00000000-0005-0000-0000-000000000000}"/>
    <cellStyle name="Excel Built-in Normal" xfId="2" xr:uid="{00000000-0005-0000-0000-000001000000}"/>
    <cellStyle name="Milliers" xfId="1" builtinId="3"/>
    <cellStyle name="Milliers [0]" xfId="4" builtinId="6"/>
    <cellStyle name="Milliers 3" xfId="5" xr:uid="{00000000-0005-0000-0000-000004000000}"/>
    <cellStyle name="Normal" xfId="0" builtinId="0"/>
    <cellStyle name="Normal_Total expenses by date" xfId="3" xr:uid="{00000000-0005-0000-0000-000006000000}"/>
  </cellStyles>
  <dxfs count="1">
    <dxf>
      <numFmt numFmtId="164" formatCode="_-* #,##0\ _F_C_F_A_-;\-* #,##0\ _F_C_F_A_-;_-* &quot;-&quot;\ _F_C_F_A_-;_-@_-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AO&#220;T/compta%20ok/Compta_21_08_20_%20Herick%20_Harmonis&#233;e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  <sheetName val="Feuil1 (2)"/>
      <sheetName val="Feuil8"/>
      <sheetName val="COMPTA_CREPIN"/>
      <sheetName val="Type de dépenses"/>
      <sheetName val="Liste1"/>
      <sheetName val="COMPTA_CREPIN (2)"/>
      <sheetName val="Compta Dalia"/>
      <sheetName val="Compta Dalia (2)"/>
      <sheetName val="compta"/>
      <sheetName val="compta (2)"/>
      <sheetName val="compta (3)"/>
      <sheetName val="Sheet2"/>
      <sheetName val="COMPTA_I23C"/>
      <sheetName val="COMPTA_I23C (2)"/>
      <sheetName val="Cumul transport"/>
      <sheetName val="ACHAT BOISSON"/>
      <sheetName val="Cumul transport (2)"/>
      <sheetName val="Cumul transport (3)"/>
      <sheetName val="cumul transport local"/>
      <sheetName val="Compta Jospin"/>
      <sheetName val="Compta Jospin (2)"/>
      <sheetName val="COMPT-P29"/>
      <sheetName val="COMPT-P29 (2)"/>
      <sheetName val="Cumul achat boisson"/>
      <sheetName val="compta shely"/>
      <sheetName val="compta ted"/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A7" t="str">
            <v>Transport</v>
          </cell>
          <cell r="G7" t="str">
            <v>Legal</v>
          </cell>
        </row>
        <row r="8">
          <cell r="A8" t="str">
            <v>Flight</v>
          </cell>
          <cell r="G8" t="str">
            <v>Operations</v>
          </cell>
        </row>
        <row r="9">
          <cell r="A9" t="str">
            <v>Travel Expenses</v>
          </cell>
          <cell r="G9" t="str">
            <v>Media</v>
          </cell>
        </row>
        <row r="10">
          <cell r="A10" t="str">
            <v>Travel Subsistence</v>
          </cell>
          <cell r="G10" t="str">
            <v xml:space="preserve">Management </v>
          </cell>
        </row>
        <row r="11">
          <cell r="A11" t="str">
            <v>Office Materials</v>
          </cell>
          <cell r="G11" t="str">
            <v>CCU</v>
          </cell>
        </row>
        <row r="12">
          <cell r="A12" t="str">
            <v>Trust building</v>
          </cell>
          <cell r="G12" t="str">
            <v>EAGLE Family</v>
          </cell>
        </row>
        <row r="13">
          <cell r="A13" t="str">
            <v>Jail visits</v>
          </cell>
          <cell r="G13" t="str">
            <v>Policy</v>
          </cell>
        </row>
        <row r="14">
          <cell r="A14" t="str">
            <v>Transfer fees</v>
          </cell>
          <cell r="G14" t="str">
            <v>External relations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  <sheetData sheetId="8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9" refreshError="1"/>
      <sheetData sheetId="1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16" refreshError="1"/>
      <sheetData sheetId="17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18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  <sheetData sheetId="19" refreshError="1"/>
      <sheetData sheetId="20" refreshError="1"/>
      <sheetData sheetId="21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29" refreshError="1"/>
      <sheetData sheetId="30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31" refreshError="1"/>
      <sheetData sheetId="32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33" refreshError="1">
        <row r="11">
          <cell r="E11">
            <v>10000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J2018-3" refreshedDate="44480.728170949071" createdVersion="3" refreshedVersion="3" minRefreshableVersion="3" recordCount="173" xr:uid="{00000000-000A-0000-FFFF-FFFF20000000}">
  <cacheSource type="worksheet">
    <worksheetSource ref="A11:O184" sheet="DATA  Sept 2021"/>
  </cacheSource>
  <cacheFields count="15">
    <cacheField name="Date" numFmtId="15">
      <sharedItems containsSemiMixedTypes="0" containsNonDate="0" containsDate="1" containsString="0" minDate="2021-09-01T00:00:00" maxDate="2021-10-01T00:00:00"/>
    </cacheField>
    <cacheField name="Details" numFmtId="0">
      <sharedItems/>
    </cacheField>
    <cacheField name="Type de dépenses" numFmtId="0">
      <sharedItems containsBlank="1" count="20">
        <m/>
        <s v="Versement"/>
        <s v="Transport"/>
        <s v="Bank Fees"/>
        <s v="Personnel"/>
        <s v="Travel Subsistence"/>
        <s v="Rent &amp; Utilities"/>
        <s v="Office Materials"/>
        <s v="Versement "/>
        <s v="Téléphone "/>
        <s v="Téléphone"/>
        <s v="Jail Visits"/>
        <s v="Lawyer Fees"/>
        <s v="Services"/>
        <s v="Transfer Fees"/>
        <s v="Publications"/>
        <s v="Equipement"/>
        <s v="Internet"/>
        <s v="Flight"/>
        <s v="Trust Building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4450" maxValue="2000000"/>
    </cacheField>
    <cacheField name="Spent" numFmtId="0">
      <sharedItems containsString="0" containsBlank="1" containsNumber="1" minValue="450" maxValue="2000000"/>
    </cacheField>
    <cacheField name="Balance" numFmtId="166">
      <sharedItems containsSemiMixedTypes="0" containsString="0" containsNumber="1" minValue="19409438.336100001" maxValue="31473399"/>
    </cacheField>
    <cacheField name="Name" numFmtId="0">
      <sharedItems containsBlank="1" count="12">
        <m/>
        <s v="Caisse"/>
        <s v="Evariste"/>
        <s v="Godfré"/>
        <s v="BCI-Sous Compte"/>
        <s v="Merveille"/>
        <s v="BCI"/>
        <s v="Tiffany"/>
        <s v="i23c"/>
        <s v="Crépin"/>
        <s v="Serdroque"/>
        <s v="Grace"/>
      </sharedItems>
    </cacheField>
    <cacheField name="Receipt" numFmtId="0">
      <sharedItems containsBlank="1" containsMixedTypes="1" containsNumber="1" containsInteger="1" minValue="3643522" maxValue="3654457"/>
    </cacheField>
    <cacheField name="Donor" numFmtId="0">
      <sharedItems containsBlank="1" count="3">
        <m/>
        <s v="ECF"/>
        <s v="UE"/>
      </sharedItems>
    </cacheField>
    <cacheField name="Project" numFmtId="0">
      <sharedItems containsBlank="1"/>
    </cacheField>
    <cacheField name="Country" numFmtId="0">
      <sharedItems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">
  <r>
    <d v="2021-09-01T00:00:00"/>
    <s v="Solde au 01/09/2021"/>
    <x v="0"/>
    <m/>
    <m/>
    <m/>
    <n v="29784733"/>
    <x v="0"/>
    <m/>
    <x v="0"/>
    <m/>
    <s v="CONGO"/>
    <m/>
    <m/>
    <m/>
  </r>
  <r>
    <d v="2021-09-01T00:00:00"/>
    <s v="Godfre"/>
    <x v="1"/>
    <m/>
    <m/>
    <n v="91000"/>
    <n v="29693733"/>
    <x v="1"/>
    <m/>
    <x v="0"/>
    <m/>
    <s v="CONGO"/>
    <m/>
    <m/>
    <m/>
  </r>
  <r>
    <d v="2021-09-01T00:00:00"/>
    <s v="Godfre"/>
    <x v="1"/>
    <m/>
    <m/>
    <n v="5000"/>
    <n v="29688733"/>
    <x v="1"/>
    <m/>
    <x v="0"/>
    <m/>
    <s v="CONGO"/>
    <m/>
    <m/>
    <m/>
  </r>
  <r>
    <d v="2021-09-01T00:00:00"/>
    <s v="Evariste"/>
    <x v="1"/>
    <m/>
    <m/>
    <n v="10000"/>
    <n v="29678733"/>
    <x v="1"/>
    <m/>
    <x v="0"/>
    <m/>
    <s v="CONGO"/>
    <m/>
    <m/>
    <m/>
  </r>
  <r>
    <d v="2021-09-01T00:00:00"/>
    <s v="Reçu de la caisse"/>
    <x v="1"/>
    <m/>
    <n v="10000"/>
    <m/>
    <n v="29688733"/>
    <x v="2"/>
    <s v="Décharge"/>
    <x v="0"/>
    <m/>
    <s v="CONGO"/>
    <m/>
    <m/>
    <m/>
  </r>
  <r>
    <d v="2021-09-01T00:00:00"/>
    <s v="Achat billet aller(BZV-Dolisie)"/>
    <x v="2"/>
    <s v="Legal"/>
    <m/>
    <n v="10000"/>
    <n v="29678733"/>
    <x v="3"/>
    <s v="Oui"/>
    <x v="1"/>
    <s v="PALF"/>
    <s v="CONGO"/>
    <m/>
    <m/>
    <m/>
  </r>
  <r>
    <d v="2021-09-01T00:00:00"/>
    <s v="Reçu Caisse"/>
    <x v="1"/>
    <m/>
    <n v="96000"/>
    <m/>
    <n v="29774733"/>
    <x v="3"/>
    <s v="Décharge"/>
    <x v="0"/>
    <m/>
    <s v="CONGO"/>
    <m/>
    <m/>
    <m/>
  </r>
  <r>
    <d v="2021-09-01T00:00:00"/>
    <s v="Fais Bancaire MVT&amp;TAXES"/>
    <x v="3"/>
    <s v="Office"/>
    <m/>
    <n v="14701"/>
    <n v="29760032"/>
    <x v="4"/>
    <s v="Relevé"/>
    <x v="2"/>
    <s v="RALFF"/>
    <s v="CONGO"/>
    <s v="RALFF-CO2552"/>
    <s v="5.6"/>
    <m/>
  </r>
  <r>
    <d v="2021-09-01T00:00:00"/>
    <s v="Paiement frais de congés crepin IBOUI IBOUILI"/>
    <x v="4"/>
    <s v="Legal"/>
    <m/>
    <n v="132365"/>
    <n v="29627667"/>
    <x v="4"/>
    <n v="3643522"/>
    <x v="2"/>
    <s v="RALFF"/>
    <s v="CONGO"/>
    <s v="RALFF-CO2553"/>
    <s v="1.1.1.7"/>
    <m/>
  </r>
  <r>
    <d v="2021-09-02T00:00:00"/>
    <s v="GODFRE MALONGA - CONGO - Food Allowance Mission du 02 au 04/09/2021 Dolsie"/>
    <x v="5"/>
    <s v="Legal"/>
    <m/>
    <n v="20000"/>
    <n v="29607667"/>
    <x v="3"/>
    <s v="Décharge"/>
    <x v="1"/>
    <s v="PALF"/>
    <s v="CONGO"/>
    <m/>
    <m/>
    <m/>
  </r>
  <r>
    <d v="2021-09-03T00:00:00"/>
    <s v="Reglement facture E²C/Juillet-Aout 2021/bureau PALF"/>
    <x v="6"/>
    <s v="Office"/>
    <m/>
    <n v="50268"/>
    <n v="29557399"/>
    <x v="1"/>
    <s v="Oui"/>
    <x v="2"/>
    <s v="RALFF"/>
    <s v="CONGO"/>
    <s v="RALFF-CO2554"/>
    <s v="4.4"/>
    <m/>
  </r>
  <r>
    <d v="2021-09-03T00:00:00"/>
    <s v="Frais de formation mois d'août 2021/Crepin"/>
    <x v="4"/>
    <s v="Team Building"/>
    <m/>
    <n v="25000"/>
    <n v="29532399"/>
    <x v="1"/>
    <s v="Oui"/>
    <x v="1"/>
    <s v="PALF"/>
    <s v="CONGO"/>
    <m/>
    <m/>
    <m/>
  </r>
  <r>
    <d v="2021-09-04T00:00:00"/>
    <s v="Achat billet retour(Dolisie- BZV)"/>
    <x v="2"/>
    <s v="Legal"/>
    <m/>
    <n v="10000"/>
    <n v="29522399"/>
    <x v="3"/>
    <s v="Oui"/>
    <x v="1"/>
    <s v="PALF"/>
    <s v="CONGO"/>
    <m/>
    <m/>
    <m/>
  </r>
  <r>
    <d v="2021-09-04T00:00:00"/>
    <s v="GODFRE MALONGA - CONGO - Frais d'hotel du 02 au 04 Septembre 2021/Dolisie"/>
    <x v="5"/>
    <s v="Legal"/>
    <m/>
    <n v="30000"/>
    <n v="29492399"/>
    <x v="3"/>
    <s v="Oui"/>
    <x v="1"/>
    <s v="PALF"/>
    <s v="CONGO"/>
    <m/>
    <m/>
    <m/>
  </r>
  <r>
    <d v="2021-09-06T00:00:00"/>
    <s v="Merveille"/>
    <x v="1"/>
    <m/>
    <m/>
    <n v="10000"/>
    <n v="29482399"/>
    <x v="1"/>
    <m/>
    <x v="0"/>
    <m/>
    <s v="CONGO"/>
    <m/>
    <m/>
    <m/>
  </r>
  <r>
    <d v="2021-09-06T00:00:00"/>
    <s v="Achat pagne/cadeau anniversaire Odile"/>
    <x v="4"/>
    <s v="Team Building"/>
    <m/>
    <n v="9000"/>
    <n v="29473399"/>
    <x v="1"/>
    <s v="Oui"/>
    <x v="1"/>
    <s v="PALF"/>
    <s v="CONGO"/>
    <m/>
    <m/>
    <m/>
  </r>
  <r>
    <d v="2021-09-06T00:00:00"/>
    <s v="BCI-3654454-34"/>
    <x v="1"/>
    <m/>
    <n v="2000000"/>
    <m/>
    <n v="31473399"/>
    <x v="1"/>
    <m/>
    <x v="0"/>
    <m/>
    <s v="CONGO"/>
    <m/>
    <m/>
    <m/>
  </r>
  <r>
    <d v="2021-09-06T00:00:00"/>
    <s v="Godfre"/>
    <x v="1"/>
    <m/>
    <m/>
    <n v="86000"/>
    <n v="31387399"/>
    <x v="1"/>
    <m/>
    <x v="0"/>
    <m/>
    <s v="CONGO"/>
    <m/>
    <m/>
    <m/>
  </r>
  <r>
    <d v="2021-09-06T00:00:00"/>
    <s v="Reçu Caisse"/>
    <x v="1"/>
    <m/>
    <n v="10000"/>
    <m/>
    <n v="31397399"/>
    <x v="5"/>
    <m/>
    <x v="0"/>
    <m/>
    <s v="CONGO"/>
    <m/>
    <m/>
    <m/>
  </r>
  <r>
    <d v="2021-09-06T00:00:00"/>
    <s v="Achat billet aller(BZV-Owando)"/>
    <x v="2"/>
    <s v="Legal"/>
    <m/>
    <n v="12000"/>
    <n v="31385399"/>
    <x v="3"/>
    <s v="Oui"/>
    <x v="1"/>
    <s v="PALF"/>
    <s v="CONGO"/>
    <m/>
    <m/>
    <m/>
  </r>
  <r>
    <d v="2021-09-06T00:00:00"/>
    <s v="Reçu Caisse"/>
    <x v="1"/>
    <m/>
    <n v="86000"/>
    <m/>
    <n v="31471399"/>
    <x v="3"/>
    <s v="Décharge"/>
    <x v="0"/>
    <m/>
    <s v="CONGO"/>
    <m/>
    <m/>
    <m/>
  </r>
  <r>
    <d v="2021-09-06T00:00:00"/>
    <s v="Cumul Frais Bancaire /COMISSION MVT/TAXES/WEB BANK"/>
    <x v="3"/>
    <s v="Office"/>
    <m/>
    <n v="23345"/>
    <n v="31448054"/>
    <x v="6"/>
    <s v="Relevé"/>
    <x v="2"/>
    <s v="RALFF"/>
    <s v="CONGO"/>
    <s v="RALFF-CO2555"/>
    <s v="5.6"/>
    <m/>
  </r>
  <r>
    <d v="2021-09-06T00:00:00"/>
    <s v="Retrait especes/appro caisse/bord n°3654454"/>
    <x v="1"/>
    <m/>
    <m/>
    <n v="2000000"/>
    <n v="29448054"/>
    <x v="6"/>
    <n v="3654454"/>
    <x v="0"/>
    <m/>
    <s v="CONGO"/>
    <m/>
    <m/>
    <m/>
  </r>
  <r>
    <d v="2021-09-07T00:00:00"/>
    <s v="GODFRE MALONGA - CONGO - Food Allowance Mission du 07 au 10/09/2021 Owando"/>
    <x v="5"/>
    <s v="Legal"/>
    <m/>
    <n v="30000"/>
    <n v="29418054"/>
    <x v="3"/>
    <s v="Décharge"/>
    <x v="1"/>
    <s v="PALF"/>
    <s v="CONGO"/>
    <m/>
    <m/>
    <m/>
  </r>
  <r>
    <d v="2021-09-08T00:00:00"/>
    <s v="achat 02 parapheurs à signature Pour Bureau"/>
    <x v="7"/>
    <s v="Office"/>
    <m/>
    <n v="26000"/>
    <n v="29392054"/>
    <x v="1"/>
    <s v="Oui"/>
    <x v="2"/>
    <s v="RALFF"/>
    <s v="CONGO"/>
    <s v="RALFF-CO2556"/>
    <s v="4.3"/>
    <m/>
  </r>
  <r>
    <d v="2021-09-09T00:00:00"/>
    <s v="Tiffany"/>
    <x v="1"/>
    <m/>
    <m/>
    <n v="40000"/>
    <n v="29352054"/>
    <x v="1"/>
    <m/>
    <x v="0"/>
    <m/>
    <s v="CONGO"/>
    <m/>
    <m/>
    <m/>
  </r>
  <r>
    <d v="2021-09-09T00:00:00"/>
    <s v="Reçu Caisse/ Tiffany"/>
    <x v="8"/>
    <m/>
    <n v="40000"/>
    <m/>
    <n v="29392054"/>
    <x v="7"/>
    <s v="Décharge"/>
    <x v="0"/>
    <m/>
    <s v="CONGO"/>
    <m/>
    <m/>
    <m/>
  </r>
  <r>
    <d v="2021-09-09T00:00:00"/>
    <s v="GODFRE MALONGA - CONGO - Frais d'hotel du 07 au 10 Septembre 2021 à Owando"/>
    <x v="5"/>
    <s v="Legal"/>
    <m/>
    <n v="30000"/>
    <n v="29362054"/>
    <x v="3"/>
    <s v="Oui"/>
    <x v="1"/>
    <s v="PALF"/>
    <s v="CONGO"/>
    <m/>
    <m/>
    <m/>
  </r>
  <r>
    <d v="2021-09-10T00:00:00"/>
    <s v="Achat billet retour(Owando- BZV)"/>
    <x v="2"/>
    <s v="Legal"/>
    <m/>
    <n v="12000"/>
    <n v="29350054"/>
    <x v="3"/>
    <s v="Oui"/>
    <x v="1"/>
    <s v="PALF"/>
    <s v="CONGO"/>
    <m/>
    <m/>
    <m/>
  </r>
  <r>
    <d v="2021-09-10T00:00:00"/>
    <s v="Evariste"/>
    <x v="1"/>
    <m/>
    <m/>
    <n v="5000"/>
    <n v="29345054"/>
    <x v="1"/>
    <m/>
    <x v="0"/>
    <m/>
    <s v="CONGO"/>
    <m/>
    <m/>
    <m/>
  </r>
  <r>
    <d v="2021-09-10T00:00:00"/>
    <s v="Reçu de la caisse"/>
    <x v="1"/>
    <m/>
    <n v="5000"/>
    <m/>
    <n v="29350054"/>
    <x v="2"/>
    <s v="Décharge"/>
    <x v="0"/>
    <m/>
    <s v="CONGO"/>
    <m/>
    <m/>
    <m/>
  </r>
  <r>
    <d v="2021-09-13T00:00:00"/>
    <s v="Godfre"/>
    <x v="1"/>
    <m/>
    <m/>
    <n v="10000"/>
    <n v="29340054"/>
    <x v="1"/>
    <m/>
    <x v="0"/>
    <m/>
    <s v="CONGO"/>
    <m/>
    <m/>
    <m/>
  </r>
  <r>
    <d v="2021-09-13T00:00:00"/>
    <s v="Achat ampoule Guerite/bureau PALF"/>
    <x v="7"/>
    <s v="Office"/>
    <m/>
    <n v="1000"/>
    <n v="29339054"/>
    <x v="1"/>
    <s v="Oui"/>
    <x v="1"/>
    <s v="PALF"/>
    <s v="CONGO"/>
    <m/>
    <m/>
    <m/>
  </r>
  <r>
    <d v="2021-09-13T00:00:00"/>
    <s v="Achat d'un document excel pour la formation "/>
    <x v="4"/>
    <s v="Team Building"/>
    <m/>
    <n v="2000"/>
    <n v="29337054"/>
    <x v="2"/>
    <s v="Oui"/>
    <x v="1"/>
    <s v="PALF"/>
    <s v="CONGO"/>
    <m/>
    <m/>
    <m/>
  </r>
  <r>
    <d v="2021-09-13T00:00:00"/>
    <s v="Reçu Caisse"/>
    <x v="1"/>
    <m/>
    <n v="10000"/>
    <m/>
    <n v="29347054"/>
    <x v="3"/>
    <s v="Décharge"/>
    <x v="0"/>
    <m/>
    <s v="CONGO"/>
    <m/>
    <m/>
    <m/>
  </r>
  <r>
    <d v="2021-09-14T00:00:00"/>
    <s v="Godfre"/>
    <x v="1"/>
    <m/>
    <m/>
    <n v="4450"/>
    <n v="29342604"/>
    <x v="1"/>
    <m/>
    <x v="0"/>
    <m/>
    <s v="CONGO"/>
    <m/>
    <m/>
    <m/>
  </r>
  <r>
    <d v="2021-09-14T00:00:00"/>
    <s v="Achat carburant Groupe electrogiène/bureau"/>
    <x v="7"/>
    <s v="Office"/>
    <m/>
    <n v="24000"/>
    <n v="29318604"/>
    <x v="1"/>
    <s v="Oui"/>
    <x v="2"/>
    <s v="RALFF"/>
    <s v="CONGO"/>
    <s v="RALFF-CO2557"/>
    <s v="4.4"/>
    <m/>
  </r>
  <r>
    <d v="2021-09-14T00:00:00"/>
    <s v="Achat credit  teléphonique MTN/staff PALF/2ème partie Septembre  2021/management"/>
    <x v="9"/>
    <s v="Management"/>
    <m/>
    <n v="25000"/>
    <n v="29293604"/>
    <x v="1"/>
    <s v="Oui"/>
    <x v="2"/>
    <s v="RALFF"/>
    <s v="CONGO"/>
    <s v="RALFF-CO2558"/>
    <s v="4.6"/>
    <m/>
  </r>
  <r>
    <d v="2021-09-14T00:00:00"/>
    <s v="Achat credit  teléphonique MTN/staff PALF/2ème partie Septembre 2021/légal(Volontariat)"/>
    <x v="9"/>
    <s v="Legal"/>
    <m/>
    <n v="10000"/>
    <n v="29283604"/>
    <x v="1"/>
    <s v="Oui"/>
    <x v="1"/>
    <s v="PALF"/>
    <s v="CONGO"/>
    <m/>
    <m/>
    <m/>
  </r>
  <r>
    <d v="2021-09-14T00:00:00"/>
    <s v="Achat credit  teléphonique MTN/staff PALF/2ème partie Septembre 2021/légal"/>
    <x v="9"/>
    <s v="Legal"/>
    <m/>
    <n v="16000"/>
    <n v="29267604"/>
    <x v="1"/>
    <s v="Oui"/>
    <x v="2"/>
    <s v="RALFF"/>
    <s v="CONGO"/>
    <s v="RALFF-CO2559"/>
    <s v="4.6"/>
    <m/>
  </r>
  <r>
    <d v="2021-09-14T00:00:00"/>
    <s v="Achat credit  teléphonique MTN/staff PALF/2ème partie Septembre 2021/Investigation"/>
    <x v="9"/>
    <s v="Investigation"/>
    <m/>
    <n v="10000"/>
    <n v="29257604"/>
    <x v="1"/>
    <s v="Oui"/>
    <x v="2"/>
    <s v="RALFF"/>
    <s v="CONGO"/>
    <s v="RALFF-CO2560"/>
    <s v="4.6"/>
    <m/>
  </r>
  <r>
    <d v="2021-09-14T00:00:00"/>
    <s v="Achat credit  teléphonique MTN/staff PALF/2ème partie Septembre 2021/Média"/>
    <x v="9"/>
    <s v="Media"/>
    <m/>
    <n v="10000"/>
    <n v="29247604"/>
    <x v="1"/>
    <s v="Oui"/>
    <x v="2"/>
    <s v="RALFF"/>
    <s v="CONGO"/>
    <s v="RALFF-CO2561"/>
    <s v="4.6"/>
    <m/>
  </r>
  <r>
    <d v="2021-09-14T00:00:00"/>
    <s v="Achat credit  teléphonique Airtel/staff PALF/2ème partie Septembre 2021/Légal"/>
    <x v="10"/>
    <s v="Legal"/>
    <m/>
    <n v="5000"/>
    <n v="29242604"/>
    <x v="1"/>
    <s v="Oui"/>
    <x v="2"/>
    <s v="RALFF"/>
    <s v="CONGO"/>
    <s v="RALFF-CO2562"/>
    <s v="4.6"/>
    <m/>
  </r>
  <r>
    <d v="2021-09-14T00:00:00"/>
    <s v="Achat credit  teléphonique Airtel/staff PALF/2ème partie Septembre 2021/Investigation"/>
    <x v="10"/>
    <s v="Investigation"/>
    <m/>
    <n v="16000"/>
    <n v="29226604"/>
    <x v="1"/>
    <s v="Oui"/>
    <x v="2"/>
    <s v="RALFF"/>
    <s v="CONGO"/>
    <s v="RALFF-CO2563"/>
    <s v="4.6"/>
    <m/>
  </r>
  <r>
    <d v="2021-09-14T00:00:00"/>
    <s v="Reçu Caisse"/>
    <x v="1"/>
    <m/>
    <n v="4450"/>
    <m/>
    <n v="29231054"/>
    <x v="3"/>
    <s v="Décharge"/>
    <x v="0"/>
    <m/>
    <s v="CONGO"/>
    <m/>
    <m/>
    <m/>
  </r>
  <r>
    <d v="2021-09-14T00:00:00"/>
    <s v="Cumul Jail Visits Mois de Septembre 2021/Godfré"/>
    <x v="11"/>
    <s v="Legal"/>
    <m/>
    <n v="450"/>
    <n v="29230604"/>
    <x v="3"/>
    <s v="Décharge"/>
    <x v="1"/>
    <s v="PALF"/>
    <s v="CONGO"/>
    <m/>
    <m/>
    <m/>
  </r>
  <r>
    <d v="2021-09-14T00:00:00"/>
    <s v="Solde  honoraires contrat n°34/Pointe-Noire/maitre Séverin /3643525"/>
    <x v="12"/>
    <s v="Legal"/>
    <m/>
    <n v="300000"/>
    <n v="28930604"/>
    <x v="4"/>
    <n v="3643525"/>
    <x v="2"/>
    <s v="RALFF"/>
    <s v="CONGO"/>
    <s v="RALFF-CO2564"/>
    <s v="5.2.2"/>
    <m/>
  </r>
  <r>
    <d v="2021-09-14T00:00:00"/>
    <s v="Acompte  honoraires contrat n°37/Pointe-Noire/maitre Séverin /3643526"/>
    <x v="12"/>
    <s v="Legal"/>
    <m/>
    <n v="200000"/>
    <n v="28730604"/>
    <x v="4"/>
    <n v="3643526"/>
    <x v="2"/>
    <s v="RALFF"/>
    <s v="CONGO"/>
    <s v="RALFF-CO2565"/>
    <s v="5.2.2"/>
    <m/>
  </r>
  <r>
    <d v="2021-09-14T00:00:00"/>
    <s v="Paiement salaire du mois d'Août 2021/Tiffany GOBERT/chq n°3643523"/>
    <x v="4"/>
    <s v="Management"/>
    <m/>
    <n v="1311914"/>
    <n v="27418690"/>
    <x v="4"/>
    <n v="3643523"/>
    <x v="2"/>
    <s v="RALFF"/>
    <s v="CONGO"/>
    <s v="RALFF-CO2566"/>
    <s v="1.1.1.1"/>
    <m/>
  </r>
  <r>
    <d v="2021-09-14T00:00:00"/>
    <s v="Frais de consultation avocat Mois de Septembre 2021/LOCKO Christian/3643524"/>
    <x v="12"/>
    <s v="Legal"/>
    <m/>
    <n v="150000"/>
    <n v="27268690"/>
    <x v="4"/>
    <n v="3643524"/>
    <x v="2"/>
    <s v="RALFF"/>
    <s v="CONGO"/>
    <s v="RALFF-CO2567"/>
    <s v="5.2.2"/>
    <m/>
  </r>
  <r>
    <d v="2021-09-15T00:00:00"/>
    <s v="Indemnité de stage Grace MOLENDE/Du 15 au 30 Septembre 2021"/>
    <x v="4"/>
    <s v="Management"/>
    <m/>
    <n v="100000"/>
    <n v="27168690"/>
    <x v="1"/>
    <s v="Décharge"/>
    <x v="1"/>
    <s v="PALF"/>
    <s v="CONGO"/>
    <m/>
    <m/>
    <m/>
  </r>
  <r>
    <d v="2021-09-16T00:00:00"/>
    <s v="Achat matériel pour reparation surpresseur/roulement,crepine,embou,teflons"/>
    <x v="7"/>
    <s v="Office"/>
    <m/>
    <n v="25000"/>
    <n v="27143690"/>
    <x v="1"/>
    <s v="Oui"/>
    <x v="2"/>
    <s v="RALFF"/>
    <s v="CONGO"/>
    <s v="RALFF-CO2568"/>
    <s v="4.3"/>
    <m/>
  </r>
  <r>
    <d v="2021-09-16T00:00:00"/>
    <s v="Main d'œuvre reparation surpresseur"/>
    <x v="13"/>
    <s v="Office"/>
    <m/>
    <n v="15000"/>
    <n v="27128690"/>
    <x v="1"/>
    <s v="Oui"/>
    <x v="1"/>
    <s v="PALF"/>
    <s v="CONGO"/>
    <m/>
    <m/>
    <m/>
  </r>
  <r>
    <d v="2021-09-17T00:00:00"/>
    <s v="Evariste"/>
    <x v="1"/>
    <m/>
    <m/>
    <n v="10000"/>
    <n v="27118690"/>
    <x v="1"/>
    <m/>
    <x v="0"/>
    <m/>
    <s v="CONGO"/>
    <m/>
    <m/>
    <m/>
  </r>
  <r>
    <d v="2021-09-17T00:00:00"/>
    <s v="Godfre"/>
    <x v="1"/>
    <m/>
    <m/>
    <n v="10000"/>
    <n v="27108690"/>
    <x v="1"/>
    <m/>
    <x v="0"/>
    <m/>
    <s v="CONGO"/>
    <m/>
    <m/>
    <m/>
  </r>
  <r>
    <d v="2021-09-17T00:00:00"/>
    <s v="MOD / Entretien géneral jardin bureau"/>
    <x v="13"/>
    <s v="Office"/>
    <m/>
    <n v="12000"/>
    <n v="27096690"/>
    <x v="1"/>
    <s v="Oui"/>
    <x v="1"/>
    <s v="PALF"/>
    <s v="CONGO"/>
    <m/>
    <m/>
    <m/>
  </r>
  <r>
    <d v="2021-09-17T00:00:00"/>
    <s v="Achat flexible mitigeur du Lavabo"/>
    <x v="7"/>
    <s v="Office"/>
    <m/>
    <n v="5000"/>
    <n v="27091690"/>
    <x v="1"/>
    <s v="Oui"/>
    <x v="2"/>
    <s v="RALFF"/>
    <s v="CONGO"/>
    <s v="RALFF-CO2569"/>
    <s v="4.3"/>
    <m/>
  </r>
  <r>
    <d v="2021-09-17T00:00:00"/>
    <s v="Main d'œuvre reparation du Lavabo/changement Flexible"/>
    <x v="13"/>
    <s v="Office"/>
    <m/>
    <n v="6000"/>
    <n v="27085690"/>
    <x v="1"/>
    <s v="Oui"/>
    <x v="1"/>
    <s v="PALF"/>
    <s v="CONGO"/>
    <m/>
    <m/>
    <m/>
  </r>
  <r>
    <d v="2021-09-17T00:00:00"/>
    <s v="I23C"/>
    <x v="1"/>
    <m/>
    <m/>
    <n v="104000"/>
    <n v="26981690"/>
    <x v="1"/>
    <m/>
    <x v="0"/>
    <m/>
    <s v="CONGO"/>
    <m/>
    <m/>
    <m/>
  </r>
  <r>
    <d v="2021-09-17T00:00:00"/>
    <s v="Reçu de la caisse"/>
    <x v="1"/>
    <m/>
    <n v="10000"/>
    <m/>
    <n v="26991690"/>
    <x v="2"/>
    <s v="Décharge"/>
    <x v="0"/>
    <m/>
    <s v="CONGO"/>
    <m/>
    <m/>
    <m/>
  </r>
  <r>
    <d v="2021-09-17T00:00:00"/>
    <s v="Réçu de caisse"/>
    <x v="1"/>
    <m/>
    <n v="104000"/>
    <m/>
    <n v="27095690"/>
    <x v="8"/>
    <s v="Décharge"/>
    <x v="0"/>
    <m/>
    <s v="CONGO"/>
    <m/>
    <m/>
    <m/>
  </r>
  <r>
    <d v="2021-09-17T00:00:00"/>
    <s v="Achat billet BZ-PN (Mission Pn)"/>
    <x v="2"/>
    <s v="Investigation"/>
    <m/>
    <n v="15000"/>
    <n v="27080690"/>
    <x v="8"/>
    <s v="Oui"/>
    <x v="2"/>
    <s v="RALFF"/>
    <s v="CONGO"/>
    <s v="RALFF-CO2570"/>
    <s v="2.2"/>
    <m/>
  </r>
  <r>
    <d v="2021-09-17T00:00:00"/>
    <s v="Reçu Caisse"/>
    <x v="1"/>
    <m/>
    <n v="10000"/>
    <m/>
    <n v="27090690"/>
    <x v="3"/>
    <s v="Décharge"/>
    <x v="0"/>
    <m/>
    <s v="CONGO"/>
    <m/>
    <m/>
    <m/>
  </r>
  <r>
    <d v="2021-09-17T00:00:00"/>
    <s v="Paiement assurance multirisque professionnelle annuelle/ Bureau PALF"/>
    <x v="6"/>
    <s v="Office"/>
    <m/>
    <n v="208961"/>
    <n v="26881729"/>
    <x v="6"/>
    <n v="3654457"/>
    <x v="1"/>
    <s v="PALF"/>
    <s v="CONGO"/>
    <m/>
    <m/>
    <m/>
  </r>
  <r>
    <d v="2021-09-19T00:00:00"/>
    <s v="I23C - CONGO - Food allowance PN - Dolisie du 19 au 25 septembre 2021"/>
    <x v="5"/>
    <s v="Investigation"/>
    <m/>
    <n v="60000"/>
    <n v="26821729"/>
    <x v="8"/>
    <s v="Décharge"/>
    <x v="2"/>
    <s v="RALFF"/>
    <s v="CONGO"/>
    <s v="RALFF-CO2571"/>
    <s v="1.3.2"/>
    <m/>
  </r>
  <r>
    <d v="2021-09-20T00:00:00"/>
    <s v="Frais de mission maitre Severin Biyoudi du 21 au 23/09/2021/à pointe-noire"/>
    <x v="12"/>
    <s v="Legal"/>
    <m/>
    <n v="86000"/>
    <n v="26735729"/>
    <x v="1"/>
    <s v="Oui"/>
    <x v="2"/>
    <s v="RALFF"/>
    <s v="CONGO"/>
    <s v="RALFF-CO2572"/>
    <s v="5.2.2"/>
    <m/>
  </r>
  <r>
    <d v="2021-09-20T00:00:00"/>
    <s v="Serdroque"/>
    <x v="1"/>
    <m/>
    <m/>
    <n v="5000"/>
    <n v="26730729"/>
    <x v="1"/>
    <m/>
    <x v="0"/>
    <m/>
    <s v="CONGO"/>
    <m/>
    <m/>
    <m/>
  </r>
  <r>
    <d v="2021-09-20T00:00:00"/>
    <s v="Achat carte sim et credit /Serdroque"/>
    <x v="10"/>
    <s v="Legal"/>
    <m/>
    <n v="5500"/>
    <n v="26725229"/>
    <x v="1"/>
    <s v="Oui"/>
    <x v="1"/>
    <s v="PALF"/>
    <s v="CONGO"/>
    <m/>
    <m/>
    <m/>
  </r>
  <r>
    <d v="2021-09-20T00:00:00"/>
    <s v="Crepin"/>
    <x v="1"/>
    <m/>
    <m/>
    <n v="165000"/>
    <n v="26560229"/>
    <x v="1"/>
    <m/>
    <x v="0"/>
    <m/>
    <s v="CONGO"/>
    <m/>
    <m/>
    <m/>
  </r>
  <r>
    <d v="2021-09-20T00:00:00"/>
    <s v="Serdroque"/>
    <x v="1"/>
    <m/>
    <m/>
    <n v="90000"/>
    <n v="26470229"/>
    <x v="1"/>
    <m/>
    <x v="0"/>
    <m/>
    <s v="CONGO"/>
    <m/>
    <m/>
    <m/>
  </r>
  <r>
    <d v="2021-09-20T00:00:00"/>
    <s v="Achat Billet: Brazzaville-Pointe-Noire"/>
    <x v="2"/>
    <s v="Management"/>
    <m/>
    <n v="15000"/>
    <n v="26455229"/>
    <x v="9"/>
    <s v="Oui"/>
    <x v="2"/>
    <s v="RALFF"/>
    <s v="CONGO"/>
    <s v="RALFF-CO2573"/>
    <s v="2.2"/>
    <m/>
  </r>
  <r>
    <d v="2021-09-20T00:00:00"/>
    <s v="Reçu de caisse, avance Mission Pointe-Noire et Dolisie du 21 au 25/09/2021."/>
    <x v="1"/>
    <m/>
    <n v="165000"/>
    <m/>
    <n v="26620229"/>
    <x v="9"/>
    <s v="Oui"/>
    <x v="0"/>
    <m/>
    <s v="CONGO"/>
    <m/>
    <m/>
    <m/>
  </r>
  <r>
    <d v="2021-09-20T00:00:00"/>
    <s v="Reçu Caisse"/>
    <x v="1"/>
    <m/>
    <n v="5000"/>
    <m/>
    <n v="26625229"/>
    <x v="10"/>
    <s v="Oui"/>
    <x v="0"/>
    <m/>
    <s v="CONGO"/>
    <m/>
    <m/>
    <m/>
  </r>
  <r>
    <d v="2021-09-20T00:00:00"/>
    <s v="Reçu Caisse, avance frais de mission du 21 au 24-09-2021 "/>
    <x v="1"/>
    <m/>
    <n v="90000"/>
    <m/>
    <n v="26715229"/>
    <x v="10"/>
    <s v="Oui"/>
    <x v="0"/>
    <m/>
    <s v="CONGO"/>
    <m/>
    <m/>
    <m/>
  </r>
  <r>
    <d v="2021-09-20T00:00:00"/>
    <s v="Achat Billet aller: Brazzaville-Pointe Noire "/>
    <x v="2"/>
    <s v="Legal"/>
    <m/>
    <n v="15000"/>
    <n v="26700229"/>
    <x v="10"/>
    <s v="Oui"/>
    <x v="1"/>
    <s v="PALF"/>
    <s v="CONGO"/>
    <m/>
    <m/>
    <m/>
  </r>
  <r>
    <d v="2021-09-20T00:00:00"/>
    <s v="SERDROQUE NKODNZO - CONGO Cumul Ration Journalière Mois de Septembre 2021"/>
    <x v="5"/>
    <s v="Legal"/>
    <m/>
    <n v="1000"/>
    <n v="26699229"/>
    <x v="10"/>
    <s v="Décharge"/>
    <x v="1"/>
    <s v="PALF"/>
    <s v="CONGO"/>
    <m/>
    <m/>
    <m/>
  </r>
  <r>
    <d v="2021-09-21T00:00:00"/>
    <s v="I23C"/>
    <x v="1"/>
    <m/>
    <m/>
    <n v="110000"/>
    <n v="26589229"/>
    <x v="1"/>
    <m/>
    <x v="0"/>
    <m/>
    <s v="CONGO"/>
    <m/>
    <m/>
    <m/>
  </r>
  <r>
    <d v="2021-09-21T00:00:00"/>
    <s v="Frais de transfert charden farell/I23C"/>
    <x v="14"/>
    <s v="Office"/>
    <m/>
    <n v="3300"/>
    <n v="26585929"/>
    <x v="1"/>
    <s v="Oui"/>
    <x v="2"/>
    <s v="RALFF"/>
    <s v="CONGO"/>
    <s v="RALFF-CO2574"/>
    <s v="5.6"/>
    <m/>
  </r>
  <r>
    <d v="2021-09-21T00:00:00"/>
    <s v="Réçu de caisse"/>
    <x v="1"/>
    <m/>
    <n v="110000"/>
    <m/>
    <n v="26695929"/>
    <x v="8"/>
    <s v="Décharge"/>
    <x v="0"/>
    <m/>
    <s v="CONGO"/>
    <m/>
    <m/>
    <m/>
  </r>
  <r>
    <d v="2021-09-21T00:00:00"/>
    <s v="SERDROQUE NKODNZO - CONGO Food Allowance du Mission 21/09 au 01/10/2021"/>
    <x v="5"/>
    <s v="Legal"/>
    <m/>
    <n v="100000"/>
    <n v="26595929"/>
    <x v="10"/>
    <s v="Décharge"/>
    <x v="1"/>
    <s v="PALF"/>
    <s v="CONGO"/>
    <m/>
    <m/>
    <m/>
  </r>
  <r>
    <d v="2021-09-21T00:00:00"/>
    <s v="Reglement loyer mois de Septembre 2021/Bureau PALF"/>
    <x v="6"/>
    <s v="Office"/>
    <m/>
    <n v="500000"/>
    <n v="26095929"/>
    <x v="4"/>
    <n v="3643527"/>
    <x v="2"/>
    <s v="RALFF"/>
    <s v="CONGO"/>
    <s v="RALFF-CO2575"/>
    <s v="4.2"/>
    <m/>
  </r>
  <r>
    <d v="2021-09-21T00:00:00"/>
    <s v="Solde reliquat honoraire de Consultation ouverture association/ONG EAGLE-CONGO"/>
    <x v="12"/>
    <s v="Legal"/>
    <m/>
    <n v="295000"/>
    <n v="25800929"/>
    <x v="6"/>
    <n v="3654456"/>
    <x v="1"/>
    <s v="PALF"/>
    <s v="CONGO"/>
    <m/>
    <m/>
    <m/>
  </r>
  <r>
    <d v="2021-09-22T00:00:00"/>
    <s v="Reglement loyer Tiffany mois de Septembre 2021/400USD"/>
    <x v="4"/>
    <s v="Management"/>
    <m/>
    <n v="223339"/>
    <n v="25577590"/>
    <x v="1"/>
    <s v="Oui"/>
    <x v="1"/>
    <s v="PALF"/>
    <s v="CONGO"/>
    <m/>
    <m/>
    <m/>
  </r>
  <r>
    <d v="2021-09-22T00:00:00"/>
    <s v="Reglement factures Zanne LABUSCHAGNE/Production Septième newsletter"/>
    <x v="15"/>
    <s v="Office"/>
    <m/>
    <n v="175000"/>
    <n v="25402590"/>
    <x v="1"/>
    <s v="Oui"/>
    <x v="2"/>
    <s v="RALFF"/>
    <s v="CONGO"/>
    <s v="RALFF-CO2576"/>
    <s v="5.8"/>
    <m/>
  </r>
  <r>
    <d v="2021-09-22T00:00:00"/>
    <s v="Frais de transfert western Union/zanne"/>
    <x v="14"/>
    <s v="Office"/>
    <m/>
    <n v="15548"/>
    <n v="25387042"/>
    <x v="1"/>
    <s v="Oui"/>
    <x v="2"/>
    <s v="RALFF"/>
    <s v="CONGO"/>
    <s v="RALFF-CO2577"/>
    <s v="5.6"/>
    <m/>
  </r>
  <r>
    <d v="2021-09-22T00:00:00"/>
    <s v="Godfre"/>
    <x v="1"/>
    <m/>
    <m/>
    <n v="10000"/>
    <n v="25377042"/>
    <x v="1"/>
    <m/>
    <x v="0"/>
    <m/>
    <s v="CONGO"/>
    <m/>
    <m/>
    <m/>
  </r>
  <r>
    <d v="2021-09-22T00:00:00"/>
    <s v="Achat cameras pour enqueteurs"/>
    <x v="16"/>
    <s v="Office"/>
    <m/>
    <n v="618370.66390000004"/>
    <n v="24758671.336100001"/>
    <x v="1"/>
    <s v="Oui"/>
    <x v="1"/>
    <s v="PALF"/>
    <s v="CONGO"/>
    <m/>
    <m/>
    <m/>
  </r>
  <r>
    <d v="2021-09-22T00:00:00"/>
    <s v="Frais de la grosse du cas KOUMBA IBAYI"/>
    <x v="7"/>
    <s v="Management"/>
    <m/>
    <n v="50000"/>
    <n v="24708671.336100001"/>
    <x v="9"/>
    <s v="Oui"/>
    <x v="1"/>
    <s v="PALF"/>
    <s v="CONGO"/>
    <m/>
    <m/>
    <m/>
  </r>
  <r>
    <d v="2021-09-22T00:00:00"/>
    <s v="Achat Billet: Pointe Noire-Dolisie"/>
    <x v="2"/>
    <s v="Management"/>
    <m/>
    <n v="5000"/>
    <n v="24703671.336100001"/>
    <x v="9"/>
    <s v="Oui"/>
    <x v="2"/>
    <s v="RALFF"/>
    <s v="CONGO"/>
    <s v="RALFF-CO2578"/>
    <s v="2.2"/>
    <m/>
  </r>
  <r>
    <d v="2021-09-22T00:00:00"/>
    <s v="CREPIN IBOUILI - CONGO - Food-Allowance Mission du 21/09 au 01/10/2021 à Pointe Noire et Dolisie"/>
    <x v="5"/>
    <s v="Management"/>
    <m/>
    <n v="100000"/>
    <n v="24603671.336100001"/>
    <x v="9"/>
    <s v="Décharge"/>
    <x v="2"/>
    <s v="RALFF"/>
    <s v="CONGO"/>
    <s v="RALFF-CO2579"/>
    <s v="1.3.2"/>
    <m/>
  </r>
  <r>
    <d v="2021-09-22T00:00:00"/>
    <s v="Reçu Caisse"/>
    <x v="1"/>
    <m/>
    <n v="10000"/>
    <m/>
    <n v="24613671.336100001"/>
    <x v="3"/>
    <s v="Décharge"/>
    <x v="0"/>
    <m/>
    <s v="CONGO"/>
    <m/>
    <m/>
    <m/>
  </r>
  <r>
    <d v="2021-09-22T00:00:00"/>
    <s v="Achat Billet: Pointe Noire-Dolisie "/>
    <x v="2"/>
    <s v="Legal"/>
    <m/>
    <n v="5000"/>
    <n v="24608671.336100001"/>
    <x v="10"/>
    <s v="Oui"/>
    <x v="1"/>
    <s v="PALF"/>
    <s v="CONGO"/>
    <m/>
    <m/>
    <m/>
  </r>
  <r>
    <d v="2021-09-23T00:00:00"/>
    <s v="CREPIN IBOUILI - CONGO - Frais de d'Hotet 02 Nuitées à Pointe-Noire du 21 au 23/09/2021"/>
    <x v="5"/>
    <s v="Management"/>
    <m/>
    <n v="30000"/>
    <n v="24578671.336100001"/>
    <x v="9"/>
    <s v="Oui"/>
    <x v="2"/>
    <s v="RALFF"/>
    <s v="CONGO"/>
    <s v="RALFF-CO2580"/>
    <s v="1.3.2"/>
    <m/>
  </r>
  <r>
    <d v="2021-09-23T00:00:00"/>
    <s v="Crepin"/>
    <x v="1"/>
    <m/>
    <m/>
    <n v="56000"/>
    <n v="24522671.336100001"/>
    <x v="1"/>
    <m/>
    <x v="0"/>
    <m/>
    <s v="CONGO"/>
    <m/>
    <m/>
    <m/>
  </r>
  <r>
    <d v="2021-09-23T00:00:00"/>
    <s v="Serdroque"/>
    <x v="1"/>
    <m/>
    <m/>
    <n v="69000"/>
    <n v="24453671.336100001"/>
    <x v="1"/>
    <m/>
    <x v="0"/>
    <m/>
    <s v="CONGO"/>
    <m/>
    <m/>
    <m/>
  </r>
  <r>
    <d v="2021-09-23T00:00:00"/>
    <s v="Frais de transfert charden Farell/crepin et serdroque"/>
    <x v="14"/>
    <s v="Office"/>
    <m/>
    <n v="3750"/>
    <n v="24449921.336100001"/>
    <x v="1"/>
    <s v="Oui"/>
    <x v="2"/>
    <s v="RALFF"/>
    <s v="CONGO"/>
    <s v="RALFF-CO2581"/>
    <s v="5.6"/>
    <m/>
  </r>
  <r>
    <d v="2021-09-23T00:00:00"/>
    <s v="Achat Eau /03 bonbonnes"/>
    <x v="7"/>
    <s v="Office"/>
    <m/>
    <n v="13500"/>
    <n v="24436421.336100001"/>
    <x v="1"/>
    <s v="Oui"/>
    <x v="2"/>
    <s v="RALFF"/>
    <s v="CONGO"/>
    <s v="RALFF-CO2582"/>
    <s v="4.3"/>
    <m/>
  </r>
  <r>
    <d v="2021-09-23T00:00:00"/>
    <s v="Frais de formation mois de Septembre 2021/Evariste"/>
    <x v="4"/>
    <s v="Team Building"/>
    <m/>
    <n v="25000"/>
    <n v="24411421.336100001"/>
    <x v="1"/>
    <s v="Oui"/>
    <x v="1"/>
    <s v="PALF"/>
    <s v="CONGO"/>
    <m/>
    <m/>
    <m/>
  </r>
  <r>
    <d v="2021-09-23T00:00:00"/>
    <s v="Grace"/>
    <x v="1"/>
    <m/>
    <m/>
    <n v="10000"/>
    <n v="24401421.336100001"/>
    <x v="1"/>
    <m/>
    <x v="0"/>
    <m/>
    <s v="CONGO"/>
    <m/>
    <m/>
    <m/>
  </r>
  <r>
    <d v="2021-09-23T00:00:00"/>
    <s v="Reçu de caisse"/>
    <x v="1"/>
    <m/>
    <n v="56000"/>
    <m/>
    <n v="24457421.336100001"/>
    <x v="9"/>
    <s v="Oui"/>
    <x v="0"/>
    <m/>
    <s v="CONGO"/>
    <m/>
    <m/>
    <m/>
  </r>
  <r>
    <d v="2021-09-23T00:00:00"/>
    <s v="Achat billet PN-Dolisie (départ pour Dolisie)"/>
    <x v="2"/>
    <s v="Investigation"/>
    <m/>
    <n v="5000"/>
    <n v="24452421.336100001"/>
    <x v="8"/>
    <s v="Oui"/>
    <x v="2"/>
    <s v="RALFF"/>
    <s v="CONGO"/>
    <s v="RALFF-CO2583"/>
    <s v="2.2"/>
    <m/>
  </r>
  <r>
    <d v="2021-09-23T00:00:00"/>
    <s v="I23C - CONGO - Paiement Hôtel 4 nuitées du 19 au 23 septembre 2021/Pointe Noire"/>
    <x v="5"/>
    <s v="Investigation"/>
    <m/>
    <n v="60000"/>
    <n v="24392421.336100001"/>
    <x v="8"/>
    <s v="Oui"/>
    <x v="2"/>
    <s v="RALFF"/>
    <s v="CONGO"/>
    <s v="RALFF-CO2584"/>
    <s v="1.3.2"/>
    <m/>
  </r>
  <r>
    <d v="2021-09-23T00:00:00"/>
    <s v="Reçu Caisse"/>
    <x v="1"/>
    <m/>
    <n v="10000"/>
    <m/>
    <n v="24402421.336100001"/>
    <x v="11"/>
    <s v="Décharge"/>
    <x v="0"/>
    <m/>
    <s v="CONGO"/>
    <m/>
    <m/>
    <m/>
  </r>
  <r>
    <d v="2021-09-23T00:00:00"/>
    <s v="SERDROQUE NKODNZO - CONGO Frais d'Hotel 02 nuités à Pointe Noire du 21 au 23 septembre 2021/Pointe Noire"/>
    <x v="5"/>
    <s v="Legal"/>
    <m/>
    <n v="30000"/>
    <n v="24372421.336100001"/>
    <x v="10"/>
    <s v="Oui"/>
    <x v="1"/>
    <s v="PALF"/>
    <s v="CONGO"/>
    <m/>
    <m/>
    <m/>
  </r>
  <r>
    <d v="2021-09-24T00:00:00"/>
    <s v="BCI-3643528"/>
    <x v="1"/>
    <m/>
    <n v="1000000"/>
    <m/>
    <n v="25372421.336100001"/>
    <x v="1"/>
    <m/>
    <x v="0"/>
    <m/>
    <s v="CONGO"/>
    <m/>
    <m/>
    <m/>
  </r>
  <r>
    <d v="2021-09-24T00:00:00"/>
    <s v="BCI-3643529"/>
    <x v="1"/>
    <m/>
    <n v="1000000"/>
    <m/>
    <n v="26372421.336100001"/>
    <x v="1"/>
    <m/>
    <x v="0"/>
    <m/>
    <s v="CONGO"/>
    <m/>
    <m/>
    <m/>
  </r>
  <r>
    <d v="2021-09-24T00:00:00"/>
    <s v="Frais d'assurance santé pour Tiffany Gobert"/>
    <x v="4"/>
    <s v="Management"/>
    <m/>
    <n v="1085970"/>
    <n v="25286451.336100001"/>
    <x v="1"/>
    <s v="Oui"/>
    <x v="1"/>
    <s v="PALF"/>
    <s v="CONGO"/>
    <m/>
    <m/>
    <m/>
  </r>
  <r>
    <d v="2021-09-24T00:00:00"/>
    <s v="Reglement Facture Internet/mois d'octobre 2021 congo telecom"/>
    <x v="17"/>
    <s v="Office"/>
    <m/>
    <n v="89175"/>
    <n v="25197276.336100001"/>
    <x v="1"/>
    <s v="Oui"/>
    <x v="2"/>
    <s v="RALFF"/>
    <s v="CONGO"/>
    <s v="RALFF-CO2585"/>
    <s v="4.5"/>
    <m/>
  </r>
  <r>
    <d v="2021-09-24T00:00:00"/>
    <s v="Crepin"/>
    <x v="1"/>
    <m/>
    <m/>
    <n v="54000"/>
    <n v="25143276.336100001"/>
    <x v="1"/>
    <m/>
    <x v="0"/>
    <m/>
    <s v="CONGO"/>
    <m/>
    <m/>
    <m/>
  </r>
  <r>
    <d v="2021-09-24T00:00:00"/>
    <s v="Serdroque"/>
    <x v="1"/>
    <m/>
    <m/>
    <n v="58000"/>
    <n v="25085276.336100001"/>
    <x v="1"/>
    <m/>
    <x v="0"/>
    <m/>
    <s v="CONGO"/>
    <m/>
    <m/>
    <m/>
  </r>
  <r>
    <d v="2021-09-24T00:00:00"/>
    <s v="Frais de transfert charden Farell/crepin et serdroque"/>
    <x v="14"/>
    <s v="Office"/>
    <m/>
    <n v="3360"/>
    <n v="25081916.336100001"/>
    <x v="1"/>
    <s v="Oui"/>
    <x v="2"/>
    <s v="RALFF"/>
    <s v="CONGO"/>
    <s v="RALFF-CO2586"/>
    <s v="5.6"/>
    <m/>
  </r>
  <r>
    <d v="2021-09-24T00:00:00"/>
    <s v="Merveille"/>
    <x v="1"/>
    <m/>
    <m/>
    <n v="10000"/>
    <n v="25071916.336100001"/>
    <x v="1"/>
    <m/>
    <x v="0"/>
    <m/>
    <s v="CONGO"/>
    <m/>
    <m/>
    <m/>
  </r>
  <r>
    <d v="2021-09-24T00:00:00"/>
    <s v="Frais de l'expédition du cas KIGNOUMBA et consorts"/>
    <x v="7"/>
    <s v="Management"/>
    <m/>
    <n v="25000"/>
    <n v="25046916.336100001"/>
    <x v="9"/>
    <s v="Oui"/>
    <x v="1"/>
    <s v="PALF"/>
    <s v="CONGO"/>
    <m/>
    <m/>
    <m/>
  </r>
  <r>
    <d v="2021-09-24T00:00:00"/>
    <s v="Reçu de caisse"/>
    <x v="1"/>
    <m/>
    <n v="54000"/>
    <m/>
    <n v="25100916.336100001"/>
    <x v="9"/>
    <s v="Oui"/>
    <x v="0"/>
    <m/>
    <s v="CONGO"/>
    <m/>
    <m/>
    <m/>
  </r>
  <r>
    <d v="2021-09-24T00:00:00"/>
    <s v="Achat billet Dolisie-Brazzaville (retour à Brazzaville)"/>
    <x v="2"/>
    <s v="Investigation"/>
    <m/>
    <n v="10000"/>
    <n v="25090916.336100001"/>
    <x v="8"/>
    <s v="Oui"/>
    <x v="2"/>
    <s v="RALFF"/>
    <s v="CONGO"/>
    <s v="RALFF-CO2587"/>
    <s v="2.2"/>
    <m/>
  </r>
  <r>
    <d v="2021-09-24T00:00:00"/>
    <s v="Reçu caisse"/>
    <x v="1"/>
    <m/>
    <n v="10000"/>
    <m/>
    <n v="25100916.336100001"/>
    <x v="5"/>
    <m/>
    <x v="0"/>
    <m/>
    <s v="CONGO"/>
    <m/>
    <m/>
    <m/>
  </r>
  <r>
    <d v="2021-09-24T00:00:00"/>
    <s v="Reçu Caisse"/>
    <x v="1"/>
    <m/>
    <n v="69000"/>
    <m/>
    <n v="25169916.336100001"/>
    <x v="10"/>
    <s v="Décharge"/>
    <x v="0"/>
    <m/>
    <s v="CONGO"/>
    <m/>
    <m/>
    <m/>
  </r>
  <r>
    <d v="2021-09-24T00:00:00"/>
    <s v="Retrait especes/appro caisse/bord n°3643528"/>
    <x v="1"/>
    <m/>
    <m/>
    <n v="1000000"/>
    <n v="24169916.336100001"/>
    <x v="4"/>
    <n v="3643528"/>
    <x v="0"/>
    <m/>
    <s v="CONGO"/>
    <m/>
    <m/>
    <m/>
  </r>
  <r>
    <d v="2021-09-24T00:00:00"/>
    <s v="Retrait especes/appro caisse/bord n°3643529"/>
    <x v="1"/>
    <m/>
    <m/>
    <n v="1000000"/>
    <n v="23169916.336100001"/>
    <x v="4"/>
    <n v="3643529"/>
    <x v="0"/>
    <m/>
    <s v="CONGO"/>
    <m/>
    <m/>
    <m/>
  </r>
  <r>
    <d v="2021-09-25T00:00:00"/>
    <s v="I23C - CONGO - Paiment hôtel 2 nuitées du 23 au 25 Septembre 2021/Dolisie"/>
    <x v="5"/>
    <s v="Investigation"/>
    <m/>
    <n v="30000"/>
    <n v="23139916.336100001"/>
    <x v="8"/>
    <s v="Oui"/>
    <x v="2"/>
    <s v="RALFF"/>
    <s v="CONGO"/>
    <s v="RALFF-CO2588"/>
    <s v="1.3.2"/>
    <m/>
  </r>
  <r>
    <d v="2021-09-25T00:00:00"/>
    <s v="Reçu Caisse"/>
    <x v="1"/>
    <m/>
    <n v="58000"/>
    <m/>
    <n v="23197916.336100001"/>
    <x v="10"/>
    <s v="Décharge"/>
    <x v="0"/>
    <m/>
    <s v="CONGO"/>
    <m/>
    <m/>
    <m/>
  </r>
  <r>
    <d v="2021-09-27T00:00:00"/>
    <s v="Serdroque"/>
    <x v="1"/>
    <m/>
    <m/>
    <n v="64000"/>
    <n v="23133916.336100001"/>
    <x v="1"/>
    <m/>
    <x v="0"/>
    <m/>
    <s v="CONGO"/>
    <m/>
    <m/>
    <m/>
  </r>
  <r>
    <d v="2021-09-27T00:00:00"/>
    <s v="Crepin"/>
    <x v="1"/>
    <m/>
    <m/>
    <n v="56000"/>
    <n v="23077916.336100001"/>
    <x v="1"/>
    <m/>
    <x v="0"/>
    <m/>
    <s v="CONGO"/>
    <m/>
    <m/>
    <m/>
  </r>
  <r>
    <d v="2021-09-27T00:00:00"/>
    <s v="Frais de transfert charden Farell/crepin et serdroque"/>
    <x v="14"/>
    <s v="Office"/>
    <m/>
    <n v="4920"/>
    <n v="23072996.336100001"/>
    <x v="1"/>
    <s v="Oui"/>
    <x v="2"/>
    <s v="RALFF"/>
    <s v="CONGO"/>
    <s v="RALFF-CO2589"/>
    <s v="5.6"/>
    <m/>
  </r>
  <r>
    <d v="2021-09-27T00:00:00"/>
    <s v="Frais de mission maitre Scrutin Mouyeti du 27 au 29 septembre 2021/0 à Dolisie"/>
    <x v="12"/>
    <s v="Legal"/>
    <m/>
    <n v="76000"/>
    <n v="22996996.336100001"/>
    <x v="1"/>
    <s v="Oui"/>
    <x v="2"/>
    <s v="RALFF"/>
    <s v="CONGO"/>
    <s v="RALFF-CO2590"/>
    <s v="5.2.2"/>
    <m/>
  </r>
  <r>
    <d v="2021-09-27T00:00:00"/>
    <s v="Achat Papier toiltte,lait sucre,matinal,sac poubelle et produit de nettoyage"/>
    <x v="7"/>
    <s v="Office"/>
    <m/>
    <n v="34200"/>
    <n v="22962796.336100001"/>
    <x v="1"/>
    <s v="Oui"/>
    <x v="2"/>
    <s v="RALFF"/>
    <s v="CONGO"/>
    <s v="RALFF-CO2591"/>
    <s v="4.3"/>
    <m/>
  </r>
  <r>
    <d v="2021-09-27T00:00:00"/>
    <s v="Reçu Caisse"/>
    <x v="1"/>
    <m/>
    <n v="64000"/>
    <m/>
    <n v="23026796.336100001"/>
    <x v="10"/>
    <s v="Décharge"/>
    <x v="0"/>
    <m/>
    <s v="CONGO"/>
    <m/>
    <m/>
    <m/>
  </r>
  <r>
    <d v="2021-09-27T00:00:00"/>
    <s v="Paiement salaire du mois de Septembre 2021/ Evariste LELOUSSI/chq n°3643532"/>
    <x v="4"/>
    <s v="Media"/>
    <m/>
    <n v="233039"/>
    <n v="22793757.336100001"/>
    <x v="4"/>
    <n v="3643532"/>
    <x v="2"/>
    <s v="RALFF"/>
    <s v="CONGO"/>
    <s v="RALFF-CO2592"/>
    <s v="1.1.1.4"/>
    <m/>
  </r>
  <r>
    <d v="2021-09-27T00:00:00"/>
    <s v="Paiement salaire du mois de Septembre 2021/MAHANGA Merveille/chq n°3643533"/>
    <x v="4"/>
    <s v="Management"/>
    <m/>
    <n v="275000"/>
    <n v="22518757.336100001"/>
    <x v="4"/>
    <n v="3643533"/>
    <x v="2"/>
    <s v="RALFF"/>
    <s v="CONGO"/>
    <s v="RALFF-CO2593"/>
    <s v="1.1.2.1"/>
    <m/>
  </r>
  <r>
    <d v="2021-09-27T00:00:00"/>
    <s v="Paiement salaire du mois de Septembre 2021/Tiffany GOBERT/chq n°3643534"/>
    <x v="4"/>
    <s v="Management"/>
    <m/>
    <n v="1311914"/>
    <n v="21206843.336100001"/>
    <x v="4"/>
    <n v="3643534"/>
    <x v="2"/>
    <s v="RALFF"/>
    <s v="CONGO"/>
    <s v="RALFF-CO2594"/>
    <s v="1.1.1.1"/>
    <m/>
  </r>
  <r>
    <d v="2021-09-27T00:00:00"/>
    <s v="Reglement facture honoraire du mois de Septembre 2021/I23C/chq n°3643531"/>
    <x v="4"/>
    <s v="Investigation"/>
    <m/>
    <n v="400000"/>
    <n v="20806843.336100001"/>
    <x v="4"/>
    <n v="3643531"/>
    <x v="2"/>
    <s v="RALFF"/>
    <s v="CONGO"/>
    <s v="RALFF-CO2595"/>
    <s v="1.1.1.9"/>
    <m/>
  </r>
  <r>
    <d v="2021-09-28T00:00:00"/>
    <s v="Remboursement frais achat billet Brazzaville-Paris-Brazzaville/Tiffany GOBERT"/>
    <x v="18"/>
    <s v="Management"/>
    <m/>
    <n v="634950"/>
    <n v="20171893.336100001"/>
    <x v="1"/>
    <s v="Oui"/>
    <x v="1"/>
    <s v="PALF"/>
    <s v="CONGO"/>
    <m/>
    <m/>
    <m/>
  </r>
  <r>
    <d v="2021-09-28T00:00:00"/>
    <s v="Godfre"/>
    <x v="1"/>
    <m/>
    <m/>
    <n v="10000"/>
    <n v="20161893.336100001"/>
    <x v="1"/>
    <m/>
    <x v="0"/>
    <m/>
    <s v="CONGO"/>
    <m/>
    <m/>
    <m/>
  </r>
  <r>
    <d v="2021-09-28T00:00:00"/>
    <s v="BCI-3643535"/>
    <x v="1"/>
    <m/>
    <n v="2000000"/>
    <m/>
    <n v="22161893.336100001"/>
    <x v="1"/>
    <m/>
    <x v="0"/>
    <m/>
    <s v="CONGO"/>
    <m/>
    <m/>
    <m/>
  </r>
  <r>
    <d v="2021-09-28T00:00:00"/>
    <s v="Reçu de caisse"/>
    <x v="1"/>
    <m/>
    <n v="56000"/>
    <m/>
    <n v="22217893.336100001"/>
    <x v="9"/>
    <s v="Oui"/>
    <x v="0"/>
    <m/>
    <s v="CONGO"/>
    <m/>
    <m/>
    <m/>
  </r>
  <r>
    <d v="2021-09-28T00:00:00"/>
    <s v="Reçu Caisse"/>
    <x v="1"/>
    <m/>
    <n v="10000"/>
    <m/>
    <n v="22227893.336100001"/>
    <x v="3"/>
    <s v="Décharge"/>
    <x v="0"/>
    <m/>
    <s v="CONGO"/>
    <m/>
    <m/>
    <m/>
  </r>
  <r>
    <d v="2021-09-28T00:00:00"/>
    <s v="Retrait especes/appro caisse/bord n°3643535"/>
    <x v="1"/>
    <m/>
    <m/>
    <n v="2000000"/>
    <n v="20227893.336100001"/>
    <x v="4"/>
    <n v="3643535"/>
    <x v="0"/>
    <m/>
    <s v="CONGO"/>
    <m/>
    <m/>
    <m/>
  </r>
  <r>
    <d v="2021-09-29T00:00:00"/>
    <s v="Achat credit  teléphonique MTN PALF/Première partie Octobre  2021/Media"/>
    <x v="9"/>
    <s v="Office"/>
    <m/>
    <n v="5000"/>
    <n v="20222893.336100001"/>
    <x v="1"/>
    <s v="Oui"/>
    <x v="2"/>
    <s v="RALFF"/>
    <s v="CONGO"/>
    <s v="RALFF-CO2596"/>
    <s v="4.6"/>
    <m/>
  </r>
  <r>
    <d v="2021-09-29T00:00:00"/>
    <s v="Achat credit  teléphonique MTN/PALF/Première partie Octobre  2021/Investigation"/>
    <x v="9"/>
    <s v="Office"/>
    <m/>
    <n v="10000"/>
    <n v="20212893.336100001"/>
    <x v="1"/>
    <s v="Oui"/>
    <x v="2"/>
    <s v="RALFF"/>
    <s v="CONGO"/>
    <s v="RALFF-CO2597"/>
    <s v="4.6"/>
    <m/>
  </r>
  <r>
    <d v="2021-09-29T00:00:00"/>
    <s v="Achat credit  teléphonique MTN/PALF/Première partie Octobre  2021/Légal (Volontariat)"/>
    <x v="9"/>
    <s v="Office"/>
    <m/>
    <n v="42000"/>
    <n v="20170893.336100001"/>
    <x v="1"/>
    <s v="Oui"/>
    <x v="1"/>
    <s v="PALF"/>
    <s v="CONGO"/>
    <m/>
    <m/>
    <m/>
  </r>
  <r>
    <d v="2021-09-29T00:00:00"/>
    <s v="Achat credit  teléphonique MTN/PALF/Première partie Octobre  2021/Legal "/>
    <x v="9"/>
    <s v="Office"/>
    <m/>
    <n v="16000"/>
    <n v="20154893.336100001"/>
    <x v="1"/>
    <s v="Oui"/>
    <x v="2"/>
    <s v="RALFF"/>
    <s v="CONGO"/>
    <s v="RALFF-CO2598"/>
    <s v="4.6"/>
    <m/>
  </r>
  <r>
    <d v="2021-09-29T00:00:00"/>
    <s v="Achat credit  teléphonique MTN/PALF/Première partie Octobre  2021/Management"/>
    <x v="9"/>
    <s v="Office"/>
    <m/>
    <n v="52000"/>
    <n v="20102893.336100001"/>
    <x v="1"/>
    <s v="Oui"/>
    <x v="2"/>
    <s v="RALFF"/>
    <s v="CONGO"/>
    <s v="RALFF-CO2599"/>
    <s v="4.6"/>
    <m/>
  </r>
  <r>
    <d v="2021-09-29T00:00:00"/>
    <s v="Achat credit  teléphonique Airtel/ PALF/Première partie Octobre 2021/Management"/>
    <x v="9"/>
    <s v="Office"/>
    <m/>
    <n v="11000"/>
    <n v="20091893.336100001"/>
    <x v="1"/>
    <s v="Oui"/>
    <x v="2"/>
    <s v="RALFF"/>
    <s v="CONGO"/>
    <s v="RALFF-CO2600"/>
    <s v="4.6"/>
    <m/>
  </r>
  <r>
    <d v="2021-09-29T00:00:00"/>
    <s v="Achat credit  teléphonique Airtel/PALF/Première partie Octobre 2021/Legal"/>
    <x v="9"/>
    <s v="Office"/>
    <m/>
    <n v="5000"/>
    <n v="20086893.336100001"/>
    <x v="1"/>
    <s v="Oui"/>
    <x v="2"/>
    <s v="RALFF"/>
    <s v="CONGO"/>
    <s v="RALFF-CO2601"/>
    <s v="4.6"/>
    <m/>
  </r>
  <r>
    <d v="2021-09-29T00:00:00"/>
    <s v="Achat credit  teléphonique Airtel/PALF/Première partie Octobre 2021/Investigation"/>
    <x v="9"/>
    <s v="Office"/>
    <m/>
    <n v="16000"/>
    <n v="20070893.336100001"/>
    <x v="1"/>
    <s v="Oui"/>
    <x v="2"/>
    <s v="RALFF"/>
    <s v="CONGO"/>
    <s v="RALFF-CO2602"/>
    <s v="4.6"/>
    <m/>
  </r>
  <r>
    <d v="2021-09-29T00:00:00"/>
    <s v="Achat credit  teléphonique Airtel/PALF/Première partie Octobre 2021/Media"/>
    <x v="9"/>
    <s v="Office"/>
    <m/>
    <n v="11000"/>
    <n v="20059893.336100001"/>
    <x v="1"/>
    <s v="Oui"/>
    <x v="2"/>
    <s v="RALFF"/>
    <s v="CONGO"/>
    <s v="RALFF-CO2603"/>
    <s v="4.6"/>
    <m/>
  </r>
  <r>
    <d v="2021-09-29T00:00:00"/>
    <s v="Reglement prestation Technicienne de Surface mois de Septembre 2021/MFIELO"/>
    <x v="13"/>
    <s v="Office"/>
    <m/>
    <n v="75625"/>
    <n v="19984268.336100001"/>
    <x v="1"/>
    <s v="Oui"/>
    <x v="1"/>
    <s v="PALF"/>
    <s v="CONGO"/>
    <m/>
    <m/>
    <m/>
  </r>
  <r>
    <d v="2021-09-29T00:00:00"/>
    <s v="MOD / Entretien géneral jardin bureau"/>
    <x v="13"/>
    <s v="Office"/>
    <m/>
    <n v="18000"/>
    <n v="19966268.336100001"/>
    <x v="1"/>
    <s v="Oui"/>
    <x v="1"/>
    <s v="PALF"/>
    <s v="CONGO"/>
    <m/>
    <m/>
    <m/>
  </r>
  <r>
    <d v="2021-09-29T00:00:00"/>
    <s v="Trust building (achat 3 cartes sim pour enqueteur)"/>
    <x v="19"/>
    <s v="Investigation"/>
    <m/>
    <n v="31500"/>
    <n v="19934768.336100001"/>
    <x v="1"/>
    <s v="Décharge"/>
    <x v="1"/>
    <s v="PALF"/>
    <s v="CONGO"/>
    <m/>
    <m/>
    <m/>
  </r>
  <r>
    <d v="2021-09-29T00:00:00"/>
    <s v="I23c"/>
    <x v="1"/>
    <m/>
    <m/>
    <n v="6000"/>
    <n v="19928768.336100001"/>
    <x v="1"/>
    <m/>
    <x v="0"/>
    <m/>
    <s v="CONGO"/>
    <m/>
    <m/>
    <m/>
  </r>
  <r>
    <d v="2021-09-29T00:00:00"/>
    <s v="Réçu de caisse"/>
    <x v="1"/>
    <m/>
    <n v="6000"/>
    <m/>
    <n v="19934768.336100001"/>
    <x v="8"/>
    <s v="Décharge"/>
    <x v="0"/>
    <m/>
    <s v="CONGO"/>
    <m/>
    <m/>
    <m/>
  </r>
  <r>
    <d v="2021-09-29T00:00:00"/>
    <s v="Cumul Frais Trust Building du Mois de Septembre/I23C"/>
    <x v="19"/>
    <s v="Investigation"/>
    <m/>
    <n v="14000"/>
    <n v="19920768.336100001"/>
    <x v="8"/>
    <s v="Décharge"/>
    <x v="1"/>
    <s v="PALF"/>
    <s v="CONGO"/>
    <m/>
    <m/>
    <m/>
  </r>
  <r>
    <d v="2021-09-29T00:00:00"/>
    <s v="Cumul Frais de Transport Local du Mois de Septembre 2021/I23C"/>
    <x v="2"/>
    <s v="Investigation"/>
    <m/>
    <n v="32700"/>
    <n v="19888068.336100001"/>
    <x v="8"/>
    <s v="Décharge"/>
    <x v="2"/>
    <s v="RALFF"/>
    <s v="CONGO"/>
    <s v="RALFF-CO2604"/>
    <s v="2.2"/>
    <m/>
  </r>
  <r>
    <d v="2021-09-29T00:00:00"/>
    <s v="Cumul frais de transport local mois de Septembre 2021/Merveille"/>
    <x v="2"/>
    <s v="Management"/>
    <m/>
    <n v="19500"/>
    <n v="19868568.336100001"/>
    <x v="5"/>
    <s v="Décharge"/>
    <x v="2"/>
    <s v="RALFF"/>
    <s v="CONGO"/>
    <s v="RALFF-CO2605"/>
    <s v="2.2"/>
    <m/>
  </r>
  <r>
    <d v="2021-09-29T00:00:00"/>
    <s v="Reçu Caisse"/>
    <x v="1"/>
    <m/>
    <n v="62000"/>
    <m/>
    <n v="19930568.336100001"/>
    <x v="10"/>
    <s v="Décharge"/>
    <x v="0"/>
    <m/>
    <s v="CONGO"/>
    <m/>
    <m/>
    <m/>
  </r>
  <r>
    <d v="2021-09-30T00:00:00"/>
    <s v="SERDROQUE NKODNZO - CONGO Frais d'Hotel 08 nuités du 23/09 au 01/10/2021/Dolisie"/>
    <x v="5"/>
    <s v="Legal"/>
    <m/>
    <n v="120000"/>
    <n v="19810568.336100001"/>
    <x v="10"/>
    <s v="Oui"/>
    <x v="1"/>
    <s v="PALF"/>
    <s v="CONGO"/>
    <m/>
    <m/>
    <m/>
  </r>
  <r>
    <d v="2021-09-30T00:00:00"/>
    <s v="Godfre"/>
    <x v="1"/>
    <m/>
    <m/>
    <n v="10000"/>
    <n v="19800568.336100001"/>
    <x v="1"/>
    <m/>
    <x v="0"/>
    <m/>
    <s v="CONGO"/>
    <m/>
    <m/>
    <m/>
  </r>
  <r>
    <d v="2021-09-30T00:00:00"/>
    <s v="Crepin"/>
    <x v="1"/>
    <m/>
    <m/>
    <n v="54000"/>
    <n v="19746568.336100001"/>
    <x v="1"/>
    <m/>
    <x v="0"/>
    <m/>
    <s v="CONGO"/>
    <m/>
    <m/>
    <m/>
  </r>
  <r>
    <d v="2021-09-30T00:00:00"/>
    <s v="Serdroque"/>
    <x v="1"/>
    <m/>
    <m/>
    <n v="62000"/>
    <n v="19684568.336100001"/>
    <x v="1"/>
    <m/>
    <x v="0"/>
    <m/>
    <s v="CONGO"/>
    <m/>
    <m/>
    <m/>
  </r>
  <r>
    <d v="2021-09-30T00:00:00"/>
    <s v="Frais de transfert charden Farell/crepin et serdroque"/>
    <x v="14"/>
    <s v="Office"/>
    <m/>
    <n v="3480"/>
    <n v="19681088.336100001"/>
    <x v="1"/>
    <s v="Oui"/>
    <x v="2"/>
    <s v="RALFF"/>
    <s v="CONGO"/>
    <s v="RALFF-CO2606"/>
    <s v="5.6"/>
    <m/>
  </r>
  <r>
    <d v="2021-09-30T00:00:00"/>
    <s v="Reçu de caisse"/>
    <x v="1"/>
    <m/>
    <n v="54000"/>
    <m/>
    <n v="19735088.336100001"/>
    <x v="9"/>
    <s v="Oui"/>
    <x v="0"/>
    <m/>
    <s v="CONGO"/>
    <m/>
    <m/>
    <m/>
  </r>
  <r>
    <d v="2021-09-30T00:00:00"/>
    <s v="CREPIN IBOUILI - CONGO - Frais d'Hotel 08 Nuitées du 23/09/ au 01/10/2021 à Dolisie"/>
    <x v="5"/>
    <s v="Management"/>
    <m/>
    <n v="120000"/>
    <n v="19615088.336100001"/>
    <x v="9"/>
    <s v="Oui"/>
    <x v="2"/>
    <s v="RALFF"/>
    <s v="CONGO"/>
    <s v="RALFF-CO2607"/>
    <s v="1.3.2"/>
    <m/>
  </r>
  <r>
    <d v="2021-09-30T00:00:00"/>
    <s v="Achat Billet : Dolisie-Brazzaville "/>
    <x v="2"/>
    <s v="Management"/>
    <m/>
    <n v="10000"/>
    <n v="19605088.336100001"/>
    <x v="9"/>
    <s v="Oui"/>
    <x v="2"/>
    <s v="RALFF"/>
    <s v="CONGO"/>
    <s v="RALFF-CO2608"/>
    <s v="2.2"/>
    <m/>
  </r>
  <r>
    <d v="2021-09-30T00:00:00"/>
    <s v="Cumul Frais de Transport local Mois de Septembre 2021/crépin"/>
    <x v="2"/>
    <s v="Management"/>
    <m/>
    <n v="24900"/>
    <n v="19580188.336100001"/>
    <x v="9"/>
    <s v="Décharge"/>
    <x v="2"/>
    <s v="RALFF"/>
    <s v="CONGO"/>
    <s v="RALFF-CO2609"/>
    <s v="2.2"/>
    <m/>
  </r>
  <r>
    <d v="2021-09-30T00:00:00"/>
    <s v="Cumul frais de transport Local Septembre 2021/Evariste"/>
    <x v="2"/>
    <s v="Media"/>
    <m/>
    <n v="22000"/>
    <n v="19558188.336100001"/>
    <x v="2"/>
    <s v="Décharge"/>
    <x v="2"/>
    <s v="RALFF"/>
    <s v="CONGO"/>
    <s v="RALFF-CO2610"/>
    <s v="2.2"/>
    <m/>
  </r>
  <r>
    <d v="2021-09-30T00:00:00"/>
    <s v="Cumul frais transport local mois de Septembre 2021/Tiffany"/>
    <x v="2"/>
    <s v="Management"/>
    <m/>
    <n v="5000"/>
    <n v="19553188.336100001"/>
    <x v="7"/>
    <s v="Décharge"/>
    <x v="2"/>
    <s v="RALFF"/>
    <s v="CONGO"/>
    <s v="RALFF-CO2611"/>
    <s v="2.2"/>
    <m/>
  </r>
  <r>
    <d v="2021-09-30T00:00:00"/>
    <s v="Cumul frais de transport local mois de Septembre 2021/GRACE"/>
    <x v="2"/>
    <s v="Management"/>
    <m/>
    <n v="12000"/>
    <n v="19541188.336100001"/>
    <x v="11"/>
    <s v="Décharge"/>
    <x v="1"/>
    <s v="PALF"/>
    <s v="CONGO"/>
    <m/>
    <m/>
    <m/>
  </r>
  <r>
    <d v="2021-09-30T00:00:00"/>
    <s v="Reçu Caisse"/>
    <x v="1"/>
    <m/>
    <n v="10000"/>
    <m/>
    <n v="19551188.336100001"/>
    <x v="3"/>
    <s v="Décharge"/>
    <x v="0"/>
    <m/>
    <s v="CONGO"/>
    <m/>
    <m/>
    <m/>
  </r>
  <r>
    <d v="2021-09-30T00:00:00"/>
    <s v="GODFRE MALONGA - CONGO - Cumul Ration du Mois de Septembre 2021"/>
    <x v="5"/>
    <s v="Legal"/>
    <m/>
    <n v="16000"/>
    <n v="19535188.336100001"/>
    <x v="3"/>
    <s v="Décharge"/>
    <x v="1"/>
    <s v="PALF"/>
    <s v="CONGO"/>
    <m/>
    <m/>
    <m/>
  </r>
  <r>
    <d v="2021-09-30T00:00:00"/>
    <s v="Cumul Frais de Transport Local Septembre 2021/Godfré"/>
    <x v="2"/>
    <s v="Legal"/>
    <m/>
    <n v="65950"/>
    <n v="19469238.336100001"/>
    <x v="3"/>
    <s v="Décharge"/>
    <x v="1"/>
    <s v="PALF"/>
    <s v="CONGO"/>
    <m/>
    <m/>
    <m/>
  </r>
  <r>
    <d v="2021-09-30T00:00:00"/>
    <s v="Achat Billet : Dolisie-Brazzaville "/>
    <x v="2"/>
    <s v="Legal"/>
    <m/>
    <n v="10000"/>
    <n v="19459238.336100001"/>
    <x v="10"/>
    <s v="Oui"/>
    <x v="1"/>
    <s v="PALF"/>
    <s v="CONGO"/>
    <m/>
    <m/>
    <m/>
  </r>
  <r>
    <d v="2021-09-30T00:00:00"/>
    <s v="Cumul Jail Visits Mois de Septembre 2021/Serdroque"/>
    <x v="11"/>
    <s v="Legal"/>
    <m/>
    <n v="24000"/>
    <n v="19435238.336100001"/>
    <x v="10"/>
    <s v="Décharge"/>
    <x v="1"/>
    <s v="PALF"/>
    <s v="CONGO"/>
    <m/>
    <m/>
    <m/>
  </r>
  <r>
    <d v="2021-09-30T00:00:00"/>
    <s v="Cumul Frais de Transport Local Septembre 2021 /Serdroque"/>
    <x v="2"/>
    <s v="Legal"/>
    <m/>
    <n v="25800"/>
    <n v="19409438.336100001"/>
    <x v="10"/>
    <s v="Décharge"/>
    <x v="1"/>
    <s v="PALF"/>
    <s v="CONGO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numFmtId="15"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/>
  </dataFields>
  <formats count="1">
    <format dxfId="0">
      <pivotArea collapsedLevelsAreSubtotals="1" fieldPosition="0">
        <references count="1"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O17" firstHeaderRow="1" firstDataRow="3" firstDataCol="1"/>
  <pivotFields count="15">
    <pivotField numFmtId="15" showAll="0"/>
    <pivotField showAll="0"/>
    <pivotField axis="axisCol" showAll="0">
      <items count="21">
        <item x="3"/>
        <item x="16"/>
        <item x="18"/>
        <item x="17"/>
        <item x="11"/>
        <item x="12"/>
        <item x="7"/>
        <item x="4"/>
        <item x="15"/>
        <item x="6"/>
        <item x="13"/>
        <item x="10"/>
        <item x="9"/>
        <item x="14"/>
        <item x="2"/>
        <item x="5"/>
        <item x="19"/>
        <item x="1"/>
        <item x="8"/>
        <item x="0"/>
        <item t="default"/>
      </items>
    </pivotField>
    <pivotField showAll="0"/>
    <pivotField dataField="1" showAll="0"/>
    <pivotField dataField="1" showAll="0"/>
    <pivotField numFmtId="166" showAll="0"/>
    <pivotField axis="axisRow" showAll="0">
      <items count="13">
        <item x="6"/>
        <item x="4"/>
        <item x="1"/>
        <item x="9"/>
        <item x="2"/>
        <item x="3"/>
        <item x="11"/>
        <item x="8"/>
        <item x="5"/>
        <item x="10"/>
        <item x="7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2"/>
    <field x="-2"/>
  </colFields>
  <colItems count="4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 t="grand">
      <x/>
    </i>
    <i t="grand" i="1">
      <x/>
    </i>
  </colItems>
  <dataFields count="2">
    <dataField name="Somme de Received" fld="4" baseField="0" baseItem="0"/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O407"/>
  <sheetViews>
    <sheetView zoomScale="73" zoomScaleNormal="73" workbookViewId="0">
      <pane xSplit="1" topLeftCell="D1" activePane="topRight" state="frozen"/>
      <selection pane="topRight" activeCell="K19" sqref="K19"/>
    </sheetView>
  </sheetViews>
  <sheetFormatPr baseColWidth="10" defaultColWidth="11.42578125" defaultRowHeight="15" x14ac:dyDescent="0.25"/>
  <cols>
    <col min="1" max="1" width="34.28515625" style="10" customWidth="1"/>
    <col min="2" max="2" width="21.42578125" style="10" customWidth="1"/>
    <col min="3" max="3" width="26" style="10" customWidth="1"/>
    <col min="4" max="4" width="23.7109375" style="10" customWidth="1"/>
    <col min="5" max="5" width="19.5703125" style="10" customWidth="1"/>
    <col min="6" max="6" width="21" style="10" customWidth="1"/>
    <col min="7" max="7" width="25.140625" style="10" customWidth="1"/>
    <col min="8" max="8" width="20.5703125" style="10" customWidth="1"/>
    <col min="9" max="9" width="19.7109375" style="10" customWidth="1"/>
    <col min="10" max="10" width="16.7109375" style="10" customWidth="1"/>
    <col min="11" max="11" width="18.7109375" style="10" customWidth="1"/>
    <col min="12" max="12" width="16" style="53" customWidth="1"/>
    <col min="13" max="13" width="18.7109375" style="53" customWidth="1"/>
    <col min="14" max="14" width="14.140625" style="53" customWidth="1"/>
    <col min="15" max="15" width="14.85546875" style="53" customWidth="1"/>
    <col min="16" max="16384" width="11.42578125" style="10"/>
  </cols>
  <sheetData>
    <row r="1" spans="1:15" x14ac:dyDescent="0.25">
      <c r="A1" s="9">
        <v>44469</v>
      </c>
    </row>
    <row r="2" spans="1:15" ht="15.75" x14ac:dyDescent="0.25">
      <c r="A2" s="11" t="s">
        <v>40</v>
      </c>
      <c r="B2" s="11" t="s">
        <v>1</v>
      </c>
      <c r="C2" s="11">
        <v>44440</v>
      </c>
      <c r="D2" s="12" t="s">
        <v>41</v>
      </c>
      <c r="E2" s="12" t="s">
        <v>42</v>
      </c>
      <c r="F2" s="12" t="s">
        <v>43</v>
      </c>
      <c r="G2" s="12" t="s">
        <v>44</v>
      </c>
      <c r="H2" s="11">
        <v>44469</v>
      </c>
      <c r="I2" s="12" t="s">
        <v>45</v>
      </c>
      <c r="K2" s="52"/>
      <c r="L2" s="52" t="s">
        <v>46</v>
      </c>
      <c r="M2" s="52" t="s">
        <v>47</v>
      </c>
      <c r="N2" s="52" t="s">
        <v>48</v>
      </c>
      <c r="O2" s="52" t="s">
        <v>49</v>
      </c>
    </row>
    <row r="3" spans="1:15" ht="16.5" x14ac:dyDescent="0.3">
      <c r="A3" s="65" t="str">
        <f>+K3</f>
        <v xml:space="preserve">BCI </v>
      </c>
      <c r="B3" s="66" t="s">
        <v>50</v>
      </c>
      <c r="C3" s="67">
        <v>5428236</v>
      </c>
      <c r="D3" s="136">
        <f t="shared" ref="D3:D9" si="0">+L3</f>
        <v>0</v>
      </c>
      <c r="E3" s="68">
        <f>+N3</f>
        <v>527306</v>
      </c>
      <c r="F3" s="68">
        <f>+M3</f>
        <v>2000000</v>
      </c>
      <c r="G3" s="68"/>
      <c r="H3" s="68">
        <v>2900930</v>
      </c>
      <c r="I3" s="68">
        <f>+C3+D3-E3-F3+G3</f>
        <v>2900930</v>
      </c>
      <c r="J3" s="14">
        <f>I3-H3</f>
        <v>0</v>
      </c>
      <c r="K3" s="52" t="s">
        <v>51</v>
      </c>
      <c r="L3" s="54">
        <v>0</v>
      </c>
      <c r="M3" s="54">
        <v>2000000</v>
      </c>
      <c r="N3" s="54">
        <v>527306</v>
      </c>
      <c r="O3" s="54">
        <v>0</v>
      </c>
    </row>
    <row r="4" spans="1:15" ht="16.5" x14ac:dyDescent="0.3">
      <c r="A4" s="65" t="str">
        <f>+K4</f>
        <v>BCI  sous-compte</v>
      </c>
      <c r="B4" s="66" t="s">
        <v>50</v>
      </c>
      <c r="C4" s="67">
        <v>22962214</v>
      </c>
      <c r="D4" s="68">
        <f t="shared" si="0"/>
        <v>0</v>
      </c>
      <c r="E4" s="68">
        <f>+N4</f>
        <v>4828933</v>
      </c>
      <c r="F4" s="68">
        <f>+M4</f>
        <v>4000000</v>
      </c>
      <c r="G4" s="68">
        <f>+O3</f>
        <v>0</v>
      </c>
      <c r="H4" s="68">
        <v>14133281</v>
      </c>
      <c r="I4" s="68">
        <f>+C4+D4-E4-F4+G4</f>
        <v>14133281</v>
      </c>
      <c r="J4" s="14">
        <f t="shared" ref="J4:J11" si="1">I4-H4</f>
        <v>0</v>
      </c>
      <c r="K4" s="52" t="s">
        <v>52</v>
      </c>
      <c r="L4" s="54">
        <v>0</v>
      </c>
      <c r="M4" s="54">
        <v>4000000</v>
      </c>
      <c r="N4" s="54">
        <v>4828933</v>
      </c>
      <c r="O4" s="54">
        <v>0</v>
      </c>
    </row>
    <row r="5" spans="1:15" ht="16.5" x14ac:dyDescent="0.3">
      <c r="A5" s="65" t="str">
        <f t="shared" ref="A5:A7" si="2">+K5</f>
        <v>Caisse</v>
      </c>
      <c r="B5" s="66" t="s">
        <v>28</v>
      </c>
      <c r="C5" s="67">
        <v>858012</v>
      </c>
      <c r="D5" s="68">
        <f t="shared" si="0"/>
        <v>6000000</v>
      </c>
      <c r="E5" s="68">
        <f>+N5</f>
        <v>3784756</v>
      </c>
      <c r="F5" s="68">
        <f>+M5</f>
        <v>1284450</v>
      </c>
      <c r="G5" s="68">
        <f t="shared" ref="G5:G15" si="3">+O5</f>
        <v>0</v>
      </c>
      <c r="H5" s="68">
        <v>1788806</v>
      </c>
      <c r="I5" s="68">
        <f>+C5+D5-E5-F5+G5</f>
        <v>1788806</v>
      </c>
      <c r="J5" s="115">
        <f t="shared" si="1"/>
        <v>0</v>
      </c>
      <c r="K5" s="52" t="s">
        <v>28</v>
      </c>
      <c r="L5" s="54">
        <v>6000000</v>
      </c>
      <c r="M5" s="54">
        <v>1284450</v>
      </c>
      <c r="N5" s="54">
        <v>3784756</v>
      </c>
      <c r="O5" s="54">
        <v>0</v>
      </c>
    </row>
    <row r="6" spans="1:15" ht="16.5" x14ac:dyDescent="0.3">
      <c r="A6" s="65" t="str">
        <f t="shared" si="2"/>
        <v>Crépin</v>
      </c>
      <c r="B6" s="66" t="s">
        <v>3</v>
      </c>
      <c r="C6" s="67">
        <v>7800</v>
      </c>
      <c r="D6" s="68">
        <f t="shared" si="0"/>
        <v>385000</v>
      </c>
      <c r="E6" s="68">
        <f t="shared" ref="E6" si="4">+N6</f>
        <v>379900</v>
      </c>
      <c r="F6" s="68">
        <f t="shared" ref="F6:F13" si="5">+M6</f>
        <v>0</v>
      </c>
      <c r="G6" s="68">
        <f t="shared" si="3"/>
        <v>0</v>
      </c>
      <c r="H6" s="68">
        <v>12900</v>
      </c>
      <c r="I6" s="68">
        <f t="shared" ref="I6:I7" si="6">+C6+D6-E6-F6+G6</f>
        <v>12900</v>
      </c>
      <c r="J6" s="14">
        <f t="shared" si="1"/>
        <v>0</v>
      </c>
      <c r="K6" s="52" t="s">
        <v>53</v>
      </c>
      <c r="L6" s="54">
        <v>385000</v>
      </c>
      <c r="M6" s="54"/>
      <c r="N6" s="54">
        <v>379900</v>
      </c>
      <c r="O6" s="54">
        <v>0</v>
      </c>
    </row>
    <row r="7" spans="1:15" ht="16.5" x14ac:dyDescent="0.3">
      <c r="A7" s="65" t="str">
        <f t="shared" si="2"/>
        <v>Evariste</v>
      </c>
      <c r="B7" s="66" t="s">
        <v>170</v>
      </c>
      <c r="C7" s="67">
        <v>-5</v>
      </c>
      <c r="D7" s="68">
        <f t="shared" si="0"/>
        <v>25000</v>
      </c>
      <c r="E7" s="68">
        <f>+N7</f>
        <v>24000</v>
      </c>
      <c r="F7" s="68">
        <f t="shared" si="5"/>
        <v>0</v>
      </c>
      <c r="G7" s="68">
        <f t="shared" si="3"/>
        <v>0</v>
      </c>
      <c r="H7" s="68">
        <v>995</v>
      </c>
      <c r="I7" s="68">
        <f t="shared" si="6"/>
        <v>995</v>
      </c>
      <c r="J7" s="14">
        <f t="shared" si="1"/>
        <v>0</v>
      </c>
      <c r="K7" s="52" t="s">
        <v>34</v>
      </c>
      <c r="L7" s="54">
        <v>25000</v>
      </c>
      <c r="M7" s="54"/>
      <c r="N7" s="54">
        <v>24000</v>
      </c>
      <c r="O7" s="54">
        <v>0</v>
      </c>
    </row>
    <row r="8" spans="1:15" ht="16.5" x14ac:dyDescent="0.3">
      <c r="A8" s="65" t="str">
        <f>K8</f>
        <v>Godfré</v>
      </c>
      <c r="B8" s="66" t="s">
        <v>3</v>
      </c>
      <c r="C8" s="67">
        <v>2400</v>
      </c>
      <c r="D8" s="68">
        <f t="shared" si="0"/>
        <v>236450</v>
      </c>
      <c r="E8" s="68">
        <f t="shared" ref="E8" si="7">+N8</f>
        <v>236400</v>
      </c>
      <c r="F8" s="68">
        <f t="shared" si="5"/>
        <v>0</v>
      </c>
      <c r="G8" s="68">
        <f t="shared" si="3"/>
        <v>0</v>
      </c>
      <c r="H8" s="68">
        <v>2450</v>
      </c>
      <c r="I8" s="68">
        <f>+C8+D8-E8-F8+G8</f>
        <v>2450</v>
      </c>
      <c r="J8" s="14">
        <f t="shared" si="1"/>
        <v>0</v>
      </c>
      <c r="K8" s="52" t="s">
        <v>166</v>
      </c>
      <c r="L8" s="54">
        <v>236450</v>
      </c>
      <c r="M8" s="54"/>
      <c r="N8" s="54">
        <v>236400</v>
      </c>
      <c r="O8" s="54">
        <v>0</v>
      </c>
    </row>
    <row r="9" spans="1:15" ht="16.5" x14ac:dyDescent="0.3">
      <c r="A9" s="148" t="str">
        <f t="shared" ref="A9:A12" si="8">+K9</f>
        <v>I55S</v>
      </c>
      <c r="B9" s="149" t="s">
        <v>7</v>
      </c>
      <c r="C9" s="150">
        <v>233614</v>
      </c>
      <c r="D9" s="151">
        <f t="shared" si="0"/>
        <v>0</v>
      </c>
      <c r="E9" s="151">
        <f>+N9</f>
        <v>0</v>
      </c>
      <c r="F9" s="151">
        <f t="shared" si="5"/>
        <v>0</v>
      </c>
      <c r="G9" s="151">
        <f t="shared" si="3"/>
        <v>0</v>
      </c>
      <c r="H9" s="151">
        <v>233614</v>
      </c>
      <c r="I9" s="151">
        <f>+C9+D9-E9-F9+G9</f>
        <v>233614</v>
      </c>
      <c r="J9" s="14">
        <f t="shared" si="1"/>
        <v>0</v>
      </c>
      <c r="K9" s="52" t="s">
        <v>90</v>
      </c>
      <c r="L9" s="54"/>
      <c r="M9" s="54"/>
      <c r="N9" s="54">
        <v>0</v>
      </c>
      <c r="O9" s="54">
        <v>0</v>
      </c>
    </row>
    <row r="10" spans="1:15" ht="16.5" x14ac:dyDescent="0.3">
      <c r="A10" s="148" t="str">
        <f t="shared" si="8"/>
        <v>I73X</v>
      </c>
      <c r="B10" s="149" t="s">
        <v>7</v>
      </c>
      <c r="C10" s="150">
        <v>249769</v>
      </c>
      <c r="D10" s="151">
        <f t="shared" ref="D10:D12" si="9">+L10</f>
        <v>0</v>
      </c>
      <c r="E10" s="151">
        <f>+N10</f>
        <v>0</v>
      </c>
      <c r="F10" s="151">
        <f t="shared" si="5"/>
        <v>0</v>
      </c>
      <c r="G10" s="151">
        <f t="shared" si="3"/>
        <v>0</v>
      </c>
      <c r="H10" s="151">
        <v>249769</v>
      </c>
      <c r="I10" s="151">
        <f t="shared" ref="I10:I15" si="10">+C10+D10-E10-F10+G10</f>
        <v>249769</v>
      </c>
      <c r="J10" s="14">
        <f t="shared" si="1"/>
        <v>0</v>
      </c>
      <c r="K10" s="52" t="s">
        <v>89</v>
      </c>
      <c r="L10" s="54"/>
      <c r="M10" s="54"/>
      <c r="N10" s="54">
        <v>0</v>
      </c>
      <c r="O10" s="54">
        <v>0</v>
      </c>
    </row>
    <row r="11" spans="1:15" ht="16.5" x14ac:dyDescent="0.3">
      <c r="A11" s="65" t="str">
        <f t="shared" si="8"/>
        <v>Grace</v>
      </c>
      <c r="B11" s="111" t="s">
        <v>5</v>
      </c>
      <c r="C11" s="67">
        <v>6500</v>
      </c>
      <c r="D11" s="68">
        <f t="shared" si="9"/>
        <v>10000</v>
      </c>
      <c r="E11" s="234">
        <f t="shared" ref="E11:E15" si="11">+N11</f>
        <v>12000</v>
      </c>
      <c r="F11" s="68">
        <f t="shared" si="5"/>
        <v>0</v>
      </c>
      <c r="G11" s="68">
        <f t="shared" si="3"/>
        <v>0</v>
      </c>
      <c r="H11" s="68">
        <v>4500</v>
      </c>
      <c r="I11" s="68">
        <f t="shared" si="10"/>
        <v>4500</v>
      </c>
      <c r="J11" s="14">
        <f t="shared" si="1"/>
        <v>0</v>
      </c>
      <c r="K11" s="52" t="s">
        <v>165</v>
      </c>
      <c r="L11" s="54">
        <v>10000</v>
      </c>
      <c r="M11" s="54"/>
      <c r="N11" s="54">
        <v>12000</v>
      </c>
      <c r="O11" s="54">
        <v>0</v>
      </c>
    </row>
    <row r="12" spans="1:15" ht="16.5" x14ac:dyDescent="0.3">
      <c r="A12" s="65" t="str">
        <f t="shared" si="8"/>
        <v>I23C</v>
      </c>
      <c r="B12" s="66" t="s">
        <v>7</v>
      </c>
      <c r="C12" s="67">
        <v>14500</v>
      </c>
      <c r="D12" s="68">
        <f t="shared" si="9"/>
        <v>220000</v>
      </c>
      <c r="E12" s="234">
        <f t="shared" si="11"/>
        <v>226700</v>
      </c>
      <c r="F12" s="68">
        <f t="shared" si="5"/>
        <v>0</v>
      </c>
      <c r="G12" s="68">
        <f t="shared" si="3"/>
        <v>0</v>
      </c>
      <c r="H12" s="68">
        <v>7800</v>
      </c>
      <c r="I12" s="68">
        <f t="shared" si="10"/>
        <v>7800</v>
      </c>
      <c r="J12" s="14">
        <f>I12-H12</f>
        <v>0</v>
      </c>
      <c r="K12" s="52" t="s">
        <v>33</v>
      </c>
      <c r="L12" s="54">
        <v>220000</v>
      </c>
      <c r="M12" s="54"/>
      <c r="N12" s="54">
        <v>226700</v>
      </c>
      <c r="O12" s="54">
        <v>0</v>
      </c>
    </row>
    <row r="13" spans="1:15" ht="16.5" x14ac:dyDescent="0.3">
      <c r="A13" s="65" t="s">
        <v>99</v>
      </c>
      <c r="B13" s="66" t="s">
        <v>3</v>
      </c>
      <c r="C13" s="67">
        <v>2500</v>
      </c>
      <c r="D13" s="68">
        <f>+L13</f>
        <v>20000</v>
      </c>
      <c r="E13" s="234">
        <f t="shared" si="11"/>
        <v>19500</v>
      </c>
      <c r="F13" s="68">
        <f t="shared" si="5"/>
        <v>0</v>
      </c>
      <c r="G13" s="68">
        <f t="shared" si="3"/>
        <v>0</v>
      </c>
      <c r="H13" s="68">
        <v>3000</v>
      </c>
      <c r="I13" s="68">
        <f t="shared" si="10"/>
        <v>3000</v>
      </c>
      <c r="J13" s="14">
        <f t="shared" ref="J13" si="12">I13-H13</f>
        <v>0</v>
      </c>
      <c r="K13" s="52" t="s">
        <v>99</v>
      </c>
      <c r="L13" s="54">
        <v>20000</v>
      </c>
      <c r="M13" s="54"/>
      <c r="N13" s="54">
        <v>19500</v>
      </c>
      <c r="O13" s="54">
        <v>0</v>
      </c>
    </row>
    <row r="14" spans="1:15" ht="16.5" x14ac:dyDescent="0.3">
      <c r="A14" s="65" t="s">
        <v>206</v>
      </c>
      <c r="B14" s="66" t="s">
        <v>5</v>
      </c>
      <c r="C14" s="67">
        <v>0</v>
      </c>
      <c r="D14" s="68">
        <f t="shared" ref="D14:D15" si="13">+L14</f>
        <v>348000</v>
      </c>
      <c r="E14" s="234">
        <f t="shared" si="11"/>
        <v>330800</v>
      </c>
      <c r="F14" s="68">
        <f>+M14</f>
        <v>0</v>
      </c>
      <c r="G14" s="68">
        <f t="shared" si="3"/>
        <v>0</v>
      </c>
      <c r="H14" s="68">
        <v>17200</v>
      </c>
      <c r="I14" s="68">
        <f>+C14+D14-E14-F14+G14</f>
        <v>17200</v>
      </c>
      <c r="J14" s="14">
        <f>I14-H14</f>
        <v>0</v>
      </c>
      <c r="K14" s="52" t="s">
        <v>206</v>
      </c>
      <c r="L14" s="54">
        <v>348000</v>
      </c>
      <c r="M14" s="54"/>
      <c r="N14" s="54">
        <v>330800</v>
      </c>
      <c r="O14" s="54">
        <v>0</v>
      </c>
    </row>
    <row r="15" spans="1:15" ht="16.5" x14ac:dyDescent="0.3">
      <c r="A15" s="65" t="str">
        <f>K15</f>
        <v>Tiffany</v>
      </c>
      <c r="B15" s="66" t="s">
        <v>5</v>
      </c>
      <c r="C15" s="67">
        <v>19193</v>
      </c>
      <c r="D15" s="68">
        <f t="shared" si="13"/>
        <v>40000</v>
      </c>
      <c r="E15" s="234">
        <f t="shared" si="11"/>
        <v>5000</v>
      </c>
      <c r="F15" s="68">
        <f t="shared" ref="F15" si="14">+M15</f>
        <v>0</v>
      </c>
      <c r="G15" s="68">
        <f t="shared" si="3"/>
        <v>0</v>
      </c>
      <c r="H15" s="68">
        <v>54193</v>
      </c>
      <c r="I15" s="68">
        <f t="shared" si="10"/>
        <v>54193</v>
      </c>
      <c r="J15" s="14">
        <f t="shared" ref="J15" si="15">I15-H15</f>
        <v>0</v>
      </c>
      <c r="K15" s="52" t="s">
        <v>119</v>
      </c>
      <c r="L15" s="54">
        <v>40000</v>
      </c>
      <c r="M15" s="54"/>
      <c r="N15" s="54">
        <v>5000</v>
      </c>
      <c r="O15" s="54">
        <v>0</v>
      </c>
    </row>
    <row r="16" spans="1:15" ht="16.5" x14ac:dyDescent="0.3">
      <c r="A16" s="15" t="s">
        <v>56</v>
      </c>
      <c r="B16" s="16"/>
      <c r="C16" s="17">
        <f t="shared" ref="C16:G16" si="16">SUM(C3:C15)</f>
        <v>29784733</v>
      </c>
      <c r="D16" s="64">
        <f t="shared" si="16"/>
        <v>7284450</v>
      </c>
      <c r="E16" s="64">
        <f t="shared" si="16"/>
        <v>10375295</v>
      </c>
      <c r="F16" s="64">
        <f t="shared" si="16"/>
        <v>7284450</v>
      </c>
      <c r="G16" s="64">
        <f t="shared" si="16"/>
        <v>0</v>
      </c>
      <c r="H16" s="64">
        <f>SUM(H3:H15)</f>
        <v>19409438</v>
      </c>
      <c r="I16" s="68">
        <f>+C16+D16-E16-F16+G16</f>
        <v>19409438</v>
      </c>
      <c r="J16" s="14">
        <f>I16-H16</f>
        <v>0</v>
      </c>
      <c r="K16" s="8"/>
      <c r="L16" s="54">
        <v>7284450</v>
      </c>
      <c r="M16" s="54">
        <v>7284450</v>
      </c>
      <c r="N16" s="54">
        <v>10380595</v>
      </c>
      <c r="O16" s="54">
        <v>0</v>
      </c>
    </row>
    <row r="17" spans="1:15" ht="16.5" x14ac:dyDescent="0.3">
      <c r="A17" s="15"/>
      <c r="B17" s="16"/>
      <c r="C17" s="17"/>
      <c r="D17" s="18"/>
      <c r="E17" s="17"/>
      <c r="F17" s="18"/>
      <c r="G17" s="17"/>
      <c r="H17" s="17"/>
      <c r="I17" s="169" t="b">
        <f>I16=D19</f>
        <v>1</v>
      </c>
      <c r="L17" s="10"/>
      <c r="M17" s="10"/>
      <c r="N17" s="10"/>
      <c r="O17" s="10"/>
    </row>
    <row r="18" spans="1:15" ht="16.5" x14ac:dyDescent="0.3">
      <c r="A18" s="15" t="s">
        <v>173</v>
      </c>
      <c r="B18" s="16" t="s">
        <v>174</v>
      </c>
      <c r="C18" s="17" t="s">
        <v>175</v>
      </c>
      <c r="D18" s="17" t="s">
        <v>176</v>
      </c>
      <c r="E18" s="17" t="s">
        <v>57</v>
      </c>
      <c r="F18" s="17"/>
      <c r="G18" s="17">
        <f>+D16-F16</f>
        <v>0</v>
      </c>
      <c r="H18" s="17"/>
      <c r="I18" s="17"/>
    </row>
    <row r="19" spans="1:15" ht="16.5" x14ac:dyDescent="0.3">
      <c r="A19" s="19">
        <f>C16</f>
        <v>29784733</v>
      </c>
      <c r="B19" s="20">
        <f>G16</f>
        <v>0</v>
      </c>
      <c r="C19" s="17">
        <f>E16</f>
        <v>10375295</v>
      </c>
      <c r="D19" s="17">
        <f>A19+B19-C19</f>
        <v>19409438</v>
      </c>
      <c r="E19" s="18">
        <f>I16-D19</f>
        <v>0</v>
      </c>
      <c r="F19" s="17"/>
      <c r="G19" s="17"/>
      <c r="H19" s="17"/>
      <c r="I19" s="17"/>
    </row>
    <row r="20" spans="1:15" x14ac:dyDescent="0.25">
      <c r="G20" s="14"/>
    </row>
    <row r="21" spans="1:15" x14ac:dyDescent="0.2">
      <c r="A21" s="21" t="s">
        <v>58</v>
      </c>
      <c r="B21" s="21"/>
      <c r="C21" s="21"/>
      <c r="D21" s="22"/>
      <c r="E21" s="22"/>
      <c r="F21" s="22"/>
      <c r="G21" s="22"/>
      <c r="H21" s="22"/>
      <c r="I21" s="22"/>
    </row>
    <row r="22" spans="1:15" x14ac:dyDescent="0.2">
      <c r="A22" s="23" t="s">
        <v>177</v>
      </c>
      <c r="B22" s="23"/>
      <c r="C22" s="23"/>
      <c r="D22" s="23"/>
      <c r="E22" s="23"/>
      <c r="F22" s="23"/>
      <c r="G22" s="23"/>
      <c r="H22" s="23"/>
      <c r="I22" s="23"/>
      <c r="J22" s="22"/>
    </row>
    <row r="23" spans="1:15" x14ac:dyDescent="0.2">
      <c r="A23" s="24"/>
      <c r="B23" s="25"/>
      <c r="C23" s="26"/>
      <c r="D23" s="26"/>
      <c r="E23" s="26"/>
      <c r="F23" s="26"/>
      <c r="G23" s="26"/>
      <c r="H23" s="25"/>
      <c r="I23" s="25"/>
      <c r="J23" s="23"/>
    </row>
    <row r="24" spans="1:15" x14ac:dyDescent="0.2">
      <c r="A24" s="278" t="s">
        <v>59</v>
      </c>
      <c r="B24" s="280" t="s">
        <v>60</v>
      </c>
      <c r="C24" s="282" t="s">
        <v>178</v>
      </c>
      <c r="D24" s="284" t="s">
        <v>61</v>
      </c>
      <c r="E24" s="285"/>
      <c r="F24" s="285"/>
      <c r="G24" s="286"/>
      <c r="H24" s="287" t="s">
        <v>62</v>
      </c>
      <c r="I24" s="274" t="s">
        <v>63</v>
      </c>
      <c r="J24" s="25"/>
    </row>
    <row r="25" spans="1:15" x14ac:dyDescent="0.25">
      <c r="A25" s="279"/>
      <c r="B25" s="281"/>
      <c r="C25" s="283"/>
      <c r="D25" s="27" t="s">
        <v>27</v>
      </c>
      <c r="E25" s="27" t="s">
        <v>28</v>
      </c>
      <c r="F25" s="238" t="s">
        <v>129</v>
      </c>
      <c r="G25" s="27" t="s">
        <v>64</v>
      </c>
      <c r="H25" s="288"/>
      <c r="I25" s="275"/>
      <c r="J25" s="276" t="s">
        <v>163</v>
      </c>
      <c r="K25" s="183"/>
    </row>
    <row r="26" spans="1:15" x14ac:dyDescent="0.2">
      <c r="A26" s="29"/>
      <c r="B26" s="30" t="s">
        <v>65</v>
      </c>
      <c r="C26" s="31"/>
      <c r="D26" s="31"/>
      <c r="E26" s="31"/>
      <c r="F26" s="31"/>
      <c r="G26" s="31"/>
      <c r="H26" s="31"/>
      <c r="I26" s="32"/>
      <c r="J26" s="277"/>
      <c r="K26" s="183"/>
    </row>
    <row r="27" spans="1:15" x14ac:dyDescent="0.2">
      <c r="A27" s="155" t="s">
        <v>85</v>
      </c>
      <c r="B27" s="160" t="s">
        <v>53</v>
      </c>
      <c r="C27" s="38">
        <f t="shared" ref="C27:C35" si="17">C6</f>
        <v>7800</v>
      </c>
      <c r="D27" s="37"/>
      <c r="E27" s="38">
        <f>+D6</f>
        <v>385000</v>
      </c>
      <c r="F27" s="38"/>
      <c r="G27" s="38"/>
      <c r="H27" s="62">
        <f t="shared" ref="H27:H35" si="18">+F6</f>
        <v>0</v>
      </c>
      <c r="I27" s="38">
        <f>+E6</f>
        <v>379900</v>
      </c>
      <c r="J27" s="36">
        <f>+SUM(C27:G27)-(H27+I27)</f>
        <v>12900</v>
      </c>
      <c r="K27" s="184" t="b">
        <f t="shared" ref="K27:K36" si="19">J27=I6</f>
        <v>1</v>
      </c>
    </row>
    <row r="28" spans="1:15" x14ac:dyDescent="0.2">
      <c r="A28" s="155" t="str">
        <f>+A27</f>
        <v>SEPTEMBRE</v>
      </c>
      <c r="B28" s="160" t="s">
        <v>34</v>
      </c>
      <c r="C28" s="38">
        <f t="shared" si="17"/>
        <v>-5</v>
      </c>
      <c r="D28" s="37"/>
      <c r="E28" s="38">
        <f>+D7</f>
        <v>25000</v>
      </c>
      <c r="F28" s="38"/>
      <c r="G28" s="38"/>
      <c r="H28" s="62">
        <f t="shared" si="18"/>
        <v>0</v>
      </c>
      <c r="I28" s="38">
        <f t="shared" ref="I28:I35" si="20">+E7</f>
        <v>24000</v>
      </c>
      <c r="J28" s="114">
        <f t="shared" ref="J28" si="21">+SUM(C28:G28)-(H28+I28)</f>
        <v>995</v>
      </c>
      <c r="K28" s="184" t="b">
        <f t="shared" si="19"/>
        <v>1</v>
      </c>
    </row>
    <row r="29" spans="1:15" x14ac:dyDescent="0.2">
      <c r="A29" s="155" t="str">
        <f t="shared" ref="A29:A36" si="22">+A28</f>
        <v>SEPTEMBRE</v>
      </c>
      <c r="B29" s="161" t="s">
        <v>166</v>
      </c>
      <c r="C29" s="38">
        <f t="shared" si="17"/>
        <v>2400</v>
      </c>
      <c r="D29" s="152"/>
      <c r="E29" s="38">
        <f>D8</f>
        <v>236450</v>
      </c>
      <c r="F29" s="58"/>
      <c r="G29" s="58"/>
      <c r="H29" s="62">
        <f t="shared" si="18"/>
        <v>0</v>
      </c>
      <c r="I29" s="38">
        <f t="shared" si="20"/>
        <v>236400</v>
      </c>
      <c r="J29" s="157">
        <f>+SUM(C29:G29)-(H29+I29)</f>
        <v>2450</v>
      </c>
      <c r="K29" s="184" t="b">
        <f t="shared" si="19"/>
        <v>1</v>
      </c>
    </row>
    <row r="30" spans="1:15" x14ac:dyDescent="0.2">
      <c r="A30" s="155" t="str">
        <f t="shared" si="22"/>
        <v>SEPTEMBRE</v>
      </c>
      <c r="B30" s="162" t="s">
        <v>90</v>
      </c>
      <c r="C30" s="153">
        <f t="shared" si="17"/>
        <v>233614</v>
      </c>
      <c r="D30" s="156"/>
      <c r="E30" s="153">
        <f t="shared" ref="E30:E34" si="23">+D9</f>
        <v>0</v>
      </c>
      <c r="F30" s="172"/>
      <c r="G30" s="172"/>
      <c r="H30" s="235">
        <f t="shared" si="18"/>
        <v>0</v>
      </c>
      <c r="I30" s="153">
        <f t="shared" si="20"/>
        <v>0</v>
      </c>
      <c r="J30" s="154">
        <f>+SUM(C30:G30)-(H30+I30)</f>
        <v>233614</v>
      </c>
      <c r="K30" s="184" t="b">
        <f t="shared" si="19"/>
        <v>1</v>
      </c>
    </row>
    <row r="31" spans="1:15" x14ac:dyDescent="0.2">
      <c r="A31" s="155" t="str">
        <f t="shared" si="22"/>
        <v>SEPTEMBRE</v>
      </c>
      <c r="B31" s="162" t="s">
        <v>89</v>
      </c>
      <c r="C31" s="153">
        <f t="shared" si="17"/>
        <v>249769</v>
      </c>
      <c r="D31" s="156"/>
      <c r="E31" s="153">
        <f t="shared" si="23"/>
        <v>0</v>
      </c>
      <c r="F31" s="172"/>
      <c r="G31" s="172"/>
      <c r="H31" s="235">
        <f t="shared" si="18"/>
        <v>0</v>
      </c>
      <c r="I31" s="153">
        <f t="shared" si="20"/>
        <v>0</v>
      </c>
      <c r="J31" s="154">
        <f t="shared" ref="J31:J36" si="24">+SUM(C31:G31)-(H31+I31)</f>
        <v>249769</v>
      </c>
      <c r="K31" s="184" t="b">
        <f t="shared" si="19"/>
        <v>1</v>
      </c>
    </row>
    <row r="32" spans="1:15" x14ac:dyDescent="0.2">
      <c r="A32" s="155" t="str">
        <f t="shared" si="22"/>
        <v>SEPTEMBRE</v>
      </c>
      <c r="B32" s="160" t="s">
        <v>165</v>
      </c>
      <c r="C32" s="38">
        <f t="shared" si="17"/>
        <v>6500</v>
      </c>
      <c r="D32" s="37"/>
      <c r="E32" s="38">
        <f t="shared" si="23"/>
        <v>10000</v>
      </c>
      <c r="F32" s="38"/>
      <c r="G32" s="118"/>
      <c r="H32" s="62">
        <f t="shared" si="18"/>
        <v>0</v>
      </c>
      <c r="I32" s="38">
        <f t="shared" si="20"/>
        <v>12000</v>
      </c>
      <c r="J32" s="36">
        <f t="shared" si="24"/>
        <v>4500</v>
      </c>
      <c r="K32" s="184" t="b">
        <f t="shared" si="19"/>
        <v>1</v>
      </c>
    </row>
    <row r="33" spans="1:11" x14ac:dyDescent="0.2">
      <c r="A33" s="155" t="str">
        <f t="shared" si="22"/>
        <v>SEPTEMBRE</v>
      </c>
      <c r="B33" s="160" t="s">
        <v>33</v>
      </c>
      <c r="C33" s="38">
        <f t="shared" si="17"/>
        <v>14500</v>
      </c>
      <c r="D33" s="37"/>
      <c r="E33" s="38">
        <f t="shared" si="23"/>
        <v>220000</v>
      </c>
      <c r="F33" s="38"/>
      <c r="G33" s="118"/>
      <c r="H33" s="62">
        <f t="shared" si="18"/>
        <v>0</v>
      </c>
      <c r="I33" s="38">
        <f t="shared" si="20"/>
        <v>226700</v>
      </c>
      <c r="J33" s="36">
        <f t="shared" si="24"/>
        <v>7800</v>
      </c>
      <c r="K33" s="184" t="b">
        <f t="shared" si="19"/>
        <v>1</v>
      </c>
    </row>
    <row r="34" spans="1:11" x14ac:dyDescent="0.2">
      <c r="A34" s="155" t="str">
        <f t="shared" si="22"/>
        <v>SEPTEMBRE</v>
      </c>
      <c r="B34" s="160" t="s">
        <v>99</v>
      </c>
      <c r="C34" s="38">
        <f t="shared" si="17"/>
        <v>2500</v>
      </c>
      <c r="D34" s="37"/>
      <c r="E34" s="38">
        <f t="shared" si="23"/>
        <v>20000</v>
      </c>
      <c r="F34" s="38"/>
      <c r="G34" s="118"/>
      <c r="H34" s="62">
        <f t="shared" si="18"/>
        <v>0</v>
      </c>
      <c r="I34" s="38">
        <f t="shared" si="20"/>
        <v>19500</v>
      </c>
      <c r="J34" s="36">
        <f t="shared" si="24"/>
        <v>3000</v>
      </c>
      <c r="K34" s="184" t="b">
        <f t="shared" si="19"/>
        <v>1</v>
      </c>
    </row>
    <row r="35" spans="1:11" x14ac:dyDescent="0.2">
      <c r="A35" s="155" t="str">
        <f t="shared" si="22"/>
        <v>SEPTEMBRE</v>
      </c>
      <c r="B35" s="160" t="s">
        <v>206</v>
      </c>
      <c r="C35" s="38">
        <f t="shared" si="17"/>
        <v>0</v>
      </c>
      <c r="D35" s="37"/>
      <c r="E35" s="38">
        <f>+D14</f>
        <v>348000</v>
      </c>
      <c r="F35" s="38"/>
      <c r="G35" s="118"/>
      <c r="H35" s="62">
        <f t="shared" si="18"/>
        <v>0</v>
      </c>
      <c r="I35" s="38">
        <f t="shared" si="20"/>
        <v>330800</v>
      </c>
      <c r="J35" s="36">
        <f t="shared" si="24"/>
        <v>17200</v>
      </c>
      <c r="K35" s="184" t="b">
        <f t="shared" si="19"/>
        <v>1</v>
      </c>
    </row>
    <row r="36" spans="1:11" x14ac:dyDescent="0.2">
      <c r="A36" s="155" t="str">
        <f t="shared" si="22"/>
        <v>SEPTEMBRE</v>
      </c>
      <c r="B36" s="161" t="s">
        <v>119</v>
      </c>
      <c r="C36" s="38">
        <f t="shared" ref="C36" si="25">C15</f>
        <v>19193</v>
      </c>
      <c r="D36" s="152"/>
      <c r="E36" s="38">
        <f t="shared" ref="E36" si="26">+D15</f>
        <v>40000</v>
      </c>
      <c r="F36" s="58"/>
      <c r="G36" s="173"/>
      <c r="H36" s="62">
        <f t="shared" ref="H36" si="27">+F15</f>
        <v>0</v>
      </c>
      <c r="I36" s="38">
        <f t="shared" ref="I36" si="28">+E15</f>
        <v>5000</v>
      </c>
      <c r="J36" s="36">
        <f t="shared" si="24"/>
        <v>54193</v>
      </c>
      <c r="K36" s="184" t="b">
        <f t="shared" si="19"/>
        <v>1</v>
      </c>
    </row>
    <row r="37" spans="1:11" x14ac:dyDescent="0.2">
      <c r="A37" s="40" t="s">
        <v>66</v>
      </c>
      <c r="B37" s="41"/>
      <c r="C37" s="41"/>
      <c r="D37" s="41"/>
      <c r="E37" s="41"/>
      <c r="F37" s="41"/>
      <c r="G37" s="41"/>
      <c r="H37" s="41"/>
      <c r="I37" s="41"/>
      <c r="J37" s="42"/>
      <c r="K37" s="183"/>
    </row>
    <row r="38" spans="1:11" x14ac:dyDescent="0.2">
      <c r="A38" s="155" t="str">
        <f>+A36</f>
        <v>SEPTEMBRE</v>
      </c>
      <c r="B38" s="43" t="s">
        <v>67</v>
      </c>
      <c r="C38" s="44">
        <f>C5</f>
        <v>858012</v>
      </c>
      <c r="D38" s="56"/>
      <c r="E38" s="56">
        <f>D5</f>
        <v>6000000</v>
      </c>
      <c r="F38" s="56"/>
      <c r="G38" s="158"/>
      <c r="H38" s="58">
        <f>+F5</f>
        <v>1284450</v>
      </c>
      <c r="I38" s="159">
        <f>+E5</f>
        <v>3784756</v>
      </c>
      <c r="J38" s="51">
        <f>+SUM(C38:G38)-(H38+I38)</f>
        <v>1788806</v>
      </c>
      <c r="K38" s="184" t="b">
        <f>J38=I5</f>
        <v>1</v>
      </c>
    </row>
    <row r="39" spans="1:11" x14ac:dyDescent="0.2">
      <c r="A39" s="49" t="s">
        <v>68</v>
      </c>
      <c r="B39" s="30"/>
      <c r="C39" s="41"/>
      <c r="D39" s="30"/>
      <c r="E39" s="30"/>
      <c r="F39" s="30"/>
      <c r="G39" s="30"/>
      <c r="H39" s="30"/>
      <c r="I39" s="30"/>
      <c r="J39" s="42"/>
      <c r="K39" s="183"/>
    </row>
    <row r="40" spans="1:11" x14ac:dyDescent="0.2">
      <c r="A40" s="155" t="str">
        <f>+A38</f>
        <v>SEPTEMBRE</v>
      </c>
      <c r="B40" s="43" t="s">
        <v>69</v>
      </c>
      <c r="C40" s="158">
        <f>C3</f>
        <v>5428236</v>
      </c>
      <c r="D40" s="165"/>
      <c r="E40" s="56"/>
      <c r="F40" s="56"/>
      <c r="G40" s="56"/>
      <c r="H40" s="58">
        <f>+F3</f>
        <v>2000000</v>
      </c>
      <c r="I40" s="60">
        <f>+E3</f>
        <v>527306</v>
      </c>
      <c r="J40" s="51">
        <f>+SUM(C40:G40)-(H40+I40)</f>
        <v>2900930</v>
      </c>
      <c r="K40" s="184" t="b">
        <f>+J40=I3</f>
        <v>1</v>
      </c>
    </row>
    <row r="41" spans="1:11" x14ac:dyDescent="0.2">
      <c r="A41" s="155" t="str">
        <f t="shared" ref="A41" si="29">+A40</f>
        <v>SEPTEMBRE</v>
      </c>
      <c r="B41" s="43" t="s">
        <v>70</v>
      </c>
      <c r="C41" s="158">
        <f>C4</f>
        <v>22962214</v>
      </c>
      <c r="D41" s="56"/>
      <c r="E41" s="55"/>
      <c r="F41" s="55"/>
      <c r="G41" s="55"/>
      <c r="H41" s="38">
        <f>+F4</f>
        <v>4000000</v>
      </c>
      <c r="I41" s="57">
        <f>+E4</f>
        <v>4828933</v>
      </c>
      <c r="J41" s="51">
        <f>SUM(C41:G41)-(H41+I41)</f>
        <v>14133281</v>
      </c>
      <c r="K41" s="184" t="b">
        <f>+J41=I4</f>
        <v>1</v>
      </c>
    </row>
    <row r="42" spans="1:11" ht="15.75" x14ac:dyDescent="0.25">
      <c r="C42" s="178">
        <f>SUM(C27:C41)</f>
        <v>29784733</v>
      </c>
      <c r="I42" s="176">
        <f>SUM(I27:I41)</f>
        <v>10375295</v>
      </c>
      <c r="J42" s="119">
        <f>+SUM(J27:J41)</f>
        <v>19409438</v>
      </c>
      <c r="K42" s="10" t="b">
        <f>J42=I16</f>
        <v>1</v>
      </c>
    </row>
    <row r="43" spans="1:11" x14ac:dyDescent="0.25">
      <c r="G43" s="14"/>
    </row>
    <row r="44" spans="1:11" x14ac:dyDescent="0.2">
      <c r="A44" s="21" t="s">
        <v>58</v>
      </c>
      <c r="B44" s="21"/>
      <c r="C44" s="21"/>
      <c r="D44" s="22"/>
      <c r="E44" s="22"/>
      <c r="F44" s="22"/>
      <c r="G44" s="22"/>
      <c r="H44" s="22"/>
      <c r="I44" s="22"/>
    </row>
    <row r="45" spans="1:11" x14ac:dyDescent="0.2">
      <c r="A45" s="23" t="s">
        <v>162</v>
      </c>
      <c r="B45" s="23"/>
      <c r="C45" s="23"/>
      <c r="D45" s="23"/>
      <c r="E45" s="23"/>
      <c r="F45" s="23"/>
      <c r="G45" s="23"/>
      <c r="H45" s="23"/>
      <c r="I45" s="23"/>
      <c r="J45" s="22"/>
    </row>
    <row r="46" spans="1:11" x14ac:dyDescent="0.2">
      <c r="A46" s="24"/>
      <c r="B46" s="25"/>
      <c r="C46" s="26"/>
      <c r="D46" s="26"/>
      <c r="E46" s="26"/>
      <c r="F46" s="26"/>
      <c r="G46" s="26"/>
      <c r="H46" s="25"/>
      <c r="I46" s="25"/>
      <c r="J46" s="23"/>
    </row>
    <row r="47" spans="1:11" x14ac:dyDescent="0.2">
      <c r="A47" s="278" t="s">
        <v>59</v>
      </c>
      <c r="B47" s="280" t="s">
        <v>60</v>
      </c>
      <c r="C47" s="282" t="s">
        <v>161</v>
      </c>
      <c r="D47" s="284" t="s">
        <v>61</v>
      </c>
      <c r="E47" s="285"/>
      <c r="F47" s="285"/>
      <c r="G47" s="286"/>
      <c r="H47" s="287" t="s">
        <v>62</v>
      </c>
      <c r="I47" s="274" t="s">
        <v>63</v>
      </c>
      <c r="J47" s="25"/>
    </row>
    <row r="48" spans="1:11" x14ac:dyDescent="0.25">
      <c r="A48" s="279"/>
      <c r="B48" s="281"/>
      <c r="C48" s="283"/>
      <c r="D48" s="27" t="s">
        <v>27</v>
      </c>
      <c r="E48" s="27" t="s">
        <v>28</v>
      </c>
      <c r="F48" s="222" t="s">
        <v>129</v>
      </c>
      <c r="G48" s="27" t="s">
        <v>64</v>
      </c>
      <c r="H48" s="288"/>
      <c r="I48" s="275"/>
      <c r="J48" s="276" t="s">
        <v>163</v>
      </c>
      <c r="K48" s="183"/>
    </row>
    <row r="49" spans="1:11" x14ac:dyDescent="0.2">
      <c r="A49" s="29"/>
      <c r="B49" s="30" t="s">
        <v>65</v>
      </c>
      <c r="C49" s="31"/>
      <c r="D49" s="31"/>
      <c r="E49" s="31"/>
      <c r="F49" s="31"/>
      <c r="G49" s="31"/>
      <c r="H49" s="31"/>
      <c r="I49" s="32"/>
      <c r="J49" s="277"/>
      <c r="K49" s="183"/>
    </row>
    <row r="50" spans="1:11" x14ac:dyDescent="0.2">
      <c r="A50" s="155" t="s">
        <v>160</v>
      </c>
      <c r="B50" s="160" t="s">
        <v>53</v>
      </c>
      <c r="C50" s="38" t="e">
        <f>#REF!</f>
        <v>#REF!</v>
      </c>
      <c r="D50" s="37"/>
      <c r="E50" s="38" t="e">
        <f>+#REF!</f>
        <v>#REF!</v>
      </c>
      <c r="F50" s="38"/>
      <c r="G50" s="38"/>
      <c r="H50" s="62" t="e">
        <f>+#REF!</f>
        <v>#REF!</v>
      </c>
      <c r="I50" s="38" t="e">
        <f>+#REF!</f>
        <v>#REF!</v>
      </c>
      <c r="J50" s="36" t="e">
        <f t="shared" ref="J50:J51" si="30">+SUM(C50:G50)-(H50+I50)</f>
        <v>#REF!</v>
      </c>
      <c r="K50" s="184" t="e">
        <f>J50=#REF!</f>
        <v>#REF!</v>
      </c>
    </row>
    <row r="51" spans="1:11" x14ac:dyDescent="0.2">
      <c r="A51" s="155" t="s">
        <v>160</v>
      </c>
      <c r="B51" s="160" t="s">
        <v>34</v>
      </c>
      <c r="C51" s="38" t="e">
        <f>#REF!</f>
        <v>#REF!</v>
      </c>
      <c r="D51" s="37"/>
      <c r="E51" s="38" t="e">
        <f>+#REF!</f>
        <v>#REF!</v>
      </c>
      <c r="F51" s="38"/>
      <c r="G51" s="38"/>
      <c r="H51" s="62" t="e">
        <f>+#REF!</f>
        <v>#REF!</v>
      </c>
      <c r="I51" s="38" t="e">
        <f>+#REF!</f>
        <v>#REF!</v>
      </c>
      <c r="J51" s="114" t="e">
        <f t="shared" si="30"/>
        <v>#REF!</v>
      </c>
      <c r="K51" s="184" t="e">
        <f>J51=#REF!</f>
        <v>#REF!</v>
      </c>
    </row>
    <row r="52" spans="1:11" x14ac:dyDescent="0.2">
      <c r="A52" s="155" t="s">
        <v>160</v>
      </c>
      <c r="B52" s="161" t="s">
        <v>166</v>
      </c>
      <c r="C52" s="38" t="e">
        <f>#REF!</f>
        <v>#REF!</v>
      </c>
      <c r="D52" s="152"/>
      <c r="E52" s="38">
        <v>30000</v>
      </c>
      <c r="F52" s="58">
        <v>240000</v>
      </c>
      <c r="G52" s="58"/>
      <c r="H52" s="62" t="e">
        <f>+#REF!</f>
        <v>#REF!</v>
      </c>
      <c r="I52" s="38" t="e">
        <f>+#REF!</f>
        <v>#REF!</v>
      </c>
      <c r="J52" s="157" t="e">
        <f>+SUM(C52:G52)-(H52+I52)</f>
        <v>#REF!</v>
      </c>
      <c r="K52" s="184" t="e">
        <f>J52=#REF!</f>
        <v>#REF!</v>
      </c>
    </row>
    <row r="53" spans="1:11" x14ac:dyDescent="0.2">
      <c r="A53" s="155" t="s">
        <v>160</v>
      </c>
      <c r="B53" s="162" t="s">
        <v>90</v>
      </c>
      <c r="C53" s="153" t="e">
        <f>#REF!</f>
        <v>#REF!</v>
      </c>
      <c r="D53" s="156"/>
      <c r="E53" s="153" t="e">
        <f>+#REF!</f>
        <v>#REF!</v>
      </c>
      <c r="F53" s="172"/>
      <c r="G53" s="172"/>
      <c r="H53" s="235" t="e">
        <f>+#REF!</f>
        <v>#REF!</v>
      </c>
      <c r="I53" s="153" t="e">
        <f>+#REF!</f>
        <v>#REF!</v>
      </c>
      <c r="J53" s="154" t="e">
        <f>+SUM(C53:G53)-(H53+I53)</f>
        <v>#REF!</v>
      </c>
      <c r="K53" s="184" t="e">
        <f>J53=#REF!</f>
        <v>#REF!</v>
      </c>
    </row>
    <row r="54" spans="1:11" x14ac:dyDescent="0.2">
      <c r="A54" s="155" t="s">
        <v>160</v>
      </c>
      <c r="B54" s="162" t="s">
        <v>89</v>
      </c>
      <c r="C54" s="153" t="e">
        <f>#REF!</f>
        <v>#REF!</v>
      </c>
      <c r="D54" s="156"/>
      <c r="E54" s="153" t="e">
        <f>+#REF!</f>
        <v>#REF!</v>
      </c>
      <c r="F54" s="172"/>
      <c r="G54" s="172"/>
      <c r="H54" s="235" t="e">
        <f>+#REF!</f>
        <v>#REF!</v>
      </c>
      <c r="I54" s="153" t="e">
        <f>+#REF!</f>
        <v>#REF!</v>
      </c>
      <c r="J54" s="154" t="e">
        <f t="shared" ref="J54:J60" si="31">+SUM(C54:G54)-(H54+I54)</f>
        <v>#REF!</v>
      </c>
      <c r="K54" s="184" t="e">
        <f>J54=#REF!</f>
        <v>#REF!</v>
      </c>
    </row>
    <row r="55" spans="1:11" x14ac:dyDescent="0.2">
      <c r="A55" s="155" t="s">
        <v>160</v>
      </c>
      <c r="B55" s="160" t="s">
        <v>165</v>
      </c>
      <c r="C55" s="38" t="e">
        <f>#REF!</f>
        <v>#REF!</v>
      </c>
      <c r="D55" s="37"/>
      <c r="E55" s="38" t="e">
        <f>+#REF!</f>
        <v>#REF!</v>
      </c>
      <c r="F55" s="38"/>
      <c r="G55" s="118"/>
      <c r="H55" s="62" t="e">
        <f>+#REF!</f>
        <v>#REF!</v>
      </c>
      <c r="I55" s="38" t="e">
        <f>+#REF!</f>
        <v>#REF!</v>
      </c>
      <c r="J55" s="36" t="e">
        <f t="shared" si="31"/>
        <v>#REF!</v>
      </c>
      <c r="K55" s="184" t="e">
        <f>J55=#REF!</f>
        <v>#REF!</v>
      </c>
    </row>
    <row r="56" spans="1:11" x14ac:dyDescent="0.2">
      <c r="A56" s="155" t="s">
        <v>160</v>
      </c>
      <c r="B56" s="160" t="s">
        <v>33</v>
      </c>
      <c r="C56" s="38" t="e">
        <f>#REF!</f>
        <v>#REF!</v>
      </c>
      <c r="D56" s="37"/>
      <c r="E56" s="38" t="e">
        <f>+#REF!</f>
        <v>#REF!</v>
      </c>
      <c r="F56" s="38"/>
      <c r="G56" s="118"/>
      <c r="H56" s="62" t="e">
        <f>+#REF!</f>
        <v>#REF!</v>
      </c>
      <c r="I56" s="38" t="e">
        <f>+#REF!</f>
        <v>#REF!</v>
      </c>
      <c r="J56" s="36" t="e">
        <f t="shared" si="31"/>
        <v>#REF!</v>
      </c>
      <c r="K56" s="184" t="e">
        <f>J56=#REF!</f>
        <v>#REF!</v>
      </c>
    </row>
    <row r="57" spans="1:11" x14ac:dyDescent="0.2">
      <c r="A57" s="155" t="s">
        <v>160</v>
      </c>
      <c r="B57" s="160" t="s">
        <v>39</v>
      </c>
      <c r="C57" s="38" t="e">
        <f>#REF!</f>
        <v>#REF!</v>
      </c>
      <c r="D57" s="37"/>
      <c r="E57" s="38">
        <v>15000</v>
      </c>
      <c r="F57" s="38">
        <v>496625</v>
      </c>
      <c r="G57" s="118"/>
      <c r="H57" s="62" t="e">
        <f>+#REF!</f>
        <v>#REF!</v>
      </c>
      <c r="I57" s="38" t="e">
        <f>+#REF!</f>
        <v>#REF!</v>
      </c>
      <c r="J57" s="36" t="e">
        <f t="shared" si="31"/>
        <v>#REF!</v>
      </c>
      <c r="K57" s="184" t="e">
        <f>J57=#REF!</f>
        <v>#REF!</v>
      </c>
    </row>
    <row r="58" spans="1:11" x14ac:dyDescent="0.2">
      <c r="A58" s="155" t="s">
        <v>160</v>
      </c>
      <c r="B58" s="160" t="s">
        <v>99</v>
      </c>
      <c r="C58" s="38" t="e">
        <f>#REF!</f>
        <v>#REF!</v>
      </c>
      <c r="D58" s="37"/>
      <c r="E58" s="38" t="e">
        <f>+#REF!</f>
        <v>#REF!</v>
      </c>
      <c r="F58" s="38"/>
      <c r="G58" s="118"/>
      <c r="H58" s="62" t="e">
        <f>+#REF!</f>
        <v>#REF!</v>
      </c>
      <c r="I58" s="38" t="e">
        <f>+#REF!</f>
        <v>#REF!</v>
      </c>
      <c r="J58" s="36" t="e">
        <f t="shared" si="31"/>
        <v>#REF!</v>
      </c>
      <c r="K58" s="184" t="e">
        <f>J58=#REF!</f>
        <v>#REF!</v>
      </c>
    </row>
    <row r="59" spans="1:11" x14ac:dyDescent="0.2">
      <c r="A59" s="155" t="s">
        <v>160</v>
      </c>
      <c r="B59" s="160" t="s">
        <v>32</v>
      </c>
      <c r="C59" s="38" t="e">
        <f>#REF!</f>
        <v>#REF!</v>
      </c>
      <c r="D59" s="37"/>
      <c r="E59" s="38" t="e">
        <f>+#REF!</f>
        <v>#REF!</v>
      </c>
      <c r="F59" s="38"/>
      <c r="G59" s="118"/>
      <c r="H59" s="62" t="e">
        <f>+#REF!</f>
        <v>#REF!</v>
      </c>
      <c r="I59" s="38" t="e">
        <f>+#REF!</f>
        <v>#REF!</v>
      </c>
      <c r="J59" s="36" t="e">
        <f t="shared" ref="J59" si="32">+SUM(C59:G59)-(H59+I59)</f>
        <v>#REF!</v>
      </c>
      <c r="K59" s="184" t="e">
        <f>J59=#REF!</f>
        <v>#REF!</v>
      </c>
    </row>
    <row r="60" spans="1:11" x14ac:dyDescent="0.2">
      <c r="A60" s="155" t="s">
        <v>160</v>
      </c>
      <c r="B60" s="161" t="s">
        <v>119</v>
      </c>
      <c r="C60" s="38" t="e">
        <f>#REF!</f>
        <v>#REF!</v>
      </c>
      <c r="D60" s="152"/>
      <c r="E60" s="38" t="e">
        <f>+#REF!</f>
        <v>#REF!</v>
      </c>
      <c r="F60" s="58"/>
      <c r="G60" s="173"/>
      <c r="H60" s="62" t="e">
        <f>+#REF!</f>
        <v>#REF!</v>
      </c>
      <c r="I60" s="38" t="e">
        <f>+#REF!</f>
        <v>#REF!</v>
      </c>
      <c r="J60" s="36" t="e">
        <f t="shared" si="31"/>
        <v>#REF!</v>
      </c>
      <c r="K60" s="184" t="e">
        <f>J60=#REF!</f>
        <v>#REF!</v>
      </c>
    </row>
    <row r="61" spans="1:11" x14ac:dyDescent="0.2">
      <c r="A61" s="40" t="s">
        <v>66</v>
      </c>
      <c r="B61" s="41"/>
      <c r="C61" s="41"/>
      <c r="D61" s="41"/>
      <c r="E61" s="41"/>
      <c r="F61" s="41"/>
      <c r="G61" s="41"/>
      <c r="H61" s="41"/>
      <c r="I61" s="41"/>
      <c r="J61" s="42"/>
      <c r="K61" s="183"/>
    </row>
    <row r="62" spans="1:11" x14ac:dyDescent="0.2">
      <c r="A62" s="155" t="s">
        <v>160</v>
      </c>
      <c r="B62" s="43" t="s">
        <v>67</v>
      </c>
      <c r="C62" s="44" t="e">
        <f>#REF!</f>
        <v>#REF!</v>
      </c>
      <c r="D62" s="56">
        <v>4000000</v>
      </c>
      <c r="E62" s="117"/>
      <c r="F62" s="56"/>
      <c r="G62" s="158">
        <v>15000</v>
      </c>
      <c r="H62" s="58" t="e">
        <f>+#REF!</f>
        <v>#REF!</v>
      </c>
      <c r="I62" s="159" t="e">
        <f>+#REF!</f>
        <v>#REF!</v>
      </c>
      <c r="J62" s="51" t="e">
        <f>+SUM(C62:G62)-(H62+I62)</f>
        <v>#REF!</v>
      </c>
      <c r="K62" s="184" t="e">
        <f>J62=#REF!</f>
        <v>#REF!</v>
      </c>
    </row>
    <row r="63" spans="1:11" x14ac:dyDescent="0.2">
      <c r="A63" s="49" t="s">
        <v>68</v>
      </c>
      <c r="B63" s="30"/>
      <c r="C63" s="41"/>
      <c r="D63" s="30"/>
      <c r="E63" s="30"/>
      <c r="F63" s="30"/>
      <c r="G63" s="30"/>
      <c r="H63" s="30"/>
      <c r="I63" s="30"/>
      <c r="J63" s="42"/>
      <c r="K63" s="183"/>
    </row>
    <row r="64" spans="1:11" x14ac:dyDescent="0.2">
      <c r="A64" s="155" t="s">
        <v>160</v>
      </c>
      <c r="B64" s="43" t="s">
        <v>69</v>
      </c>
      <c r="C64" s="158" t="e">
        <f>#REF!</f>
        <v>#REF!</v>
      </c>
      <c r="D64" s="165"/>
      <c r="E64" s="56"/>
      <c r="F64" s="56"/>
      <c r="G64" s="56"/>
      <c r="H64" s="58" t="e">
        <f>+#REF!</f>
        <v>#REF!</v>
      </c>
      <c r="I64" s="60" t="e">
        <f>+#REF!</f>
        <v>#REF!</v>
      </c>
      <c r="J64" s="51" t="e">
        <f>+SUM(C64:G64)-(H64+I64)</f>
        <v>#REF!</v>
      </c>
      <c r="K64" s="184" t="e">
        <f>+J64=#REF!</f>
        <v>#REF!</v>
      </c>
    </row>
    <row r="65" spans="1:15" x14ac:dyDescent="0.2">
      <c r="A65" s="155" t="s">
        <v>160</v>
      </c>
      <c r="B65" s="43" t="s">
        <v>70</v>
      </c>
      <c r="C65" s="158" t="e">
        <f>#REF!</f>
        <v>#REF!</v>
      </c>
      <c r="D65" s="56"/>
      <c r="E65" s="55"/>
      <c r="F65" s="55"/>
      <c r="G65" s="55"/>
      <c r="H65" s="38" t="e">
        <f>+#REF!</f>
        <v>#REF!</v>
      </c>
      <c r="I65" s="57" t="e">
        <f>+#REF!</f>
        <v>#REF!</v>
      </c>
      <c r="J65" s="51" t="e">
        <f>SUM(C65:G65)-(H65+I65)</f>
        <v>#REF!</v>
      </c>
      <c r="K65" s="184" t="e">
        <f>+J65=#REF!</f>
        <v>#REF!</v>
      </c>
    </row>
    <row r="66" spans="1:15" ht="15.75" x14ac:dyDescent="0.25">
      <c r="C66" s="178" t="e">
        <f>SUM(C50:C65)</f>
        <v>#REF!</v>
      </c>
      <c r="I66" s="176" t="e">
        <f>SUM(I50:I65)</f>
        <v>#REF!</v>
      </c>
      <c r="J66" s="119" t="e">
        <f>+SUM(J50:J65)</f>
        <v>#REF!</v>
      </c>
      <c r="K66" s="10" t="e">
        <f>J66=#REF!</f>
        <v>#REF!</v>
      </c>
    </row>
    <row r="67" spans="1:15" s="200" customFormat="1" ht="16.5" x14ac:dyDescent="0.3">
      <c r="A67" s="19"/>
      <c r="B67" s="204"/>
      <c r="C67" s="203"/>
      <c r="D67" s="203"/>
      <c r="E67" s="202"/>
      <c r="F67" s="203"/>
      <c r="G67" s="203" t="e">
        <f>+#REF!-J66</f>
        <v>#REF!</v>
      </c>
      <c r="H67" s="203"/>
      <c r="I67" s="203"/>
      <c r="L67" s="201"/>
      <c r="M67" s="201"/>
      <c r="N67" s="201"/>
      <c r="O67" s="201"/>
    </row>
    <row r="68" spans="1:15" x14ac:dyDescent="0.2">
      <c r="A68" s="21" t="s">
        <v>58</v>
      </c>
      <c r="B68" s="21"/>
      <c r="C68" s="21"/>
      <c r="D68" s="22"/>
      <c r="E68" s="22"/>
      <c r="F68" s="22"/>
      <c r="G68" s="22"/>
      <c r="H68" s="22"/>
      <c r="I68" s="22"/>
    </row>
    <row r="69" spans="1:15" x14ac:dyDescent="0.2">
      <c r="A69" s="23" t="s">
        <v>157</v>
      </c>
      <c r="B69" s="23"/>
      <c r="C69" s="23"/>
      <c r="D69" s="23"/>
      <c r="E69" s="23"/>
      <c r="F69" s="23"/>
      <c r="G69" s="23"/>
      <c r="H69" s="23"/>
      <c r="I69" s="23"/>
      <c r="J69" s="22"/>
    </row>
    <row r="70" spans="1:15" x14ac:dyDescent="0.2">
      <c r="A70" s="24"/>
      <c r="B70" s="25"/>
      <c r="C70" s="26"/>
      <c r="D70" s="26"/>
      <c r="E70" s="26"/>
      <c r="F70" s="26"/>
      <c r="G70" s="26"/>
      <c r="H70" s="25"/>
      <c r="I70" s="25"/>
      <c r="J70" s="23"/>
    </row>
    <row r="71" spans="1:15" x14ac:dyDescent="0.2">
      <c r="A71" s="278" t="s">
        <v>59</v>
      </c>
      <c r="B71" s="280" t="s">
        <v>60</v>
      </c>
      <c r="C71" s="282" t="s">
        <v>158</v>
      </c>
      <c r="D71" s="284" t="s">
        <v>61</v>
      </c>
      <c r="E71" s="285"/>
      <c r="F71" s="285"/>
      <c r="G71" s="286"/>
      <c r="H71" s="287" t="s">
        <v>62</v>
      </c>
      <c r="I71" s="274" t="s">
        <v>63</v>
      </c>
      <c r="J71" s="25"/>
    </row>
    <row r="72" spans="1:15" x14ac:dyDescent="0.25">
      <c r="A72" s="279"/>
      <c r="B72" s="281"/>
      <c r="C72" s="283"/>
      <c r="D72" s="27" t="s">
        <v>27</v>
      </c>
      <c r="E72" s="27" t="s">
        <v>28</v>
      </c>
      <c r="F72" s="199" t="s">
        <v>129</v>
      </c>
      <c r="G72" s="27" t="s">
        <v>64</v>
      </c>
      <c r="H72" s="288"/>
      <c r="I72" s="275"/>
      <c r="J72" s="276" t="s">
        <v>159</v>
      </c>
      <c r="K72" s="183"/>
    </row>
    <row r="73" spans="1:15" x14ac:dyDescent="0.2">
      <c r="A73" s="29"/>
      <c r="B73" s="30" t="s">
        <v>65</v>
      </c>
      <c r="C73" s="31"/>
      <c r="D73" s="31"/>
      <c r="E73" s="31"/>
      <c r="F73" s="31"/>
      <c r="G73" s="31"/>
      <c r="H73" s="31"/>
      <c r="I73" s="32"/>
      <c r="J73" s="277"/>
      <c r="K73" s="183"/>
    </row>
    <row r="74" spans="1:15" x14ac:dyDescent="0.2">
      <c r="A74" s="155" t="s">
        <v>78</v>
      </c>
      <c r="B74" s="160" t="s">
        <v>53</v>
      </c>
      <c r="C74" s="38" t="e">
        <f>#REF!</f>
        <v>#REF!</v>
      </c>
      <c r="D74" s="37"/>
      <c r="E74" s="38">
        <v>970765</v>
      </c>
      <c r="F74" s="38"/>
      <c r="G74" s="38"/>
      <c r="H74" s="62">
        <v>0</v>
      </c>
      <c r="I74" s="38">
        <v>980165</v>
      </c>
      <c r="J74" s="36" t="e">
        <f t="shared" ref="J74:J75" si="33">+SUM(C74:G74)-(H74+I74)</f>
        <v>#REF!</v>
      </c>
      <c r="K74" s="184" t="e">
        <f>J74=#REF!</f>
        <v>#REF!</v>
      </c>
    </row>
    <row r="75" spans="1:15" x14ac:dyDescent="0.2">
      <c r="A75" s="155" t="s">
        <v>78</v>
      </c>
      <c r="B75" s="160" t="s">
        <v>34</v>
      </c>
      <c r="C75" s="38" t="e">
        <f>#REF!</f>
        <v>#REF!</v>
      </c>
      <c r="D75" s="37"/>
      <c r="E75" s="38">
        <v>58000</v>
      </c>
      <c r="F75" s="38"/>
      <c r="G75" s="38"/>
      <c r="H75" s="38">
        <v>0</v>
      </c>
      <c r="I75" s="38">
        <v>59500</v>
      </c>
      <c r="J75" s="114" t="e">
        <f t="shared" si="33"/>
        <v>#REF!</v>
      </c>
      <c r="K75" s="184" t="e">
        <f>J75=#REF!</f>
        <v>#REF!</v>
      </c>
    </row>
    <row r="76" spans="1:15" x14ac:dyDescent="0.2">
      <c r="A76" s="155" t="s">
        <v>78</v>
      </c>
      <c r="B76" s="161" t="s">
        <v>33</v>
      </c>
      <c r="C76" s="38" t="e">
        <f>#REF!</f>
        <v>#REF!</v>
      </c>
      <c r="D76" s="152"/>
      <c r="E76" s="58">
        <v>557150</v>
      </c>
      <c r="F76" s="58"/>
      <c r="G76" s="58"/>
      <c r="H76" s="58">
        <v>0</v>
      </c>
      <c r="I76" s="58">
        <v>556650</v>
      </c>
      <c r="J76" s="157" t="e">
        <f>+SUM(C76:G76)-(H76+I76)</f>
        <v>#REF!</v>
      </c>
      <c r="K76" s="184" t="e">
        <f>J76=#REF!</f>
        <v>#REF!</v>
      </c>
    </row>
    <row r="77" spans="1:15" x14ac:dyDescent="0.2">
      <c r="A77" s="155" t="s">
        <v>78</v>
      </c>
      <c r="B77" s="162" t="s">
        <v>90</v>
      </c>
      <c r="C77" s="153" t="e">
        <f>#REF!</f>
        <v>#REF!</v>
      </c>
      <c r="D77" s="156"/>
      <c r="E77" s="172"/>
      <c r="F77" s="172"/>
      <c r="G77" s="172"/>
      <c r="H77" s="172">
        <v>0</v>
      </c>
      <c r="I77" s="172">
        <v>0</v>
      </c>
      <c r="J77" s="154" t="e">
        <f>+SUM(C77:G77)-(H77+I77)</f>
        <v>#REF!</v>
      </c>
      <c r="K77" s="184" t="e">
        <f>J77=#REF!</f>
        <v>#REF!</v>
      </c>
    </row>
    <row r="78" spans="1:15" x14ac:dyDescent="0.2">
      <c r="A78" s="155" t="s">
        <v>78</v>
      </c>
      <c r="B78" s="162" t="s">
        <v>89</v>
      </c>
      <c r="C78" s="153" t="e">
        <f>#REF!</f>
        <v>#REF!</v>
      </c>
      <c r="D78" s="156"/>
      <c r="E78" s="172"/>
      <c r="F78" s="172"/>
      <c r="G78" s="172"/>
      <c r="H78" s="172">
        <v>0</v>
      </c>
      <c r="I78" s="172">
        <v>0</v>
      </c>
      <c r="J78" s="154" t="e">
        <f t="shared" ref="J78:J83" si="34">+SUM(C78:G78)-(H78+I78)</f>
        <v>#REF!</v>
      </c>
      <c r="K78" s="184" t="e">
        <f>J78=#REF!</f>
        <v>#REF!</v>
      </c>
    </row>
    <row r="79" spans="1:15" x14ac:dyDescent="0.2">
      <c r="A79" s="155" t="s">
        <v>78</v>
      </c>
      <c r="B79" s="160" t="s">
        <v>39</v>
      </c>
      <c r="C79" s="38" t="e">
        <f>#REF!</f>
        <v>#REF!</v>
      </c>
      <c r="D79" s="37"/>
      <c r="E79" s="38">
        <v>941000</v>
      </c>
      <c r="F79" s="38"/>
      <c r="G79" s="118"/>
      <c r="H79" s="118">
        <v>0</v>
      </c>
      <c r="I79" s="38">
        <v>1084725</v>
      </c>
      <c r="J79" s="36" t="e">
        <f t="shared" si="34"/>
        <v>#REF!</v>
      </c>
      <c r="K79" s="184" t="e">
        <f>J79=#REF!</f>
        <v>#REF!</v>
      </c>
    </row>
    <row r="80" spans="1:15" x14ac:dyDescent="0.2">
      <c r="A80" s="155" t="s">
        <v>78</v>
      </c>
      <c r="B80" s="160" t="s">
        <v>99</v>
      </c>
      <c r="C80" s="38" t="e">
        <f>#REF!</f>
        <v>#REF!</v>
      </c>
      <c r="D80" s="37"/>
      <c r="E80" s="38">
        <v>52000</v>
      </c>
      <c r="F80" s="118"/>
      <c r="G80" s="118"/>
      <c r="H80" s="118">
        <v>0</v>
      </c>
      <c r="I80" s="38">
        <v>67000</v>
      </c>
      <c r="J80" s="36" t="e">
        <f t="shared" si="34"/>
        <v>#REF!</v>
      </c>
      <c r="K80" s="184" t="e">
        <f>J80=#REF!</f>
        <v>#REF!</v>
      </c>
    </row>
    <row r="81" spans="1:15" x14ac:dyDescent="0.2">
      <c r="A81" s="155" t="s">
        <v>78</v>
      </c>
      <c r="B81" s="160" t="s">
        <v>32</v>
      </c>
      <c r="C81" s="38" t="e">
        <f>#REF!</f>
        <v>#REF!</v>
      </c>
      <c r="D81" s="37"/>
      <c r="E81" s="38">
        <v>515000</v>
      </c>
      <c r="F81" s="118"/>
      <c r="G81" s="118"/>
      <c r="H81" s="118">
        <v>0</v>
      </c>
      <c r="I81" s="38">
        <v>655500</v>
      </c>
      <c r="J81" s="36" t="e">
        <f t="shared" si="34"/>
        <v>#REF!</v>
      </c>
      <c r="K81" s="184" t="e">
        <f>J81=#REF!</f>
        <v>#REF!</v>
      </c>
    </row>
    <row r="82" spans="1:15" x14ac:dyDescent="0.2">
      <c r="A82" s="155" t="s">
        <v>78</v>
      </c>
      <c r="B82" s="160" t="s">
        <v>35</v>
      </c>
      <c r="C82" s="38" t="e">
        <f>#REF!</f>
        <v>#REF!</v>
      </c>
      <c r="D82" s="37"/>
      <c r="E82" s="38">
        <v>10000</v>
      </c>
      <c r="F82" s="118"/>
      <c r="G82" s="118"/>
      <c r="H82" s="38">
        <v>500</v>
      </c>
      <c r="I82" s="38">
        <v>15300</v>
      </c>
      <c r="J82" s="36" t="e">
        <f t="shared" si="34"/>
        <v>#REF!</v>
      </c>
      <c r="K82" s="184" t="e">
        <f>J82=#REF!</f>
        <v>#REF!</v>
      </c>
    </row>
    <row r="83" spans="1:15" x14ac:dyDescent="0.2">
      <c r="A83" s="155" t="s">
        <v>78</v>
      </c>
      <c r="B83" s="161" t="s">
        <v>119</v>
      </c>
      <c r="C83" s="38" t="e">
        <f>#REF!</f>
        <v>#REF!</v>
      </c>
      <c r="D83" s="152"/>
      <c r="E83" s="58">
        <v>20000</v>
      </c>
      <c r="F83" s="58"/>
      <c r="G83" s="173"/>
      <c r="H83" s="58">
        <v>0</v>
      </c>
      <c r="I83" s="58">
        <v>28000</v>
      </c>
      <c r="J83" s="36" t="e">
        <f t="shared" si="34"/>
        <v>#REF!</v>
      </c>
      <c r="K83" s="184" t="e">
        <f>J83=#REF!</f>
        <v>#REF!</v>
      </c>
    </row>
    <row r="84" spans="1:15" x14ac:dyDescent="0.2">
      <c r="A84" s="40" t="s">
        <v>66</v>
      </c>
      <c r="B84" s="41"/>
      <c r="C84" s="41"/>
      <c r="D84" s="41"/>
      <c r="E84" s="41"/>
      <c r="F84" s="41"/>
      <c r="G84" s="41"/>
      <c r="H84" s="41"/>
      <c r="I84" s="41"/>
      <c r="J84" s="42"/>
      <c r="K84" s="183"/>
    </row>
    <row r="85" spans="1:15" x14ac:dyDescent="0.2">
      <c r="A85" s="155" t="s">
        <v>78</v>
      </c>
      <c r="B85" s="43" t="s">
        <v>67</v>
      </c>
      <c r="C85" s="44" t="e">
        <f>#REF!</f>
        <v>#REF!</v>
      </c>
      <c r="D85" s="56">
        <v>6000500</v>
      </c>
      <c r="E85" s="117"/>
      <c r="F85" s="56"/>
      <c r="G85" s="174"/>
      <c r="H85" s="58">
        <v>3123915</v>
      </c>
      <c r="I85" s="159">
        <v>3367697</v>
      </c>
      <c r="J85" s="51" t="e">
        <f>+SUM(C85:G85)-(H85+I85)</f>
        <v>#REF!</v>
      </c>
      <c r="K85" s="184" t="e">
        <f>J85=#REF!</f>
        <v>#REF!</v>
      </c>
    </row>
    <row r="86" spans="1:15" x14ac:dyDescent="0.2">
      <c r="A86" s="49" t="s">
        <v>68</v>
      </c>
      <c r="B86" s="30"/>
      <c r="C86" s="41"/>
      <c r="D86" s="30"/>
      <c r="E86" s="30"/>
      <c r="F86" s="30"/>
      <c r="G86" s="30"/>
      <c r="H86" s="30"/>
      <c r="I86" s="30"/>
      <c r="J86" s="42"/>
      <c r="K86" s="183"/>
    </row>
    <row r="87" spans="1:15" x14ac:dyDescent="0.2">
      <c r="A87" s="155" t="s">
        <v>78</v>
      </c>
      <c r="B87" s="43" t="s">
        <v>69</v>
      </c>
      <c r="C87" s="158" t="e">
        <f>#REF!</f>
        <v>#REF!</v>
      </c>
      <c r="D87" s="165"/>
      <c r="E87" s="56"/>
      <c r="F87" s="56"/>
      <c r="G87" s="56"/>
      <c r="H87" s="58">
        <v>2000000</v>
      </c>
      <c r="I87" s="60">
        <v>271244</v>
      </c>
      <c r="J87" s="51" t="e">
        <f>+SUM(C87:G87)-(H87+I87)</f>
        <v>#REF!</v>
      </c>
      <c r="K87" s="184" t="e">
        <f>+J87=#REF!</f>
        <v>#REF!</v>
      </c>
    </row>
    <row r="88" spans="1:15" x14ac:dyDescent="0.2">
      <c r="A88" s="155" t="s">
        <v>78</v>
      </c>
      <c r="B88" s="43" t="s">
        <v>70</v>
      </c>
      <c r="C88" s="158" t="e">
        <f>#REF!</f>
        <v>#REF!</v>
      </c>
      <c r="D88" s="56">
        <v>31201251</v>
      </c>
      <c r="E88" s="55"/>
      <c r="F88" s="55"/>
      <c r="G88" s="55"/>
      <c r="H88" s="38">
        <v>4000000</v>
      </c>
      <c r="I88" s="57">
        <v>6204544</v>
      </c>
      <c r="J88" s="51" t="e">
        <f>SUM(C88:G88)-(H88+I88)</f>
        <v>#REF!</v>
      </c>
      <c r="K88" s="184" t="e">
        <f>+J88=#REF!</f>
        <v>#REF!</v>
      </c>
    </row>
    <row r="89" spans="1:15" ht="15.75" x14ac:dyDescent="0.25">
      <c r="C89" s="178" t="e">
        <f>SUM(C74:C88)</f>
        <v>#REF!</v>
      </c>
      <c r="I89" s="176">
        <f>SUM(I74:I88)</f>
        <v>13290325</v>
      </c>
      <c r="J89" s="119" t="e">
        <f>+SUM(J74:J88)</f>
        <v>#REF!</v>
      </c>
      <c r="K89" s="10" t="e">
        <f>J89=#REF!</f>
        <v>#REF!</v>
      </c>
    </row>
    <row r="90" spans="1:15" s="200" customFormat="1" ht="16.5" x14ac:dyDescent="0.3">
      <c r="A90" s="19"/>
      <c r="B90" s="204"/>
      <c r="C90" s="203"/>
      <c r="D90" s="203"/>
      <c r="E90" s="202"/>
      <c r="F90" s="203"/>
      <c r="G90" s="203" t="e">
        <f>+#REF!-J89</f>
        <v>#REF!</v>
      </c>
      <c r="H90" s="203"/>
      <c r="I90" s="203"/>
      <c r="L90" s="201"/>
      <c r="M90" s="201"/>
      <c r="N90" s="201"/>
      <c r="O90" s="201"/>
    </row>
    <row r="91" spans="1:15" ht="16.5" x14ac:dyDescent="0.3">
      <c r="A91" s="19"/>
      <c r="B91" s="20"/>
      <c r="C91" s="17"/>
      <c r="D91" s="17"/>
      <c r="E91" s="18"/>
      <c r="F91" s="17"/>
      <c r="G91" s="17"/>
      <c r="H91" s="17"/>
      <c r="I91" s="17"/>
    </row>
    <row r="92" spans="1:15" x14ac:dyDescent="0.2">
      <c r="A92" s="21" t="s">
        <v>58</v>
      </c>
      <c r="B92" s="21"/>
      <c r="C92" s="21"/>
      <c r="D92" s="22"/>
      <c r="E92" s="22"/>
      <c r="F92" s="22"/>
      <c r="G92" s="22"/>
      <c r="H92" s="22"/>
      <c r="I92" s="22"/>
    </row>
    <row r="93" spans="1:15" x14ac:dyDescent="0.2">
      <c r="A93" s="23" t="s">
        <v>146</v>
      </c>
      <c r="B93" s="23"/>
      <c r="C93" s="23"/>
      <c r="D93" s="23"/>
      <c r="E93" s="23"/>
      <c r="F93" s="23"/>
      <c r="G93" s="23"/>
      <c r="H93" s="23"/>
      <c r="I93" s="23"/>
      <c r="J93" s="22"/>
    </row>
    <row r="94" spans="1:15" x14ac:dyDescent="0.2">
      <c r="A94" s="24"/>
      <c r="B94" s="25"/>
      <c r="C94" s="26"/>
      <c r="D94" s="26"/>
      <c r="E94" s="26"/>
      <c r="F94" s="26"/>
      <c r="G94" s="26"/>
      <c r="H94" s="25"/>
      <c r="I94" s="25"/>
      <c r="J94" s="23"/>
    </row>
    <row r="95" spans="1:15" x14ac:dyDescent="0.2">
      <c r="A95" s="278" t="s">
        <v>59</v>
      </c>
      <c r="B95" s="280" t="s">
        <v>60</v>
      </c>
      <c r="C95" s="282" t="s">
        <v>148</v>
      </c>
      <c r="D95" s="284" t="s">
        <v>61</v>
      </c>
      <c r="E95" s="285"/>
      <c r="F95" s="285"/>
      <c r="G95" s="286"/>
      <c r="H95" s="287" t="s">
        <v>62</v>
      </c>
      <c r="I95" s="274" t="s">
        <v>63</v>
      </c>
      <c r="J95" s="25"/>
    </row>
    <row r="96" spans="1:15" x14ac:dyDescent="0.25">
      <c r="A96" s="279"/>
      <c r="B96" s="281"/>
      <c r="C96" s="283"/>
      <c r="D96" s="27" t="s">
        <v>27</v>
      </c>
      <c r="E96" s="27" t="s">
        <v>28</v>
      </c>
      <c r="F96" s="197" t="s">
        <v>129</v>
      </c>
      <c r="G96" s="27" t="s">
        <v>64</v>
      </c>
      <c r="H96" s="288"/>
      <c r="I96" s="275"/>
      <c r="J96" s="276" t="s">
        <v>147</v>
      </c>
      <c r="K96" s="183"/>
    </row>
    <row r="97" spans="1:11" x14ac:dyDescent="0.2">
      <c r="A97" s="29"/>
      <c r="B97" s="30" t="s">
        <v>65</v>
      </c>
      <c r="C97" s="31"/>
      <c r="D97" s="31"/>
      <c r="E97" s="31"/>
      <c r="F97" s="31"/>
      <c r="G97" s="31"/>
      <c r="H97" s="31"/>
      <c r="I97" s="32"/>
      <c r="J97" s="277"/>
      <c r="K97" s="183"/>
    </row>
    <row r="98" spans="1:11" x14ac:dyDescent="0.2">
      <c r="A98" s="155" t="s">
        <v>149</v>
      </c>
      <c r="B98" s="160" t="s">
        <v>82</v>
      </c>
      <c r="C98" s="38" t="e">
        <f>+#REF!</f>
        <v>#REF!</v>
      </c>
      <c r="D98" s="37"/>
      <c r="E98" s="38">
        <v>114000</v>
      </c>
      <c r="F98" s="38"/>
      <c r="G98" s="38"/>
      <c r="H98" s="62">
        <v>11050</v>
      </c>
      <c r="I98" s="38">
        <v>112000</v>
      </c>
      <c r="J98" s="36" t="e">
        <f>+SUM(C98:G98)-(H98+I98)</f>
        <v>#REF!</v>
      </c>
      <c r="K98" s="184" t="e">
        <f>J98=#REF!</f>
        <v>#REF!</v>
      </c>
    </row>
    <row r="99" spans="1:11" x14ac:dyDescent="0.2">
      <c r="A99" s="155" t="s">
        <v>149</v>
      </c>
      <c r="B99" s="160" t="s">
        <v>53</v>
      </c>
      <c r="C99" s="38" t="e">
        <f t="shared" ref="C99:C109" si="35">+C76</f>
        <v>#REF!</v>
      </c>
      <c r="D99" s="37"/>
      <c r="E99" s="38">
        <v>87350</v>
      </c>
      <c r="F99" s="38">
        <f>60000+62000</f>
        <v>122000</v>
      </c>
      <c r="G99" s="38"/>
      <c r="H99" s="62">
        <v>161395</v>
      </c>
      <c r="I99" s="38">
        <v>281200</v>
      </c>
      <c r="J99" s="36" t="e">
        <f t="shared" ref="J99:J100" si="36">+SUM(C99:G99)-(H99+I99)</f>
        <v>#REF!</v>
      </c>
      <c r="K99" s="184" t="e">
        <f t="shared" ref="K99:K109" si="37">J99=I76</f>
        <v>#REF!</v>
      </c>
    </row>
    <row r="100" spans="1:11" x14ac:dyDescent="0.2">
      <c r="A100" s="155" t="s">
        <v>149</v>
      </c>
      <c r="B100" s="160" t="s">
        <v>34</v>
      </c>
      <c r="C100" s="38" t="e">
        <f t="shared" si="35"/>
        <v>#REF!</v>
      </c>
      <c r="D100" s="37"/>
      <c r="E100" s="38">
        <v>371500</v>
      </c>
      <c r="F100" s="38"/>
      <c r="G100" s="38"/>
      <c r="H100" s="38">
        <f>62000+81500+137000</f>
        <v>280500</v>
      </c>
      <c r="I100" s="38">
        <v>177000</v>
      </c>
      <c r="J100" s="114" t="e">
        <f t="shared" si="36"/>
        <v>#REF!</v>
      </c>
      <c r="K100" s="184" t="e">
        <f t="shared" si="37"/>
        <v>#REF!</v>
      </c>
    </row>
    <row r="101" spans="1:11" x14ac:dyDescent="0.2">
      <c r="A101" s="155" t="s">
        <v>149</v>
      </c>
      <c r="B101" s="160" t="s">
        <v>83</v>
      </c>
      <c r="C101" s="38" t="e">
        <f t="shared" si="35"/>
        <v>#REF!</v>
      </c>
      <c r="D101" s="118"/>
      <c r="E101" s="38">
        <v>35560</v>
      </c>
      <c r="F101" s="38">
        <f>10000+81500</f>
        <v>91500</v>
      </c>
      <c r="G101" s="38"/>
      <c r="H101" s="38">
        <v>35000</v>
      </c>
      <c r="I101" s="38">
        <v>159750</v>
      </c>
      <c r="J101" s="114" t="e">
        <f>+SUM(C101:G101)-(H101+I101)</f>
        <v>#REF!</v>
      </c>
      <c r="K101" s="184" t="e">
        <f t="shared" si="37"/>
        <v>#REF!</v>
      </c>
    </row>
    <row r="102" spans="1:11" x14ac:dyDescent="0.2">
      <c r="A102" s="155" t="s">
        <v>149</v>
      </c>
      <c r="B102" s="161" t="s">
        <v>33</v>
      </c>
      <c r="C102" s="38" t="e">
        <f t="shared" si="35"/>
        <v>#REF!</v>
      </c>
      <c r="D102" s="152"/>
      <c r="E102" s="58">
        <v>372085</v>
      </c>
      <c r="F102" s="58"/>
      <c r="G102" s="58"/>
      <c r="H102" s="58"/>
      <c r="I102" s="58">
        <v>336400</v>
      </c>
      <c r="J102" s="157" t="e">
        <f>+SUM(C102:G102)-(H102+I102)</f>
        <v>#REF!</v>
      </c>
      <c r="K102" s="184" t="e">
        <f t="shared" si="37"/>
        <v>#REF!</v>
      </c>
    </row>
    <row r="103" spans="1:11" x14ac:dyDescent="0.2">
      <c r="A103" s="155" t="s">
        <v>149</v>
      </c>
      <c r="B103" s="162" t="s">
        <v>90</v>
      </c>
      <c r="C103" s="153" t="e">
        <f t="shared" si="35"/>
        <v>#REF!</v>
      </c>
      <c r="D103" s="156"/>
      <c r="E103" s="172"/>
      <c r="F103" s="172"/>
      <c r="G103" s="172"/>
      <c r="H103" s="172"/>
      <c r="I103" s="172"/>
      <c r="J103" s="154" t="e">
        <f>+SUM(C103:G103)-(H103+I103)</f>
        <v>#REF!</v>
      </c>
      <c r="K103" s="184" t="e">
        <f t="shared" si="37"/>
        <v>#REF!</v>
      </c>
    </row>
    <row r="104" spans="1:11" x14ac:dyDescent="0.2">
      <c r="A104" s="155" t="s">
        <v>149</v>
      </c>
      <c r="B104" s="162" t="s">
        <v>89</v>
      </c>
      <c r="C104" s="153" t="e">
        <f t="shared" si="35"/>
        <v>#REF!</v>
      </c>
      <c r="D104" s="156"/>
      <c r="E104" s="172"/>
      <c r="F104" s="172"/>
      <c r="G104" s="172"/>
      <c r="H104" s="172"/>
      <c r="I104" s="172"/>
      <c r="J104" s="154" t="e">
        <f t="shared" ref="J104:J109" si="38">+SUM(C104:G104)-(H104+I104)</f>
        <v>#REF!</v>
      </c>
      <c r="K104" s="184" t="e">
        <f t="shared" si="37"/>
        <v>#REF!</v>
      </c>
    </row>
    <row r="105" spans="1:11" x14ac:dyDescent="0.2">
      <c r="A105" s="155" t="s">
        <v>149</v>
      </c>
      <c r="B105" s="160" t="s">
        <v>39</v>
      </c>
      <c r="C105" s="38" t="e">
        <f t="shared" si="35"/>
        <v>#REF!</v>
      </c>
      <c r="D105" s="37"/>
      <c r="E105" s="38">
        <v>400000</v>
      </c>
      <c r="F105" s="38">
        <v>137000</v>
      </c>
      <c r="G105" s="118"/>
      <c r="H105" s="118"/>
      <c r="I105" s="38">
        <v>563500</v>
      </c>
      <c r="J105" s="36" t="e">
        <f t="shared" si="38"/>
        <v>#REF!</v>
      </c>
      <c r="K105" s="184" t="e">
        <f t="shared" si="37"/>
        <v>#REF!</v>
      </c>
    </row>
    <row r="106" spans="1:11" x14ac:dyDescent="0.2">
      <c r="A106" s="155" t="s">
        <v>149</v>
      </c>
      <c r="B106" s="160" t="s">
        <v>99</v>
      </c>
      <c r="C106" s="38" t="e">
        <f t="shared" si="35"/>
        <v>#REF!</v>
      </c>
      <c r="D106" s="37"/>
      <c r="E106" s="38">
        <v>35000</v>
      </c>
      <c r="F106" s="118"/>
      <c r="G106" s="118"/>
      <c r="H106" s="118"/>
      <c r="I106" s="38">
        <v>23500</v>
      </c>
      <c r="J106" s="36" t="e">
        <f t="shared" si="38"/>
        <v>#REF!</v>
      </c>
      <c r="K106" s="184" t="e">
        <f t="shared" si="37"/>
        <v>#REF!</v>
      </c>
    </row>
    <row r="107" spans="1:11" x14ac:dyDescent="0.2">
      <c r="A107" s="155" t="s">
        <v>149</v>
      </c>
      <c r="B107" s="160" t="s">
        <v>32</v>
      </c>
      <c r="C107" s="38">
        <f t="shared" si="35"/>
        <v>0</v>
      </c>
      <c r="D107" s="37"/>
      <c r="E107" s="38">
        <v>454000</v>
      </c>
      <c r="F107" s="118"/>
      <c r="G107" s="118"/>
      <c r="H107" s="118"/>
      <c r="I107" s="38">
        <v>329100</v>
      </c>
      <c r="J107" s="36">
        <f t="shared" si="38"/>
        <v>124900</v>
      </c>
      <c r="K107" s="184" t="b">
        <f t="shared" si="37"/>
        <v>0</v>
      </c>
    </row>
    <row r="108" spans="1:11" x14ac:dyDescent="0.2">
      <c r="A108" s="155" t="s">
        <v>149</v>
      </c>
      <c r="B108" s="160" t="s">
        <v>35</v>
      </c>
      <c r="C108" s="38" t="e">
        <f t="shared" si="35"/>
        <v>#REF!</v>
      </c>
      <c r="D108" s="37"/>
      <c r="E108" s="38"/>
      <c r="F108" s="118"/>
      <c r="G108" s="118"/>
      <c r="H108" s="38">
        <v>20000</v>
      </c>
      <c r="I108" s="38">
        <v>5000</v>
      </c>
      <c r="J108" s="36" t="e">
        <f t="shared" si="38"/>
        <v>#REF!</v>
      </c>
      <c r="K108" s="184" t="e">
        <f t="shared" si="37"/>
        <v>#REF!</v>
      </c>
    </row>
    <row r="109" spans="1:11" x14ac:dyDescent="0.2">
      <c r="A109" s="155" t="s">
        <v>149</v>
      </c>
      <c r="B109" s="161" t="s">
        <v>119</v>
      </c>
      <c r="C109" s="38">
        <f t="shared" si="35"/>
        <v>0</v>
      </c>
      <c r="D109" s="152"/>
      <c r="E109" s="58">
        <v>231000</v>
      </c>
      <c r="F109" s="58"/>
      <c r="G109" s="173"/>
      <c r="H109" s="58">
        <v>90000</v>
      </c>
      <c r="I109" s="58">
        <v>180000</v>
      </c>
      <c r="J109" s="36">
        <f t="shared" si="38"/>
        <v>-39000</v>
      </c>
      <c r="K109" s="184" t="b">
        <f t="shared" si="37"/>
        <v>0</v>
      </c>
    </row>
    <row r="110" spans="1:11" x14ac:dyDescent="0.2">
      <c r="A110" s="40" t="s">
        <v>66</v>
      </c>
      <c r="B110" s="41"/>
      <c r="C110" s="41"/>
      <c r="D110" s="41"/>
      <c r="E110" s="41"/>
      <c r="F110" s="41"/>
      <c r="G110" s="41"/>
      <c r="H110" s="41"/>
      <c r="I110" s="41"/>
      <c r="J110" s="42"/>
      <c r="K110" s="183"/>
    </row>
    <row r="111" spans="1:11" x14ac:dyDescent="0.2">
      <c r="A111" s="155" t="s">
        <v>149</v>
      </c>
      <c r="B111" s="43" t="s">
        <v>67</v>
      </c>
      <c r="C111" s="44" t="e">
        <f>+C75</f>
        <v>#REF!</v>
      </c>
      <c r="D111" s="56">
        <v>5000000</v>
      </c>
      <c r="E111" s="117"/>
      <c r="F111" s="56">
        <v>217445</v>
      </c>
      <c r="G111" s="174"/>
      <c r="H111" s="164">
        <v>2070495</v>
      </c>
      <c r="I111" s="159">
        <v>3286349</v>
      </c>
      <c r="J111" s="51" t="e">
        <f>+SUM(C111:G111)-(H111+I111)</f>
        <v>#REF!</v>
      </c>
      <c r="K111" s="184" t="e">
        <f>J111=I75</f>
        <v>#REF!</v>
      </c>
    </row>
    <row r="112" spans="1:11" x14ac:dyDescent="0.2">
      <c r="A112" s="49" t="s">
        <v>68</v>
      </c>
      <c r="B112" s="30"/>
      <c r="C112" s="41"/>
      <c r="D112" s="30"/>
      <c r="E112" s="30"/>
      <c r="F112" s="30"/>
      <c r="G112" s="30"/>
      <c r="H112" s="30"/>
      <c r="I112" s="30"/>
      <c r="J112" s="42"/>
      <c r="K112" s="183"/>
    </row>
    <row r="113" spans="1:11" x14ac:dyDescent="0.2">
      <c r="A113" s="155" t="s">
        <v>149</v>
      </c>
      <c r="B113" s="43" t="s">
        <v>69</v>
      </c>
      <c r="C113" s="158" t="e">
        <f>+#REF!</f>
        <v>#REF!</v>
      </c>
      <c r="D113" s="165">
        <v>7900099</v>
      </c>
      <c r="E113" s="56"/>
      <c r="F113" s="56"/>
      <c r="G113" s="56"/>
      <c r="H113" s="58">
        <v>3000000</v>
      </c>
      <c r="I113" s="60">
        <v>379529</v>
      </c>
      <c r="J113" s="51" t="e">
        <f>+SUM(C113:G113)-(H113+I113)</f>
        <v>#REF!</v>
      </c>
      <c r="K113" s="184" t="e">
        <f>+J113=#REF!</f>
        <v>#REF!</v>
      </c>
    </row>
    <row r="114" spans="1:11" x14ac:dyDescent="0.2">
      <c r="A114" s="155" t="s">
        <v>149</v>
      </c>
      <c r="B114" s="43" t="s">
        <v>70</v>
      </c>
      <c r="C114" s="158" t="e">
        <f>+C74</f>
        <v>#REF!</v>
      </c>
      <c r="D114" s="56"/>
      <c r="E114" s="55"/>
      <c r="F114" s="55"/>
      <c r="G114" s="55"/>
      <c r="H114" s="38">
        <v>2000000</v>
      </c>
      <c r="I114" s="57">
        <v>5392233</v>
      </c>
      <c r="J114" s="51" t="e">
        <f>SUM(C114:G114)-(H114+I114)</f>
        <v>#REF!</v>
      </c>
      <c r="K114" s="184" t="e">
        <f>+J114=I74</f>
        <v>#REF!</v>
      </c>
    </row>
    <row r="115" spans="1:11" ht="15.75" x14ac:dyDescent="0.25">
      <c r="C115" s="178" t="e">
        <f>SUM(C98:C114)</f>
        <v>#REF!</v>
      </c>
      <c r="I115" s="176">
        <f>SUM(I98:I114)</f>
        <v>11225561</v>
      </c>
      <c r="J115" s="119" t="e">
        <f>+SUM(J98:J114)</f>
        <v>#REF!</v>
      </c>
      <c r="K115" s="10" t="e">
        <f>J115=I87</f>
        <v>#REF!</v>
      </c>
    </row>
    <row r="116" spans="1:11" ht="16.5" x14ac:dyDescent="0.3">
      <c r="A116" s="19"/>
      <c r="B116" s="20"/>
      <c r="C116" s="17"/>
      <c r="D116" s="17"/>
      <c r="E116" s="18"/>
      <c r="F116" s="17"/>
      <c r="G116" s="17"/>
      <c r="H116" s="17"/>
      <c r="I116" s="17"/>
    </row>
    <row r="117" spans="1:11" x14ac:dyDescent="0.2">
      <c r="A117" s="21" t="s">
        <v>58</v>
      </c>
      <c r="B117" s="21"/>
      <c r="C117" s="21"/>
      <c r="D117" s="22"/>
      <c r="E117" s="22"/>
      <c r="F117" s="22"/>
      <c r="G117" s="22"/>
      <c r="H117" s="22"/>
      <c r="I117" s="22"/>
    </row>
    <row r="118" spans="1:11" x14ac:dyDescent="0.2">
      <c r="A118" s="23" t="s">
        <v>137</v>
      </c>
      <c r="B118" s="23"/>
      <c r="C118" s="23"/>
      <c r="D118" s="23"/>
      <c r="E118" s="23"/>
      <c r="F118" s="23"/>
      <c r="G118" s="23"/>
      <c r="H118" s="23"/>
      <c r="I118" s="23"/>
      <c r="J118" s="22"/>
    </row>
    <row r="119" spans="1:11" x14ac:dyDescent="0.2">
      <c r="A119" s="24"/>
      <c r="B119" s="25"/>
      <c r="C119" s="26"/>
      <c r="D119" s="26"/>
      <c r="E119" s="26"/>
      <c r="F119" s="26"/>
      <c r="G119" s="26"/>
      <c r="H119" s="25"/>
      <c r="I119" s="25"/>
      <c r="J119" s="23"/>
    </row>
    <row r="120" spans="1:11" x14ac:dyDescent="0.2">
      <c r="A120" s="278" t="s">
        <v>59</v>
      </c>
      <c r="B120" s="280" t="s">
        <v>60</v>
      </c>
      <c r="C120" s="282" t="s">
        <v>138</v>
      </c>
      <c r="D120" s="284" t="s">
        <v>61</v>
      </c>
      <c r="E120" s="285"/>
      <c r="F120" s="285"/>
      <c r="G120" s="286"/>
      <c r="H120" s="287" t="s">
        <v>62</v>
      </c>
      <c r="I120" s="274" t="s">
        <v>63</v>
      </c>
      <c r="J120" s="25"/>
    </row>
    <row r="121" spans="1:11" x14ac:dyDescent="0.25">
      <c r="A121" s="279"/>
      <c r="B121" s="281"/>
      <c r="C121" s="283"/>
      <c r="D121" s="27" t="s">
        <v>27</v>
      </c>
      <c r="E121" s="27" t="s">
        <v>28</v>
      </c>
      <c r="F121" s="195" t="s">
        <v>129</v>
      </c>
      <c r="G121" s="27" t="s">
        <v>64</v>
      </c>
      <c r="H121" s="288"/>
      <c r="I121" s="275"/>
      <c r="J121" s="276" t="s">
        <v>139</v>
      </c>
      <c r="K121" s="183"/>
    </row>
    <row r="122" spans="1:11" x14ac:dyDescent="0.2">
      <c r="A122" s="29"/>
      <c r="B122" s="30" t="s">
        <v>65</v>
      </c>
      <c r="C122" s="31"/>
      <c r="D122" s="31"/>
      <c r="E122" s="31"/>
      <c r="F122" s="31"/>
      <c r="G122" s="31"/>
      <c r="H122" s="31"/>
      <c r="I122" s="32"/>
      <c r="J122" s="277"/>
      <c r="K122" s="183"/>
    </row>
    <row r="123" spans="1:11" x14ac:dyDescent="0.2">
      <c r="A123" s="155" t="s">
        <v>140</v>
      </c>
      <c r="B123" s="160" t="s">
        <v>82</v>
      </c>
      <c r="C123" s="38">
        <v>40050</v>
      </c>
      <c r="D123" s="37"/>
      <c r="E123" s="38">
        <v>104000</v>
      </c>
      <c r="F123" s="38"/>
      <c r="G123" s="38"/>
      <c r="H123" s="62">
        <v>54000</v>
      </c>
      <c r="I123" s="38">
        <v>81000</v>
      </c>
      <c r="J123" s="36">
        <f>+SUM(C123:G123)-(H123+I123)</f>
        <v>9050</v>
      </c>
      <c r="K123" s="184" t="e">
        <f>J123=#REF!</f>
        <v>#REF!</v>
      </c>
    </row>
    <row r="124" spans="1:11" x14ac:dyDescent="0.2">
      <c r="A124" s="155" t="s">
        <v>140</v>
      </c>
      <c r="B124" s="160" t="s">
        <v>53</v>
      </c>
      <c r="C124" s="38">
        <v>38845</v>
      </c>
      <c r="D124" s="37"/>
      <c r="E124" s="38">
        <v>1550000</v>
      </c>
      <c r="F124" s="38"/>
      <c r="G124" s="38"/>
      <c r="H124" s="62">
        <v>311000</v>
      </c>
      <c r="I124" s="38">
        <v>1017400</v>
      </c>
      <c r="J124" s="36">
        <f t="shared" ref="J124:J125" si="39">+SUM(C124:G124)-(H124+I124)</f>
        <v>260445</v>
      </c>
      <c r="K124" s="184" t="b">
        <f>J124=I76</f>
        <v>0</v>
      </c>
    </row>
    <row r="125" spans="1:11" x14ac:dyDescent="0.2">
      <c r="A125" s="155" t="s">
        <v>140</v>
      </c>
      <c r="B125" s="160" t="s">
        <v>34</v>
      </c>
      <c r="C125" s="38">
        <v>6895</v>
      </c>
      <c r="D125" s="37"/>
      <c r="E125" s="38">
        <v>581000</v>
      </c>
      <c r="F125" s="38"/>
      <c r="G125" s="38"/>
      <c r="H125" s="38"/>
      <c r="I125" s="38">
        <v>498900</v>
      </c>
      <c r="J125" s="114">
        <f t="shared" si="39"/>
        <v>88995</v>
      </c>
      <c r="K125" s="184" t="b">
        <f>J125=I77</f>
        <v>0</v>
      </c>
    </row>
    <row r="126" spans="1:11" x14ac:dyDescent="0.2">
      <c r="A126" s="155" t="s">
        <v>140</v>
      </c>
      <c r="B126" s="160" t="s">
        <v>83</v>
      </c>
      <c r="C126" s="38">
        <v>28540</v>
      </c>
      <c r="D126" s="118"/>
      <c r="E126" s="38">
        <v>332000</v>
      </c>
      <c r="F126" s="38">
        <v>10000</v>
      </c>
      <c r="G126" s="38"/>
      <c r="H126" s="38"/>
      <c r="I126" s="38">
        <v>302850</v>
      </c>
      <c r="J126" s="114">
        <f>+SUM(C126:G126)-(H126+I126)</f>
        <v>67690</v>
      </c>
      <c r="K126" s="184" t="b">
        <f>J126=I78</f>
        <v>0</v>
      </c>
    </row>
    <row r="127" spans="1:11" x14ac:dyDescent="0.2">
      <c r="A127" s="155" t="s">
        <v>140</v>
      </c>
      <c r="B127" s="160" t="s">
        <v>75</v>
      </c>
      <c r="C127" s="38">
        <v>184</v>
      </c>
      <c r="D127" s="118"/>
      <c r="E127" s="38"/>
      <c r="F127" s="38"/>
      <c r="G127" s="38"/>
      <c r="H127" s="38">
        <v>184</v>
      </c>
      <c r="I127" s="38"/>
      <c r="J127" s="114">
        <f t="shared" ref="J127" si="40">+SUM(C127:G127)-(H127+I127)</f>
        <v>0</v>
      </c>
      <c r="K127" s="184" t="e">
        <f>J127=#REF!</f>
        <v>#REF!</v>
      </c>
    </row>
    <row r="128" spans="1:11" x14ac:dyDescent="0.2">
      <c r="A128" s="155" t="s">
        <v>140</v>
      </c>
      <c r="B128" s="161" t="s">
        <v>33</v>
      </c>
      <c r="C128" s="38">
        <v>68200</v>
      </c>
      <c r="D128" s="152"/>
      <c r="E128" s="58">
        <v>638000</v>
      </c>
      <c r="F128" s="58">
        <v>45000</v>
      </c>
      <c r="G128" s="58"/>
      <c r="H128" s="58"/>
      <c r="I128" s="58">
        <v>787385</v>
      </c>
      <c r="J128" s="157">
        <f>+SUM(C128:G128)-(H128+I128)</f>
        <v>-36185</v>
      </c>
      <c r="K128" s="184" t="b">
        <f t="shared" ref="K128:K135" si="41">J128=I79</f>
        <v>0</v>
      </c>
    </row>
    <row r="129" spans="1:11" x14ac:dyDescent="0.2">
      <c r="A129" s="155" t="s">
        <v>140</v>
      </c>
      <c r="B129" s="162" t="s">
        <v>90</v>
      </c>
      <c r="C129" s="153">
        <v>233614</v>
      </c>
      <c r="D129" s="156"/>
      <c r="E129" s="172"/>
      <c r="F129" s="172"/>
      <c r="G129" s="172"/>
      <c r="H129" s="172"/>
      <c r="I129" s="172"/>
      <c r="J129" s="154">
        <f>+SUM(C129:G129)-(H129+I129)</f>
        <v>233614</v>
      </c>
      <c r="K129" s="184" t="b">
        <f t="shared" si="41"/>
        <v>0</v>
      </c>
    </row>
    <row r="130" spans="1:11" x14ac:dyDescent="0.2">
      <c r="A130" s="155" t="s">
        <v>140</v>
      </c>
      <c r="B130" s="162" t="s">
        <v>89</v>
      </c>
      <c r="C130" s="153">
        <v>249769</v>
      </c>
      <c r="D130" s="156"/>
      <c r="E130" s="172"/>
      <c r="F130" s="172"/>
      <c r="G130" s="172"/>
      <c r="H130" s="172"/>
      <c r="I130" s="172"/>
      <c r="J130" s="154">
        <f t="shared" ref="J130:J135" si="42">+SUM(C130:G130)-(H130+I130)</f>
        <v>249769</v>
      </c>
      <c r="K130" s="184" t="b">
        <f t="shared" si="41"/>
        <v>0</v>
      </c>
    </row>
    <row r="131" spans="1:11" x14ac:dyDescent="0.2">
      <c r="A131" s="155" t="s">
        <v>140</v>
      </c>
      <c r="B131" s="160" t="s">
        <v>39</v>
      </c>
      <c r="C131" s="38">
        <v>-4675</v>
      </c>
      <c r="D131" s="37"/>
      <c r="E131" s="38">
        <v>494000</v>
      </c>
      <c r="F131" s="38">
        <v>256000</v>
      </c>
      <c r="G131" s="118"/>
      <c r="H131" s="118">
        <v>6500</v>
      </c>
      <c r="I131" s="38">
        <v>607250</v>
      </c>
      <c r="J131" s="36">
        <f t="shared" si="42"/>
        <v>131575</v>
      </c>
      <c r="K131" s="184" t="b">
        <f t="shared" si="41"/>
        <v>0</v>
      </c>
    </row>
    <row r="132" spans="1:11" x14ac:dyDescent="0.2">
      <c r="A132" s="155" t="s">
        <v>140</v>
      </c>
      <c r="B132" s="160" t="s">
        <v>99</v>
      </c>
      <c r="C132" s="38">
        <v>5000</v>
      </c>
      <c r="D132" s="37"/>
      <c r="E132" s="38">
        <v>30000</v>
      </c>
      <c r="F132" s="118"/>
      <c r="G132" s="118"/>
      <c r="H132" s="118"/>
      <c r="I132" s="38">
        <v>29500</v>
      </c>
      <c r="J132" s="36">
        <f t="shared" si="42"/>
        <v>5500</v>
      </c>
      <c r="K132" s="184" t="b">
        <f t="shared" si="41"/>
        <v>0</v>
      </c>
    </row>
    <row r="133" spans="1:11" x14ac:dyDescent="0.2">
      <c r="A133" s="155" t="s">
        <v>140</v>
      </c>
      <c r="B133" s="160" t="s">
        <v>32</v>
      </c>
      <c r="C133" s="38">
        <v>72800</v>
      </c>
      <c r="D133" s="37"/>
      <c r="E133" s="38">
        <v>446000</v>
      </c>
      <c r="F133" s="118"/>
      <c r="G133" s="118"/>
      <c r="H133" s="118"/>
      <c r="I133" s="38">
        <v>512600</v>
      </c>
      <c r="J133" s="36">
        <f t="shared" si="42"/>
        <v>6200</v>
      </c>
      <c r="K133" s="184" t="b">
        <f t="shared" si="41"/>
        <v>0</v>
      </c>
    </row>
    <row r="134" spans="1:11" x14ac:dyDescent="0.2">
      <c r="A134" s="155" t="s">
        <v>140</v>
      </c>
      <c r="B134" s="160" t="s">
        <v>35</v>
      </c>
      <c r="C134" s="38">
        <v>47300</v>
      </c>
      <c r="D134" s="37"/>
      <c r="E134" s="38">
        <v>5000</v>
      </c>
      <c r="F134" s="118">
        <v>6500</v>
      </c>
      <c r="G134" s="118"/>
      <c r="H134" s="38">
        <v>20000</v>
      </c>
      <c r="I134" s="38">
        <v>8000</v>
      </c>
      <c r="J134" s="36">
        <f t="shared" si="42"/>
        <v>30800</v>
      </c>
      <c r="K134" s="184" t="b">
        <f t="shared" si="41"/>
        <v>0</v>
      </c>
    </row>
    <row r="135" spans="1:11" x14ac:dyDescent="0.2">
      <c r="A135" s="155" t="s">
        <v>140</v>
      </c>
      <c r="B135" s="161" t="s">
        <v>119</v>
      </c>
      <c r="C135" s="38">
        <v>79600</v>
      </c>
      <c r="D135" s="152"/>
      <c r="E135" s="58"/>
      <c r="F135" s="58"/>
      <c r="G135" s="173"/>
      <c r="H135" s="58"/>
      <c r="I135" s="58">
        <v>37707</v>
      </c>
      <c r="J135" s="36">
        <f t="shared" si="42"/>
        <v>41893</v>
      </c>
      <c r="K135" s="184" t="b">
        <f t="shared" si="41"/>
        <v>0</v>
      </c>
    </row>
    <row r="136" spans="1:11" x14ac:dyDescent="0.2">
      <c r="A136" s="40" t="s">
        <v>66</v>
      </c>
      <c r="B136" s="41"/>
      <c r="C136" s="41"/>
      <c r="D136" s="41"/>
      <c r="E136" s="41"/>
      <c r="F136" s="41"/>
      <c r="G136" s="41"/>
      <c r="H136" s="41"/>
      <c r="I136" s="41"/>
      <c r="J136" s="42"/>
      <c r="K136" s="183"/>
    </row>
    <row r="137" spans="1:11" x14ac:dyDescent="0.2">
      <c r="A137" s="155" t="s">
        <v>140</v>
      </c>
      <c r="B137" s="43" t="s">
        <v>67</v>
      </c>
      <c r="C137" s="44">
        <v>467929</v>
      </c>
      <c r="D137" s="56">
        <v>6310000</v>
      </c>
      <c r="E137" s="117"/>
      <c r="F137" s="56">
        <v>74184</v>
      </c>
      <c r="G137" s="174"/>
      <c r="H137" s="164">
        <v>4180000</v>
      </c>
      <c r="I137" s="159">
        <v>1710965</v>
      </c>
      <c r="J137" s="51">
        <f>+SUM(C137:G137)-(H137+I137)</f>
        <v>961148</v>
      </c>
      <c r="K137" s="184" t="b">
        <f>J137=I75</f>
        <v>0</v>
      </c>
    </row>
    <row r="138" spans="1:11" x14ac:dyDescent="0.2">
      <c r="A138" s="49" t="s">
        <v>68</v>
      </c>
      <c r="B138" s="30"/>
      <c r="C138" s="41"/>
      <c r="D138" s="30"/>
      <c r="E138" s="30"/>
      <c r="F138" s="30"/>
      <c r="G138" s="30"/>
      <c r="H138" s="30"/>
      <c r="I138" s="30"/>
      <c r="J138" s="42"/>
      <c r="K138" s="183"/>
    </row>
    <row r="139" spans="1:11" x14ac:dyDescent="0.2">
      <c r="A139" s="155" t="s">
        <v>140</v>
      </c>
      <c r="B139" s="43" t="s">
        <v>69</v>
      </c>
      <c r="C139" s="158">
        <v>7405927</v>
      </c>
      <c r="D139" s="165"/>
      <c r="E139" s="56"/>
      <c r="F139" s="56"/>
      <c r="G139" s="56"/>
      <c r="H139" s="58">
        <v>2000000</v>
      </c>
      <c r="I139" s="60">
        <v>1710232</v>
      </c>
      <c r="J139" s="51">
        <f>+SUM(C139:G139)-(H139+I139)</f>
        <v>3695695</v>
      </c>
      <c r="K139" s="184" t="e">
        <f>+J139=#REF!</f>
        <v>#REF!</v>
      </c>
    </row>
    <row r="140" spans="1:11" x14ac:dyDescent="0.2">
      <c r="A140" s="155" t="s">
        <v>140</v>
      </c>
      <c r="B140" s="43" t="s">
        <v>70</v>
      </c>
      <c r="C140" s="158">
        <v>22972065</v>
      </c>
      <c r="D140" s="56"/>
      <c r="E140" s="55"/>
      <c r="F140" s="55"/>
      <c r="G140" s="55"/>
      <c r="H140" s="38">
        <v>4310000</v>
      </c>
      <c r="I140" s="57">
        <v>3055511</v>
      </c>
      <c r="J140" s="51">
        <f>SUM(C140:G140)-(H140+I140)</f>
        <v>15606554</v>
      </c>
      <c r="K140" s="184" t="b">
        <f>+J140=I74</f>
        <v>0</v>
      </c>
    </row>
    <row r="141" spans="1:11" ht="15.75" x14ac:dyDescent="0.25">
      <c r="C141" s="178">
        <f>SUM(C123:C140)</f>
        <v>31712043</v>
      </c>
      <c r="I141" s="176">
        <f>SUM(I123:I140)</f>
        <v>10359300</v>
      </c>
      <c r="J141" s="119">
        <f>+SUM(J123:J140)</f>
        <v>21352743</v>
      </c>
      <c r="K141" s="10" t="b">
        <f>J141=I87</f>
        <v>0</v>
      </c>
    </row>
    <row r="142" spans="1:11" ht="16.5" x14ac:dyDescent="0.3">
      <c r="A142" s="19"/>
      <c r="B142" s="20"/>
      <c r="C142" s="17"/>
      <c r="D142" s="17"/>
      <c r="E142" s="18"/>
      <c r="F142" s="17"/>
      <c r="G142" s="17"/>
      <c r="H142" s="17"/>
      <c r="I142" s="17"/>
    </row>
    <row r="143" spans="1:11" x14ac:dyDescent="0.2">
      <c r="A143" s="21" t="s">
        <v>58</v>
      </c>
      <c r="B143" s="21"/>
      <c r="C143" s="21"/>
      <c r="D143" s="22"/>
      <c r="E143" s="22"/>
      <c r="F143" s="22"/>
      <c r="G143" s="22"/>
      <c r="H143" s="22"/>
      <c r="I143" s="22"/>
    </row>
    <row r="144" spans="1:11" x14ac:dyDescent="0.2">
      <c r="A144" s="23" t="s">
        <v>130</v>
      </c>
      <c r="B144" s="23"/>
      <c r="C144" s="23"/>
      <c r="D144" s="23"/>
      <c r="E144" s="23"/>
      <c r="F144" s="23"/>
      <c r="G144" s="23"/>
      <c r="H144" s="23"/>
      <c r="I144" s="23"/>
      <c r="J144" s="22"/>
    </row>
    <row r="145" spans="1:11" x14ac:dyDescent="0.2">
      <c r="A145" s="24"/>
      <c r="B145" s="25"/>
      <c r="C145" s="26"/>
      <c r="D145" s="26"/>
      <c r="E145" s="26"/>
      <c r="F145" s="26"/>
      <c r="G145" s="26"/>
      <c r="H145" s="25"/>
      <c r="I145" s="25"/>
      <c r="J145" s="23"/>
    </row>
    <row r="146" spans="1:11" x14ac:dyDescent="0.2">
      <c r="A146" s="278" t="s">
        <v>59</v>
      </c>
      <c r="B146" s="280" t="s">
        <v>60</v>
      </c>
      <c r="C146" s="282" t="s">
        <v>131</v>
      </c>
      <c r="D146" s="284" t="s">
        <v>61</v>
      </c>
      <c r="E146" s="285"/>
      <c r="F146" s="285"/>
      <c r="G146" s="286"/>
      <c r="H146" s="287" t="s">
        <v>62</v>
      </c>
      <c r="I146" s="274" t="s">
        <v>63</v>
      </c>
      <c r="J146" s="25"/>
    </row>
    <row r="147" spans="1:11" x14ac:dyDescent="0.25">
      <c r="A147" s="279"/>
      <c r="B147" s="281"/>
      <c r="C147" s="283"/>
      <c r="D147" s="27" t="s">
        <v>27</v>
      </c>
      <c r="E147" s="27" t="s">
        <v>28</v>
      </c>
      <c r="F147" s="194" t="s">
        <v>129</v>
      </c>
      <c r="G147" s="27" t="s">
        <v>64</v>
      </c>
      <c r="H147" s="288"/>
      <c r="I147" s="275"/>
      <c r="J147" s="276" t="s">
        <v>132</v>
      </c>
      <c r="K147" s="183"/>
    </row>
    <row r="148" spans="1:11" x14ac:dyDescent="0.2">
      <c r="A148" s="29"/>
      <c r="B148" s="30" t="s">
        <v>65</v>
      </c>
      <c r="C148" s="31"/>
      <c r="D148" s="31"/>
      <c r="E148" s="31"/>
      <c r="F148" s="31"/>
      <c r="G148" s="31"/>
      <c r="H148" s="31"/>
      <c r="I148" s="32"/>
      <c r="J148" s="277"/>
      <c r="K148" s="183"/>
    </row>
    <row r="149" spans="1:11" x14ac:dyDescent="0.2">
      <c r="A149" s="155" t="s">
        <v>133</v>
      </c>
      <c r="B149" s="160" t="s">
        <v>82</v>
      </c>
      <c r="C149" s="38">
        <v>-450</v>
      </c>
      <c r="D149" s="37"/>
      <c r="E149" s="38">
        <v>168000</v>
      </c>
      <c r="F149" s="38">
        <v>55000</v>
      </c>
      <c r="G149" s="38"/>
      <c r="H149" s="62"/>
      <c r="I149" s="38">
        <v>182500</v>
      </c>
      <c r="J149" s="36">
        <f>+SUM(C149:G149)-(H149+I149)</f>
        <v>40050</v>
      </c>
      <c r="K149" s="184"/>
    </row>
    <row r="150" spans="1:11" x14ac:dyDescent="0.2">
      <c r="A150" s="155" t="s">
        <v>133</v>
      </c>
      <c r="B150" s="160" t="s">
        <v>53</v>
      </c>
      <c r="C150" s="38">
        <v>12510</v>
      </c>
      <c r="D150" s="37"/>
      <c r="E150" s="38">
        <v>303000</v>
      </c>
      <c r="F150" s="38"/>
      <c r="G150" s="38"/>
      <c r="H150" s="62"/>
      <c r="I150" s="38">
        <v>276665</v>
      </c>
      <c r="J150" s="36">
        <f t="shared" ref="J150:J151" si="43">+SUM(C150:G150)-(H150+I150)</f>
        <v>38845</v>
      </c>
      <c r="K150" s="184"/>
    </row>
    <row r="151" spans="1:11" x14ac:dyDescent="0.2">
      <c r="A151" s="155" t="s">
        <v>133</v>
      </c>
      <c r="B151" s="160" t="s">
        <v>34</v>
      </c>
      <c r="C151" s="38">
        <v>2895</v>
      </c>
      <c r="D151" s="37"/>
      <c r="E151" s="38">
        <v>40000</v>
      </c>
      <c r="F151" s="38"/>
      <c r="G151" s="38"/>
      <c r="H151" s="38"/>
      <c r="I151" s="38">
        <v>36000</v>
      </c>
      <c r="J151" s="114">
        <f t="shared" si="43"/>
        <v>6895</v>
      </c>
      <c r="K151" s="184"/>
    </row>
    <row r="152" spans="1:11" x14ac:dyDescent="0.2">
      <c r="A152" s="155" t="s">
        <v>133</v>
      </c>
      <c r="B152" s="160" t="s">
        <v>83</v>
      </c>
      <c r="C152" s="38">
        <v>62040</v>
      </c>
      <c r="D152" s="118"/>
      <c r="E152" s="38"/>
      <c r="F152" s="38"/>
      <c r="G152" s="38"/>
      <c r="H152" s="38">
        <v>25000</v>
      </c>
      <c r="I152" s="38">
        <v>8500</v>
      </c>
      <c r="J152" s="114">
        <f>+SUM(C152:G152)-(H152+I152)</f>
        <v>28540</v>
      </c>
      <c r="K152" s="184"/>
    </row>
    <row r="153" spans="1:11" x14ac:dyDescent="0.2">
      <c r="A153" s="155" t="s">
        <v>133</v>
      </c>
      <c r="B153" s="160" t="s">
        <v>75</v>
      </c>
      <c r="C153" s="38">
        <v>184</v>
      </c>
      <c r="D153" s="118"/>
      <c r="E153" s="38">
        <v>0</v>
      </c>
      <c r="F153" s="38"/>
      <c r="G153" s="38"/>
      <c r="H153" s="38"/>
      <c r="I153" s="38">
        <v>0</v>
      </c>
      <c r="J153" s="114">
        <f t="shared" ref="J153" si="44">+SUM(C153:G153)-(H153+I153)</f>
        <v>184</v>
      </c>
      <c r="K153" s="184"/>
    </row>
    <row r="154" spans="1:11" x14ac:dyDescent="0.2">
      <c r="A154" s="155" t="s">
        <v>133</v>
      </c>
      <c r="B154" s="161" t="s">
        <v>33</v>
      </c>
      <c r="C154" s="38">
        <v>-36500</v>
      </c>
      <c r="D154" s="152"/>
      <c r="E154" s="58">
        <v>523500</v>
      </c>
      <c r="F154" s="58"/>
      <c r="G154" s="58"/>
      <c r="H154" s="58"/>
      <c r="I154" s="58">
        <v>418800</v>
      </c>
      <c r="J154" s="157">
        <f>+SUM(C154:G154)-(H154+I154)</f>
        <v>68200</v>
      </c>
      <c r="K154" s="184"/>
    </row>
    <row r="155" spans="1:11" x14ac:dyDescent="0.2">
      <c r="A155" s="155" t="s">
        <v>133</v>
      </c>
      <c r="B155" s="162" t="s">
        <v>90</v>
      </c>
      <c r="C155" s="153">
        <v>233614</v>
      </c>
      <c r="D155" s="156"/>
      <c r="E155" s="172"/>
      <c r="F155" s="172"/>
      <c r="G155" s="172"/>
      <c r="H155" s="172"/>
      <c r="I155" s="172"/>
      <c r="J155" s="154">
        <f>+SUM(C155:G155)-(H155+I155)</f>
        <v>233614</v>
      </c>
      <c r="K155" s="184"/>
    </row>
    <row r="156" spans="1:11" x14ac:dyDescent="0.2">
      <c r="A156" s="155" t="s">
        <v>133</v>
      </c>
      <c r="B156" s="162" t="s">
        <v>89</v>
      </c>
      <c r="C156" s="153">
        <v>249769</v>
      </c>
      <c r="D156" s="156"/>
      <c r="E156" s="172"/>
      <c r="F156" s="172"/>
      <c r="G156" s="172"/>
      <c r="H156" s="172"/>
      <c r="I156" s="172"/>
      <c r="J156" s="154">
        <f t="shared" ref="J156:J161" si="45">+SUM(C156:G156)-(H156+I156)</f>
        <v>249769</v>
      </c>
      <c r="K156" s="184"/>
    </row>
    <row r="157" spans="1:11" x14ac:dyDescent="0.2">
      <c r="A157" s="155" t="s">
        <v>133</v>
      </c>
      <c r="B157" s="160" t="s">
        <v>39</v>
      </c>
      <c r="C157" s="38">
        <v>71200</v>
      </c>
      <c r="D157" s="37"/>
      <c r="E157" s="38">
        <v>1056000</v>
      </c>
      <c r="F157" s="38"/>
      <c r="G157" s="118"/>
      <c r="H157" s="118">
        <v>55000</v>
      </c>
      <c r="I157" s="38">
        <v>1076875</v>
      </c>
      <c r="J157" s="36">
        <f t="shared" si="45"/>
        <v>-4675</v>
      </c>
      <c r="K157" s="184"/>
    </row>
    <row r="158" spans="1:11" x14ac:dyDescent="0.2">
      <c r="A158" s="155" t="s">
        <v>133</v>
      </c>
      <c r="B158" s="160" t="s">
        <v>99</v>
      </c>
      <c r="C158" s="38">
        <v>6000</v>
      </c>
      <c r="D158" s="37"/>
      <c r="E158" s="38">
        <v>20000</v>
      </c>
      <c r="F158" s="118"/>
      <c r="G158" s="118"/>
      <c r="H158" s="118"/>
      <c r="I158" s="38">
        <v>21000</v>
      </c>
      <c r="J158" s="36">
        <f t="shared" si="45"/>
        <v>5000</v>
      </c>
      <c r="K158" s="184"/>
    </row>
    <row r="159" spans="1:11" x14ac:dyDescent="0.2">
      <c r="A159" s="155" t="s">
        <v>133</v>
      </c>
      <c r="B159" s="160" t="s">
        <v>32</v>
      </c>
      <c r="C159" s="38">
        <v>167700</v>
      </c>
      <c r="D159" s="37"/>
      <c r="E159" s="38">
        <v>473000</v>
      </c>
      <c r="F159" s="118"/>
      <c r="G159" s="118"/>
      <c r="H159" s="118"/>
      <c r="I159" s="38">
        <v>567900</v>
      </c>
      <c r="J159" s="36">
        <f t="shared" si="45"/>
        <v>72800</v>
      </c>
      <c r="K159" s="184"/>
    </row>
    <row r="160" spans="1:11" x14ac:dyDescent="0.2">
      <c r="A160" s="155" t="s">
        <v>133</v>
      </c>
      <c r="B160" s="160" t="s">
        <v>35</v>
      </c>
      <c r="C160" s="38">
        <v>65300</v>
      </c>
      <c r="D160" s="37"/>
      <c r="E160" s="38">
        <v>10000</v>
      </c>
      <c r="F160" s="118"/>
      <c r="G160" s="118"/>
      <c r="H160" s="118">
        <v>20000</v>
      </c>
      <c r="I160" s="38">
        <v>8000</v>
      </c>
      <c r="J160" s="36">
        <f t="shared" si="45"/>
        <v>47300</v>
      </c>
      <c r="K160" s="184"/>
    </row>
    <row r="161" spans="1:11" x14ac:dyDescent="0.2">
      <c r="A161" s="155" t="s">
        <v>133</v>
      </c>
      <c r="B161" s="161" t="s">
        <v>119</v>
      </c>
      <c r="C161" s="38">
        <v>-11700</v>
      </c>
      <c r="D161" s="152"/>
      <c r="E161" s="58">
        <v>385800</v>
      </c>
      <c r="F161" s="58"/>
      <c r="G161" s="173"/>
      <c r="H161" s="58"/>
      <c r="I161" s="58">
        <v>294500</v>
      </c>
      <c r="J161" s="36">
        <f t="shared" si="45"/>
        <v>79600</v>
      </c>
      <c r="K161" s="184"/>
    </row>
    <row r="162" spans="1:11" x14ac:dyDescent="0.2">
      <c r="A162" s="40" t="s">
        <v>66</v>
      </c>
      <c r="B162" s="41"/>
      <c r="C162" s="41"/>
      <c r="D162" s="41"/>
      <c r="E162" s="41"/>
      <c r="F162" s="41"/>
      <c r="G162" s="41"/>
      <c r="H162" s="41"/>
      <c r="I162" s="41"/>
      <c r="J162" s="42"/>
      <c r="K162" s="183"/>
    </row>
    <row r="163" spans="1:11" x14ac:dyDescent="0.2">
      <c r="A163" s="155" t="s">
        <v>133</v>
      </c>
      <c r="B163" s="43" t="s">
        <v>67</v>
      </c>
      <c r="C163" s="44">
        <v>1672959</v>
      </c>
      <c r="D163" s="56">
        <v>3341000</v>
      </c>
      <c r="E163" s="117"/>
      <c r="F163" s="117">
        <v>45000</v>
      </c>
      <c r="G163" s="174"/>
      <c r="H163" s="164">
        <v>2979300</v>
      </c>
      <c r="I163" s="159">
        <v>1611730</v>
      </c>
      <c r="J163" s="51">
        <f>+SUM(C163:G163)-(H163+I163)</f>
        <v>467929</v>
      </c>
      <c r="K163" s="184"/>
    </row>
    <row r="164" spans="1:11" x14ac:dyDescent="0.2">
      <c r="A164" s="49" t="s">
        <v>68</v>
      </c>
      <c r="B164" s="30"/>
      <c r="C164" s="41"/>
      <c r="D164" s="30"/>
      <c r="E164" s="30"/>
      <c r="F164" s="30"/>
      <c r="G164" s="30"/>
      <c r="H164" s="30"/>
      <c r="I164" s="30"/>
      <c r="J164" s="42"/>
      <c r="K164" s="183"/>
    </row>
    <row r="165" spans="1:11" x14ac:dyDescent="0.2">
      <c r="A165" s="155" t="s">
        <v>133</v>
      </c>
      <c r="B165" s="43" t="s">
        <v>69</v>
      </c>
      <c r="C165" s="158">
        <v>2957378</v>
      </c>
      <c r="D165" s="165">
        <v>7828953</v>
      </c>
      <c r="E165" s="56"/>
      <c r="F165" s="56"/>
      <c r="G165" s="56"/>
      <c r="H165" s="58">
        <v>3000000</v>
      </c>
      <c r="I165" s="60">
        <v>380404</v>
      </c>
      <c r="J165" s="51">
        <f>+SUM(C165:G165)-(H165+I165)</f>
        <v>7405927</v>
      </c>
      <c r="K165" s="184"/>
    </row>
    <row r="166" spans="1:11" x14ac:dyDescent="0.2">
      <c r="A166" s="155" t="s">
        <v>133</v>
      </c>
      <c r="B166" s="43" t="s">
        <v>70</v>
      </c>
      <c r="C166" s="158">
        <v>28018504</v>
      </c>
      <c r="D166" s="56"/>
      <c r="E166" s="55"/>
      <c r="F166" s="55"/>
      <c r="G166" s="55"/>
      <c r="H166" s="38">
        <v>341000</v>
      </c>
      <c r="I166" s="57">
        <v>4705439</v>
      </c>
      <c r="J166" s="51">
        <f>SUM(C166:G166)-(H166+I166)</f>
        <v>22972065</v>
      </c>
      <c r="K166" s="184"/>
    </row>
    <row r="167" spans="1:11" ht="15.75" x14ac:dyDescent="0.25">
      <c r="C167" s="178">
        <f>SUM(C149:C166)</f>
        <v>33471403</v>
      </c>
      <c r="I167" s="176">
        <f>SUM(I149:I166)</f>
        <v>9588313</v>
      </c>
      <c r="J167" s="119">
        <f>+SUM(J149:J166)</f>
        <v>31712043</v>
      </c>
    </row>
    <row r="168" spans="1:11" ht="16.5" x14ac:dyDescent="0.3">
      <c r="A168" s="19"/>
      <c r="B168" s="20"/>
      <c r="C168" s="17" t="e">
        <f>C167=C87</f>
        <v>#REF!</v>
      </c>
      <c r="D168" s="17"/>
      <c r="E168" s="18"/>
      <c r="F168" s="17"/>
      <c r="G168" s="17"/>
      <c r="H168" s="17"/>
      <c r="I168" s="17"/>
    </row>
    <row r="169" spans="1:11" x14ac:dyDescent="0.2">
      <c r="A169" s="21" t="s">
        <v>58</v>
      </c>
      <c r="B169" s="21"/>
      <c r="C169" s="21"/>
      <c r="D169" s="22"/>
      <c r="E169" s="22"/>
      <c r="F169" s="22"/>
      <c r="G169" s="22"/>
      <c r="H169" s="22"/>
      <c r="I169" s="22"/>
    </row>
    <row r="170" spans="1:11" x14ac:dyDescent="0.2">
      <c r="A170" s="23" t="s">
        <v>125</v>
      </c>
      <c r="B170" s="23"/>
      <c r="C170" s="23"/>
      <c r="D170" s="23"/>
      <c r="E170" s="23"/>
      <c r="F170" s="23"/>
      <c r="G170" s="23"/>
      <c r="H170" s="23"/>
      <c r="I170" s="23"/>
      <c r="J170" s="22"/>
    </row>
    <row r="171" spans="1:11" x14ac:dyDescent="0.2">
      <c r="A171" s="24"/>
      <c r="B171" s="25"/>
      <c r="C171" s="26"/>
      <c r="D171" s="26"/>
      <c r="E171" s="26"/>
      <c r="F171" s="26"/>
      <c r="G171" s="26"/>
      <c r="H171" s="25"/>
      <c r="I171" s="25"/>
      <c r="J171" s="23"/>
    </row>
    <row r="172" spans="1:11" x14ac:dyDescent="0.2">
      <c r="A172" s="278" t="s">
        <v>59</v>
      </c>
      <c r="B172" s="280" t="s">
        <v>60</v>
      </c>
      <c r="C172" s="282" t="s">
        <v>127</v>
      </c>
      <c r="D172" s="284" t="s">
        <v>61</v>
      </c>
      <c r="E172" s="285"/>
      <c r="F172" s="285"/>
      <c r="G172" s="286"/>
      <c r="H172" s="287" t="s">
        <v>62</v>
      </c>
      <c r="I172" s="274" t="s">
        <v>63</v>
      </c>
      <c r="J172" s="25"/>
    </row>
    <row r="173" spans="1:11" x14ac:dyDescent="0.25">
      <c r="A173" s="279"/>
      <c r="B173" s="281"/>
      <c r="C173" s="283"/>
      <c r="D173" s="27" t="s">
        <v>27</v>
      </c>
      <c r="E173" s="27" t="s">
        <v>28</v>
      </c>
      <c r="F173" s="182" t="s">
        <v>129</v>
      </c>
      <c r="G173" s="27" t="s">
        <v>64</v>
      </c>
      <c r="H173" s="288"/>
      <c r="I173" s="275"/>
      <c r="J173" s="276" t="s">
        <v>128</v>
      </c>
      <c r="K173" s="183"/>
    </row>
    <row r="174" spans="1:11" x14ac:dyDescent="0.2">
      <c r="A174" s="29"/>
      <c r="B174" s="30" t="s">
        <v>65</v>
      </c>
      <c r="C174" s="31"/>
      <c r="D174" s="31"/>
      <c r="E174" s="31"/>
      <c r="F174" s="31"/>
      <c r="G174" s="31"/>
      <c r="H174" s="31"/>
      <c r="I174" s="32"/>
      <c r="J174" s="277"/>
      <c r="K174" s="183"/>
    </row>
    <row r="175" spans="1:11" x14ac:dyDescent="0.2">
      <c r="A175" s="155" t="s">
        <v>126</v>
      </c>
      <c r="B175" s="160" t="s">
        <v>82</v>
      </c>
      <c r="C175" s="38">
        <v>7670</v>
      </c>
      <c r="D175" s="37"/>
      <c r="E175" s="38">
        <v>438000</v>
      </c>
      <c r="F175" s="38"/>
      <c r="G175" s="38"/>
      <c r="H175" s="62">
        <v>40000</v>
      </c>
      <c r="I175" s="38">
        <v>406120</v>
      </c>
      <c r="J175" s="36">
        <f>+SUM(C175:G175)-(H175+I175)</f>
        <v>-450</v>
      </c>
      <c r="K175" s="184" t="e">
        <f>J175=#REF!</f>
        <v>#REF!</v>
      </c>
    </row>
    <row r="176" spans="1:11" x14ac:dyDescent="0.2">
      <c r="A176" s="155" t="s">
        <v>126</v>
      </c>
      <c r="B176" s="160" t="s">
        <v>53</v>
      </c>
      <c r="C176" s="38">
        <v>4710</v>
      </c>
      <c r="D176" s="37"/>
      <c r="E176" s="38">
        <v>303000</v>
      </c>
      <c r="F176" s="38">
        <f>25000+91000+62000</f>
        <v>178000</v>
      </c>
      <c r="G176" s="38"/>
      <c r="H176" s="62">
        <v>29000</v>
      </c>
      <c r="I176" s="38">
        <v>444200</v>
      </c>
      <c r="J176" s="36">
        <f t="shared" ref="J176:J177" si="46">+SUM(C176:G176)-(H176+I176)</f>
        <v>12510</v>
      </c>
      <c r="K176" s="184" t="b">
        <f>J176=I76</f>
        <v>0</v>
      </c>
    </row>
    <row r="177" spans="1:11" x14ac:dyDescent="0.2">
      <c r="A177" s="155" t="s">
        <v>126</v>
      </c>
      <c r="B177" s="160" t="s">
        <v>34</v>
      </c>
      <c r="C177" s="38">
        <v>9295</v>
      </c>
      <c r="D177" s="37"/>
      <c r="E177" s="38">
        <v>743000</v>
      </c>
      <c r="F177" s="38">
        <v>2000</v>
      </c>
      <c r="G177" s="38"/>
      <c r="H177" s="38">
        <f>103000+91000+137000+101000+91000</f>
        <v>523000</v>
      </c>
      <c r="I177" s="38">
        <v>228400</v>
      </c>
      <c r="J177" s="114">
        <f t="shared" si="46"/>
        <v>2895</v>
      </c>
      <c r="K177" s="184" t="b">
        <f>J177=I77</f>
        <v>0</v>
      </c>
    </row>
    <row r="178" spans="1:11" x14ac:dyDescent="0.2">
      <c r="A178" s="155" t="s">
        <v>126</v>
      </c>
      <c r="B178" s="160" t="s">
        <v>83</v>
      </c>
      <c r="C178" s="38">
        <v>-25100</v>
      </c>
      <c r="D178" s="118"/>
      <c r="E178" s="38">
        <v>121100</v>
      </c>
      <c r="F178" s="38">
        <f>103000+1000+28000+137000</f>
        <v>269000</v>
      </c>
      <c r="G178" s="38"/>
      <c r="H178" s="38"/>
      <c r="I178" s="38">
        <v>302960</v>
      </c>
      <c r="J178" s="114">
        <f>+SUM(C178:G178)-(H178+I178)</f>
        <v>62040</v>
      </c>
      <c r="K178" s="184" t="b">
        <f>J178=I78</f>
        <v>0</v>
      </c>
    </row>
    <row r="179" spans="1:11" x14ac:dyDescent="0.2">
      <c r="A179" s="155" t="s">
        <v>126</v>
      </c>
      <c r="B179" s="160" t="s">
        <v>75</v>
      </c>
      <c r="C179" s="38">
        <v>7384</v>
      </c>
      <c r="D179" s="118"/>
      <c r="E179" s="38">
        <v>319000</v>
      </c>
      <c r="F179" s="38">
        <v>101000</v>
      </c>
      <c r="G179" s="38"/>
      <c r="H179" s="38">
        <v>62000</v>
      </c>
      <c r="I179" s="38">
        <v>365200</v>
      </c>
      <c r="J179" s="114">
        <f t="shared" ref="J179" si="47">+SUM(C179:G179)-(H179+I179)</f>
        <v>184</v>
      </c>
      <c r="K179" s="184" t="e">
        <f>J179=#REF!</f>
        <v>#REF!</v>
      </c>
    </row>
    <row r="180" spans="1:11" x14ac:dyDescent="0.2">
      <c r="A180" s="155" t="s">
        <v>126</v>
      </c>
      <c r="B180" s="161" t="s">
        <v>33</v>
      </c>
      <c r="C180" s="38">
        <v>61300</v>
      </c>
      <c r="D180" s="152"/>
      <c r="E180" s="58">
        <v>931200</v>
      </c>
      <c r="F180" s="58"/>
      <c r="G180" s="58"/>
      <c r="H180" s="58">
        <v>28000</v>
      </c>
      <c r="I180" s="58">
        <v>1001000</v>
      </c>
      <c r="J180" s="157">
        <f>+SUM(C180:G180)-(H180+I180)</f>
        <v>-36500</v>
      </c>
      <c r="K180" s="184" t="b">
        <f t="shared" ref="K180:K187" si="48">J180=I79</f>
        <v>0</v>
      </c>
    </row>
    <row r="181" spans="1:11" x14ac:dyDescent="0.2">
      <c r="A181" s="155" t="s">
        <v>126</v>
      </c>
      <c r="B181" s="162" t="s">
        <v>90</v>
      </c>
      <c r="C181" s="153">
        <v>233614</v>
      </c>
      <c r="D181" s="156"/>
      <c r="E181" s="172"/>
      <c r="F181" s="172"/>
      <c r="G181" s="172"/>
      <c r="H181" s="172"/>
      <c r="I181" s="172"/>
      <c r="J181" s="154">
        <f>+SUM(C181:G181)-(H181+I181)</f>
        <v>233614</v>
      </c>
      <c r="K181" s="184" t="b">
        <f t="shared" si="48"/>
        <v>0</v>
      </c>
    </row>
    <row r="182" spans="1:11" x14ac:dyDescent="0.2">
      <c r="A182" s="155" t="s">
        <v>126</v>
      </c>
      <c r="B182" s="162" t="s">
        <v>89</v>
      </c>
      <c r="C182" s="153">
        <v>249769</v>
      </c>
      <c r="D182" s="156"/>
      <c r="E182" s="172"/>
      <c r="F182" s="172"/>
      <c r="G182" s="172"/>
      <c r="H182" s="172"/>
      <c r="I182" s="172"/>
      <c r="J182" s="154">
        <f t="shared" ref="J182:J185" si="49">+SUM(C182:G182)-(H182+I182)</f>
        <v>249769</v>
      </c>
      <c r="K182" s="184" t="b">
        <f t="shared" si="48"/>
        <v>0</v>
      </c>
    </row>
    <row r="183" spans="1:11" x14ac:dyDescent="0.2">
      <c r="A183" s="155" t="s">
        <v>126</v>
      </c>
      <c r="B183" s="160" t="s">
        <v>39</v>
      </c>
      <c r="C183" s="38">
        <v>4500</v>
      </c>
      <c r="D183" s="37"/>
      <c r="E183" s="38">
        <v>234000</v>
      </c>
      <c r="F183" s="38">
        <v>40000</v>
      </c>
      <c r="G183" s="118"/>
      <c r="H183" s="118"/>
      <c r="I183" s="38">
        <v>207300</v>
      </c>
      <c r="J183" s="36">
        <f t="shared" si="49"/>
        <v>71200</v>
      </c>
      <c r="K183" s="184" t="b">
        <f t="shared" si="48"/>
        <v>0</v>
      </c>
    </row>
    <row r="184" spans="1:11" x14ac:dyDescent="0.2">
      <c r="A184" s="155" t="s">
        <v>126</v>
      </c>
      <c r="B184" s="160" t="s">
        <v>99</v>
      </c>
      <c r="C184" s="38">
        <v>-6000</v>
      </c>
      <c r="D184" s="37"/>
      <c r="E184" s="38">
        <v>61000</v>
      </c>
      <c r="F184" s="118"/>
      <c r="G184" s="118"/>
      <c r="H184" s="118"/>
      <c r="I184" s="38">
        <v>49000</v>
      </c>
      <c r="J184" s="36">
        <f t="shared" si="49"/>
        <v>6000</v>
      </c>
      <c r="K184" s="184" t="b">
        <f t="shared" si="48"/>
        <v>0</v>
      </c>
    </row>
    <row r="185" spans="1:11" x14ac:dyDescent="0.2">
      <c r="A185" s="155" t="s">
        <v>126</v>
      </c>
      <c r="B185" s="160" t="s">
        <v>32</v>
      </c>
      <c r="C185" s="38">
        <v>72200</v>
      </c>
      <c r="D185" s="37"/>
      <c r="E185" s="38">
        <v>722000</v>
      </c>
      <c r="F185" s="118"/>
      <c r="G185" s="118"/>
      <c r="H185" s="118"/>
      <c r="I185" s="38">
        <v>626500</v>
      </c>
      <c r="J185" s="36">
        <f t="shared" si="49"/>
        <v>167700</v>
      </c>
      <c r="K185" s="184" t="b">
        <f t="shared" si="48"/>
        <v>0</v>
      </c>
    </row>
    <row r="186" spans="1:11" x14ac:dyDescent="0.2">
      <c r="A186" s="155" t="s">
        <v>126</v>
      </c>
      <c r="B186" s="160" t="s">
        <v>35</v>
      </c>
      <c r="C186" s="38">
        <v>9300</v>
      </c>
      <c r="D186" s="37"/>
      <c r="E186" s="38">
        <v>60000</v>
      </c>
      <c r="F186" s="118"/>
      <c r="G186" s="118"/>
      <c r="H186" s="118"/>
      <c r="I186" s="38">
        <v>4000</v>
      </c>
      <c r="J186" s="36">
        <f t="shared" ref="J186:J187" si="50">+SUM(C186:G186)-(H186+I186)</f>
        <v>65300</v>
      </c>
      <c r="K186" s="184" t="b">
        <f t="shared" si="48"/>
        <v>0</v>
      </c>
    </row>
    <row r="187" spans="1:11" x14ac:dyDescent="0.2">
      <c r="A187" s="155" t="s">
        <v>126</v>
      </c>
      <c r="B187" s="161" t="s">
        <v>119</v>
      </c>
      <c r="C187" s="38">
        <v>-14000</v>
      </c>
      <c r="D187" s="152"/>
      <c r="E187" s="58">
        <v>378000</v>
      </c>
      <c r="F187" s="58">
        <f>29000+91000</f>
        <v>120000</v>
      </c>
      <c r="G187" s="173"/>
      <c r="H187" s="58">
        <f>2000+1000+25000</f>
        <v>28000</v>
      </c>
      <c r="I187" s="58">
        <v>467700</v>
      </c>
      <c r="J187" s="36">
        <f t="shared" si="50"/>
        <v>-11700</v>
      </c>
      <c r="K187" s="184" t="b">
        <f t="shared" si="48"/>
        <v>0</v>
      </c>
    </row>
    <row r="188" spans="1:11" x14ac:dyDescent="0.2">
      <c r="A188" s="40" t="s">
        <v>66</v>
      </c>
      <c r="B188" s="41"/>
      <c r="C188" s="41"/>
      <c r="D188" s="41"/>
      <c r="E188" s="41"/>
      <c r="F188" s="41"/>
      <c r="G188" s="41"/>
      <c r="H188" s="41"/>
      <c r="I188" s="41"/>
      <c r="J188" s="42"/>
      <c r="K188" s="183"/>
    </row>
    <row r="189" spans="1:11" x14ac:dyDescent="0.2">
      <c r="A189" s="155" t="s">
        <v>126</v>
      </c>
      <c r="B189" s="43" t="s">
        <v>67</v>
      </c>
      <c r="C189" s="44">
        <v>1148337</v>
      </c>
      <c r="D189" s="56">
        <v>7000000</v>
      </c>
      <c r="E189" s="117"/>
      <c r="F189" s="117"/>
      <c r="G189" s="174"/>
      <c r="H189" s="164">
        <v>4310300</v>
      </c>
      <c r="I189" s="159">
        <v>2165078</v>
      </c>
      <c r="J189" s="51">
        <f>+SUM(C189:G189)-(H189+I189)</f>
        <v>1672959</v>
      </c>
      <c r="K189" s="184" t="b">
        <f>J189=I75</f>
        <v>0</v>
      </c>
    </row>
    <row r="190" spans="1:11" x14ac:dyDescent="0.2">
      <c r="A190" s="49" t="s">
        <v>68</v>
      </c>
      <c r="B190" s="30"/>
      <c r="C190" s="41"/>
      <c r="D190" s="30"/>
      <c r="E190" s="30"/>
      <c r="F190" s="30"/>
      <c r="G190" s="30"/>
      <c r="H190" s="30"/>
      <c r="I190" s="30"/>
      <c r="J190" s="42"/>
      <c r="K190" s="183"/>
    </row>
    <row r="191" spans="1:11" x14ac:dyDescent="0.2">
      <c r="A191" s="155" t="s">
        <v>126</v>
      </c>
      <c r="B191" s="43" t="s">
        <v>69</v>
      </c>
      <c r="C191" s="158">
        <v>10113263</v>
      </c>
      <c r="D191" s="165">
        <v>0</v>
      </c>
      <c r="E191" s="56"/>
      <c r="F191" s="56"/>
      <c r="G191" s="56"/>
      <c r="H191" s="58">
        <v>7000000</v>
      </c>
      <c r="I191" s="60">
        <v>155885</v>
      </c>
      <c r="J191" s="51">
        <f>+SUM(C191:G191)-(H191+I191)</f>
        <v>2957378</v>
      </c>
      <c r="K191" s="184" t="e">
        <f>+J191=#REF!</f>
        <v>#REF!</v>
      </c>
    </row>
    <row r="192" spans="1:11" x14ac:dyDescent="0.2">
      <c r="A192" s="155" t="s">
        <v>126</v>
      </c>
      <c r="B192" s="43" t="s">
        <v>70</v>
      </c>
      <c r="C192" s="158">
        <v>6219904</v>
      </c>
      <c r="D192" s="56">
        <v>28506579</v>
      </c>
      <c r="E192" s="55"/>
      <c r="F192" s="55"/>
      <c r="G192" s="55"/>
      <c r="H192" s="38"/>
      <c r="I192" s="57">
        <v>6707979</v>
      </c>
      <c r="J192" s="51">
        <f>SUM(C192:G192)-(H192+I192)</f>
        <v>28018504</v>
      </c>
      <c r="K192" s="184" t="b">
        <f>+J192=I74</f>
        <v>0</v>
      </c>
    </row>
    <row r="193" spans="1:11" ht="15.75" x14ac:dyDescent="0.25">
      <c r="C193" s="178">
        <f>SUM(C175:C192)</f>
        <v>18096146</v>
      </c>
      <c r="I193" s="176">
        <f>SUM(I175:I192)</f>
        <v>13131322</v>
      </c>
      <c r="J193" s="119">
        <f>+SUM(J175:J192)</f>
        <v>33471403</v>
      </c>
      <c r="K193" s="10" t="b">
        <f>J193=I87</f>
        <v>0</v>
      </c>
    </row>
    <row r="194" spans="1:11" ht="16.5" x14ac:dyDescent="0.3">
      <c r="A194" s="19"/>
      <c r="B194" s="20"/>
      <c r="C194" s="17" t="e">
        <f>C193=C87</f>
        <v>#REF!</v>
      </c>
      <c r="D194" s="17"/>
      <c r="E194" s="18"/>
      <c r="F194" s="17"/>
      <c r="G194" s="17"/>
      <c r="H194" s="17"/>
      <c r="I194" s="17"/>
    </row>
    <row r="195" spans="1:11" ht="16.5" x14ac:dyDescent="0.3">
      <c r="A195" s="19"/>
      <c r="B195" s="20"/>
      <c r="C195" s="17"/>
      <c r="D195" s="17"/>
      <c r="E195" s="18"/>
      <c r="F195" s="17"/>
      <c r="G195" s="17"/>
      <c r="H195" s="17"/>
      <c r="I195" s="17"/>
    </row>
    <row r="196" spans="1:11" x14ac:dyDescent="0.2">
      <c r="A196" s="21" t="s">
        <v>58</v>
      </c>
      <c r="B196" s="21"/>
      <c r="C196" s="21"/>
      <c r="D196" s="22"/>
      <c r="E196" s="22"/>
      <c r="F196" s="22"/>
      <c r="G196" s="22"/>
      <c r="H196" s="22"/>
      <c r="I196" s="22"/>
    </row>
    <row r="197" spans="1:11" x14ac:dyDescent="0.2">
      <c r="A197" s="23" t="s">
        <v>120</v>
      </c>
      <c r="B197" s="23"/>
      <c r="C197" s="23"/>
      <c r="D197" s="23"/>
      <c r="E197" s="23"/>
      <c r="F197" s="23"/>
      <c r="G197" s="23"/>
      <c r="H197" s="23"/>
      <c r="I197" s="23"/>
      <c r="J197" s="22"/>
    </row>
    <row r="198" spans="1:11" x14ac:dyDescent="0.2">
      <c r="A198" s="24"/>
      <c r="B198" s="25"/>
      <c r="C198" s="26"/>
      <c r="D198" s="26"/>
      <c r="E198" s="26"/>
      <c r="F198" s="26"/>
      <c r="G198" s="26"/>
      <c r="H198" s="25"/>
      <c r="I198" s="25"/>
      <c r="J198" s="23"/>
    </row>
    <row r="199" spans="1:11" x14ac:dyDescent="0.2">
      <c r="A199" s="278" t="s">
        <v>59</v>
      </c>
      <c r="B199" s="280" t="s">
        <v>60</v>
      </c>
      <c r="C199" s="282" t="s">
        <v>122</v>
      </c>
      <c r="D199" s="284" t="s">
        <v>61</v>
      </c>
      <c r="E199" s="285"/>
      <c r="F199" s="285"/>
      <c r="G199" s="286"/>
      <c r="H199" s="287" t="s">
        <v>62</v>
      </c>
      <c r="I199" s="274" t="s">
        <v>63</v>
      </c>
      <c r="J199" s="25"/>
    </row>
    <row r="200" spans="1:11" x14ac:dyDescent="0.25">
      <c r="A200" s="279"/>
      <c r="B200" s="281"/>
      <c r="C200" s="283"/>
      <c r="D200" s="27" t="s">
        <v>27</v>
      </c>
      <c r="E200" s="27" t="s">
        <v>28</v>
      </c>
      <c r="F200" s="179" t="s">
        <v>124</v>
      </c>
      <c r="G200" s="27" t="s">
        <v>64</v>
      </c>
      <c r="H200" s="288"/>
      <c r="I200" s="275"/>
      <c r="J200" s="276" t="s">
        <v>123</v>
      </c>
    </row>
    <row r="201" spans="1:11" x14ac:dyDescent="0.2">
      <c r="A201" s="29"/>
      <c r="B201" s="30" t="s">
        <v>65</v>
      </c>
      <c r="C201" s="31"/>
      <c r="D201" s="31"/>
      <c r="E201" s="31"/>
      <c r="F201" s="31"/>
      <c r="G201" s="31"/>
      <c r="H201" s="31"/>
      <c r="I201" s="32"/>
      <c r="J201" s="277"/>
    </row>
    <row r="202" spans="1:11" x14ac:dyDescent="0.2">
      <c r="A202" s="155" t="s">
        <v>121</v>
      </c>
      <c r="B202" s="160" t="s">
        <v>82</v>
      </c>
      <c r="C202" s="38">
        <v>3670</v>
      </c>
      <c r="D202" s="37"/>
      <c r="E202" s="38">
        <v>118000</v>
      </c>
      <c r="F202" s="38">
        <v>4000</v>
      </c>
      <c r="G202" s="38"/>
      <c r="H202" s="62"/>
      <c r="I202" s="38">
        <v>118000</v>
      </c>
      <c r="J202" s="36">
        <f>+SUM(C202:G202)-(H202+I202)</f>
        <v>7670</v>
      </c>
      <c r="K202" s="180"/>
    </row>
    <row r="203" spans="1:11" x14ac:dyDescent="0.2">
      <c r="A203" s="155" t="s">
        <v>121</v>
      </c>
      <c r="B203" s="160" t="s">
        <v>53</v>
      </c>
      <c r="C203" s="38">
        <v>-540</v>
      </c>
      <c r="D203" s="37"/>
      <c r="E203" s="38">
        <v>209750</v>
      </c>
      <c r="F203" s="38">
        <v>5000</v>
      </c>
      <c r="G203" s="38"/>
      <c r="H203" s="62"/>
      <c r="I203" s="38">
        <v>209500</v>
      </c>
      <c r="J203" s="36">
        <f t="shared" ref="J203:J204" si="51">+SUM(C203:G203)-(H203+I203)</f>
        <v>4710</v>
      </c>
      <c r="K203" s="180"/>
    </row>
    <row r="204" spans="1:11" x14ac:dyDescent="0.2">
      <c r="A204" s="155" t="s">
        <v>121</v>
      </c>
      <c r="B204" s="160" t="s">
        <v>34</v>
      </c>
      <c r="C204" s="38">
        <v>2395</v>
      </c>
      <c r="D204" s="37"/>
      <c r="E204" s="38">
        <v>70000</v>
      </c>
      <c r="F204" s="38">
        <v>4000</v>
      </c>
      <c r="G204" s="38"/>
      <c r="H204" s="38"/>
      <c r="I204" s="38">
        <v>67100</v>
      </c>
      <c r="J204" s="114">
        <f t="shared" si="51"/>
        <v>9295</v>
      </c>
      <c r="K204" s="180"/>
    </row>
    <row r="205" spans="1:11" x14ac:dyDescent="0.2">
      <c r="A205" s="155" t="s">
        <v>121</v>
      </c>
      <c r="B205" s="160" t="s">
        <v>83</v>
      </c>
      <c r="C205" s="38">
        <v>96100</v>
      </c>
      <c r="D205" s="118"/>
      <c r="E205" s="38">
        <v>488100</v>
      </c>
      <c r="F205" s="38">
        <v>4000</v>
      </c>
      <c r="G205" s="38"/>
      <c r="H205" s="38">
        <v>61600</v>
      </c>
      <c r="I205" s="38">
        <v>551700</v>
      </c>
      <c r="J205" s="114">
        <f>+SUM(C205:G205)-(H205+I205)</f>
        <v>-25100</v>
      </c>
      <c r="K205" s="180"/>
    </row>
    <row r="206" spans="1:11" x14ac:dyDescent="0.2">
      <c r="A206" s="155" t="s">
        <v>121</v>
      </c>
      <c r="B206" s="160" t="s">
        <v>75</v>
      </c>
      <c r="C206" s="38">
        <v>13884</v>
      </c>
      <c r="D206" s="118"/>
      <c r="E206" s="38">
        <v>194000</v>
      </c>
      <c r="F206" s="38"/>
      <c r="G206" s="38"/>
      <c r="H206" s="38">
        <v>17000</v>
      </c>
      <c r="I206" s="38">
        <v>183500</v>
      </c>
      <c r="J206" s="114">
        <f t="shared" ref="J206" si="52">+SUM(C206:G206)-(H206+I206)</f>
        <v>7384</v>
      </c>
      <c r="K206" s="180"/>
    </row>
    <row r="207" spans="1:11" x14ac:dyDescent="0.2">
      <c r="A207" s="155" t="s">
        <v>121</v>
      </c>
      <c r="B207" s="161" t="s">
        <v>33</v>
      </c>
      <c r="C207" s="38">
        <v>72400</v>
      </c>
      <c r="D207" s="152"/>
      <c r="E207" s="58">
        <v>599900</v>
      </c>
      <c r="F207" s="58"/>
      <c r="G207" s="58"/>
      <c r="H207" s="58"/>
      <c r="I207" s="58">
        <v>611000</v>
      </c>
      <c r="J207" s="157">
        <f>+SUM(C207:G207)-(H207+I207)</f>
        <v>61300</v>
      </c>
      <c r="K207" s="180"/>
    </row>
    <row r="208" spans="1:11" x14ac:dyDescent="0.2">
      <c r="A208" s="155" t="s">
        <v>121</v>
      </c>
      <c r="B208" s="162" t="s">
        <v>90</v>
      </c>
      <c r="C208" s="153">
        <v>233614</v>
      </c>
      <c r="D208" s="156"/>
      <c r="E208" s="172"/>
      <c r="F208" s="172"/>
      <c r="G208" s="172"/>
      <c r="H208" s="172"/>
      <c r="I208" s="172"/>
      <c r="J208" s="154">
        <f>+SUM(C208:G208)-(H208+I208)</f>
        <v>233614</v>
      </c>
      <c r="K208" s="180"/>
    </row>
    <row r="209" spans="1:11" x14ac:dyDescent="0.2">
      <c r="A209" s="155" t="s">
        <v>121</v>
      </c>
      <c r="B209" s="162" t="s">
        <v>89</v>
      </c>
      <c r="C209" s="153">
        <v>249769</v>
      </c>
      <c r="D209" s="156"/>
      <c r="E209" s="172"/>
      <c r="F209" s="172"/>
      <c r="G209" s="172"/>
      <c r="H209" s="172"/>
      <c r="I209" s="172"/>
      <c r="J209" s="154">
        <f t="shared" ref="J209:J216" si="53">+SUM(C209:G209)-(H209+I209)</f>
        <v>249769</v>
      </c>
      <c r="K209" s="180"/>
    </row>
    <row r="210" spans="1:11" x14ac:dyDescent="0.2">
      <c r="A210" s="155" t="s">
        <v>121</v>
      </c>
      <c r="B210" s="160" t="s">
        <v>39</v>
      </c>
      <c r="C210" s="38">
        <v>18490</v>
      </c>
      <c r="D210" s="37"/>
      <c r="E210" s="38">
        <v>796460</v>
      </c>
      <c r="F210" s="38">
        <v>61600</v>
      </c>
      <c r="G210" s="118"/>
      <c r="H210" s="118"/>
      <c r="I210" s="38">
        <v>872050</v>
      </c>
      <c r="J210" s="36">
        <f t="shared" si="53"/>
        <v>4500</v>
      </c>
      <c r="K210" s="180"/>
    </row>
    <row r="211" spans="1:11" x14ac:dyDescent="0.2">
      <c r="A211" s="155" t="s">
        <v>121</v>
      </c>
      <c r="B211" s="160" t="s">
        <v>99</v>
      </c>
      <c r="C211" s="38">
        <v>4500</v>
      </c>
      <c r="D211" s="37"/>
      <c r="E211" s="38">
        <v>40000</v>
      </c>
      <c r="F211" s="118"/>
      <c r="G211" s="118"/>
      <c r="H211" s="118"/>
      <c r="I211" s="38">
        <v>50500</v>
      </c>
      <c r="J211" s="36">
        <f t="shared" si="53"/>
        <v>-6000</v>
      </c>
      <c r="K211" s="180"/>
    </row>
    <row r="212" spans="1:11" x14ac:dyDescent="0.2">
      <c r="A212" s="155" t="s">
        <v>121</v>
      </c>
      <c r="B212" s="160" t="s">
        <v>32</v>
      </c>
      <c r="C212" s="38">
        <v>44200</v>
      </c>
      <c r="D212" s="37"/>
      <c r="E212" s="38">
        <v>60000</v>
      </c>
      <c r="F212" s="118"/>
      <c r="G212" s="118"/>
      <c r="H212" s="118"/>
      <c r="I212" s="38">
        <v>32000</v>
      </c>
      <c r="J212" s="36">
        <f t="shared" si="53"/>
        <v>72200</v>
      </c>
      <c r="K212" s="180"/>
    </row>
    <row r="213" spans="1:11" x14ac:dyDescent="0.2">
      <c r="A213" s="155" t="s">
        <v>121</v>
      </c>
      <c r="B213" s="160" t="s">
        <v>100</v>
      </c>
      <c r="C213" s="38">
        <v>-851709</v>
      </c>
      <c r="D213" s="37"/>
      <c r="E213" s="38">
        <v>851709</v>
      </c>
      <c r="F213" s="118"/>
      <c r="G213" s="118"/>
      <c r="H213" s="118"/>
      <c r="I213" s="38"/>
      <c r="J213" s="36">
        <f>+SUM(C213:G213)-(H213+I213)</f>
        <v>0</v>
      </c>
      <c r="K213" s="180"/>
    </row>
    <row r="214" spans="1:11" x14ac:dyDescent="0.2">
      <c r="A214" s="155" t="s">
        <v>121</v>
      </c>
      <c r="B214" s="160" t="s">
        <v>107</v>
      </c>
      <c r="C214" s="38">
        <v>90300</v>
      </c>
      <c r="D214" s="37"/>
      <c r="E214" s="38">
        <v>69200</v>
      </c>
      <c r="F214" s="118"/>
      <c r="G214" s="118"/>
      <c r="H214" s="118"/>
      <c r="I214" s="38">
        <v>159500</v>
      </c>
      <c r="J214" s="36">
        <f t="shared" si="53"/>
        <v>0</v>
      </c>
      <c r="K214" s="180"/>
    </row>
    <row r="215" spans="1:11" x14ac:dyDescent="0.2">
      <c r="A215" s="155" t="s">
        <v>121</v>
      </c>
      <c r="B215" s="160" t="s">
        <v>35</v>
      </c>
      <c r="C215" s="38">
        <v>300</v>
      </c>
      <c r="D215" s="37"/>
      <c r="E215" s="38">
        <v>20000</v>
      </c>
      <c r="F215" s="118"/>
      <c r="G215" s="118"/>
      <c r="H215" s="118"/>
      <c r="I215" s="38">
        <v>11000</v>
      </c>
      <c r="J215" s="36">
        <f t="shared" si="53"/>
        <v>9300</v>
      </c>
      <c r="K215" s="180"/>
    </row>
    <row r="216" spans="1:11" x14ac:dyDescent="0.2">
      <c r="A216" s="155" t="s">
        <v>121</v>
      </c>
      <c r="B216" s="161" t="s">
        <v>119</v>
      </c>
      <c r="C216" s="38">
        <v>0</v>
      </c>
      <c r="D216" s="152"/>
      <c r="E216" s="171"/>
      <c r="F216" s="171"/>
      <c r="G216" s="173"/>
      <c r="H216" s="171"/>
      <c r="I216" s="58">
        <v>14000</v>
      </c>
      <c r="J216" s="36">
        <f t="shared" si="53"/>
        <v>-14000</v>
      </c>
      <c r="K216" s="180"/>
    </row>
    <row r="217" spans="1:11" x14ac:dyDescent="0.2">
      <c r="A217" s="40" t="s">
        <v>66</v>
      </c>
      <c r="B217" s="41"/>
      <c r="C217" s="41"/>
      <c r="D217" s="41"/>
      <c r="E217" s="41"/>
      <c r="F217" s="41"/>
      <c r="G217" s="41"/>
      <c r="H217" s="41"/>
      <c r="I217" s="41"/>
      <c r="J217" s="42"/>
    </row>
    <row r="218" spans="1:11" x14ac:dyDescent="0.2">
      <c r="A218" s="155" t="s">
        <v>121</v>
      </c>
      <c r="B218" s="43" t="s">
        <v>67</v>
      </c>
      <c r="C218" s="44" t="e">
        <f>C75</f>
        <v>#REF!</v>
      </c>
      <c r="D218" s="56">
        <v>5872000</v>
      </c>
      <c r="E218" s="117"/>
      <c r="F218" s="117"/>
      <c r="G218" s="174"/>
      <c r="H218" s="164">
        <v>3517119</v>
      </c>
      <c r="I218" s="159">
        <v>1523260</v>
      </c>
      <c r="J218" s="51" t="e">
        <f>+SUM(C218:G218)-(H218+I218)</f>
        <v>#REF!</v>
      </c>
      <c r="K218" s="180"/>
    </row>
    <row r="219" spans="1:11" x14ac:dyDescent="0.2">
      <c r="A219" s="49" t="s">
        <v>68</v>
      </c>
      <c r="B219" s="30"/>
      <c r="C219" s="41"/>
      <c r="D219" s="30"/>
      <c r="E219" s="30"/>
      <c r="F219" s="30"/>
      <c r="G219" s="30"/>
      <c r="H219" s="30"/>
      <c r="I219" s="30"/>
      <c r="J219" s="42"/>
    </row>
    <row r="220" spans="1:11" x14ac:dyDescent="0.2">
      <c r="A220" s="155" t="s">
        <v>121</v>
      </c>
      <c r="B220" s="43" t="s">
        <v>69</v>
      </c>
      <c r="C220" s="158" t="e">
        <f>#REF!</f>
        <v>#REF!</v>
      </c>
      <c r="D220" s="165">
        <v>10380044</v>
      </c>
      <c r="E220" s="56"/>
      <c r="F220" s="56"/>
      <c r="G220" s="56"/>
      <c r="H220" s="58">
        <v>5500000</v>
      </c>
      <c r="I220" s="60">
        <v>277455</v>
      </c>
      <c r="J220" s="51" t="e">
        <f>+SUM(C220:G220)-(H220+I220)</f>
        <v>#REF!</v>
      </c>
      <c r="K220" s="180"/>
    </row>
    <row r="221" spans="1:11" x14ac:dyDescent="0.2">
      <c r="A221" s="155" t="s">
        <v>121</v>
      </c>
      <c r="B221" s="43" t="s">
        <v>70</v>
      </c>
      <c r="C221" s="158" t="e">
        <f>C74</f>
        <v>#REF!</v>
      </c>
      <c r="D221" s="56"/>
      <c r="E221" s="55"/>
      <c r="F221" s="55"/>
      <c r="G221" s="55"/>
      <c r="H221" s="38">
        <v>372000</v>
      </c>
      <c r="I221" s="57">
        <v>4601760</v>
      </c>
      <c r="J221" s="51" t="e">
        <f>SUM(C221:G221)-(H221+I221)</f>
        <v>#REF!</v>
      </c>
      <c r="K221" s="180"/>
    </row>
    <row r="222" spans="1:11" ht="15.75" x14ac:dyDescent="0.25">
      <c r="C222" s="178" t="e">
        <f>SUM(C202:C221)</f>
        <v>#REF!</v>
      </c>
      <c r="I222" s="176">
        <f>SUM(I202:I221)</f>
        <v>9282325</v>
      </c>
      <c r="J222" s="119" t="e">
        <f>+SUM(J202:J221)</f>
        <v>#REF!</v>
      </c>
    </row>
    <row r="223" spans="1:11" ht="16.5" x14ac:dyDescent="0.3">
      <c r="A223" s="19"/>
      <c r="B223" s="20"/>
      <c r="C223" s="17"/>
      <c r="D223" s="17"/>
      <c r="E223" s="18"/>
      <c r="F223" s="17"/>
      <c r="G223" s="17"/>
      <c r="H223" s="17"/>
      <c r="I223" s="17"/>
    </row>
    <row r="224" spans="1:11" x14ac:dyDescent="0.2">
      <c r="A224" s="21" t="s">
        <v>58</v>
      </c>
      <c r="B224" s="21"/>
      <c r="C224" s="21"/>
      <c r="D224" s="22"/>
      <c r="E224" s="22"/>
      <c r="F224" s="22"/>
      <c r="G224" s="22"/>
      <c r="H224" s="22"/>
      <c r="I224" s="22"/>
    </row>
    <row r="225" spans="1:11" x14ac:dyDescent="0.2">
      <c r="A225" s="23" t="s">
        <v>115</v>
      </c>
      <c r="B225" s="23"/>
      <c r="C225" s="23"/>
      <c r="D225" s="23"/>
      <c r="E225" s="23"/>
      <c r="F225" s="23"/>
      <c r="G225" s="23"/>
      <c r="H225" s="23"/>
      <c r="I225" s="23"/>
      <c r="J225" s="22"/>
    </row>
    <row r="226" spans="1:11" x14ac:dyDescent="0.2">
      <c r="A226" s="24"/>
      <c r="B226" s="25"/>
      <c r="C226" s="26"/>
      <c r="D226" s="26"/>
      <c r="E226" s="26"/>
      <c r="F226" s="26"/>
      <c r="G226" s="26"/>
      <c r="H226" s="25"/>
      <c r="I226" s="25"/>
      <c r="J226" s="23"/>
    </row>
    <row r="227" spans="1:11" x14ac:dyDescent="0.2">
      <c r="A227" s="278" t="s">
        <v>59</v>
      </c>
      <c r="B227" s="280" t="s">
        <v>60</v>
      </c>
      <c r="C227" s="282" t="s">
        <v>116</v>
      </c>
      <c r="D227" s="284" t="s">
        <v>61</v>
      </c>
      <c r="E227" s="285"/>
      <c r="F227" s="285"/>
      <c r="G227" s="286"/>
      <c r="H227" s="287" t="s">
        <v>62</v>
      </c>
      <c r="I227" s="274" t="s">
        <v>63</v>
      </c>
      <c r="J227" s="25"/>
    </row>
    <row r="228" spans="1:11" x14ac:dyDescent="0.25">
      <c r="A228" s="279"/>
      <c r="B228" s="281"/>
      <c r="C228" s="283"/>
      <c r="D228" s="27" t="s">
        <v>27</v>
      </c>
      <c r="E228" s="27" t="s">
        <v>28</v>
      </c>
      <c r="F228" s="177" t="s">
        <v>118</v>
      </c>
      <c r="G228" s="27" t="s">
        <v>64</v>
      </c>
      <c r="H228" s="288"/>
      <c r="I228" s="275"/>
      <c r="J228" s="276" t="s">
        <v>117</v>
      </c>
    </row>
    <row r="229" spans="1:11" x14ac:dyDescent="0.2">
      <c r="A229" s="29"/>
      <c r="B229" s="30" t="s">
        <v>65</v>
      </c>
      <c r="C229" s="31"/>
      <c r="D229" s="31"/>
      <c r="E229" s="31"/>
      <c r="F229" s="31"/>
      <c r="G229" s="31"/>
      <c r="H229" s="31"/>
      <c r="I229" s="32"/>
      <c r="J229" s="277"/>
    </row>
    <row r="230" spans="1:11" x14ac:dyDescent="0.2">
      <c r="A230" s="155" t="s">
        <v>114</v>
      </c>
      <c r="B230" s="160" t="s">
        <v>82</v>
      </c>
      <c r="C230" s="38">
        <v>-11330</v>
      </c>
      <c r="D230" s="37"/>
      <c r="E230" s="38">
        <v>201400</v>
      </c>
      <c r="F230" s="38">
        <v>184300</v>
      </c>
      <c r="G230" s="38"/>
      <c r="H230" s="62"/>
      <c r="I230" s="38">
        <v>370700</v>
      </c>
      <c r="J230" s="36">
        <f>+SUM(C230:G230)-(H230+I230)</f>
        <v>3670</v>
      </c>
      <c r="K230" s="76"/>
    </row>
    <row r="231" spans="1:11" x14ac:dyDescent="0.2">
      <c r="A231" s="155" t="s">
        <v>114</v>
      </c>
      <c r="B231" s="160" t="s">
        <v>53</v>
      </c>
      <c r="C231" s="38">
        <v>8260</v>
      </c>
      <c r="D231" s="37"/>
      <c r="E231" s="38">
        <v>357900</v>
      </c>
      <c r="F231" s="38"/>
      <c r="G231" s="38"/>
      <c r="H231" s="62">
        <v>50000</v>
      </c>
      <c r="I231" s="38">
        <v>316700</v>
      </c>
      <c r="J231" s="36">
        <f t="shared" ref="J231:J232" si="54">+SUM(C231:G231)-(H231+I231)</f>
        <v>-540</v>
      </c>
      <c r="K231" s="76"/>
    </row>
    <row r="232" spans="1:11" x14ac:dyDescent="0.2">
      <c r="A232" s="155" t="s">
        <v>114</v>
      </c>
      <c r="B232" s="160" t="s">
        <v>34</v>
      </c>
      <c r="C232" s="38">
        <v>3795</v>
      </c>
      <c r="D232" s="37"/>
      <c r="E232" s="38">
        <v>20000</v>
      </c>
      <c r="F232" s="38"/>
      <c r="G232" s="38"/>
      <c r="H232" s="38"/>
      <c r="I232" s="38">
        <v>21400</v>
      </c>
      <c r="J232" s="114">
        <f t="shared" si="54"/>
        <v>2395</v>
      </c>
      <c r="K232" s="76"/>
    </row>
    <row r="233" spans="1:11" x14ac:dyDescent="0.2">
      <c r="A233" s="155" t="s">
        <v>114</v>
      </c>
      <c r="B233" s="160" t="s">
        <v>83</v>
      </c>
      <c r="C233" s="38">
        <v>-83100</v>
      </c>
      <c r="D233" s="118"/>
      <c r="E233" s="38">
        <v>699200</v>
      </c>
      <c r="F233" s="38"/>
      <c r="G233" s="38"/>
      <c r="H233" s="38"/>
      <c r="I233" s="38">
        <v>520000</v>
      </c>
      <c r="J233" s="114">
        <f>+SUM(C233:G233)-(H233+I233)</f>
        <v>96100</v>
      </c>
      <c r="K233" s="76"/>
    </row>
    <row r="234" spans="1:11" x14ac:dyDescent="0.2">
      <c r="A234" s="155" t="s">
        <v>114</v>
      </c>
      <c r="B234" s="160" t="s">
        <v>75</v>
      </c>
      <c r="C234" s="38">
        <v>1784</v>
      </c>
      <c r="D234" s="118"/>
      <c r="E234" s="38">
        <v>568600</v>
      </c>
      <c r="F234" s="38">
        <v>50000</v>
      </c>
      <c r="G234" s="38"/>
      <c r="H234" s="38">
        <v>184300</v>
      </c>
      <c r="I234" s="38">
        <v>422200</v>
      </c>
      <c r="J234" s="114">
        <f t="shared" ref="J234" si="55">+SUM(C234:G234)-(H234+I234)</f>
        <v>13884</v>
      </c>
      <c r="K234" s="76"/>
    </row>
    <row r="235" spans="1:11" x14ac:dyDescent="0.2">
      <c r="A235" s="155" t="s">
        <v>114</v>
      </c>
      <c r="B235" s="161" t="s">
        <v>33</v>
      </c>
      <c r="C235" s="38">
        <v>88800</v>
      </c>
      <c r="D235" s="152"/>
      <c r="E235" s="58">
        <v>694600</v>
      </c>
      <c r="F235" s="58"/>
      <c r="G235" s="58"/>
      <c r="H235" s="58"/>
      <c r="I235" s="58">
        <v>711000</v>
      </c>
      <c r="J235" s="157">
        <f>+SUM(C235:G235)-(H235+I235)</f>
        <v>72400</v>
      </c>
      <c r="K235" s="76"/>
    </row>
    <row r="236" spans="1:11" x14ac:dyDescent="0.2">
      <c r="A236" s="155" t="s">
        <v>114</v>
      </c>
      <c r="B236" s="162" t="s">
        <v>90</v>
      </c>
      <c r="C236" s="153">
        <v>233614</v>
      </c>
      <c r="D236" s="156"/>
      <c r="E236" s="172"/>
      <c r="F236" s="172"/>
      <c r="G236" s="172"/>
      <c r="H236" s="172"/>
      <c r="I236" s="172"/>
      <c r="J236" s="154">
        <f>+SUM(C236:G236)-(H236+I236)</f>
        <v>233614</v>
      </c>
      <c r="K236" s="76"/>
    </row>
    <row r="237" spans="1:11" x14ac:dyDescent="0.2">
      <c r="A237" s="155" t="s">
        <v>114</v>
      </c>
      <c r="B237" s="162" t="s">
        <v>89</v>
      </c>
      <c r="C237" s="153">
        <v>249769</v>
      </c>
      <c r="D237" s="156"/>
      <c r="E237" s="172"/>
      <c r="F237" s="172"/>
      <c r="G237" s="172"/>
      <c r="H237" s="172"/>
      <c r="I237" s="172"/>
      <c r="J237" s="154">
        <f t="shared" ref="J237:J241" si="56">+SUM(C237:G237)-(H237+I237)</f>
        <v>249769</v>
      </c>
      <c r="K237" s="76"/>
    </row>
    <row r="238" spans="1:11" x14ac:dyDescent="0.2">
      <c r="A238" s="155" t="s">
        <v>114</v>
      </c>
      <c r="B238" s="160" t="s">
        <v>39</v>
      </c>
      <c r="C238" s="38">
        <v>7890</v>
      </c>
      <c r="D238" s="37"/>
      <c r="E238" s="38">
        <v>135600</v>
      </c>
      <c r="F238" s="118"/>
      <c r="G238" s="118"/>
      <c r="H238" s="118"/>
      <c r="I238" s="38">
        <v>125000</v>
      </c>
      <c r="J238" s="36">
        <f t="shared" si="56"/>
        <v>18490</v>
      </c>
      <c r="K238" s="76"/>
    </row>
    <row r="239" spans="1:11" x14ac:dyDescent="0.2">
      <c r="A239" s="155" t="s">
        <v>114</v>
      </c>
      <c r="B239" s="160" t="s">
        <v>99</v>
      </c>
      <c r="C239" s="38">
        <v>5000</v>
      </c>
      <c r="D239" s="37"/>
      <c r="E239" s="38">
        <v>30000</v>
      </c>
      <c r="F239" s="118"/>
      <c r="G239" s="118"/>
      <c r="H239" s="118"/>
      <c r="I239" s="38">
        <v>30500</v>
      </c>
      <c r="J239" s="36">
        <f t="shared" si="56"/>
        <v>4500</v>
      </c>
      <c r="K239" s="76"/>
    </row>
    <row r="240" spans="1:11" x14ac:dyDescent="0.2">
      <c r="A240" s="155" t="s">
        <v>114</v>
      </c>
      <c r="B240" s="160" t="s">
        <v>32</v>
      </c>
      <c r="C240" s="38">
        <v>57700</v>
      </c>
      <c r="D240" s="37"/>
      <c r="E240" s="38">
        <v>639000</v>
      </c>
      <c r="F240" s="118"/>
      <c r="G240" s="118"/>
      <c r="H240" s="118"/>
      <c r="I240" s="38">
        <v>652500</v>
      </c>
      <c r="J240" s="36">
        <f t="shared" si="56"/>
        <v>44200</v>
      </c>
      <c r="K240" s="76"/>
    </row>
    <row r="241" spans="1:11" x14ac:dyDescent="0.2">
      <c r="A241" s="155" t="s">
        <v>114</v>
      </c>
      <c r="B241" s="160" t="s">
        <v>100</v>
      </c>
      <c r="C241" s="38">
        <v>-32081</v>
      </c>
      <c r="D241" s="37"/>
      <c r="E241" s="118"/>
      <c r="F241" s="118"/>
      <c r="G241" s="118"/>
      <c r="H241" s="118"/>
      <c r="I241" s="38">
        <v>819628</v>
      </c>
      <c r="J241" s="36">
        <f t="shared" si="56"/>
        <v>-851709</v>
      </c>
      <c r="K241" s="76"/>
    </row>
    <row r="242" spans="1:11" x14ac:dyDescent="0.2">
      <c r="A242" s="155" t="s">
        <v>114</v>
      </c>
      <c r="B242" s="160" t="s">
        <v>107</v>
      </c>
      <c r="C242" s="38">
        <v>62000</v>
      </c>
      <c r="D242" s="37"/>
      <c r="E242" s="38">
        <v>622600</v>
      </c>
      <c r="F242" s="118"/>
      <c r="G242" s="118"/>
      <c r="H242" s="118"/>
      <c r="I242" s="38">
        <v>594300</v>
      </c>
      <c r="J242" s="36">
        <f>+SUM(C242:G242)-(H242+I242)</f>
        <v>90300</v>
      </c>
      <c r="K242" s="76"/>
    </row>
    <row r="243" spans="1:11" x14ac:dyDescent="0.2">
      <c r="A243" s="155" t="s">
        <v>114</v>
      </c>
      <c r="B243" s="161" t="s">
        <v>35</v>
      </c>
      <c r="C243" s="38">
        <v>4300</v>
      </c>
      <c r="D243" s="152"/>
      <c r="E243" s="171"/>
      <c r="F243" s="171"/>
      <c r="G243" s="173"/>
      <c r="H243" s="171"/>
      <c r="I243" s="58">
        <v>4000</v>
      </c>
      <c r="J243" s="36">
        <f t="shared" ref="J243" si="57">+SUM(C243:G243)-(H243+I243)</f>
        <v>300</v>
      </c>
      <c r="K243" s="76"/>
    </row>
    <row r="244" spans="1:11" x14ac:dyDescent="0.2">
      <c r="A244" s="40" t="s">
        <v>66</v>
      </c>
      <c r="B244" s="41"/>
      <c r="C244" s="41"/>
      <c r="D244" s="41"/>
      <c r="E244" s="41"/>
      <c r="F244" s="41"/>
      <c r="G244" s="41"/>
      <c r="H244" s="41"/>
      <c r="I244" s="41"/>
      <c r="J244" s="42"/>
      <c r="K244" s="76"/>
    </row>
    <row r="245" spans="1:11" x14ac:dyDescent="0.2">
      <c r="A245" s="155" t="s">
        <v>114</v>
      </c>
      <c r="B245" s="43" t="s">
        <v>67</v>
      </c>
      <c r="C245" s="44">
        <v>62150</v>
      </c>
      <c r="D245" s="56">
        <v>5500000</v>
      </c>
      <c r="E245" s="117"/>
      <c r="F245" s="117"/>
      <c r="G245" s="174"/>
      <c r="H245" s="164">
        <v>3968900</v>
      </c>
      <c r="I245" s="159">
        <v>1276534</v>
      </c>
      <c r="J245" s="51">
        <f>+SUM(C245:G245)-(H245+I245)</f>
        <v>316716</v>
      </c>
      <c r="K245" s="76"/>
    </row>
    <row r="246" spans="1:11" x14ac:dyDescent="0.2">
      <c r="A246" s="49" t="s">
        <v>68</v>
      </c>
      <c r="B246" s="30"/>
      <c r="C246" s="41"/>
      <c r="D246" s="30"/>
      <c r="E246" s="30"/>
      <c r="F246" s="30"/>
      <c r="G246" s="30"/>
      <c r="H246" s="30"/>
      <c r="I246" s="30"/>
      <c r="J246" s="42"/>
    </row>
    <row r="247" spans="1:11" x14ac:dyDescent="0.2">
      <c r="A247" s="155" t="s">
        <v>114</v>
      </c>
      <c r="B247" s="43" t="s">
        <v>69</v>
      </c>
      <c r="C247" s="158">
        <v>11284555</v>
      </c>
      <c r="D247" s="165"/>
      <c r="E247" s="56"/>
      <c r="F247" s="56"/>
      <c r="G247" s="56"/>
      <c r="H247" s="58">
        <v>5500000</v>
      </c>
      <c r="I247" s="60">
        <v>273881</v>
      </c>
      <c r="J247" s="51">
        <f>+SUM(C247:G247)-(H247+I247)</f>
        <v>5510674</v>
      </c>
      <c r="K247" s="76"/>
    </row>
    <row r="248" spans="1:11" x14ac:dyDescent="0.2">
      <c r="A248" s="155" t="s">
        <v>114</v>
      </c>
      <c r="B248" s="43" t="s">
        <v>70</v>
      </c>
      <c r="C248" s="158">
        <v>2158645</v>
      </c>
      <c r="D248" s="56">
        <v>15435980</v>
      </c>
      <c r="E248" s="55"/>
      <c r="F248" s="55"/>
      <c r="G248" s="55"/>
      <c r="H248" s="38"/>
      <c r="I248" s="57">
        <v>6400961</v>
      </c>
      <c r="J248" s="51">
        <f>SUM(C248:G248)-(H248+I248)</f>
        <v>11193664</v>
      </c>
      <c r="K248" s="76"/>
    </row>
    <row r="249" spans="1:11" ht="15.75" x14ac:dyDescent="0.25">
      <c r="C249" s="178">
        <f>SUM(C230:C248)</f>
        <v>14101751</v>
      </c>
      <c r="I249" s="176">
        <f>SUM(I230:I248)</f>
        <v>12539304</v>
      </c>
      <c r="J249" s="119">
        <f>+SUM(J230:J248)</f>
        <v>16998427</v>
      </c>
    </row>
    <row r="250" spans="1:11" ht="16.5" x14ac:dyDescent="0.3">
      <c r="A250" s="15"/>
      <c r="B250" s="16"/>
      <c r="C250" s="17"/>
      <c r="D250" s="17"/>
      <c r="E250" s="17"/>
      <c r="F250" s="17"/>
      <c r="G250" s="17"/>
      <c r="H250" s="17"/>
      <c r="I250" s="17"/>
      <c r="J250" s="166"/>
    </row>
    <row r="251" spans="1:11" ht="16.5" x14ac:dyDescent="0.3">
      <c r="A251" s="19"/>
      <c r="B251" s="20"/>
      <c r="C251" s="17"/>
      <c r="D251" s="17"/>
      <c r="E251" s="18"/>
      <c r="F251" s="17"/>
      <c r="G251" s="17"/>
      <c r="H251" s="17"/>
      <c r="I251" s="17"/>
    </row>
    <row r="252" spans="1:11" x14ac:dyDescent="0.2">
      <c r="A252" s="21" t="s">
        <v>58</v>
      </c>
      <c r="B252" s="21"/>
      <c r="C252" s="21"/>
      <c r="D252" s="22"/>
      <c r="E252" s="22"/>
      <c r="F252" s="22"/>
      <c r="G252" s="22"/>
      <c r="H252" s="22"/>
      <c r="I252" s="22"/>
    </row>
    <row r="253" spans="1:11" x14ac:dyDescent="0.2">
      <c r="A253" s="23" t="s">
        <v>112</v>
      </c>
      <c r="B253" s="23"/>
      <c r="C253" s="23"/>
      <c r="D253" s="23"/>
      <c r="E253" s="23"/>
      <c r="F253" s="23"/>
      <c r="G253" s="23"/>
      <c r="H253" s="23"/>
      <c r="I253" s="23"/>
      <c r="J253" s="22"/>
    </row>
    <row r="254" spans="1:11" x14ac:dyDescent="0.2">
      <c r="A254" s="24"/>
      <c r="B254" s="25"/>
      <c r="C254" s="26"/>
      <c r="D254" s="26"/>
      <c r="E254" s="26"/>
      <c r="F254" s="26"/>
      <c r="G254" s="26"/>
      <c r="H254" s="25"/>
      <c r="I254" s="25"/>
      <c r="J254" s="23"/>
    </row>
    <row r="255" spans="1:11" x14ac:dyDescent="0.2">
      <c r="A255" s="278" t="s">
        <v>59</v>
      </c>
      <c r="B255" s="280" t="s">
        <v>60</v>
      </c>
      <c r="C255" s="282" t="s">
        <v>110</v>
      </c>
      <c r="D255" s="284" t="s">
        <v>61</v>
      </c>
      <c r="E255" s="285"/>
      <c r="F255" s="285"/>
      <c r="G255" s="286"/>
      <c r="H255" s="287" t="s">
        <v>62</v>
      </c>
      <c r="I255" s="274" t="s">
        <v>63</v>
      </c>
      <c r="J255" s="25"/>
    </row>
    <row r="256" spans="1:11" x14ac:dyDescent="0.25">
      <c r="A256" s="279"/>
      <c r="B256" s="281"/>
      <c r="C256" s="283"/>
      <c r="D256" s="27" t="s">
        <v>27</v>
      </c>
      <c r="E256" s="27" t="s">
        <v>28</v>
      </c>
      <c r="F256" s="168" t="s">
        <v>113</v>
      </c>
      <c r="G256" s="27" t="s">
        <v>64</v>
      </c>
      <c r="H256" s="288"/>
      <c r="I256" s="275"/>
      <c r="J256" s="276" t="s">
        <v>111</v>
      </c>
    </row>
    <row r="257" spans="1:11" x14ac:dyDescent="0.2">
      <c r="A257" s="29"/>
      <c r="B257" s="30" t="s">
        <v>65</v>
      </c>
      <c r="C257" s="31"/>
      <c r="D257" s="31"/>
      <c r="E257" s="31"/>
      <c r="F257" s="31"/>
      <c r="G257" s="31"/>
      <c r="H257" s="31"/>
      <c r="I257" s="32"/>
      <c r="J257" s="277"/>
    </row>
    <row r="258" spans="1:11" x14ac:dyDescent="0.2">
      <c r="A258" s="155" t="s">
        <v>109</v>
      </c>
      <c r="B258" s="160" t="s">
        <v>82</v>
      </c>
      <c r="C258" s="38">
        <v>22200</v>
      </c>
      <c r="D258" s="37"/>
      <c r="E258" s="38">
        <v>439970</v>
      </c>
      <c r="F258" s="118"/>
      <c r="G258" s="118"/>
      <c r="H258" s="170"/>
      <c r="I258" s="38">
        <v>473500</v>
      </c>
      <c r="J258" s="36">
        <f>+SUM(C258:G258)-(H258+I258)</f>
        <v>-11330</v>
      </c>
      <c r="K258" s="76"/>
    </row>
    <row r="259" spans="1:11" x14ac:dyDescent="0.2">
      <c r="A259" s="155" t="s">
        <v>109</v>
      </c>
      <c r="B259" s="160" t="s">
        <v>53</v>
      </c>
      <c r="C259" s="38">
        <v>3060</v>
      </c>
      <c r="D259" s="37"/>
      <c r="E259" s="38">
        <v>157200</v>
      </c>
      <c r="F259" s="38"/>
      <c r="G259" s="38"/>
      <c r="H259" s="62"/>
      <c r="I259" s="38">
        <v>152000</v>
      </c>
      <c r="J259" s="36">
        <f t="shared" ref="J259:J260" si="58">+SUM(C259:G259)-(H259+I259)</f>
        <v>8260</v>
      </c>
      <c r="K259" s="76"/>
    </row>
    <row r="260" spans="1:11" x14ac:dyDescent="0.2">
      <c r="A260" s="155" t="s">
        <v>109</v>
      </c>
      <c r="B260" s="160" t="s">
        <v>34</v>
      </c>
      <c r="C260" s="38">
        <v>3795</v>
      </c>
      <c r="D260" s="37"/>
      <c r="E260" s="38">
        <v>45000</v>
      </c>
      <c r="F260" s="38"/>
      <c r="G260" s="38"/>
      <c r="H260" s="38"/>
      <c r="I260" s="38">
        <v>45000</v>
      </c>
      <c r="J260" s="114">
        <f t="shared" si="58"/>
        <v>3795</v>
      </c>
      <c r="K260" s="76"/>
    </row>
    <row r="261" spans="1:11" x14ac:dyDescent="0.2">
      <c r="A261" s="155" t="s">
        <v>109</v>
      </c>
      <c r="B261" s="160" t="s">
        <v>83</v>
      </c>
      <c r="C261" s="38">
        <v>2300</v>
      </c>
      <c r="D261" s="118"/>
      <c r="E261" s="38">
        <v>266600</v>
      </c>
      <c r="F261" s="38">
        <v>159900</v>
      </c>
      <c r="G261" s="38"/>
      <c r="H261" s="38">
        <v>25000</v>
      </c>
      <c r="I261" s="38">
        <v>486900</v>
      </c>
      <c r="J261" s="114">
        <f>+SUM(C261:G261)-(H261+I261)</f>
        <v>-83100</v>
      </c>
      <c r="K261" s="76"/>
    </row>
    <row r="262" spans="1:11" x14ac:dyDescent="0.2">
      <c r="A262" s="155" t="s">
        <v>109</v>
      </c>
      <c r="B262" s="160" t="s">
        <v>75</v>
      </c>
      <c r="C262" s="38">
        <v>-14216</v>
      </c>
      <c r="D262" s="118"/>
      <c r="E262" s="38">
        <v>622600</v>
      </c>
      <c r="F262" s="38">
        <v>25000</v>
      </c>
      <c r="G262" s="38"/>
      <c r="H262" s="38">
        <v>260700</v>
      </c>
      <c r="I262" s="38">
        <v>370900</v>
      </c>
      <c r="J262" s="114">
        <f>+SUM(C262:G262)-(H262+I262)</f>
        <v>1784</v>
      </c>
      <c r="K262" s="76"/>
    </row>
    <row r="263" spans="1:11" x14ac:dyDescent="0.2">
      <c r="A263" s="155" t="s">
        <v>109</v>
      </c>
      <c r="B263" s="161" t="s">
        <v>33</v>
      </c>
      <c r="C263" s="58">
        <v>143300</v>
      </c>
      <c r="D263" s="152"/>
      <c r="E263" s="58">
        <v>466500</v>
      </c>
      <c r="F263" s="171"/>
      <c r="G263" s="171"/>
      <c r="H263" s="171"/>
      <c r="I263" s="58">
        <v>521000</v>
      </c>
      <c r="J263" s="157">
        <f>+SUM(C263:G263)-(H263+I263)</f>
        <v>88800</v>
      </c>
      <c r="K263" s="76"/>
    </row>
    <row r="264" spans="1:11" x14ac:dyDescent="0.2">
      <c r="A264" s="155" t="s">
        <v>109</v>
      </c>
      <c r="B264" s="162" t="s">
        <v>90</v>
      </c>
      <c r="C264" s="153">
        <v>233614</v>
      </c>
      <c r="D264" s="156"/>
      <c r="E264" s="172"/>
      <c r="F264" s="172"/>
      <c r="G264" s="172"/>
      <c r="H264" s="172"/>
      <c r="I264" s="172"/>
      <c r="J264" s="154">
        <f>+SUM(C264:G264)-(H264+I264)</f>
        <v>233614</v>
      </c>
      <c r="K264" s="76"/>
    </row>
    <row r="265" spans="1:11" x14ac:dyDescent="0.2">
      <c r="A265" s="155" t="s">
        <v>109</v>
      </c>
      <c r="B265" s="162" t="s">
        <v>89</v>
      </c>
      <c r="C265" s="153">
        <v>249768</v>
      </c>
      <c r="D265" s="156"/>
      <c r="E265" s="172"/>
      <c r="F265" s="172"/>
      <c r="G265" s="172"/>
      <c r="H265" s="172"/>
      <c r="I265" s="172"/>
      <c r="J265" s="154">
        <f t="shared" ref="J265:J271" si="59">+SUM(C265:G265)-(H265+I265)</f>
        <v>249768</v>
      </c>
      <c r="K265" s="76"/>
    </row>
    <row r="266" spans="1:11" x14ac:dyDescent="0.2">
      <c r="A266" s="155" t="s">
        <v>109</v>
      </c>
      <c r="B266" s="160" t="s">
        <v>39</v>
      </c>
      <c r="C266" s="38">
        <v>55090</v>
      </c>
      <c r="D266" s="37"/>
      <c r="E266" s="38">
        <v>143000</v>
      </c>
      <c r="F266" s="38">
        <v>70800</v>
      </c>
      <c r="G266" s="118"/>
      <c r="H266" s="118"/>
      <c r="I266" s="38">
        <v>261000</v>
      </c>
      <c r="J266" s="36">
        <f t="shared" si="59"/>
        <v>7890</v>
      </c>
      <c r="K266" s="76"/>
    </row>
    <row r="267" spans="1:11" x14ac:dyDescent="0.2">
      <c r="A267" s="155" t="s">
        <v>109</v>
      </c>
      <c r="B267" s="160" t="s">
        <v>99</v>
      </c>
      <c r="C267" s="38">
        <v>0</v>
      </c>
      <c r="D267" s="37"/>
      <c r="E267" s="38">
        <v>30000</v>
      </c>
      <c r="F267" s="118"/>
      <c r="G267" s="118"/>
      <c r="H267" s="118"/>
      <c r="I267" s="38">
        <v>25000</v>
      </c>
      <c r="J267" s="36">
        <f t="shared" si="59"/>
        <v>5000</v>
      </c>
      <c r="K267" s="76"/>
    </row>
    <row r="268" spans="1:11" x14ac:dyDescent="0.2">
      <c r="A268" s="155" t="s">
        <v>109</v>
      </c>
      <c r="B268" s="160" t="s">
        <v>32</v>
      </c>
      <c r="C268" s="38">
        <v>110700</v>
      </c>
      <c r="D268" s="37"/>
      <c r="E268" s="38">
        <v>375000</v>
      </c>
      <c r="F268" s="38">
        <v>30000</v>
      </c>
      <c r="G268" s="118"/>
      <c r="H268" s="118"/>
      <c r="I268" s="38">
        <v>458000</v>
      </c>
      <c r="J268" s="36">
        <f t="shared" si="59"/>
        <v>57700</v>
      </c>
      <c r="K268" s="76"/>
    </row>
    <row r="269" spans="1:11" x14ac:dyDescent="0.2">
      <c r="A269" s="155" t="s">
        <v>109</v>
      </c>
      <c r="B269" s="160" t="s">
        <v>100</v>
      </c>
      <c r="C269" s="38">
        <v>-32081</v>
      </c>
      <c r="D269" s="37"/>
      <c r="E269" s="118">
        <v>0</v>
      </c>
      <c r="F269" s="118"/>
      <c r="G269" s="118"/>
      <c r="H269" s="118"/>
      <c r="I269" s="118">
        <v>0</v>
      </c>
      <c r="J269" s="36">
        <f t="shared" si="59"/>
        <v>-32081</v>
      </c>
      <c r="K269" s="76"/>
    </row>
    <row r="270" spans="1:11" x14ac:dyDescent="0.2">
      <c r="A270" s="155" t="s">
        <v>109</v>
      </c>
      <c r="B270" s="160" t="s">
        <v>107</v>
      </c>
      <c r="C270" s="38">
        <v>0</v>
      </c>
      <c r="D270" s="37"/>
      <c r="E270" s="38">
        <v>82000</v>
      </c>
      <c r="F270" s="118"/>
      <c r="G270" s="118"/>
      <c r="H270" s="118"/>
      <c r="I270" s="38">
        <v>20000</v>
      </c>
      <c r="J270" s="36">
        <f>+SUM(C270:G270)-(H270+I270)</f>
        <v>62000</v>
      </c>
      <c r="K270" s="76"/>
    </row>
    <row r="271" spans="1:11" x14ac:dyDescent="0.2">
      <c r="A271" s="155" t="s">
        <v>109</v>
      </c>
      <c r="B271" s="161" t="s">
        <v>35</v>
      </c>
      <c r="C271" s="58">
        <v>7300</v>
      </c>
      <c r="D271" s="152"/>
      <c r="E271" s="171"/>
      <c r="F271" s="171"/>
      <c r="G271" s="173"/>
      <c r="H271" s="171"/>
      <c r="I271" s="58">
        <v>3000</v>
      </c>
      <c r="J271" s="36">
        <f t="shared" si="59"/>
        <v>4300</v>
      </c>
      <c r="K271" s="76"/>
    </row>
    <row r="272" spans="1:11" x14ac:dyDescent="0.2">
      <c r="A272" s="40" t="s">
        <v>66</v>
      </c>
      <c r="B272" s="41"/>
      <c r="C272" s="41"/>
      <c r="D272" s="41"/>
      <c r="E272" s="41"/>
      <c r="F272" s="41"/>
      <c r="G272" s="41"/>
      <c r="H272" s="41"/>
      <c r="I272" s="41"/>
      <c r="J272" s="42"/>
      <c r="K272" s="76"/>
    </row>
    <row r="273" spans="1:11" x14ac:dyDescent="0.2">
      <c r="A273" s="155" t="s">
        <v>109</v>
      </c>
      <c r="B273" s="43" t="s">
        <v>67</v>
      </c>
      <c r="C273" s="44">
        <v>817769</v>
      </c>
      <c r="D273" s="56">
        <v>3000000</v>
      </c>
      <c r="E273" s="117"/>
      <c r="F273" s="117"/>
      <c r="G273" s="174"/>
      <c r="H273" s="164">
        <v>2627870</v>
      </c>
      <c r="I273" s="159">
        <v>1127749</v>
      </c>
      <c r="J273" s="51">
        <f>+SUM(C273:G273)-(H273+I273)</f>
        <v>62150</v>
      </c>
      <c r="K273" s="76"/>
    </row>
    <row r="274" spans="1:11" x14ac:dyDescent="0.2">
      <c r="A274" s="49" t="s">
        <v>68</v>
      </c>
      <c r="B274" s="30"/>
      <c r="C274" s="41"/>
      <c r="D274" s="30"/>
      <c r="E274" s="30"/>
      <c r="F274" s="30"/>
      <c r="G274" s="30"/>
      <c r="H274" s="30"/>
      <c r="I274" s="30"/>
      <c r="J274" s="42"/>
    </row>
    <row r="275" spans="1:11" x14ac:dyDescent="0.2">
      <c r="A275" s="155" t="s">
        <v>109</v>
      </c>
      <c r="B275" s="43" t="s">
        <v>69</v>
      </c>
      <c r="C275" s="158">
        <v>14712920</v>
      </c>
      <c r="D275" s="165"/>
      <c r="E275" s="56"/>
      <c r="F275" s="56"/>
      <c r="G275" s="56"/>
      <c r="H275" s="58">
        <v>3000000</v>
      </c>
      <c r="I275" s="60">
        <v>428365</v>
      </c>
      <c r="J275" s="51">
        <f>+SUM(C275:G275)-(H275+I275)</f>
        <v>11284555</v>
      </c>
      <c r="K275" s="76"/>
    </row>
    <row r="276" spans="1:11" x14ac:dyDescent="0.2">
      <c r="A276" s="155" t="s">
        <v>109</v>
      </c>
      <c r="B276" s="43" t="s">
        <v>70</v>
      </c>
      <c r="C276" s="158">
        <v>8361083</v>
      </c>
      <c r="D276" s="56"/>
      <c r="E276" s="55"/>
      <c r="F276" s="55"/>
      <c r="G276" s="55"/>
      <c r="H276" s="38"/>
      <c r="I276" s="57">
        <v>6202438</v>
      </c>
      <c r="J276" s="51">
        <f>SUM(C276:G276)-(H276+I276)</f>
        <v>2158645</v>
      </c>
      <c r="K276" s="76"/>
    </row>
    <row r="277" spans="1:11" ht="15.75" x14ac:dyDescent="0.25">
      <c r="C277" s="14"/>
      <c r="I277" s="176">
        <f>SUM(I258:I276)</f>
        <v>10574852</v>
      </c>
      <c r="J277" s="119">
        <f>+SUM(J258:J276)</f>
        <v>14101750</v>
      </c>
      <c r="K277" s="14">
        <f>J277-C249</f>
        <v>-1</v>
      </c>
    </row>
    <row r="278" spans="1:11" ht="16.5" x14ac:dyDescent="0.3">
      <c r="A278" s="15"/>
      <c r="B278" s="16"/>
      <c r="C278" s="17"/>
      <c r="D278" s="17"/>
      <c r="E278" s="17"/>
      <c r="F278" s="17"/>
      <c r="G278" s="17"/>
      <c r="H278" s="17"/>
      <c r="I278" s="17"/>
      <c r="J278" s="166"/>
    </row>
    <row r="279" spans="1:11" x14ac:dyDescent="0.2">
      <c r="A279" s="21" t="s">
        <v>58</v>
      </c>
      <c r="B279" s="21"/>
      <c r="C279" s="21"/>
      <c r="D279" s="22"/>
      <c r="E279" s="22"/>
      <c r="F279" s="22"/>
      <c r="G279" s="22"/>
      <c r="H279" s="22"/>
      <c r="I279" s="22"/>
    </row>
    <row r="280" spans="1:11" x14ac:dyDescent="0.2">
      <c r="A280" s="23" t="s">
        <v>101</v>
      </c>
      <c r="B280" s="23"/>
      <c r="C280" s="23"/>
      <c r="D280" s="23"/>
      <c r="E280" s="23"/>
      <c r="F280" s="23"/>
      <c r="G280" s="23"/>
      <c r="H280" s="23"/>
      <c r="I280" s="23"/>
      <c r="J280" s="22"/>
    </row>
    <row r="281" spans="1:11" x14ac:dyDescent="0.2">
      <c r="A281" s="24"/>
      <c r="B281" s="25"/>
      <c r="C281" s="26"/>
      <c r="D281" s="26"/>
      <c r="E281" s="26"/>
      <c r="F281" s="26"/>
      <c r="G281" s="26"/>
      <c r="H281" s="25"/>
      <c r="I281" s="25"/>
      <c r="J281" s="23"/>
    </row>
    <row r="282" spans="1:11" ht="15" customHeight="1" x14ac:dyDescent="0.2">
      <c r="A282" s="278" t="s">
        <v>59</v>
      </c>
      <c r="B282" s="280" t="s">
        <v>60</v>
      </c>
      <c r="C282" s="282" t="s">
        <v>102</v>
      </c>
      <c r="D282" s="284" t="s">
        <v>61</v>
      </c>
      <c r="E282" s="285"/>
      <c r="F282" s="285"/>
      <c r="G282" s="286"/>
      <c r="H282" s="287" t="s">
        <v>62</v>
      </c>
      <c r="I282" s="274" t="s">
        <v>63</v>
      </c>
      <c r="J282" s="25"/>
    </row>
    <row r="283" spans="1:11" ht="15" customHeight="1" x14ac:dyDescent="0.25">
      <c r="A283" s="279"/>
      <c r="B283" s="281"/>
      <c r="C283" s="283"/>
      <c r="D283" s="27" t="s">
        <v>27</v>
      </c>
      <c r="E283" s="27" t="s">
        <v>28</v>
      </c>
      <c r="F283" s="147" t="s">
        <v>105</v>
      </c>
      <c r="G283" s="27" t="s">
        <v>64</v>
      </c>
      <c r="H283" s="288"/>
      <c r="I283" s="275"/>
      <c r="J283" s="276" t="s">
        <v>103</v>
      </c>
    </row>
    <row r="284" spans="1:11" x14ac:dyDescent="0.2">
      <c r="A284" s="29"/>
      <c r="B284" s="30" t="s">
        <v>65</v>
      </c>
      <c r="C284" s="31"/>
      <c r="D284" s="31"/>
      <c r="E284" s="31"/>
      <c r="F284" s="31"/>
      <c r="G284" s="31"/>
      <c r="H284" s="31"/>
      <c r="I284" s="32"/>
      <c r="J284" s="277"/>
    </row>
    <row r="285" spans="1:11" x14ac:dyDescent="0.2">
      <c r="A285" s="155" t="s">
        <v>104</v>
      </c>
      <c r="B285" s="160" t="s">
        <v>82</v>
      </c>
      <c r="C285" s="38">
        <v>-10750</v>
      </c>
      <c r="D285" s="37"/>
      <c r="E285" s="37">
        <v>170625</v>
      </c>
      <c r="F285" s="37">
        <v>301700</v>
      </c>
      <c r="G285" s="37"/>
      <c r="H285" s="62">
        <v>27000</v>
      </c>
      <c r="I285" s="38">
        <v>412375</v>
      </c>
      <c r="J285" s="36">
        <f>+SUM(C285:G285)-(H285+I285)</f>
        <v>22200</v>
      </c>
      <c r="K285" s="76"/>
    </row>
    <row r="286" spans="1:11" x14ac:dyDescent="0.2">
      <c r="A286" s="155" t="s">
        <v>104</v>
      </c>
      <c r="B286" s="160" t="s">
        <v>53</v>
      </c>
      <c r="C286" s="38">
        <v>9060</v>
      </c>
      <c r="D286" s="37"/>
      <c r="E286" s="37">
        <v>0</v>
      </c>
      <c r="F286" s="37"/>
      <c r="G286" s="37"/>
      <c r="H286" s="62"/>
      <c r="I286" s="38">
        <v>6000</v>
      </c>
      <c r="J286" s="36">
        <f t="shared" ref="J286:J287" si="60">+SUM(C286:G286)-(H286+I286)</f>
        <v>3060</v>
      </c>
      <c r="K286" s="76"/>
    </row>
    <row r="287" spans="1:11" x14ac:dyDescent="0.2">
      <c r="A287" s="155" t="s">
        <v>104</v>
      </c>
      <c r="B287" s="160" t="s">
        <v>34</v>
      </c>
      <c r="C287" s="38">
        <v>1195</v>
      </c>
      <c r="D287" s="37"/>
      <c r="E287" s="37">
        <v>75000</v>
      </c>
      <c r="F287" s="38"/>
      <c r="G287" s="38"/>
      <c r="H287" s="38"/>
      <c r="I287" s="38">
        <v>72400</v>
      </c>
      <c r="J287" s="114">
        <f t="shared" si="60"/>
        <v>3795</v>
      </c>
      <c r="K287" s="76"/>
    </row>
    <row r="288" spans="1:11" x14ac:dyDescent="0.2">
      <c r="A288" s="155" t="s">
        <v>104</v>
      </c>
      <c r="B288" s="160" t="s">
        <v>83</v>
      </c>
      <c r="C288" s="38">
        <v>-8600</v>
      </c>
      <c r="D288" s="118"/>
      <c r="E288" s="37">
        <v>596900</v>
      </c>
      <c r="F288" s="38"/>
      <c r="G288" s="38"/>
      <c r="H288" s="38"/>
      <c r="I288" s="38">
        <v>586000</v>
      </c>
      <c r="J288" s="114">
        <f>+SUM(C288:G288)-(H288+I288)</f>
        <v>2300</v>
      </c>
      <c r="K288" s="76"/>
    </row>
    <row r="289" spans="1:11" x14ac:dyDescent="0.2">
      <c r="A289" s="155" t="s">
        <v>104</v>
      </c>
      <c r="B289" s="160" t="s">
        <v>75</v>
      </c>
      <c r="C289" s="38">
        <v>8884</v>
      </c>
      <c r="D289" s="118"/>
      <c r="E289" s="37">
        <v>618600</v>
      </c>
      <c r="F289" s="38">
        <v>27000</v>
      </c>
      <c r="G289" s="38"/>
      <c r="H289" s="38">
        <v>301700</v>
      </c>
      <c r="I289" s="38">
        <v>367000</v>
      </c>
      <c r="J289" s="114">
        <f t="shared" ref="J289" si="61">+SUM(C289:G289)-(H289+I289)</f>
        <v>-14216</v>
      </c>
      <c r="K289" s="76"/>
    </row>
    <row r="290" spans="1:11" x14ac:dyDescent="0.2">
      <c r="A290" s="152" t="s">
        <v>104</v>
      </c>
      <c r="B290" s="161" t="s">
        <v>33</v>
      </c>
      <c r="C290" s="58">
        <v>191600</v>
      </c>
      <c r="D290" s="152"/>
      <c r="E290" s="152">
        <v>777000</v>
      </c>
      <c r="F290" s="58"/>
      <c r="G290" s="58"/>
      <c r="H290" s="58"/>
      <c r="I290" s="58">
        <v>825300</v>
      </c>
      <c r="J290" s="157">
        <f>+SUM(C290:G290)-(H290+I290)</f>
        <v>143300</v>
      </c>
      <c r="K290" s="76"/>
    </row>
    <row r="291" spans="1:11" x14ac:dyDescent="0.2">
      <c r="A291" s="156" t="s">
        <v>104</v>
      </c>
      <c r="B291" s="162" t="s">
        <v>90</v>
      </c>
      <c r="C291" s="153">
        <v>233614</v>
      </c>
      <c r="D291" s="156"/>
      <c r="E291" s="156"/>
      <c r="F291" s="156"/>
      <c r="G291" s="156"/>
      <c r="H291" s="153"/>
      <c r="I291" s="153"/>
      <c r="J291" s="154">
        <f>+SUM(C291:G291)-(H291+I291)</f>
        <v>233614</v>
      </c>
      <c r="K291" s="76"/>
    </row>
    <row r="292" spans="1:11" x14ac:dyDescent="0.2">
      <c r="A292" s="156" t="s">
        <v>104</v>
      </c>
      <c r="B292" s="162" t="s">
        <v>89</v>
      </c>
      <c r="C292" s="153">
        <v>249769</v>
      </c>
      <c r="D292" s="156"/>
      <c r="E292" s="156"/>
      <c r="F292" s="156"/>
      <c r="G292" s="156"/>
      <c r="H292" s="153"/>
      <c r="I292" s="153"/>
      <c r="J292" s="154">
        <f t="shared" ref="J292:J297" si="62">+SUM(C292:G292)-(H292+I292)</f>
        <v>249769</v>
      </c>
      <c r="K292" s="76"/>
    </row>
    <row r="293" spans="1:11" x14ac:dyDescent="0.2">
      <c r="A293" s="155" t="s">
        <v>104</v>
      </c>
      <c r="B293" s="160" t="s">
        <v>39</v>
      </c>
      <c r="C293" s="38">
        <v>-3510</v>
      </c>
      <c r="D293" s="37"/>
      <c r="E293" s="37">
        <v>240100</v>
      </c>
      <c r="F293" s="37"/>
      <c r="G293" s="37"/>
      <c r="H293" s="38"/>
      <c r="I293" s="38">
        <v>181500</v>
      </c>
      <c r="J293" s="36">
        <f t="shared" si="62"/>
        <v>55090</v>
      </c>
      <c r="K293" s="76"/>
    </row>
    <row r="294" spans="1:11" x14ac:dyDescent="0.2">
      <c r="A294" s="155" t="s">
        <v>104</v>
      </c>
      <c r="B294" s="160" t="s">
        <v>99</v>
      </c>
      <c r="C294" s="38">
        <v>0</v>
      </c>
      <c r="D294" s="37"/>
      <c r="E294" s="37">
        <v>5000</v>
      </c>
      <c r="F294" s="37"/>
      <c r="G294" s="37"/>
      <c r="H294" s="38"/>
      <c r="I294" s="38">
        <v>5000</v>
      </c>
      <c r="J294" s="36">
        <f t="shared" si="62"/>
        <v>0</v>
      </c>
      <c r="K294" s="76"/>
    </row>
    <row r="295" spans="1:11" x14ac:dyDescent="0.2">
      <c r="A295" s="155" t="s">
        <v>104</v>
      </c>
      <c r="B295" s="160" t="s">
        <v>32</v>
      </c>
      <c r="C295" s="38">
        <v>111200</v>
      </c>
      <c r="D295" s="37"/>
      <c r="E295" s="37">
        <v>704000</v>
      </c>
      <c r="F295" s="37"/>
      <c r="G295" s="37"/>
      <c r="H295" s="38"/>
      <c r="I295" s="38">
        <v>704500</v>
      </c>
      <c r="J295" s="36">
        <f t="shared" si="62"/>
        <v>110700</v>
      </c>
      <c r="K295" s="76"/>
    </row>
    <row r="296" spans="1:11" x14ac:dyDescent="0.2">
      <c r="A296" s="155" t="s">
        <v>104</v>
      </c>
      <c r="B296" s="160" t="s">
        <v>100</v>
      </c>
      <c r="C296" s="38">
        <v>-32081</v>
      </c>
      <c r="D296" s="37"/>
      <c r="E296" s="37">
        <v>0</v>
      </c>
      <c r="F296" s="37"/>
      <c r="G296" s="37"/>
      <c r="H296" s="38"/>
      <c r="I296" s="38">
        <v>0</v>
      </c>
      <c r="J296" s="36">
        <f t="shared" si="62"/>
        <v>-32081</v>
      </c>
      <c r="K296" s="76"/>
    </row>
    <row r="297" spans="1:11" x14ac:dyDescent="0.2">
      <c r="A297" s="155" t="s">
        <v>104</v>
      </c>
      <c r="B297" s="161" t="s">
        <v>35</v>
      </c>
      <c r="C297" s="58">
        <v>5300</v>
      </c>
      <c r="D297" s="152"/>
      <c r="E297" s="152">
        <v>10000</v>
      </c>
      <c r="F297" s="152"/>
      <c r="G297" s="163"/>
      <c r="H297" s="58"/>
      <c r="I297" s="58">
        <v>8000</v>
      </c>
      <c r="J297" s="36">
        <f t="shared" si="62"/>
        <v>7300</v>
      </c>
      <c r="K297" s="76"/>
    </row>
    <row r="298" spans="1:11" x14ac:dyDescent="0.2">
      <c r="A298" s="40" t="s">
        <v>66</v>
      </c>
      <c r="B298" s="41"/>
      <c r="C298" s="41"/>
      <c r="D298" s="41"/>
      <c r="E298" s="41"/>
      <c r="F298" s="41"/>
      <c r="G298" s="41"/>
      <c r="H298" s="41"/>
      <c r="I298" s="41"/>
      <c r="J298" s="42"/>
      <c r="K298" s="76"/>
    </row>
    <row r="299" spans="1:11" x14ac:dyDescent="0.2">
      <c r="A299" s="33" t="s">
        <v>104</v>
      </c>
      <c r="B299" s="43" t="s">
        <v>67</v>
      </c>
      <c r="C299" s="44">
        <v>733034</v>
      </c>
      <c r="D299" s="45">
        <v>4293000</v>
      </c>
      <c r="E299" s="45"/>
      <c r="F299" s="45"/>
      <c r="G299" s="158"/>
      <c r="H299" s="164">
        <v>3197225</v>
      </c>
      <c r="I299" s="159">
        <v>1011040</v>
      </c>
      <c r="J299" s="51">
        <f>+SUM(C299:G299)-(H299+I299)</f>
        <v>817769</v>
      </c>
      <c r="K299" s="76"/>
    </row>
    <row r="300" spans="1:11" x14ac:dyDescent="0.2">
      <c r="A300" s="49" t="s">
        <v>68</v>
      </c>
      <c r="B300" s="30"/>
      <c r="C300" s="41"/>
      <c r="D300" s="30"/>
      <c r="E300" s="30"/>
      <c r="F300" s="30"/>
      <c r="G300" s="30"/>
      <c r="H300" s="30"/>
      <c r="I300" s="30"/>
      <c r="J300" s="42"/>
    </row>
    <row r="301" spans="1:11" x14ac:dyDescent="0.2">
      <c r="A301" s="33" t="s">
        <v>104</v>
      </c>
      <c r="B301" s="43" t="s">
        <v>69</v>
      </c>
      <c r="C301" s="158">
        <v>19184971</v>
      </c>
      <c r="D301" s="165"/>
      <c r="E301" s="56"/>
      <c r="F301" s="56"/>
      <c r="G301" s="56"/>
      <c r="H301" s="58">
        <v>4000000</v>
      </c>
      <c r="I301" s="60">
        <v>472051</v>
      </c>
      <c r="J301" s="51">
        <f>+SUM(C301:G301)-(H301+I301)</f>
        <v>14712920</v>
      </c>
      <c r="K301" s="76"/>
    </row>
    <row r="302" spans="1:11" x14ac:dyDescent="0.2">
      <c r="A302" s="33" t="s">
        <v>104</v>
      </c>
      <c r="B302" s="43" t="s">
        <v>70</v>
      </c>
      <c r="C302" s="158">
        <v>14419055</v>
      </c>
      <c r="D302" s="56"/>
      <c r="E302" s="55"/>
      <c r="F302" s="55"/>
      <c r="G302" s="55"/>
      <c r="H302" s="38">
        <v>293000</v>
      </c>
      <c r="I302" s="57">
        <v>5764972</v>
      </c>
      <c r="J302" s="51">
        <f>SUM(C302:G302)-(H302+I302)</f>
        <v>8361083</v>
      </c>
      <c r="K302" s="76"/>
    </row>
    <row r="303" spans="1:11" ht="15.75" x14ac:dyDescent="0.25">
      <c r="C303" s="14"/>
      <c r="I303" s="14"/>
      <c r="J303" s="119">
        <f>+SUM(J285:J302)</f>
        <v>24676603</v>
      </c>
    </row>
    <row r="304" spans="1:11" ht="16.5" x14ac:dyDescent="0.3">
      <c r="A304" s="15"/>
      <c r="B304" s="16"/>
      <c r="C304" s="17"/>
      <c r="D304" s="17"/>
      <c r="E304" s="17"/>
      <c r="F304" s="17"/>
      <c r="G304" s="17"/>
      <c r="H304" s="17"/>
      <c r="I304" s="17"/>
      <c r="J304" s="166"/>
    </row>
    <row r="305" spans="1:10" x14ac:dyDescent="0.2">
      <c r="A305" s="21" t="s">
        <v>58</v>
      </c>
      <c r="B305" s="21"/>
      <c r="C305" s="21"/>
      <c r="D305" s="22"/>
      <c r="E305" s="22"/>
      <c r="F305" s="22"/>
      <c r="G305" s="22"/>
      <c r="H305" s="22"/>
      <c r="I305" s="22"/>
    </row>
    <row r="306" spans="1:10" x14ac:dyDescent="0.2">
      <c r="A306" s="23" t="s">
        <v>93</v>
      </c>
      <c r="B306" s="23"/>
      <c r="C306" s="23"/>
      <c r="D306" s="23"/>
      <c r="E306" s="23"/>
      <c r="F306" s="23"/>
      <c r="G306" s="23"/>
      <c r="H306" s="23"/>
      <c r="I306" s="23"/>
      <c r="J306" s="22"/>
    </row>
    <row r="307" spans="1:10" ht="15" customHeight="1" x14ac:dyDescent="0.2">
      <c r="A307" s="24"/>
      <c r="B307" s="25"/>
      <c r="C307" s="26"/>
      <c r="D307" s="26"/>
      <c r="E307" s="26"/>
      <c r="F307" s="26"/>
      <c r="G307" s="26"/>
      <c r="H307" s="25"/>
      <c r="I307" s="25"/>
      <c r="J307" s="23"/>
    </row>
    <row r="308" spans="1:10" ht="15" customHeight="1" x14ac:dyDescent="0.2">
      <c r="A308" s="278" t="s">
        <v>59</v>
      </c>
      <c r="B308" s="280" t="s">
        <v>60</v>
      </c>
      <c r="C308" s="282" t="s">
        <v>94</v>
      </c>
      <c r="D308" s="284" t="s">
        <v>61</v>
      </c>
      <c r="E308" s="285"/>
      <c r="F308" s="285"/>
      <c r="G308" s="286"/>
      <c r="H308" s="287" t="s">
        <v>62</v>
      </c>
      <c r="I308" s="274" t="s">
        <v>63</v>
      </c>
      <c r="J308" s="25"/>
    </row>
    <row r="309" spans="1:10" ht="15" customHeight="1" x14ac:dyDescent="0.25">
      <c r="A309" s="279"/>
      <c r="B309" s="281"/>
      <c r="C309" s="283"/>
      <c r="D309" s="27" t="s">
        <v>27</v>
      </c>
      <c r="E309" s="27" t="s">
        <v>28</v>
      </c>
      <c r="F309" s="134" t="s">
        <v>97</v>
      </c>
      <c r="G309" s="27" t="s">
        <v>64</v>
      </c>
      <c r="H309" s="288"/>
      <c r="I309" s="275"/>
      <c r="J309" s="276" t="s">
        <v>95</v>
      </c>
    </row>
    <row r="310" spans="1:10" x14ac:dyDescent="0.2">
      <c r="A310" s="29"/>
      <c r="B310" s="30" t="s">
        <v>65</v>
      </c>
      <c r="C310" s="31"/>
      <c r="D310" s="31"/>
      <c r="E310" s="31"/>
      <c r="F310" s="31"/>
      <c r="G310" s="31"/>
      <c r="H310" s="31"/>
      <c r="I310" s="32"/>
      <c r="J310" s="277"/>
    </row>
    <row r="311" spans="1:10" ht="16.5" x14ac:dyDescent="0.3">
      <c r="A311" s="33" t="s">
        <v>96</v>
      </c>
      <c r="B311" s="13" t="s">
        <v>82</v>
      </c>
      <c r="C311" s="34" t="e">
        <f>+#REF!</f>
        <v>#REF!</v>
      </c>
      <c r="D311" s="35"/>
      <c r="E311" s="35">
        <v>271100</v>
      </c>
      <c r="F311" s="35">
        <f>112800+126500</f>
        <v>239300</v>
      </c>
      <c r="G311" s="35"/>
      <c r="H311" s="62"/>
      <c r="I311" s="39">
        <v>521950</v>
      </c>
      <c r="J311" s="36" t="e">
        <f>+SUM(C311:G311)-(H311+I311)</f>
        <v>#REF!</v>
      </c>
    </row>
    <row r="312" spans="1:10" ht="16.5" x14ac:dyDescent="0.3">
      <c r="A312" s="33" t="s">
        <v>96</v>
      </c>
      <c r="B312" s="13" t="s">
        <v>53</v>
      </c>
      <c r="C312" s="34" t="e">
        <f>+C76</f>
        <v>#REF!</v>
      </c>
      <c r="D312" s="35"/>
      <c r="E312" s="35">
        <v>625000</v>
      </c>
      <c r="F312" s="35"/>
      <c r="G312" s="35"/>
      <c r="H312" s="62">
        <v>247500</v>
      </c>
      <c r="I312" s="39">
        <v>371500</v>
      </c>
      <c r="J312" s="36" t="e">
        <f t="shared" ref="J312:J313" si="63">+SUM(C312:G312)-(H312+I312)</f>
        <v>#REF!</v>
      </c>
    </row>
    <row r="313" spans="1:10" ht="16.5" x14ac:dyDescent="0.3">
      <c r="A313" s="33" t="s">
        <v>96</v>
      </c>
      <c r="B313" s="13" t="s">
        <v>34</v>
      </c>
      <c r="C313" s="34" t="e">
        <f>+C77</f>
        <v>#REF!</v>
      </c>
      <c r="D313" s="35"/>
      <c r="E313" s="35">
        <v>60000</v>
      </c>
      <c r="F313" s="113"/>
      <c r="G313" s="113"/>
      <c r="H313" s="38"/>
      <c r="I313" s="61">
        <v>67200</v>
      </c>
      <c r="J313" s="114" t="e">
        <f t="shared" si="63"/>
        <v>#REF!</v>
      </c>
    </row>
    <row r="314" spans="1:10" ht="15.75" customHeight="1" x14ac:dyDescent="0.3">
      <c r="A314" s="33" t="s">
        <v>96</v>
      </c>
      <c r="B314" s="13" t="s">
        <v>83</v>
      </c>
      <c r="C314" s="34" t="e">
        <f>+C78</f>
        <v>#REF!</v>
      </c>
      <c r="D314" s="63"/>
      <c r="E314" s="35">
        <v>140000</v>
      </c>
      <c r="F314" s="113">
        <v>270500</v>
      </c>
      <c r="G314" s="113"/>
      <c r="H314" s="38"/>
      <c r="I314" s="38">
        <v>417300</v>
      </c>
      <c r="J314" s="114" t="e">
        <f>+SUM(C314:G314)-(H314+I314)</f>
        <v>#REF!</v>
      </c>
    </row>
    <row r="315" spans="1:10" ht="16.5" x14ac:dyDescent="0.3">
      <c r="A315" s="33" t="s">
        <v>96</v>
      </c>
      <c r="B315" s="13" t="s">
        <v>75</v>
      </c>
      <c r="C315" s="34">
        <v>15984</v>
      </c>
      <c r="D315" s="63"/>
      <c r="E315" s="35">
        <v>256400</v>
      </c>
      <c r="F315" s="113"/>
      <c r="G315" s="113"/>
      <c r="H315" s="38"/>
      <c r="I315" s="39">
        <v>263500</v>
      </c>
      <c r="J315" s="114">
        <f t="shared" ref="J315" si="64">+SUM(C315:G315)-(H315+I315)</f>
        <v>8884</v>
      </c>
    </row>
    <row r="316" spans="1:10" ht="16.5" x14ac:dyDescent="0.3">
      <c r="A316" s="33" t="s">
        <v>96</v>
      </c>
      <c r="B316" s="13" t="s">
        <v>33</v>
      </c>
      <c r="C316" s="34" t="e">
        <f t="shared" ref="C316:C320" si="65">+C79</f>
        <v>#REF!</v>
      </c>
      <c r="D316" s="35"/>
      <c r="E316" s="35">
        <v>858500</v>
      </c>
      <c r="F316" s="113"/>
      <c r="G316" s="113"/>
      <c r="H316" s="38"/>
      <c r="I316" s="39">
        <v>645000</v>
      </c>
      <c r="J316" s="114" t="e">
        <f>+SUM(C316:G316)-(H316+I316)</f>
        <v>#REF!</v>
      </c>
    </row>
    <row r="317" spans="1:10" ht="16.5" x14ac:dyDescent="0.3">
      <c r="A317" s="33" t="s">
        <v>96</v>
      </c>
      <c r="B317" s="13" t="s">
        <v>39</v>
      </c>
      <c r="C317" s="34" t="e">
        <f t="shared" si="65"/>
        <v>#REF!</v>
      </c>
      <c r="D317" s="35"/>
      <c r="E317" s="35">
        <v>800700</v>
      </c>
      <c r="F317" s="35"/>
      <c r="G317" s="35"/>
      <c r="H317" s="38">
        <v>262300</v>
      </c>
      <c r="I317" s="39">
        <v>543600</v>
      </c>
      <c r="J317" s="36" t="e">
        <f>+SUM(C317:G317)-(H317+I317)</f>
        <v>#REF!</v>
      </c>
    </row>
    <row r="318" spans="1:10" ht="16.5" x14ac:dyDescent="0.3">
      <c r="A318" s="33" t="s">
        <v>96</v>
      </c>
      <c r="B318" s="13" t="s">
        <v>32</v>
      </c>
      <c r="C318" s="34" t="e">
        <f t="shared" si="65"/>
        <v>#REF!</v>
      </c>
      <c r="D318" s="35"/>
      <c r="E318" s="35">
        <v>971600</v>
      </c>
      <c r="F318" s="35"/>
      <c r="G318" s="35"/>
      <c r="H318" s="38">
        <v>200000</v>
      </c>
      <c r="I318" s="39">
        <v>639450</v>
      </c>
      <c r="J318" s="36" t="e">
        <f t="shared" ref="J318:J319" si="66">+SUM(C318:G318)-(H318+I318)</f>
        <v>#REF!</v>
      </c>
    </row>
    <row r="319" spans="1:10" ht="16.5" x14ac:dyDescent="0.3">
      <c r="A319" s="33" t="s">
        <v>96</v>
      </c>
      <c r="B319" s="13" t="s">
        <v>8</v>
      </c>
      <c r="C319" s="34" t="e">
        <f t="shared" si="65"/>
        <v>#REF!</v>
      </c>
      <c r="D319" s="35"/>
      <c r="E319" s="35"/>
      <c r="F319" s="35"/>
      <c r="G319" s="35"/>
      <c r="H319" s="38"/>
      <c r="I319" s="61">
        <v>23000</v>
      </c>
      <c r="J319" s="36" t="e">
        <f t="shared" si="66"/>
        <v>#REF!</v>
      </c>
    </row>
    <row r="320" spans="1:10" ht="16.5" x14ac:dyDescent="0.3">
      <c r="A320" s="33" t="s">
        <v>96</v>
      </c>
      <c r="B320" s="13" t="s">
        <v>35</v>
      </c>
      <c r="C320" s="34" t="e">
        <f t="shared" si="65"/>
        <v>#REF!</v>
      </c>
      <c r="D320" s="35"/>
      <c r="E320" s="35"/>
      <c r="F320" s="35"/>
      <c r="G320" s="35"/>
      <c r="H320" s="38"/>
      <c r="I320" s="39">
        <v>0</v>
      </c>
      <c r="J320" s="36" t="e">
        <f>+SUM(C320:G320)-(H320+I320)</f>
        <v>#REF!</v>
      </c>
    </row>
    <row r="321" spans="1:11" ht="16.5" x14ac:dyDescent="0.3">
      <c r="A321" s="137" t="s">
        <v>96</v>
      </c>
      <c r="B321" s="138" t="s">
        <v>98</v>
      </c>
      <c r="C321" s="139">
        <v>3721074</v>
      </c>
      <c r="D321" s="140"/>
      <c r="E321" s="141"/>
      <c r="F321" s="140"/>
      <c r="G321" s="142"/>
      <c r="H321" s="139">
        <v>3721074</v>
      </c>
      <c r="I321" s="143"/>
      <c r="J321" s="144">
        <f>+SUM(C321:G321)-(H321+I321)</f>
        <v>0</v>
      </c>
    </row>
    <row r="322" spans="1:11" x14ac:dyDescent="0.2">
      <c r="A322" s="40" t="s">
        <v>66</v>
      </c>
      <c r="B322" s="41"/>
      <c r="C322" s="41"/>
      <c r="D322" s="41"/>
      <c r="E322" s="41"/>
      <c r="F322" s="41"/>
      <c r="G322" s="41"/>
      <c r="H322" s="41"/>
      <c r="I322" s="41"/>
      <c r="J322" s="42"/>
    </row>
    <row r="323" spans="1:11" x14ac:dyDescent="0.2">
      <c r="A323" s="33" t="s">
        <v>96</v>
      </c>
      <c r="B323" s="43" t="s">
        <v>67</v>
      </c>
      <c r="C323" s="44" t="e">
        <f>+C75</f>
        <v>#REF!</v>
      </c>
      <c r="D323" s="45">
        <v>5000000</v>
      </c>
      <c r="E323" s="45"/>
      <c r="F323" s="45"/>
      <c r="G323" s="46">
        <v>200000</v>
      </c>
      <c r="H323" s="54">
        <v>3983300</v>
      </c>
      <c r="I323" s="47">
        <v>776245</v>
      </c>
      <c r="J323" s="48" t="e">
        <f>+SUM(C323:G323)-(H323+I323)</f>
        <v>#REF!</v>
      </c>
    </row>
    <row r="324" spans="1:11" x14ac:dyDescent="0.2">
      <c r="A324" s="49" t="s">
        <v>68</v>
      </c>
      <c r="B324" s="30"/>
      <c r="C324" s="41"/>
      <c r="D324" s="30"/>
      <c r="E324" s="30"/>
      <c r="F324" s="30"/>
      <c r="G324" s="30"/>
      <c r="H324" s="30"/>
      <c r="I324" s="30"/>
      <c r="J324" s="42"/>
    </row>
    <row r="325" spans="1:11" x14ac:dyDescent="0.25">
      <c r="A325" s="33" t="s">
        <v>96</v>
      </c>
      <c r="B325" s="43" t="s">
        <v>69</v>
      </c>
      <c r="C325" s="50" t="e">
        <f>+#REF!</f>
        <v>#REF!</v>
      </c>
      <c r="D325" s="59">
        <v>19826114</v>
      </c>
      <c r="E325" s="56"/>
      <c r="F325" s="56"/>
      <c r="G325" s="56"/>
      <c r="H325" s="58">
        <v>5000000</v>
      </c>
      <c r="I325" s="60">
        <v>455737</v>
      </c>
      <c r="J325" s="51" t="e">
        <f>+SUM(C325:G325)-(H325+I325)</f>
        <v>#REF!</v>
      </c>
    </row>
    <row r="326" spans="1:11" x14ac:dyDescent="0.25">
      <c r="A326" s="33" t="s">
        <v>96</v>
      </c>
      <c r="B326" s="43" t="s">
        <v>70</v>
      </c>
      <c r="C326" s="50" t="e">
        <f>+C74</f>
        <v>#REF!</v>
      </c>
      <c r="D326" s="56">
        <v>13119140</v>
      </c>
      <c r="E326" s="55"/>
      <c r="F326" s="55"/>
      <c r="G326" s="55"/>
      <c r="H326" s="38"/>
      <c r="I326" s="57">
        <v>3445919</v>
      </c>
      <c r="J326" s="51" t="e">
        <f>SUM(C326:G326)-(H326+I326)</f>
        <v>#REF!</v>
      </c>
    </row>
    <row r="327" spans="1:11" x14ac:dyDescent="0.25">
      <c r="A327" s="190" t="s">
        <v>96</v>
      </c>
      <c r="B327" s="186" t="s">
        <v>89</v>
      </c>
      <c r="C327" s="191">
        <v>249769</v>
      </c>
      <c r="D327" s="56"/>
      <c r="E327" s="56"/>
      <c r="F327" s="56"/>
      <c r="G327" s="56"/>
      <c r="H327" s="38"/>
      <c r="I327" s="57"/>
      <c r="J327" s="192">
        <f>SUM(C327:G327)-(H327+I327)</f>
        <v>249769</v>
      </c>
    </row>
    <row r="328" spans="1:11" x14ac:dyDescent="0.25">
      <c r="A328" s="190" t="s">
        <v>96</v>
      </c>
      <c r="B328" s="188" t="s">
        <v>90</v>
      </c>
      <c r="C328" s="191">
        <v>233614</v>
      </c>
      <c r="D328" s="56"/>
      <c r="E328" s="56"/>
      <c r="F328" s="56"/>
      <c r="G328" s="56"/>
      <c r="H328" s="38"/>
      <c r="I328" s="57"/>
      <c r="J328" s="192">
        <f>SUM(C328:G328)-(H328+I328)</f>
        <v>233614</v>
      </c>
    </row>
    <row r="329" spans="1:11" x14ac:dyDescent="0.25">
      <c r="A329" s="190" t="s">
        <v>96</v>
      </c>
      <c r="B329" s="189" t="s">
        <v>91</v>
      </c>
      <c r="C329" s="191">
        <v>330169</v>
      </c>
      <c r="D329" s="193"/>
      <c r="E329" s="193"/>
      <c r="F329" s="193"/>
      <c r="G329" s="193"/>
      <c r="H329" s="193"/>
      <c r="I329" s="193"/>
      <c r="J329" s="192">
        <f>SUM(C329:G329)-(H329+I329)</f>
        <v>330169</v>
      </c>
    </row>
    <row r="330" spans="1:11" ht="15.75" x14ac:dyDescent="0.25">
      <c r="C330" s="14"/>
      <c r="I330" s="14"/>
      <c r="J330" s="119" t="e">
        <f>+SUM(J311:J329)</f>
        <v>#REF!</v>
      </c>
      <c r="K330" s="135" t="e">
        <f>+J330-I87</f>
        <v>#REF!</v>
      </c>
    </row>
    <row r="332" spans="1:11" x14ac:dyDescent="0.2">
      <c r="A332" s="21" t="s">
        <v>58</v>
      </c>
      <c r="B332" s="21"/>
      <c r="C332" s="21"/>
      <c r="D332" s="22"/>
      <c r="E332" s="22"/>
      <c r="F332" s="22"/>
      <c r="G332" s="22"/>
      <c r="H332" s="22"/>
      <c r="I332" s="22"/>
    </row>
    <row r="333" spans="1:11" x14ac:dyDescent="0.2">
      <c r="A333" s="23" t="s">
        <v>84</v>
      </c>
      <c r="B333" s="23"/>
      <c r="C333" s="23"/>
      <c r="D333" s="23"/>
      <c r="E333" s="23"/>
      <c r="F333" s="23"/>
      <c r="G333" s="23"/>
      <c r="H333" s="23"/>
      <c r="I333" s="23"/>
      <c r="J333" s="22"/>
    </row>
    <row r="334" spans="1:11" x14ac:dyDescent="0.2">
      <c r="A334" s="24"/>
      <c r="B334" s="25"/>
      <c r="C334" s="26"/>
      <c r="D334" s="26"/>
      <c r="E334" s="26"/>
      <c r="F334" s="26"/>
      <c r="G334" s="26"/>
      <c r="H334" s="25"/>
      <c r="I334" s="25"/>
      <c r="J334" s="23"/>
    </row>
    <row r="335" spans="1:11" x14ac:dyDescent="0.2">
      <c r="A335" s="278" t="s">
        <v>59</v>
      </c>
      <c r="B335" s="280" t="s">
        <v>60</v>
      </c>
      <c r="C335" s="282" t="s">
        <v>86</v>
      </c>
      <c r="D335" s="284" t="s">
        <v>61</v>
      </c>
      <c r="E335" s="285"/>
      <c r="F335" s="285"/>
      <c r="G335" s="286"/>
      <c r="H335" s="287" t="s">
        <v>62</v>
      </c>
      <c r="I335" s="274" t="s">
        <v>63</v>
      </c>
      <c r="J335" s="25"/>
    </row>
    <row r="336" spans="1:11" ht="36.75" customHeight="1" x14ac:dyDescent="0.25">
      <c r="A336" s="279"/>
      <c r="B336" s="281"/>
      <c r="C336" s="283"/>
      <c r="D336" s="27" t="s">
        <v>27</v>
      </c>
      <c r="E336" s="27" t="s">
        <v>28</v>
      </c>
      <c r="F336" s="28" t="s">
        <v>75</v>
      </c>
      <c r="G336" s="27" t="s">
        <v>64</v>
      </c>
      <c r="H336" s="288"/>
      <c r="I336" s="275"/>
      <c r="J336" s="276" t="s">
        <v>92</v>
      </c>
    </row>
    <row r="337" spans="1:10" x14ac:dyDescent="0.2">
      <c r="A337" s="29"/>
      <c r="B337" s="30" t="s">
        <v>65</v>
      </c>
      <c r="C337" s="31"/>
      <c r="D337" s="31"/>
      <c r="E337" s="31"/>
      <c r="F337" s="31"/>
      <c r="G337" s="31"/>
      <c r="H337" s="31"/>
      <c r="I337" s="32"/>
      <c r="J337" s="277"/>
    </row>
    <row r="338" spans="1:10" ht="16.5" x14ac:dyDescent="0.3">
      <c r="A338" s="33" t="s">
        <v>85</v>
      </c>
      <c r="B338" s="13" t="s">
        <v>82</v>
      </c>
      <c r="C338" s="34">
        <v>0</v>
      </c>
      <c r="D338" s="35"/>
      <c r="E338" s="35">
        <v>40000</v>
      </c>
      <c r="F338" s="35"/>
      <c r="G338" s="35"/>
      <c r="H338" s="62"/>
      <c r="I338" s="39">
        <v>39200</v>
      </c>
      <c r="J338" s="36">
        <f>+SUM(C338:G338)-(H338+I338)</f>
        <v>800</v>
      </c>
    </row>
    <row r="339" spans="1:10" ht="16.5" x14ac:dyDescent="0.3">
      <c r="A339" s="33" t="s">
        <v>85</v>
      </c>
      <c r="B339" s="13" t="str">
        <f>+A76</f>
        <v>JUILLET</v>
      </c>
      <c r="C339" s="34">
        <v>19060</v>
      </c>
      <c r="D339" s="35"/>
      <c r="E339" s="35">
        <v>20000</v>
      </c>
      <c r="F339" s="35"/>
      <c r="G339" s="35"/>
      <c r="H339" s="62"/>
      <c r="I339" s="39">
        <v>36000</v>
      </c>
      <c r="J339" s="36">
        <f t="shared" ref="J339:J346" si="67">+SUM(C339:G339)-(H339+I339)</f>
        <v>3060</v>
      </c>
    </row>
    <row r="340" spans="1:10" ht="16.5" x14ac:dyDescent="0.3">
      <c r="A340" s="33" t="s">
        <v>85</v>
      </c>
      <c r="B340" s="13" t="str">
        <f>+A77</f>
        <v>JUILLET</v>
      </c>
      <c r="C340" s="34">
        <v>8395</v>
      </c>
      <c r="D340" s="35"/>
      <c r="E340" s="35">
        <v>20000</v>
      </c>
      <c r="F340" s="113"/>
      <c r="G340" s="113"/>
      <c r="H340" s="38"/>
      <c r="I340" s="61">
        <v>20000</v>
      </c>
      <c r="J340" s="114">
        <f t="shared" si="67"/>
        <v>8395</v>
      </c>
    </row>
    <row r="341" spans="1:10" ht="16.5" x14ac:dyDescent="0.3">
      <c r="A341" s="33" t="s">
        <v>85</v>
      </c>
      <c r="B341" s="13" t="str">
        <f>+A78</f>
        <v>JUILLET</v>
      </c>
      <c r="C341" s="34">
        <v>0</v>
      </c>
      <c r="D341" s="63"/>
      <c r="E341" s="35">
        <v>100000</v>
      </c>
      <c r="F341" s="113">
        <v>102200</v>
      </c>
      <c r="G341" s="113"/>
      <c r="H341" s="38"/>
      <c r="I341" s="38">
        <v>204000</v>
      </c>
      <c r="J341" s="114">
        <f>+SUM(C341:G341)-(H341+I341)</f>
        <v>-1800</v>
      </c>
    </row>
    <row r="342" spans="1:10" ht="16.5" x14ac:dyDescent="0.3">
      <c r="A342" s="33" t="s">
        <v>85</v>
      </c>
      <c r="B342" s="13" t="e">
        <f>+#REF!</f>
        <v>#REF!</v>
      </c>
      <c r="C342" s="34">
        <v>7559</v>
      </c>
      <c r="D342" s="63"/>
      <c r="E342" s="35">
        <v>866200</v>
      </c>
      <c r="F342" s="113"/>
      <c r="G342" s="113"/>
      <c r="H342" s="38">
        <v>252200</v>
      </c>
      <c r="I342" s="39">
        <v>605575</v>
      </c>
      <c r="J342" s="114">
        <f t="shared" si="67"/>
        <v>15984</v>
      </c>
    </row>
    <row r="343" spans="1:10" ht="16.5" x14ac:dyDescent="0.3">
      <c r="A343" s="33" t="s">
        <v>85</v>
      </c>
      <c r="B343" s="13" t="str">
        <f t="shared" ref="B343:B346" si="68">+A79</f>
        <v>JUILLET</v>
      </c>
      <c r="C343" s="34">
        <v>214000</v>
      </c>
      <c r="D343" s="35"/>
      <c r="E343" s="35">
        <v>724100</v>
      </c>
      <c r="F343" s="113"/>
      <c r="G343" s="113"/>
      <c r="H343" s="38"/>
      <c r="I343" s="39">
        <v>960000</v>
      </c>
      <c r="J343" s="114">
        <f>+SUM(C343:G343)-(H343+I343)</f>
        <v>-21900</v>
      </c>
    </row>
    <row r="344" spans="1:10" ht="16.5" x14ac:dyDescent="0.3">
      <c r="A344" s="33" t="s">
        <v>85</v>
      </c>
      <c r="B344" s="13" t="str">
        <f t="shared" si="68"/>
        <v>JUILLET</v>
      </c>
      <c r="C344" s="34">
        <v>-13805</v>
      </c>
      <c r="D344" s="35"/>
      <c r="E344" s="35">
        <v>333400</v>
      </c>
      <c r="F344" s="35">
        <v>150000</v>
      </c>
      <c r="G344" s="35"/>
      <c r="H344" s="38">
        <v>129000</v>
      </c>
      <c r="I344" s="39">
        <v>338905</v>
      </c>
      <c r="J344" s="36">
        <f>+SUM(C344:G344)-(H344+I344)</f>
        <v>1690</v>
      </c>
    </row>
    <row r="345" spans="1:10" ht="16.5" x14ac:dyDescent="0.3">
      <c r="A345" s="33" t="s">
        <v>85</v>
      </c>
      <c r="B345" s="13" t="str">
        <f t="shared" si="68"/>
        <v>JUILLET</v>
      </c>
      <c r="C345" s="34">
        <v>84350</v>
      </c>
      <c r="D345" s="35"/>
      <c r="E345" s="35">
        <v>669400</v>
      </c>
      <c r="F345" s="35"/>
      <c r="G345" s="35"/>
      <c r="H345" s="38">
        <v>100000</v>
      </c>
      <c r="I345" s="39">
        <v>674700</v>
      </c>
      <c r="J345" s="36">
        <f>+SUM(C345:G345)-(H345+I345)</f>
        <v>-20950</v>
      </c>
    </row>
    <row r="346" spans="1:10" ht="16.5" x14ac:dyDescent="0.3">
      <c r="A346" s="33" t="s">
        <v>85</v>
      </c>
      <c r="B346" s="13" t="str">
        <f t="shared" si="68"/>
        <v>JUILLET</v>
      </c>
      <c r="C346" s="34">
        <v>-216251</v>
      </c>
      <c r="D346" s="35"/>
      <c r="E346" s="35">
        <v>242000</v>
      </c>
      <c r="F346" s="35"/>
      <c r="G346" s="35"/>
      <c r="H346" s="38"/>
      <c r="I346" s="61">
        <v>34830</v>
      </c>
      <c r="J346" s="36">
        <f t="shared" si="67"/>
        <v>-9081</v>
      </c>
    </row>
    <row r="347" spans="1:10" ht="16.5" x14ac:dyDescent="0.3">
      <c r="A347" s="33" t="s">
        <v>85</v>
      </c>
      <c r="B347" s="13" t="s">
        <v>36</v>
      </c>
      <c r="C347" s="34">
        <v>2025</v>
      </c>
      <c r="D347" s="35"/>
      <c r="E347" s="35">
        <v>25000</v>
      </c>
      <c r="F347" s="35"/>
      <c r="G347" s="35"/>
      <c r="H347" s="38">
        <v>3025</v>
      </c>
      <c r="I347" s="39">
        <v>24000</v>
      </c>
      <c r="J347" s="36">
        <f>+SUM(C347:G347)-(H347+I347)</f>
        <v>0</v>
      </c>
    </row>
    <row r="348" spans="1:10" ht="16.5" x14ac:dyDescent="0.3">
      <c r="A348" s="33" t="s">
        <v>85</v>
      </c>
      <c r="B348" s="13" t="s">
        <v>35</v>
      </c>
      <c r="C348" s="34">
        <v>10000</v>
      </c>
      <c r="D348" s="37"/>
      <c r="E348" s="35">
        <v>0</v>
      </c>
      <c r="F348" s="37"/>
      <c r="G348" s="37"/>
      <c r="H348" s="38"/>
      <c r="I348" s="39">
        <v>4700</v>
      </c>
      <c r="J348" s="36">
        <f>+SUM(C348:G348)-(H348+I348)</f>
        <v>5300</v>
      </c>
    </row>
    <row r="349" spans="1:10" x14ac:dyDescent="0.2">
      <c r="A349" s="40" t="s">
        <v>66</v>
      </c>
      <c r="B349" s="41"/>
      <c r="C349" s="41"/>
      <c r="D349" s="41"/>
      <c r="E349" s="41"/>
      <c r="F349" s="41"/>
      <c r="G349" s="41"/>
      <c r="H349" s="41"/>
      <c r="I349" s="41"/>
      <c r="J349" s="42"/>
    </row>
    <row r="350" spans="1:10" x14ac:dyDescent="0.2">
      <c r="A350" s="33" t="s">
        <v>85</v>
      </c>
      <c r="B350" s="43" t="s">
        <v>67</v>
      </c>
      <c r="C350" s="44">
        <v>791675</v>
      </c>
      <c r="D350" s="45">
        <v>3185100</v>
      </c>
      <c r="E350" s="45"/>
      <c r="F350" s="45"/>
      <c r="G350" s="46">
        <v>237025</v>
      </c>
      <c r="H350" s="54">
        <v>3045100</v>
      </c>
      <c r="I350" s="47">
        <v>876121</v>
      </c>
      <c r="J350" s="48">
        <f>+SUM(C350:G350)-(H350+I350)</f>
        <v>292579</v>
      </c>
    </row>
    <row r="351" spans="1:10" x14ac:dyDescent="0.2">
      <c r="A351" s="49" t="s">
        <v>68</v>
      </c>
      <c r="B351" s="30"/>
      <c r="C351" s="41"/>
      <c r="D351" s="30"/>
      <c r="E351" s="30"/>
      <c r="F351" s="30"/>
      <c r="G351" s="30"/>
      <c r="H351" s="30"/>
      <c r="I351" s="30"/>
      <c r="J351" s="42"/>
    </row>
    <row r="352" spans="1:10" x14ac:dyDescent="0.25">
      <c r="A352" s="33" t="s">
        <v>85</v>
      </c>
      <c r="B352" s="43" t="s">
        <v>69</v>
      </c>
      <c r="C352" s="50">
        <v>8039273</v>
      </c>
      <c r="D352" s="59">
        <v>0</v>
      </c>
      <c r="E352" s="56"/>
      <c r="F352" s="56"/>
      <c r="G352" s="56"/>
      <c r="H352" s="58">
        <v>3000000</v>
      </c>
      <c r="I352" s="60">
        <v>224679</v>
      </c>
      <c r="J352" s="51">
        <f>+SUM(C352:G352)-(H352+I352)</f>
        <v>4814594</v>
      </c>
    </row>
    <row r="353" spans="1:15" x14ac:dyDescent="0.25">
      <c r="A353" s="33" t="s">
        <v>85</v>
      </c>
      <c r="B353" s="43" t="s">
        <v>70</v>
      </c>
      <c r="C353" s="50">
        <v>13283340</v>
      </c>
      <c r="D353" s="56">
        <v>0</v>
      </c>
      <c r="E353" s="55"/>
      <c r="F353" s="55"/>
      <c r="G353" s="55"/>
      <c r="H353" s="38">
        <v>185100</v>
      </c>
      <c r="I353" s="57">
        <v>8352406</v>
      </c>
      <c r="J353" s="51">
        <f>SUM(C353:G353)-(H353+I353)</f>
        <v>4745834</v>
      </c>
    </row>
    <row r="354" spans="1:15" x14ac:dyDescent="0.25">
      <c r="A354" s="185" t="s">
        <v>85</v>
      </c>
      <c r="B354" s="186" t="s">
        <v>88</v>
      </c>
      <c r="C354" s="50">
        <v>3721074</v>
      </c>
      <c r="D354" s="185"/>
      <c r="E354" s="185"/>
      <c r="F354" s="185"/>
      <c r="G354" s="185"/>
      <c r="H354" s="185"/>
      <c r="I354" s="185"/>
      <c r="J354" s="187">
        <f>SUM(C354:G354)-(H354+I354)</f>
        <v>3721074</v>
      </c>
    </row>
    <row r="355" spans="1:15" x14ac:dyDescent="0.25">
      <c r="A355" s="185" t="s">
        <v>85</v>
      </c>
      <c r="B355" s="186" t="s">
        <v>89</v>
      </c>
      <c r="C355" s="50">
        <v>249769</v>
      </c>
      <c r="D355" s="56"/>
      <c r="E355" s="56"/>
      <c r="F355" s="56"/>
      <c r="G355" s="56"/>
      <c r="H355" s="38"/>
      <c r="I355" s="57"/>
      <c r="J355" s="187">
        <f>SUM(C355:G355)-(H355+I355)</f>
        <v>249769</v>
      </c>
    </row>
    <row r="356" spans="1:15" x14ac:dyDescent="0.25">
      <c r="A356" s="185" t="s">
        <v>85</v>
      </c>
      <c r="B356" s="188" t="s">
        <v>90</v>
      </c>
      <c r="C356" s="50">
        <v>233614</v>
      </c>
      <c r="D356" s="56"/>
      <c r="E356" s="56"/>
      <c r="F356" s="56"/>
      <c r="G356" s="56"/>
      <c r="H356" s="38"/>
      <c r="I356" s="57"/>
      <c r="J356" s="187">
        <f>SUM(C356:G356)-(H356+I356)</f>
        <v>233614</v>
      </c>
    </row>
    <row r="357" spans="1:15" x14ac:dyDescent="0.25">
      <c r="A357" s="185" t="s">
        <v>85</v>
      </c>
      <c r="B357" s="189" t="s">
        <v>91</v>
      </c>
      <c r="C357" s="50">
        <v>330169</v>
      </c>
      <c r="D357" s="185"/>
      <c r="E357" s="185"/>
      <c r="F357" s="185"/>
      <c r="G357" s="185"/>
      <c r="H357" s="185"/>
      <c r="I357" s="185"/>
      <c r="J357" s="187">
        <f>SUM(C357:G357)-(H357+I357)</f>
        <v>330169</v>
      </c>
    </row>
    <row r="358" spans="1:15" ht="15.75" x14ac:dyDescent="0.25">
      <c r="C358" s="14"/>
      <c r="I358" s="14"/>
      <c r="J358" s="119">
        <f>+SUM(J338:J357)</f>
        <v>14369131</v>
      </c>
    </row>
    <row r="359" spans="1:15" x14ac:dyDescent="0.25">
      <c r="C359" s="14"/>
      <c r="I359" s="14"/>
      <c r="J359" s="14"/>
    </row>
    <row r="360" spans="1:15" s="81" customFormat="1" x14ac:dyDescent="0.2">
      <c r="A360" s="79" t="s">
        <v>71</v>
      </c>
      <c r="B360" s="79"/>
      <c r="C360" s="79"/>
      <c r="D360" s="79"/>
      <c r="E360" s="79"/>
      <c r="F360" s="79"/>
      <c r="G360" s="79"/>
      <c r="H360" s="79"/>
      <c r="I360" s="79"/>
      <c r="J360" s="80"/>
      <c r="L360" s="82"/>
      <c r="M360" s="82"/>
      <c r="N360" s="82"/>
      <c r="O360" s="82"/>
    </row>
    <row r="361" spans="1:15" s="81" customFormat="1" x14ac:dyDescent="0.2">
      <c r="A361" s="83"/>
      <c r="B361" s="80"/>
      <c r="C361" s="84"/>
      <c r="D361" s="84"/>
      <c r="E361" s="84"/>
      <c r="F361" s="84"/>
      <c r="G361" s="84"/>
      <c r="H361" s="80"/>
      <c r="I361" s="80"/>
      <c r="J361" s="79"/>
      <c r="L361" s="82"/>
      <c r="M361" s="82"/>
      <c r="N361" s="82"/>
      <c r="O361" s="82"/>
    </row>
    <row r="362" spans="1:15" s="81" customFormat="1" x14ac:dyDescent="0.2">
      <c r="A362" s="278" t="s">
        <v>59</v>
      </c>
      <c r="B362" s="280" t="s">
        <v>60</v>
      </c>
      <c r="C362" s="282" t="s">
        <v>73</v>
      </c>
      <c r="D362" s="301" t="s">
        <v>61</v>
      </c>
      <c r="E362" s="302"/>
      <c r="F362" s="302"/>
      <c r="G362" s="303"/>
      <c r="H362" s="304" t="s">
        <v>62</v>
      </c>
      <c r="I362" s="306" t="s">
        <v>63</v>
      </c>
      <c r="J362" s="80"/>
      <c r="L362" s="82"/>
      <c r="M362" s="82"/>
      <c r="N362" s="82"/>
      <c r="O362" s="82"/>
    </row>
    <row r="363" spans="1:15" s="81" customFormat="1" x14ac:dyDescent="0.25">
      <c r="A363" s="279"/>
      <c r="B363" s="281"/>
      <c r="C363" s="283"/>
      <c r="D363" s="27" t="s">
        <v>27</v>
      </c>
      <c r="E363" s="27" t="s">
        <v>28</v>
      </c>
      <c r="F363" s="77" t="s">
        <v>75</v>
      </c>
      <c r="G363" s="27" t="s">
        <v>64</v>
      </c>
      <c r="H363" s="305"/>
      <c r="I363" s="307"/>
      <c r="J363" s="276" t="s">
        <v>74</v>
      </c>
      <c r="L363" s="82"/>
      <c r="M363" s="82"/>
      <c r="N363" s="82"/>
      <c r="O363" s="82"/>
    </row>
    <row r="364" spans="1:15" s="81" customFormat="1" x14ac:dyDescent="0.2">
      <c r="A364" s="85"/>
      <c r="B364" s="86" t="s">
        <v>65</v>
      </c>
      <c r="C364" s="87"/>
      <c r="D364" s="87"/>
      <c r="E364" s="87"/>
      <c r="F364" s="87"/>
      <c r="G364" s="87"/>
      <c r="H364" s="87"/>
      <c r="I364" s="88"/>
      <c r="J364" s="277"/>
      <c r="L364" s="82"/>
      <c r="M364" s="82"/>
      <c r="N364" s="82"/>
      <c r="O364" s="82"/>
    </row>
    <row r="365" spans="1:15" s="81" customFormat="1" ht="16.5" x14ac:dyDescent="0.3">
      <c r="A365" s="89" t="s">
        <v>72</v>
      </c>
      <c r="B365" s="13" t="s">
        <v>53</v>
      </c>
      <c r="C365" s="90">
        <v>40560</v>
      </c>
      <c r="D365" s="35"/>
      <c r="E365" s="35">
        <v>0</v>
      </c>
      <c r="F365" s="35"/>
      <c r="G365" s="35"/>
      <c r="H365" s="91"/>
      <c r="I365" s="92">
        <f>+SUM([1]COMPTA_CREPIN!$F$3050:$F$3066)</f>
        <v>21500</v>
      </c>
      <c r="J365" s="36">
        <f>+SUM(C365:G365)-(H365+I365)</f>
        <v>19060</v>
      </c>
      <c r="L365" s="82"/>
      <c r="M365" s="82"/>
      <c r="N365" s="82"/>
      <c r="O365" s="82"/>
    </row>
    <row r="366" spans="1:15" s="81" customFormat="1" ht="16.5" x14ac:dyDescent="0.3">
      <c r="A366" s="89" t="s">
        <v>72</v>
      </c>
      <c r="B366" s="13" t="s">
        <v>31</v>
      </c>
      <c r="C366" s="90">
        <v>227975</v>
      </c>
      <c r="D366" s="35"/>
      <c r="E366" s="35">
        <f>+'[1]Compta Dalia (2)'!$E$1908+'[1]Compta Dalia (2)'!$E$1909+'[1]Compta Dalia (2)'!$E$1911+'[1]Compta Dalia (2)'!$E$1917</f>
        <v>119600</v>
      </c>
      <c r="F366" s="35"/>
      <c r="G366" s="35"/>
      <c r="H366" s="91">
        <f>+'[1]Compta Dalia (2)'!$F$1919</f>
        <v>1635</v>
      </c>
      <c r="I366" s="92">
        <v>345940</v>
      </c>
      <c r="J366" s="36">
        <f t="shared" ref="J366:J373" si="69">+SUM(C366:G366)-(H366+I366)</f>
        <v>0</v>
      </c>
      <c r="L366" s="82"/>
      <c r="M366" s="82"/>
      <c r="N366" s="82"/>
      <c r="O366" s="82"/>
    </row>
    <row r="367" spans="1:15" s="81" customFormat="1" ht="16.5" x14ac:dyDescent="0.3">
      <c r="A367" s="89" t="s">
        <v>72</v>
      </c>
      <c r="B367" s="13" t="s">
        <v>34</v>
      </c>
      <c r="C367" s="90">
        <v>-605</v>
      </c>
      <c r="D367" s="35"/>
      <c r="E367" s="35">
        <f>+'[1]compta (3)'!$E$2556+'[1]compta (3)'!$E$2557+'[1]compta (3)'!$E$2558</f>
        <v>30000</v>
      </c>
      <c r="F367" s="35"/>
      <c r="G367" s="35"/>
      <c r="H367" s="93"/>
      <c r="I367" s="94">
        <f>'[1]compta (3)'!$F$2559</f>
        <v>21000</v>
      </c>
      <c r="J367" s="36">
        <f t="shared" si="69"/>
        <v>8395</v>
      </c>
      <c r="L367" s="82"/>
      <c r="M367" s="82"/>
      <c r="N367" s="82"/>
      <c r="O367" s="82"/>
    </row>
    <row r="368" spans="1:15" s="81" customFormat="1" ht="16.5" x14ac:dyDescent="0.3">
      <c r="A368" s="89" t="s">
        <v>72</v>
      </c>
      <c r="B368" s="112" t="s">
        <v>29</v>
      </c>
      <c r="C368" s="90">
        <v>264659</v>
      </c>
      <c r="D368" s="113"/>
      <c r="E368" s="113">
        <f>+'[1]compta (2)'!$E$2521+'[1]compta (2)'!$E$2525+'[1]compta (2)'!$E$2527+'[1]compta (2)'!$E$2529</f>
        <v>325000</v>
      </c>
      <c r="F368" s="113"/>
      <c r="G368" s="113"/>
      <c r="H368" s="38">
        <f>'[1]compta (2)'!$F$2528+60000</f>
        <v>75000</v>
      </c>
      <c r="I368" s="38">
        <f>'[1]compta (2)'!$F$2522+'[1]compta (2)'!$F$2523+'[1]compta (2)'!$F$2524+'[1]compta (2)'!$F$2526+'[1]compta (2)'!$F$2530+'[1]compta (2)'!$F$2532+'[1]compta (2)'!$F$2533+'[1]compta (2)'!$F$2534</f>
        <v>507100</v>
      </c>
      <c r="J368" s="114">
        <f t="shared" si="69"/>
        <v>7559</v>
      </c>
      <c r="L368" s="82"/>
      <c r="M368" s="82"/>
      <c r="N368" s="82"/>
      <c r="O368" s="82"/>
    </row>
    <row r="369" spans="1:15" s="81" customFormat="1" ht="16.5" x14ac:dyDescent="0.3">
      <c r="A369" s="89" t="s">
        <v>72</v>
      </c>
      <c r="B369" s="112" t="s">
        <v>54</v>
      </c>
      <c r="C369" s="90">
        <v>272500</v>
      </c>
      <c r="D369" s="113"/>
      <c r="E369" s="113">
        <f>+'[1]COMPTA_I23C (2)'!$E$4171+'[1]COMPTA_I23C (2)'!$E$4172+'[1]COMPTA_I23C (2)'!$E$4174+'[1]COMPTA_I23C (2)'!$E$4178+'[1]COMPTA_I23C (2)'!$E$4180+'[1]COMPTA_I23C (2)'!$E$4181</f>
        <v>695000</v>
      </c>
      <c r="F369" s="113"/>
      <c r="G369" s="113"/>
      <c r="H369" s="38"/>
      <c r="I369" s="90">
        <v>753500</v>
      </c>
      <c r="J369" s="114">
        <f t="shared" si="69"/>
        <v>214000</v>
      </c>
      <c r="L369" s="82"/>
      <c r="M369" s="82"/>
      <c r="N369" s="82"/>
      <c r="O369" s="82"/>
    </row>
    <row r="370" spans="1:15" s="81" customFormat="1" ht="16.5" x14ac:dyDescent="0.3">
      <c r="A370" s="89" t="s">
        <v>72</v>
      </c>
      <c r="B370" s="13" t="s">
        <v>39</v>
      </c>
      <c r="C370" s="90">
        <v>284595</v>
      </c>
      <c r="D370" s="35"/>
      <c r="E370" s="35">
        <f>+'[1]Feuil1 (2)'!$E$2684+'[1]Feuil1 (2)'!$E$2689+'[1]Feuil1 (2)'!$E$2691</f>
        <v>275000</v>
      </c>
      <c r="F370" s="35">
        <f>'[1]compta (2)'!$F$2531</f>
        <v>60000</v>
      </c>
      <c r="G370" s="35"/>
      <c r="H370" s="93"/>
      <c r="I370" s="92">
        <v>633400</v>
      </c>
      <c r="J370" s="36">
        <f t="shared" si="69"/>
        <v>-13805</v>
      </c>
      <c r="L370" s="82"/>
      <c r="M370" s="82"/>
      <c r="N370" s="82"/>
      <c r="O370" s="82"/>
    </row>
    <row r="371" spans="1:15" s="81" customFormat="1" ht="16.5" x14ac:dyDescent="0.3">
      <c r="A371" s="89" t="s">
        <v>72</v>
      </c>
      <c r="B371" s="13" t="s">
        <v>30</v>
      </c>
      <c r="C371" s="90">
        <v>-1750</v>
      </c>
      <c r="D371" s="35"/>
      <c r="E371" s="35">
        <f>+'[1]Compta Jospin (2)'!$E$1583+'[1]Compta Jospin (2)'!$E$1584+'[1]Compta Jospin (2)'!$E$1587</f>
        <v>96400</v>
      </c>
      <c r="F371" s="35"/>
      <c r="G371" s="35"/>
      <c r="H371" s="93">
        <f>+'[1]Compta Jospin (2)'!$F$1592</f>
        <v>950</v>
      </c>
      <c r="I371" s="92">
        <v>93700</v>
      </c>
      <c r="J371" s="36">
        <f t="shared" si="69"/>
        <v>0</v>
      </c>
      <c r="L371" s="82"/>
      <c r="M371" s="82"/>
      <c r="N371" s="82"/>
      <c r="O371" s="82"/>
    </row>
    <row r="372" spans="1:15" s="81" customFormat="1" ht="16.5" x14ac:dyDescent="0.3">
      <c r="A372" s="89" t="s">
        <v>72</v>
      </c>
      <c r="B372" s="13" t="s">
        <v>32</v>
      </c>
      <c r="C372" s="90">
        <v>265600</v>
      </c>
      <c r="D372" s="35"/>
      <c r="E372" s="35">
        <f>+'[1]COMPT-P29 (2)'!$E$190+'[1]COMPT-P29 (2)'!$E$191+'[1]COMPT-P29 (2)'!$E$196+'[1]COMPT-P29 (2)'!$E$201+'[1]COMPT-P29 (2)'!$E$202+'[1]COMPT-P29 (2)'!$E$204+'[1]COMPT-P29 (2)'!$E$207+'[1]COMPT-P29 (2)'!$E$215</f>
        <v>855600</v>
      </c>
      <c r="F372" s="35"/>
      <c r="G372" s="35"/>
      <c r="H372" s="93"/>
      <c r="I372" s="92">
        <v>1036850</v>
      </c>
      <c r="J372" s="36">
        <f t="shared" si="69"/>
        <v>84350</v>
      </c>
      <c r="L372" s="82"/>
      <c r="M372" s="82"/>
      <c r="N372" s="82"/>
      <c r="O372" s="82"/>
    </row>
    <row r="373" spans="1:15" s="81" customFormat="1" ht="16.5" x14ac:dyDescent="0.3">
      <c r="A373" s="89" t="s">
        <v>72</v>
      </c>
      <c r="B373" s="13" t="s">
        <v>55</v>
      </c>
      <c r="C373" s="90">
        <f t="shared" ref="C373" si="70">+C346</f>
        <v>-216251</v>
      </c>
      <c r="D373" s="35"/>
      <c r="E373" s="35">
        <v>0</v>
      </c>
      <c r="F373" s="35"/>
      <c r="G373" s="35"/>
      <c r="H373" s="93"/>
      <c r="I373" s="94">
        <v>0</v>
      </c>
      <c r="J373" s="36">
        <f t="shared" si="69"/>
        <v>-216251</v>
      </c>
      <c r="L373" s="82"/>
      <c r="M373" s="82"/>
      <c r="N373" s="82"/>
      <c r="O373" s="82"/>
    </row>
    <row r="374" spans="1:15" s="81" customFormat="1" ht="16.5" x14ac:dyDescent="0.3">
      <c r="A374" s="89" t="s">
        <v>72</v>
      </c>
      <c r="B374" s="13" t="s">
        <v>36</v>
      </c>
      <c r="C374" s="90">
        <v>1025</v>
      </c>
      <c r="D374" s="35"/>
      <c r="E374" s="35">
        <f>+'[1]compta shely'!$E$90+'[1]compta shely'!$E$97+'[1]compta shely'!$E$100</f>
        <v>25000</v>
      </c>
      <c r="F374" s="35"/>
      <c r="G374" s="35"/>
      <c r="H374" s="93"/>
      <c r="I374" s="92">
        <v>24000</v>
      </c>
      <c r="J374" s="36">
        <f>+SUM(C374:G374)-(H374+I374)</f>
        <v>2025</v>
      </c>
      <c r="L374" s="82"/>
      <c r="M374" s="82"/>
      <c r="N374" s="82"/>
      <c r="O374" s="82"/>
    </row>
    <row r="375" spans="1:15" s="81" customFormat="1" ht="16.5" x14ac:dyDescent="0.3">
      <c r="A375" s="37" t="s">
        <v>72</v>
      </c>
      <c r="B375" s="13" t="s">
        <v>35</v>
      </c>
      <c r="C375" s="90">
        <v>0</v>
      </c>
      <c r="D375" s="37"/>
      <c r="E375" s="37">
        <f>+'[1]compta ted'!$E$11</f>
        <v>10000</v>
      </c>
      <c r="F375" s="37"/>
      <c r="G375" s="37"/>
      <c r="H375" s="93"/>
      <c r="I375" s="92">
        <v>0</v>
      </c>
      <c r="J375" s="36">
        <f>+SUM(C375:G375)-(H375+I375)</f>
        <v>10000</v>
      </c>
      <c r="L375" s="82"/>
      <c r="M375" s="82"/>
      <c r="N375" s="82"/>
      <c r="O375" s="82"/>
    </row>
    <row r="376" spans="1:15" s="81" customFormat="1" x14ac:dyDescent="0.2">
      <c r="A376" s="95" t="s">
        <v>66</v>
      </c>
      <c r="B376" s="96"/>
      <c r="C376" s="96"/>
      <c r="D376" s="96"/>
      <c r="E376" s="96"/>
      <c r="F376" s="96"/>
      <c r="G376" s="96"/>
      <c r="H376" s="96"/>
      <c r="I376" s="96"/>
      <c r="J376" s="97"/>
      <c r="L376" s="82"/>
      <c r="M376" s="82"/>
      <c r="N376" s="82"/>
      <c r="O376" s="82"/>
    </row>
    <row r="377" spans="1:15" s="81" customFormat="1" x14ac:dyDescent="0.2">
      <c r="A377" s="37" t="s">
        <v>72</v>
      </c>
      <c r="B377" s="43" t="s">
        <v>67</v>
      </c>
      <c r="C377" s="44">
        <v>954796</v>
      </c>
      <c r="D377" s="35">
        <v>3000000</v>
      </c>
      <c r="E377" s="35"/>
      <c r="F377" s="35"/>
      <c r="G377" s="98">
        <v>17585</v>
      </c>
      <c r="H377" s="99">
        <v>2431600</v>
      </c>
      <c r="I377" s="100">
        <v>749106</v>
      </c>
      <c r="J377" s="101">
        <f>+SUM(C377:G377)-(H377+I377)</f>
        <v>791675</v>
      </c>
      <c r="L377" s="82"/>
      <c r="M377" s="82"/>
      <c r="N377" s="82"/>
      <c r="O377" s="82"/>
    </row>
    <row r="378" spans="1:15" s="81" customFormat="1" x14ac:dyDescent="0.2">
      <c r="A378" s="102" t="s">
        <v>68</v>
      </c>
      <c r="B378" s="86"/>
      <c r="C378" s="96"/>
      <c r="D378" s="86"/>
      <c r="E378" s="86"/>
      <c r="F378" s="86"/>
      <c r="G378" s="86"/>
      <c r="H378" s="86"/>
      <c r="I378" s="86"/>
      <c r="J378" s="97"/>
      <c r="L378" s="82"/>
      <c r="M378" s="82"/>
      <c r="N378" s="82"/>
      <c r="O378" s="82"/>
    </row>
    <row r="379" spans="1:15" s="81" customFormat="1" x14ac:dyDescent="0.25">
      <c r="A379" s="37" t="s">
        <v>72</v>
      </c>
      <c r="B379" s="43" t="s">
        <v>69</v>
      </c>
      <c r="C379" s="90">
        <v>705838</v>
      </c>
      <c r="D379" s="103">
        <v>10801800</v>
      </c>
      <c r="E379" s="104"/>
      <c r="F379" s="104"/>
      <c r="G379" s="104"/>
      <c r="H379" s="105">
        <v>3000000</v>
      </c>
      <c r="I379" s="106">
        <v>468365</v>
      </c>
      <c r="J379" s="36">
        <f>+SUM(C379:G379)-(H379+I379)</f>
        <v>8039273</v>
      </c>
      <c r="L379" s="82"/>
      <c r="M379" s="82"/>
      <c r="N379" s="82"/>
      <c r="O379" s="82"/>
    </row>
    <row r="380" spans="1:15" s="81" customFormat="1" x14ac:dyDescent="0.25">
      <c r="A380" s="37" t="s">
        <v>72</v>
      </c>
      <c r="B380" s="43" t="s">
        <v>70</v>
      </c>
      <c r="C380" s="90">
        <v>14874402</v>
      </c>
      <c r="D380" s="104">
        <v>3279785</v>
      </c>
      <c r="E380" s="107"/>
      <c r="F380" s="107"/>
      <c r="G380" s="107"/>
      <c r="H380" s="108"/>
      <c r="I380" s="109">
        <v>4870847</v>
      </c>
      <c r="J380" s="36">
        <f>SUM(C380:G380)-(H380+I380)</f>
        <v>13283340</v>
      </c>
      <c r="L380" s="82"/>
      <c r="M380" s="82"/>
      <c r="N380" s="82"/>
      <c r="O380" s="82"/>
    </row>
    <row r="381" spans="1:15" s="81" customFormat="1" x14ac:dyDescent="0.25">
      <c r="L381" s="82"/>
      <c r="M381" s="82"/>
      <c r="N381" s="82"/>
      <c r="O381" s="82"/>
    </row>
    <row r="382" spans="1:15" s="81" customFormat="1" x14ac:dyDescent="0.25">
      <c r="C382" s="110">
        <f>+SUM(C365:C380)</f>
        <v>17673344</v>
      </c>
      <c r="I382" s="110">
        <f>SUM(I365:I380)</f>
        <v>9525308</v>
      </c>
      <c r="J382" s="110">
        <f>+SUM(J365:J380)</f>
        <v>22229621</v>
      </c>
      <c r="L382" s="82"/>
      <c r="M382" s="82"/>
      <c r="N382" s="82"/>
      <c r="O382" s="82"/>
    </row>
    <row r="383" spans="1:15" x14ac:dyDescent="0.25">
      <c r="C383" s="14"/>
      <c r="I383" s="14"/>
      <c r="J383" s="14"/>
    </row>
    <row r="384" spans="1:15" x14ac:dyDescent="0.25">
      <c r="A384" s="69" t="s">
        <v>76</v>
      </c>
      <c r="B384" s="69"/>
    </row>
    <row r="385" spans="1:11" x14ac:dyDescent="0.25">
      <c r="A385" s="70" t="s">
        <v>77</v>
      </c>
      <c r="B385" s="70"/>
      <c r="C385" s="70"/>
      <c r="D385" s="70"/>
      <c r="E385" s="70"/>
      <c r="F385" s="70"/>
      <c r="G385" s="70"/>
      <c r="H385" s="70"/>
      <c r="I385" s="70"/>
      <c r="J385" s="70"/>
    </row>
    <row r="387" spans="1:11" x14ac:dyDescent="0.25">
      <c r="A387" s="289" t="s">
        <v>59</v>
      </c>
      <c r="B387" s="289" t="s">
        <v>60</v>
      </c>
      <c r="C387" s="300" t="s">
        <v>79</v>
      </c>
      <c r="D387" s="295" t="s">
        <v>61</v>
      </c>
      <c r="E387" s="295"/>
      <c r="F387" s="295"/>
      <c r="G387" s="295"/>
      <c r="H387" s="296" t="s">
        <v>62</v>
      </c>
      <c r="I387" s="298" t="s">
        <v>63</v>
      </c>
      <c r="J387" s="291" t="s">
        <v>80</v>
      </c>
      <c r="K387" s="292"/>
    </row>
    <row r="388" spans="1:11" ht="28.5" customHeight="1" x14ac:dyDescent="0.25">
      <c r="A388" s="290"/>
      <c r="B388" s="290"/>
      <c r="C388" s="290"/>
      <c r="D388" s="74" t="s">
        <v>27</v>
      </c>
      <c r="E388" s="71" t="s">
        <v>28</v>
      </c>
      <c r="F388" s="71" t="s">
        <v>30</v>
      </c>
      <c r="G388" s="71" t="s">
        <v>64</v>
      </c>
      <c r="H388" s="297"/>
      <c r="I388" s="299"/>
      <c r="J388" s="293"/>
      <c r="K388" s="294"/>
    </row>
    <row r="389" spans="1:11" x14ac:dyDescent="0.25">
      <c r="A389" s="52"/>
      <c r="B389" s="52" t="s">
        <v>65</v>
      </c>
      <c r="C389" s="54"/>
      <c r="D389" s="54"/>
      <c r="E389" s="54"/>
      <c r="F389" s="54"/>
      <c r="G389" s="54"/>
      <c r="H389" s="54"/>
      <c r="I389" s="54"/>
      <c r="J389" s="54"/>
      <c r="K389" s="52"/>
    </row>
    <row r="390" spans="1:11" x14ac:dyDescent="0.25">
      <c r="A390" s="52" t="s">
        <v>78</v>
      </c>
      <c r="B390" s="52" t="s">
        <v>53</v>
      </c>
      <c r="C390" s="54">
        <v>89360</v>
      </c>
      <c r="D390" s="54"/>
      <c r="E390" s="54">
        <v>13000</v>
      </c>
      <c r="F390" s="54"/>
      <c r="G390" s="54"/>
      <c r="H390" s="54"/>
      <c r="I390" s="54">
        <v>61800</v>
      </c>
      <c r="J390" s="54">
        <v>40560</v>
      </c>
      <c r="K390" s="52"/>
    </row>
    <row r="391" spans="1:11" x14ac:dyDescent="0.25">
      <c r="A391" s="52" t="s">
        <v>78</v>
      </c>
      <c r="B391" s="52" t="s">
        <v>31</v>
      </c>
      <c r="C391" s="54">
        <v>-1025</v>
      </c>
      <c r="D391" s="54"/>
      <c r="E391" s="54">
        <v>684500</v>
      </c>
      <c r="F391" s="54"/>
      <c r="G391" s="54"/>
      <c r="H391" s="54"/>
      <c r="I391" s="54">
        <v>455500</v>
      </c>
      <c r="J391" s="54">
        <v>227975</v>
      </c>
      <c r="K391" s="52"/>
    </row>
    <row r="392" spans="1:11" x14ac:dyDescent="0.25">
      <c r="A392" s="52" t="s">
        <v>78</v>
      </c>
      <c r="B392" s="52" t="s">
        <v>34</v>
      </c>
      <c r="C392" s="54">
        <v>14395</v>
      </c>
      <c r="D392" s="54"/>
      <c r="E392" s="54">
        <v>40000</v>
      </c>
      <c r="F392" s="54"/>
      <c r="G392" s="54"/>
      <c r="H392" s="54"/>
      <c r="I392" s="54">
        <v>55000</v>
      </c>
      <c r="J392" s="54">
        <v>-605</v>
      </c>
      <c r="K392" s="52"/>
    </row>
    <row r="393" spans="1:11" x14ac:dyDescent="0.25">
      <c r="A393" s="52" t="s">
        <v>78</v>
      </c>
      <c r="B393" s="52" t="s">
        <v>29</v>
      </c>
      <c r="C393" s="54">
        <v>8559</v>
      </c>
      <c r="D393" s="54"/>
      <c r="E393" s="54">
        <v>428750</v>
      </c>
      <c r="F393" s="54">
        <v>280200</v>
      </c>
      <c r="G393" s="54"/>
      <c r="H393" s="54"/>
      <c r="I393" s="54">
        <v>452850</v>
      </c>
      <c r="J393" s="54">
        <v>264659</v>
      </c>
      <c r="K393" s="52"/>
    </row>
    <row r="394" spans="1:11" x14ac:dyDescent="0.25">
      <c r="A394" s="52" t="s">
        <v>78</v>
      </c>
      <c r="B394" s="52" t="s">
        <v>54</v>
      </c>
      <c r="C394" s="54">
        <v>-5750</v>
      </c>
      <c r="D394" s="54"/>
      <c r="E394" s="54">
        <v>1161750</v>
      </c>
      <c r="F394" s="54"/>
      <c r="G394" s="54"/>
      <c r="H394" s="54">
        <v>124000</v>
      </c>
      <c r="I394" s="54">
        <v>759500</v>
      </c>
      <c r="J394" s="54">
        <v>272500</v>
      </c>
      <c r="K394" s="52"/>
    </row>
    <row r="395" spans="1:11" x14ac:dyDescent="0.25">
      <c r="A395" s="52" t="s">
        <v>78</v>
      </c>
      <c r="B395" s="52" t="s">
        <v>39</v>
      </c>
      <c r="C395" s="54">
        <v>12995</v>
      </c>
      <c r="D395" s="54"/>
      <c r="E395" s="54">
        <v>726000</v>
      </c>
      <c r="F395" s="54"/>
      <c r="G395" s="54"/>
      <c r="H395" s="54"/>
      <c r="I395" s="54">
        <v>454400</v>
      </c>
      <c r="J395" s="54">
        <v>284595</v>
      </c>
      <c r="K395" s="52"/>
    </row>
    <row r="396" spans="1:11" x14ac:dyDescent="0.25">
      <c r="A396" s="52" t="s">
        <v>78</v>
      </c>
      <c r="B396" s="52" t="s">
        <v>30</v>
      </c>
      <c r="C396" s="54">
        <v>6050</v>
      </c>
      <c r="D396" s="54"/>
      <c r="E396" s="54">
        <v>736300</v>
      </c>
      <c r="F396" s="54"/>
      <c r="G396" s="54"/>
      <c r="H396" s="54">
        <v>405200</v>
      </c>
      <c r="I396" s="54">
        <v>338900</v>
      </c>
      <c r="J396" s="54">
        <v>-1750</v>
      </c>
      <c r="K396" s="52"/>
    </row>
    <row r="397" spans="1:11" x14ac:dyDescent="0.25">
      <c r="A397" s="52" t="s">
        <v>78</v>
      </c>
      <c r="B397" s="52" t="s">
        <v>32</v>
      </c>
      <c r="C397" s="54">
        <v>142400</v>
      </c>
      <c r="D397" s="54"/>
      <c r="E397" s="54">
        <v>1014000</v>
      </c>
      <c r="F397" s="54"/>
      <c r="G397" s="54"/>
      <c r="H397" s="54">
        <v>100000</v>
      </c>
      <c r="I397" s="54">
        <v>790800</v>
      </c>
      <c r="J397" s="54">
        <v>265600</v>
      </c>
      <c r="K397" s="52"/>
    </row>
    <row r="398" spans="1:11" x14ac:dyDescent="0.25">
      <c r="A398" s="52" t="s">
        <v>78</v>
      </c>
      <c r="B398" s="52" t="s">
        <v>55</v>
      </c>
      <c r="C398" s="54">
        <v>-221251.00072999997</v>
      </c>
      <c r="D398" s="54"/>
      <c r="E398" s="54">
        <v>485000</v>
      </c>
      <c r="F398" s="54"/>
      <c r="G398" s="54"/>
      <c r="H398" s="54">
        <v>5000</v>
      </c>
      <c r="I398" s="54">
        <v>475000</v>
      </c>
      <c r="J398" s="54">
        <v>-216251.00072999997</v>
      </c>
      <c r="K398" s="52"/>
    </row>
    <row r="399" spans="1:11" x14ac:dyDescent="0.25">
      <c r="A399" s="52" t="s">
        <v>78</v>
      </c>
      <c r="B399" s="52" t="s">
        <v>36</v>
      </c>
      <c r="C399" s="54">
        <v>14225</v>
      </c>
      <c r="D399" s="54"/>
      <c r="E399" s="54">
        <v>30000</v>
      </c>
      <c r="F399" s="54"/>
      <c r="G399" s="54"/>
      <c r="H399" s="54"/>
      <c r="I399" s="54">
        <v>43200</v>
      </c>
      <c r="J399" s="54">
        <v>1025</v>
      </c>
      <c r="K399" s="52"/>
    </row>
    <row r="400" spans="1:11" x14ac:dyDescent="0.25">
      <c r="A400" s="72" t="s">
        <v>66</v>
      </c>
      <c r="B400" s="72"/>
      <c r="C400" s="73"/>
      <c r="D400" s="73"/>
      <c r="E400" s="73"/>
      <c r="F400" s="73"/>
      <c r="G400" s="73"/>
      <c r="H400" s="73"/>
      <c r="I400" s="73"/>
      <c r="J400" s="73"/>
      <c r="K400" s="72"/>
    </row>
    <row r="401" spans="1:11" x14ac:dyDescent="0.25">
      <c r="A401" s="52" t="s">
        <v>78</v>
      </c>
      <c r="B401" s="52" t="s">
        <v>67</v>
      </c>
      <c r="C401" s="54">
        <v>494738</v>
      </c>
      <c r="D401" s="54">
        <v>6000000</v>
      </c>
      <c r="E401" s="54"/>
      <c r="F401" s="54"/>
      <c r="G401" s="54">
        <v>105000</v>
      </c>
      <c r="H401" s="54">
        <v>5070300</v>
      </c>
      <c r="I401" s="54">
        <v>574642</v>
      </c>
      <c r="J401" s="54">
        <v>954796</v>
      </c>
      <c r="K401" s="52"/>
    </row>
    <row r="402" spans="1:11" x14ac:dyDescent="0.25">
      <c r="A402" s="72" t="s">
        <v>68</v>
      </c>
      <c r="B402" s="72"/>
      <c r="C402" s="73"/>
      <c r="D402" s="73"/>
      <c r="E402" s="73"/>
      <c r="F402" s="73"/>
      <c r="G402" s="73"/>
      <c r="H402" s="73"/>
      <c r="I402" s="73"/>
      <c r="J402" s="73"/>
      <c r="K402" s="72"/>
    </row>
    <row r="403" spans="1:11" x14ac:dyDescent="0.25">
      <c r="A403" s="52" t="s">
        <v>78</v>
      </c>
      <c r="B403" s="52" t="s">
        <v>69</v>
      </c>
      <c r="C403" s="54">
        <v>11363703</v>
      </c>
      <c r="D403" s="54"/>
      <c r="E403" s="54"/>
      <c r="F403" s="54"/>
      <c r="G403" s="54"/>
      <c r="H403" s="54">
        <v>10000000</v>
      </c>
      <c r="I403" s="54">
        <v>657865</v>
      </c>
      <c r="J403" s="54">
        <v>705838</v>
      </c>
      <c r="K403" s="52"/>
    </row>
    <row r="404" spans="1:11" x14ac:dyDescent="0.25">
      <c r="A404" s="52" t="s">
        <v>78</v>
      </c>
      <c r="B404" s="52" t="s">
        <v>70</v>
      </c>
      <c r="C404" s="54">
        <v>4902843</v>
      </c>
      <c r="D404" s="54">
        <v>17119140</v>
      </c>
      <c r="E404" s="54"/>
      <c r="F404" s="54"/>
      <c r="G404" s="54"/>
      <c r="H404" s="54"/>
      <c r="I404" s="54">
        <v>7147581</v>
      </c>
      <c r="J404" s="54">
        <v>14874402</v>
      </c>
      <c r="K404" s="52"/>
    </row>
    <row r="405" spans="1:11" x14ac:dyDescent="0.25">
      <c r="A405" s="52"/>
      <c r="B405" s="52"/>
      <c r="C405" s="54"/>
      <c r="D405" s="54"/>
      <c r="E405" s="54"/>
      <c r="F405" s="54"/>
      <c r="G405" s="54"/>
      <c r="H405" s="54"/>
      <c r="I405" s="54"/>
      <c r="J405" s="54"/>
      <c r="K405" s="52"/>
    </row>
    <row r="406" spans="1:11" x14ac:dyDescent="0.25">
      <c r="A406" s="52"/>
      <c r="B406" s="52"/>
      <c r="C406" s="54"/>
      <c r="D406" s="54"/>
      <c r="E406" s="54"/>
      <c r="F406" s="54"/>
      <c r="G406" s="54"/>
      <c r="H406" s="54"/>
      <c r="I406" s="54">
        <v>12267038</v>
      </c>
      <c r="J406" s="54">
        <v>17673343.99927</v>
      </c>
      <c r="K406" s="52" t="b">
        <v>1</v>
      </c>
    </row>
    <row r="407" spans="1:11" x14ac:dyDescent="0.25">
      <c r="J407" s="76" t="b">
        <f>J406=[1]TABLEAU!$I$16</f>
        <v>1</v>
      </c>
    </row>
  </sheetData>
  <mergeCells count="105">
    <mergeCell ref="B95:B96"/>
    <mergeCell ref="C95:C96"/>
    <mergeCell ref="D95:G95"/>
    <mergeCell ref="H95:H96"/>
    <mergeCell ref="I24:I25"/>
    <mergeCell ref="J25:J26"/>
    <mergeCell ref="A24:A25"/>
    <mergeCell ref="B24:B25"/>
    <mergeCell ref="C24:C25"/>
    <mergeCell ref="D24:G24"/>
    <mergeCell ref="H24:H25"/>
    <mergeCell ref="I47:I48"/>
    <mergeCell ref="J48:J49"/>
    <mergeCell ref="A47:A48"/>
    <mergeCell ref="B47:B48"/>
    <mergeCell ref="C47:C48"/>
    <mergeCell ref="D47:G47"/>
    <mergeCell ref="H47:H48"/>
    <mergeCell ref="I172:I173"/>
    <mergeCell ref="J173:J174"/>
    <mergeCell ref="A172:A173"/>
    <mergeCell ref="B172:B173"/>
    <mergeCell ref="C172:C173"/>
    <mergeCell ref="D172:G172"/>
    <mergeCell ref="H172:H173"/>
    <mergeCell ref="I71:I72"/>
    <mergeCell ref="J72:J73"/>
    <mergeCell ref="A71:A72"/>
    <mergeCell ref="B71:B72"/>
    <mergeCell ref="C71:C72"/>
    <mergeCell ref="D71:G71"/>
    <mergeCell ref="H71:H72"/>
    <mergeCell ref="I120:I121"/>
    <mergeCell ref="J121:J122"/>
    <mergeCell ref="A120:A121"/>
    <mergeCell ref="B120:B121"/>
    <mergeCell ref="C120:C121"/>
    <mergeCell ref="D120:G120"/>
    <mergeCell ref="H120:H121"/>
    <mergeCell ref="I95:I96"/>
    <mergeCell ref="J96:J97"/>
    <mergeCell ref="A95:A96"/>
    <mergeCell ref="C308:C309"/>
    <mergeCell ref="D308:G308"/>
    <mergeCell ref="H308:H309"/>
    <mergeCell ref="A362:A363"/>
    <mergeCell ref="D362:G362"/>
    <mergeCell ref="H362:H363"/>
    <mergeCell ref="J363:J364"/>
    <mergeCell ref="I362:I363"/>
    <mergeCell ref="I199:I200"/>
    <mergeCell ref="J200:J201"/>
    <mergeCell ref="A199:A200"/>
    <mergeCell ref="B199:B200"/>
    <mergeCell ref="C199:C200"/>
    <mergeCell ref="D199:G199"/>
    <mergeCell ref="H199:H200"/>
    <mergeCell ref="B255:B256"/>
    <mergeCell ref="C255:C256"/>
    <mergeCell ref="D255:G255"/>
    <mergeCell ref="H255:H256"/>
    <mergeCell ref="I308:I309"/>
    <mergeCell ref="J309:J310"/>
    <mergeCell ref="A308:A309"/>
    <mergeCell ref="B308:B309"/>
    <mergeCell ref="A387:A388"/>
    <mergeCell ref="J336:J337"/>
    <mergeCell ref="A335:A336"/>
    <mergeCell ref="B335:B336"/>
    <mergeCell ref="C335:C336"/>
    <mergeCell ref="D335:G335"/>
    <mergeCell ref="H335:H336"/>
    <mergeCell ref="I335:I336"/>
    <mergeCell ref="B387:B388"/>
    <mergeCell ref="J387:K388"/>
    <mergeCell ref="D387:G387"/>
    <mergeCell ref="H387:H388"/>
    <mergeCell ref="I387:I388"/>
    <mergeCell ref="C387:C388"/>
    <mergeCell ref="B362:B363"/>
    <mergeCell ref="C362:C363"/>
    <mergeCell ref="I146:I147"/>
    <mergeCell ref="J147:J148"/>
    <mergeCell ref="A146:A147"/>
    <mergeCell ref="B146:B147"/>
    <mergeCell ref="C146:C147"/>
    <mergeCell ref="D146:G146"/>
    <mergeCell ref="H146:H147"/>
    <mergeCell ref="I282:I283"/>
    <mergeCell ref="J283:J284"/>
    <mergeCell ref="A282:A283"/>
    <mergeCell ref="B282:B283"/>
    <mergeCell ref="C282:C283"/>
    <mergeCell ref="D282:G282"/>
    <mergeCell ref="H282:H283"/>
    <mergeCell ref="I227:I228"/>
    <mergeCell ref="J228:J229"/>
    <mergeCell ref="A227:A228"/>
    <mergeCell ref="B227:B228"/>
    <mergeCell ref="C227:C228"/>
    <mergeCell ref="D227:G227"/>
    <mergeCell ref="H227:H228"/>
    <mergeCell ref="I255:I256"/>
    <mergeCell ref="J256:J257"/>
    <mergeCell ref="A255:A2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6"/>
  <sheetViews>
    <sheetView workbookViewId="0">
      <selection activeCell="C10" sqref="C10"/>
    </sheetView>
  </sheetViews>
  <sheetFormatPr baseColWidth="10" defaultRowHeight="15" x14ac:dyDescent="0.25"/>
  <cols>
    <col min="1" max="1" width="21" bestFit="1" customWidth="1"/>
    <col min="2" max="2" width="16.140625" customWidth="1"/>
    <col min="3" max="3" width="14.7109375" customWidth="1"/>
  </cols>
  <sheetData>
    <row r="3" spans="1:3" x14ac:dyDescent="0.25">
      <c r="A3" s="6" t="s">
        <v>134</v>
      </c>
      <c r="B3" t="s">
        <v>141</v>
      </c>
    </row>
    <row r="4" spans="1:3" x14ac:dyDescent="0.25">
      <c r="A4" s="7" t="s">
        <v>295</v>
      </c>
      <c r="B4" s="247">
        <v>4112415.6639</v>
      </c>
    </row>
    <row r="5" spans="1:3" x14ac:dyDescent="0.25">
      <c r="A5" s="7" t="s">
        <v>108</v>
      </c>
      <c r="B5" s="247">
        <v>6262879</v>
      </c>
      <c r="C5" s="248">
        <f>B5/B6</f>
        <v>0.60363384394191544</v>
      </c>
    </row>
    <row r="6" spans="1:3" x14ac:dyDescent="0.25">
      <c r="A6" s="7" t="s">
        <v>135</v>
      </c>
      <c r="B6" s="198">
        <v>10375294.663899999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U17"/>
  <sheetViews>
    <sheetView workbookViewId="0">
      <pane xSplit="1" topLeftCell="AN1" activePane="topRight" state="frozen"/>
      <selection pane="topRight" activeCell="AU23" sqref="AU23"/>
    </sheetView>
  </sheetViews>
  <sheetFormatPr baseColWidth="10" defaultRowHeight="15" x14ac:dyDescent="0.25"/>
  <cols>
    <col min="1" max="1" width="21" customWidth="1"/>
    <col min="2" max="2" width="23.85546875" bestFit="1" customWidth="1"/>
    <col min="3" max="3" width="16.140625" customWidth="1"/>
    <col min="4" max="4" width="19.140625" customWidth="1"/>
    <col min="5" max="5" width="16.140625" customWidth="1"/>
    <col min="6" max="6" width="19.140625" customWidth="1"/>
    <col min="7" max="7" width="16.140625" bestFit="1" customWidth="1"/>
    <col min="8" max="8" width="19.140625" bestFit="1" customWidth="1"/>
    <col min="9" max="9" width="16.140625" customWidth="1"/>
    <col min="10" max="10" width="19.140625" bestFit="1" customWidth="1"/>
    <col min="11" max="11" width="16.140625" bestFit="1" customWidth="1"/>
    <col min="12" max="12" width="19.140625" customWidth="1"/>
    <col min="13" max="13" width="16.140625" customWidth="1"/>
    <col min="14" max="14" width="19.140625" customWidth="1"/>
    <col min="15" max="15" width="16.140625" bestFit="1" customWidth="1"/>
    <col min="16" max="16" width="19.140625" customWidth="1"/>
    <col min="17" max="17" width="16.140625" customWidth="1"/>
    <col min="18" max="18" width="19.140625" bestFit="1" customWidth="1"/>
    <col min="19" max="19" width="16.140625" customWidth="1"/>
    <col min="20" max="20" width="19.140625" customWidth="1"/>
    <col min="21" max="21" width="16.140625" customWidth="1"/>
    <col min="22" max="22" width="19.140625" customWidth="1"/>
    <col min="23" max="23" width="16.140625" customWidth="1"/>
    <col min="24" max="24" width="19.140625" customWidth="1"/>
    <col min="25" max="25" width="16.140625" customWidth="1"/>
    <col min="26" max="26" width="19.140625" customWidth="1"/>
    <col min="27" max="27" width="16.140625" bestFit="1" customWidth="1"/>
    <col min="28" max="28" width="19.140625" customWidth="1"/>
    <col min="29" max="29" width="16.140625" customWidth="1"/>
    <col min="30" max="30" width="19.140625" bestFit="1" customWidth="1"/>
    <col min="31" max="31" width="16.140625" customWidth="1"/>
    <col min="32" max="32" width="19.140625" customWidth="1"/>
    <col min="33" max="33" width="16.140625" customWidth="1"/>
    <col min="34" max="34" width="19.140625" customWidth="1"/>
    <col min="35" max="35" width="16.140625" customWidth="1"/>
    <col min="36" max="36" width="19.140625" customWidth="1"/>
    <col min="37" max="37" width="16.140625" customWidth="1"/>
    <col min="38" max="38" width="19.140625" customWidth="1"/>
    <col min="39" max="39" width="16.140625" customWidth="1"/>
    <col min="40" max="40" width="24.140625" customWidth="1"/>
    <col min="41" max="41" width="21" customWidth="1"/>
    <col min="42" max="42" width="24.140625" customWidth="1"/>
    <col min="43" max="43" width="21" customWidth="1"/>
    <col min="44" max="44" width="14.5703125" customWidth="1"/>
    <col min="45" max="45" width="16" customWidth="1"/>
  </cols>
  <sheetData>
    <row r="3" spans="1:47" x14ac:dyDescent="0.25">
      <c r="B3" s="6" t="s">
        <v>136</v>
      </c>
    </row>
    <row r="4" spans="1:47" x14ac:dyDescent="0.25">
      <c r="B4" t="s">
        <v>151</v>
      </c>
      <c r="D4" t="s">
        <v>168</v>
      </c>
      <c r="F4" t="s">
        <v>152</v>
      </c>
      <c r="H4" t="s">
        <v>145</v>
      </c>
      <c r="J4" t="s">
        <v>155</v>
      </c>
      <c r="L4" t="s">
        <v>154</v>
      </c>
      <c r="N4" t="s">
        <v>38</v>
      </c>
      <c r="P4" t="s">
        <v>2</v>
      </c>
      <c r="R4" t="s">
        <v>296</v>
      </c>
      <c r="T4" t="s">
        <v>4</v>
      </c>
      <c r="V4" t="s">
        <v>6</v>
      </c>
      <c r="X4" t="s">
        <v>198</v>
      </c>
      <c r="Z4" t="s">
        <v>192</v>
      </c>
      <c r="AB4" t="s">
        <v>153</v>
      </c>
      <c r="AD4" t="s">
        <v>37</v>
      </c>
      <c r="AF4" t="s">
        <v>233</v>
      </c>
      <c r="AH4" t="s">
        <v>156</v>
      </c>
      <c r="AJ4" t="s">
        <v>81</v>
      </c>
      <c r="AL4" t="s">
        <v>167</v>
      </c>
      <c r="AN4" t="s">
        <v>142</v>
      </c>
      <c r="AO4" t="s">
        <v>144</v>
      </c>
    </row>
    <row r="5" spans="1:47" x14ac:dyDescent="0.25">
      <c r="A5" s="6" t="s">
        <v>134</v>
      </c>
      <c r="B5" t="s">
        <v>143</v>
      </c>
      <c r="C5" t="s">
        <v>141</v>
      </c>
      <c r="D5" t="s">
        <v>143</v>
      </c>
      <c r="E5" t="s">
        <v>141</v>
      </c>
      <c r="F5" t="s">
        <v>143</v>
      </c>
      <c r="G5" t="s">
        <v>141</v>
      </c>
      <c r="H5" t="s">
        <v>143</v>
      </c>
      <c r="I5" t="s">
        <v>141</v>
      </c>
      <c r="J5" t="s">
        <v>143</v>
      </c>
      <c r="K5" t="s">
        <v>141</v>
      </c>
      <c r="L5" t="s">
        <v>143</v>
      </c>
      <c r="M5" t="s">
        <v>141</v>
      </c>
      <c r="N5" t="s">
        <v>143</v>
      </c>
      <c r="O5" t="s">
        <v>141</v>
      </c>
      <c r="P5" t="s">
        <v>143</v>
      </c>
      <c r="Q5" t="s">
        <v>141</v>
      </c>
      <c r="R5" t="s">
        <v>143</v>
      </c>
      <c r="S5" t="s">
        <v>141</v>
      </c>
      <c r="T5" t="s">
        <v>143</v>
      </c>
      <c r="U5" t="s">
        <v>141</v>
      </c>
      <c r="V5" t="s">
        <v>143</v>
      </c>
      <c r="W5" t="s">
        <v>141</v>
      </c>
      <c r="X5" t="s">
        <v>143</v>
      </c>
      <c r="Y5" t="s">
        <v>141</v>
      </c>
      <c r="Z5" t="s">
        <v>143</v>
      </c>
      <c r="AA5" t="s">
        <v>141</v>
      </c>
      <c r="AB5" t="s">
        <v>143</v>
      </c>
      <c r="AC5" t="s">
        <v>141</v>
      </c>
      <c r="AD5" t="s">
        <v>143</v>
      </c>
      <c r="AE5" t="s">
        <v>141</v>
      </c>
      <c r="AF5" t="s">
        <v>143</v>
      </c>
      <c r="AG5" t="s">
        <v>141</v>
      </c>
      <c r="AH5" t="s">
        <v>143</v>
      </c>
      <c r="AI5" t="s">
        <v>141</v>
      </c>
      <c r="AJ5" t="s">
        <v>143</v>
      </c>
      <c r="AK5" t="s">
        <v>141</v>
      </c>
      <c r="AL5" t="s">
        <v>143</v>
      </c>
      <c r="AM5" t="s">
        <v>141</v>
      </c>
      <c r="AQ5" s="52"/>
      <c r="AR5" s="52" t="s">
        <v>46</v>
      </c>
      <c r="AS5" s="52" t="s">
        <v>47</v>
      </c>
      <c r="AT5" s="52" t="s">
        <v>48</v>
      </c>
      <c r="AU5" s="52" t="s">
        <v>49</v>
      </c>
    </row>
    <row r="6" spans="1:47" x14ac:dyDescent="0.25">
      <c r="A6" s="7" t="s">
        <v>27</v>
      </c>
      <c r="B6" s="198"/>
      <c r="C6" s="198">
        <v>23345</v>
      </c>
      <c r="D6" s="198"/>
      <c r="E6" s="198"/>
      <c r="F6" s="198"/>
      <c r="G6" s="198"/>
      <c r="H6" s="198"/>
      <c r="I6" s="198"/>
      <c r="J6" s="198"/>
      <c r="K6" s="198"/>
      <c r="L6" s="198"/>
      <c r="M6" s="198">
        <v>295000</v>
      </c>
      <c r="N6" s="198"/>
      <c r="O6" s="198"/>
      <c r="P6" s="198"/>
      <c r="Q6" s="198"/>
      <c r="R6" s="198"/>
      <c r="S6" s="198"/>
      <c r="T6" s="198"/>
      <c r="U6" s="198">
        <v>208961</v>
      </c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>
        <v>2000000</v>
      </c>
      <c r="AL6" s="198"/>
      <c r="AM6" s="198"/>
      <c r="AN6" s="198"/>
      <c r="AO6" s="198">
        <v>2527306</v>
      </c>
      <c r="AQ6" s="52" t="s">
        <v>51</v>
      </c>
      <c r="AR6" s="54">
        <f>AJ6</f>
        <v>0</v>
      </c>
      <c r="AS6" s="54">
        <f>+AK6</f>
        <v>2000000</v>
      </c>
      <c r="AT6" s="54">
        <f>AO6-AS6</f>
        <v>527306</v>
      </c>
      <c r="AU6" s="54">
        <f>+J6</f>
        <v>0</v>
      </c>
    </row>
    <row r="7" spans="1:47" x14ac:dyDescent="0.25">
      <c r="A7" s="7" t="s">
        <v>280</v>
      </c>
      <c r="B7" s="198"/>
      <c r="C7" s="198">
        <v>14701</v>
      </c>
      <c r="D7" s="198"/>
      <c r="E7" s="198"/>
      <c r="F7" s="198"/>
      <c r="G7" s="198"/>
      <c r="H7" s="198"/>
      <c r="I7" s="198"/>
      <c r="J7" s="198"/>
      <c r="K7" s="198"/>
      <c r="L7" s="198"/>
      <c r="M7" s="198">
        <v>650000</v>
      </c>
      <c r="N7" s="198"/>
      <c r="O7" s="198"/>
      <c r="P7" s="198"/>
      <c r="Q7" s="198">
        <v>3664232</v>
      </c>
      <c r="R7" s="198"/>
      <c r="S7" s="198"/>
      <c r="T7" s="198"/>
      <c r="U7" s="198">
        <v>500000</v>
      </c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>
        <v>4000000</v>
      </c>
      <c r="AL7" s="198"/>
      <c r="AM7" s="198"/>
      <c r="AN7" s="198"/>
      <c r="AO7" s="198">
        <v>8828933</v>
      </c>
      <c r="AQ7" s="52" t="s">
        <v>52</v>
      </c>
      <c r="AR7" s="54">
        <f t="shared" ref="AR7:AR15" si="0">AJ7</f>
        <v>0</v>
      </c>
      <c r="AS7" s="54">
        <f>+AK7</f>
        <v>4000000</v>
      </c>
      <c r="AT7" s="54">
        <f>AO7-AS7</f>
        <v>4828933</v>
      </c>
      <c r="AU7" s="54">
        <f t="shared" ref="AU7:AU16" si="1">+J7</f>
        <v>0</v>
      </c>
    </row>
    <row r="8" spans="1:47" x14ac:dyDescent="0.25">
      <c r="A8" s="7" t="s">
        <v>28</v>
      </c>
      <c r="B8" s="198"/>
      <c r="C8" s="198"/>
      <c r="D8" s="198"/>
      <c r="E8" s="198">
        <v>618370.66390000004</v>
      </c>
      <c r="F8" s="198"/>
      <c r="G8" s="198">
        <v>634950</v>
      </c>
      <c r="H8" s="198"/>
      <c r="I8" s="198">
        <v>89175</v>
      </c>
      <c r="J8" s="198"/>
      <c r="K8" s="198"/>
      <c r="L8" s="198"/>
      <c r="M8" s="198">
        <v>162000</v>
      </c>
      <c r="N8" s="198"/>
      <c r="O8" s="198">
        <v>128700</v>
      </c>
      <c r="P8" s="198"/>
      <c r="Q8" s="198">
        <v>1468309</v>
      </c>
      <c r="R8" s="198"/>
      <c r="S8" s="198">
        <v>175000</v>
      </c>
      <c r="T8" s="198"/>
      <c r="U8" s="198">
        <v>50268</v>
      </c>
      <c r="V8" s="198"/>
      <c r="W8" s="198">
        <v>126625</v>
      </c>
      <c r="X8" s="198"/>
      <c r="Y8" s="198">
        <v>26500</v>
      </c>
      <c r="Z8" s="198"/>
      <c r="AA8" s="198">
        <v>239000</v>
      </c>
      <c r="AB8" s="198"/>
      <c r="AC8" s="198">
        <v>34358</v>
      </c>
      <c r="AD8" s="198"/>
      <c r="AE8" s="198"/>
      <c r="AF8" s="198"/>
      <c r="AG8" s="198"/>
      <c r="AH8" s="198"/>
      <c r="AI8" s="198">
        <v>31500</v>
      </c>
      <c r="AJ8" s="198">
        <v>6000000</v>
      </c>
      <c r="AK8" s="198">
        <v>1284450</v>
      </c>
      <c r="AL8" s="198"/>
      <c r="AM8" s="198"/>
      <c r="AN8" s="198">
        <v>6000000</v>
      </c>
      <c r="AO8" s="198">
        <v>5069205.6639</v>
      </c>
      <c r="AQ8" s="52" t="s">
        <v>28</v>
      </c>
      <c r="AR8" s="54">
        <f t="shared" si="0"/>
        <v>6000000</v>
      </c>
      <c r="AS8" s="54">
        <f>+AK8</f>
        <v>1284450</v>
      </c>
      <c r="AT8" s="54">
        <f>AO8-AS8</f>
        <v>3784755.6639</v>
      </c>
      <c r="AU8" s="54">
        <f t="shared" si="1"/>
        <v>0</v>
      </c>
    </row>
    <row r="9" spans="1:47" x14ac:dyDescent="0.25">
      <c r="A9" s="7" t="s">
        <v>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>
        <v>75000</v>
      </c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>
        <v>54900</v>
      </c>
      <c r="AF9" s="198"/>
      <c r="AG9" s="198">
        <v>250000</v>
      </c>
      <c r="AH9" s="198"/>
      <c r="AI9" s="198"/>
      <c r="AJ9" s="198">
        <v>385000</v>
      </c>
      <c r="AK9" s="198"/>
      <c r="AL9" s="198"/>
      <c r="AM9" s="198"/>
      <c r="AN9" s="198">
        <v>385000</v>
      </c>
      <c r="AO9" s="198">
        <v>379900</v>
      </c>
      <c r="AQ9" s="52" t="s">
        <v>53</v>
      </c>
      <c r="AR9" s="54">
        <f t="shared" si="0"/>
        <v>385000</v>
      </c>
      <c r="AS9" s="54">
        <f t="shared" ref="AS9:AS16" si="2">+AK9</f>
        <v>0</v>
      </c>
      <c r="AT9" s="54">
        <f t="shared" ref="AT9:AT16" si="3">AO9-AS9</f>
        <v>379900</v>
      </c>
      <c r="AU9" s="54">
        <f t="shared" si="1"/>
        <v>0</v>
      </c>
    </row>
    <row r="10" spans="1:47" x14ac:dyDescent="0.25">
      <c r="A10" s="7" t="s">
        <v>34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>
        <v>2000</v>
      </c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>
        <v>22000</v>
      </c>
      <c r="AF10" s="198"/>
      <c r="AG10" s="198"/>
      <c r="AH10" s="198"/>
      <c r="AI10" s="198"/>
      <c r="AJ10" s="198">
        <v>25000</v>
      </c>
      <c r="AK10" s="198"/>
      <c r="AL10" s="198"/>
      <c r="AM10" s="198"/>
      <c r="AN10" s="198">
        <v>25000</v>
      </c>
      <c r="AO10" s="198">
        <v>24000</v>
      </c>
      <c r="AQ10" s="52" t="s">
        <v>34</v>
      </c>
      <c r="AR10" s="54">
        <f t="shared" si="0"/>
        <v>25000</v>
      </c>
      <c r="AS10" s="54">
        <f t="shared" si="2"/>
        <v>0</v>
      </c>
      <c r="AT10" s="54">
        <f t="shared" si="3"/>
        <v>24000</v>
      </c>
      <c r="AU10" s="54">
        <f t="shared" si="1"/>
        <v>0</v>
      </c>
    </row>
    <row r="11" spans="1:47" x14ac:dyDescent="0.25">
      <c r="A11" s="7" t="s">
        <v>166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>
        <v>450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>
        <v>109950</v>
      </c>
      <c r="AF11" s="198"/>
      <c r="AG11" s="198">
        <v>126000</v>
      </c>
      <c r="AH11" s="198"/>
      <c r="AI11" s="198"/>
      <c r="AJ11" s="198">
        <v>236450</v>
      </c>
      <c r="AK11" s="198"/>
      <c r="AL11" s="198"/>
      <c r="AM11" s="198"/>
      <c r="AN11" s="198">
        <v>236450</v>
      </c>
      <c r="AO11" s="198">
        <v>236400</v>
      </c>
      <c r="AQ11" s="52" t="s">
        <v>166</v>
      </c>
      <c r="AR11" s="54">
        <f t="shared" si="0"/>
        <v>236450</v>
      </c>
      <c r="AS11" s="54">
        <f t="shared" si="2"/>
        <v>0</v>
      </c>
      <c r="AT11" s="54">
        <f>AO11-AS11</f>
        <v>236400</v>
      </c>
      <c r="AU11" s="54">
        <f t="shared" si="1"/>
        <v>0</v>
      </c>
    </row>
    <row r="12" spans="1:47" x14ac:dyDescent="0.25">
      <c r="A12" s="7" t="s">
        <v>165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>
        <v>12000</v>
      </c>
      <c r="AF12" s="198"/>
      <c r="AG12" s="198"/>
      <c r="AH12" s="198"/>
      <c r="AI12" s="198"/>
      <c r="AJ12" s="198">
        <v>10000</v>
      </c>
      <c r="AK12" s="198"/>
      <c r="AL12" s="198"/>
      <c r="AM12" s="198"/>
      <c r="AN12" s="198">
        <v>10000</v>
      </c>
      <c r="AO12" s="198">
        <v>12000</v>
      </c>
      <c r="AQ12" s="52" t="s">
        <v>165</v>
      </c>
      <c r="AR12" s="54">
        <f t="shared" si="0"/>
        <v>10000</v>
      </c>
      <c r="AS12" s="54">
        <f t="shared" si="2"/>
        <v>0</v>
      </c>
      <c r="AT12" s="54">
        <f t="shared" si="3"/>
        <v>12000</v>
      </c>
      <c r="AU12" s="54">
        <f t="shared" si="1"/>
        <v>0</v>
      </c>
    </row>
    <row r="13" spans="1:47" x14ac:dyDescent="0.25">
      <c r="A13" s="7" t="s">
        <v>54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>
        <v>62700</v>
      </c>
      <c r="AF13" s="198"/>
      <c r="AG13" s="198">
        <v>150000</v>
      </c>
      <c r="AH13" s="198"/>
      <c r="AI13" s="198">
        <v>14000</v>
      </c>
      <c r="AJ13" s="198">
        <v>220000</v>
      </c>
      <c r="AK13" s="198"/>
      <c r="AL13" s="198"/>
      <c r="AM13" s="198"/>
      <c r="AN13" s="198">
        <v>220000</v>
      </c>
      <c r="AO13" s="198">
        <v>226700</v>
      </c>
      <c r="AQ13" s="52" t="s">
        <v>169</v>
      </c>
      <c r="AR13" s="54">
        <f t="shared" si="0"/>
        <v>220000</v>
      </c>
      <c r="AS13" s="54">
        <f t="shared" si="2"/>
        <v>0</v>
      </c>
      <c r="AT13" s="54">
        <f t="shared" si="3"/>
        <v>226700</v>
      </c>
      <c r="AU13" s="54">
        <f t="shared" si="1"/>
        <v>0</v>
      </c>
    </row>
    <row r="14" spans="1:47" x14ac:dyDescent="0.25">
      <c r="A14" s="7" t="s">
        <v>99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>
        <v>19500</v>
      </c>
      <c r="AF14" s="198"/>
      <c r="AG14" s="198"/>
      <c r="AH14" s="198"/>
      <c r="AI14" s="198"/>
      <c r="AJ14" s="198">
        <v>20000</v>
      </c>
      <c r="AK14" s="198"/>
      <c r="AL14" s="198"/>
      <c r="AM14" s="198"/>
      <c r="AN14" s="198">
        <v>20000</v>
      </c>
      <c r="AO14" s="198">
        <v>19500</v>
      </c>
      <c r="AQ14" s="52" t="s">
        <v>99</v>
      </c>
      <c r="AR14" s="54">
        <f t="shared" si="0"/>
        <v>20000</v>
      </c>
      <c r="AS14" s="54">
        <f t="shared" si="2"/>
        <v>0</v>
      </c>
      <c r="AT14" s="54">
        <f t="shared" si="3"/>
        <v>19500</v>
      </c>
      <c r="AU14" s="54">
        <f t="shared" si="1"/>
        <v>0</v>
      </c>
    </row>
    <row r="15" spans="1:47" x14ac:dyDescent="0.25">
      <c r="A15" s="7" t="s">
        <v>206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>
        <v>24000</v>
      </c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>
        <v>55800</v>
      </c>
      <c r="AF15" s="198"/>
      <c r="AG15" s="198">
        <v>251000</v>
      </c>
      <c r="AH15" s="198"/>
      <c r="AI15" s="198"/>
      <c r="AJ15" s="198">
        <v>348000</v>
      </c>
      <c r="AK15" s="198"/>
      <c r="AL15" s="198"/>
      <c r="AM15" s="198"/>
      <c r="AN15" s="198">
        <v>348000</v>
      </c>
      <c r="AO15" s="198">
        <v>330800</v>
      </c>
      <c r="AQ15" s="52" t="s">
        <v>206</v>
      </c>
      <c r="AR15" s="54">
        <f t="shared" si="0"/>
        <v>348000</v>
      </c>
      <c r="AS15" s="54">
        <f t="shared" si="2"/>
        <v>0</v>
      </c>
      <c r="AT15" s="54">
        <f t="shared" si="3"/>
        <v>330800</v>
      </c>
      <c r="AU15" s="54">
        <f t="shared" si="1"/>
        <v>0</v>
      </c>
    </row>
    <row r="16" spans="1:47" x14ac:dyDescent="0.25">
      <c r="A16" s="7" t="s">
        <v>119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>
        <v>5000</v>
      </c>
      <c r="AF16" s="198"/>
      <c r="AG16" s="198"/>
      <c r="AH16" s="198"/>
      <c r="AI16" s="198"/>
      <c r="AJ16" s="198"/>
      <c r="AK16" s="198"/>
      <c r="AL16" s="198">
        <v>40000</v>
      </c>
      <c r="AM16" s="198"/>
      <c r="AN16" s="198">
        <v>40000</v>
      </c>
      <c r="AO16" s="198">
        <v>5000</v>
      </c>
      <c r="AQ16" s="52" t="s">
        <v>119</v>
      </c>
      <c r="AR16" s="54">
        <f>GETPIVOTDATA("Somme de Received",$A$3,"Type de dépenses","Versement ","Name","Tiffany")</f>
        <v>40000</v>
      </c>
      <c r="AS16" s="54">
        <f t="shared" si="2"/>
        <v>0</v>
      </c>
      <c r="AT16" s="54">
        <f t="shared" si="3"/>
        <v>5000</v>
      </c>
      <c r="AU16" s="54">
        <f t="shared" si="1"/>
        <v>0</v>
      </c>
    </row>
    <row r="17" spans="1:47" x14ac:dyDescent="0.25">
      <c r="A17" s="7" t="s">
        <v>135</v>
      </c>
      <c r="B17" s="198"/>
      <c r="C17" s="198">
        <v>38046</v>
      </c>
      <c r="D17" s="198"/>
      <c r="E17" s="198">
        <v>618370.66390000004</v>
      </c>
      <c r="F17" s="198"/>
      <c r="G17" s="198">
        <v>634950</v>
      </c>
      <c r="H17" s="198"/>
      <c r="I17" s="198">
        <v>89175</v>
      </c>
      <c r="J17" s="198"/>
      <c r="K17" s="198">
        <v>24450</v>
      </c>
      <c r="L17" s="198"/>
      <c r="M17" s="198">
        <v>1107000</v>
      </c>
      <c r="N17" s="198"/>
      <c r="O17" s="198">
        <v>203700</v>
      </c>
      <c r="P17" s="198"/>
      <c r="Q17" s="198">
        <v>5134541</v>
      </c>
      <c r="R17" s="198"/>
      <c r="S17" s="198">
        <v>175000</v>
      </c>
      <c r="T17" s="198"/>
      <c r="U17" s="198">
        <v>759229</v>
      </c>
      <c r="V17" s="198"/>
      <c r="W17" s="198">
        <v>126625</v>
      </c>
      <c r="X17" s="198"/>
      <c r="Y17" s="198">
        <v>26500</v>
      </c>
      <c r="Z17" s="198"/>
      <c r="AA17" s="198">
        <v>239000</v>
      </c>
      <c r="AB17" s="198"/>
      <c r="AC17" s="198">
        <v>34358</v>
      </c>
      <c r="AD17" s="198"/>
      <c r="AE17" s="198">
        <v>341850</v>
      </c>
      <c r="AF17" s="198"/>
      <c r="AG17" s="198">
        <v>777000</v>
      </c>
      <c r="AH17" s="198"/>
      <c r="AI17" s="198">
        <v>45500</v>
      </c>
      <c r="AJ17" s="198">
        <v>7244450</v>
      </c>
      <c r="AK17" s="198">
        <v>7284450</v>
      </c>
      <c r="AL17" s="198">
        <v>40000</v>
      </c>
      <c r="AM17" s="198"/>
      <c r="AN17" s="198">
        <v>7284450</v>
      </c>
      <c r="AO17" s="198">
        <v>17659744.663899999</v>
      </c>
      <c r="AQ17" s="233"/>
      <c r="AR17" s="54">
        <f>SUM(AR6:AR16)</f>
        <v>7284450</v>
      </c>
      <c r="AS17" s="54">
        <f>SUM(AS6:AS16)</f>
        <v>7284450</v>
      </c>
      <c r="AT17" s="54">
        <f>AO17-AS17</f>
        <v>10375294.663899999</v>
      </c>
      <c r="AU17" s="54">
        <f>SUM(AU6:AU16)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S312"/>
  <sheetViews>
    <sheetView tabSelected="1" zoomScale="64" zoomScaleNormal="64" workbookViewId="0">
      <pane ySplit="11" topLeftCell="A162" activePane="bottomLeft" state="frozen"/>
      <selection pane="bottomLeft" activeCell="Q216" sqref="Q216"/>
    </sheetView>
  </sheetViews>
  <sheetFormatPr baseColWidth="10" defaultColWidth="11.42578125" defaultRowHeight="15" x14ac:dyDescent="0.25"/>
  <cols>
    <col min="1" max="1" width="13.85546875" style="1" customWidth="1"/>
    <col min="2" max="2" width="107.7109375" style="1" customWidth="1"/>
    <col min="3" max="3" width="21.42578125" style="1" customWidth="1"/>
    <col min="4" max="4" width="14" style="1" customWidth="1"/>
    <col min="5" max="5" width="15.7109375" style="128" customWidth="1"/>
    <col min="6" max="6" width="13.140625" style="266" customWidth="1"/>
    <col min="7" max="7" width="17.85546875" style="2" customWidth="1"/>
    <col min="8" max="8" width="20.85546875" style="1" customWidth="1"/>
    <col min="9" max="9" width="16.5703125" style="131" customWidth="1"/>
    <col min="10" max="10" width="14.7109375" style="116" customWidth="1"/>
    <col min="11" max="11" width="8.42578125" style="116" customWidth="1"/>
    <col min="12" max="12" width="10" style="1" customWidth="1"/>
    <col min="13" max="13" width="17.85546875" style="1" customWidth="1"/>
    <col min="14" max="14" width="11.42578125" style="1"/>
    <col min="15" max="15" width="12" style="1" customWidth="1"/>
    <col min="16" max="16384" width="11.42578125" style="1"/>
  </cols>
  <sheetData>
    <row r="1" spans="1:45" s="123" customFormat="1" ht="26.25" customHeight="1" x14ac:dyDescent="0.35">
      <c r="A1" s="308" t="s">
        <v>171</v>
      </c>
      <c r="B1" s="308"/>
      <c r="C1" s="308"/>
      <c r="D1" s="308"/>
      <c r="E1" s="308"/>
      <c r="F1" s="309"/>
      <c r="G1" s="308"/>
      <c r="H1" s="308"/>
      <c r="I1" s="308"/>
      <c r="J1" s="309"/>
      <c r="K1" s="309"/>
      <c r="L1" s="308"/>
      <c r="M1" s="308"/>
      <c r="N1" s="308"/>
      <c r="O1" s="308"/>
    </row>
    <row r="2" spans="1:45" x14ac:dyDescent="0.25">
      <c r="B2" s="145" t="s">
        <v>150</v>
      </c>
      <c r="C2" s="146">
        <v>29784733</v>
      </c>
    </row>
    <row r="4" spans="1:45" ht="15.75" x14ac:dyDescent="0.25">
      <c r="B4" s="127" t="s">
        <v>9</v>
      </c>
      <c r="C4" s="127" t="s">
        <v>10</v>
      </c>
    </row>
    <row r="5" spans="1:45" x14ac:dyDescent="0.25">
      <c r="B5" s="3" t="s">
        <v>11</v>
      </c>
      <c r="C5" s="4">
        <f>SUM(E13:E1160)</f>
        <v>7284450</v>
      </c>
      <c r="E5" s="128" t="s">
        <v>106</v>
      </c>
      <c r="H5" s="5"/>
      <c r="I5" s="239"/>
    </row>
    <row r="6" spans="1:45" ht="16.5" x14ac:dyDescent="0.3">
      <c r="B6" s="3" t="s">
        <v>12</v>
      </c>
      <c r="C6" s="4">
        <f>SUM(F13:F1161)</f>
        <v>17659744.663899999</v>
      </c>
      <c r="E6" s="167">
        <f>+C7-Récapitulatif!I16</f>
        <v>0.33610000088810921</v>
      </c>
      <c r="J6" s="242"/>
      <c r="K6" s="175"/>
      <c r="N6" s="75"/>
    </row>
    <row r="7" spans="1:45" ht="16.5" x14ac:dyDescent="0.3">
      <c r="B7" s="3" t="s">
        <v>13</v>
      </c>
      <c r="C7" s="4">
        <f>C2+C5-C6</f>
        <v>19409438.336100001</v>
      </c>
      <c r="D7" s="181">
        <f>C7-Récapitulatif!I16</f>
        <v>0.33610000088810921</v>
      </c>
      <c r="K7" s="175"/>
      <c r="N7" s="75"/>
    </row>
    <row r="9" spans="1:45" ht="16.5" x14ac:dyDescent="0.3">
      <c r="B9" s="78"/>
    </row>
    <row r="11" spans="1:45" s="246" customFormat="1" ht="15.75" x14ac:dyDescent="0.25">
      <c r="A11" s="120" t="s">
        <v>0</v>
      </c>
      <c r="B11" s="121" t="s">
        <v>14</v>
      </c>
      <c r="C11" s="121" t="s">
        <v>15</v>
      </c>
      <c r="D11" s="121" t="s">
        <v>16</v>
      </c>
      <c r="E11" s="130" t="s">
        <v>17</v>
      </c>
      <c r="F11" s="130" t="s">
        <v>18</v>
      </c>
      <c r="G11" s="122" t="s">
        <v>19</v>
      </c>
      <c r="H11" s="121" t="s">
        <v>20</v>
      </c>
      <c r="I11" s="132" t="s">
        <v>21</v>
      </c>
      <c r="J11" s="121" t="s">
        <v>22</v>
      </c>
      <c r="K11" s="121" t="s">
        <v>23</v>
      </c>
      <c r="L11" s="121" t="s">
        <v>24</v>
      </c>
      <c r="M11" s="121" t="s">
        <v>87</v>
      </c>
      <c r="N11" s="121" t="s">
        <v>26</v>
      </c>
      <c r="O11" s="121" t="s">
        <v>25</v>
      </c>
    </row>
    <row r="12" spans="1:45" s="256" customFormat="1" ht="15.75" x14ac:dyDescent="0.25">
      <c r="A12" s="252">
        <v>44440</v>
      </c>
      <c r="B12" s="214" t="s">
        <v>172</v>
      </c>
      <c r="C12" s="214"/>
      <c r="D12" s="214"/>
      <c r="E12" s="253"/>
      <c r="F12" s="254"/>
      <c r="G12" s="255">
        <f>+C2</f>
        <v>29784733</v>
      </c>
      <c r="H12" s="214"/>
      <c r="I12" s="214"/>
      <c r="J12" s="214"/>
      <c r="K12" s="214"/>
      <c r="L12" s="214" t="s">
        <v>164</v>
      </c>
      <c r="M12" s="214"/>
      <c r="N12" s="214"/>
      <c r="O12" s="214"/>
    </row>
    <row r="13" spans="1:45" s="257" customFormat="1" ht="15" customHeight="1" x14ac:dyDescent="0.25">
      <c r="A13" s="252">
        <v>44440</v>
      </c>
      <c r="B13" s="214" t="s">
        <v>179</v>
      </c>
      <c r="C13" s="214" t="s">
        <v>81</v>
      </c>
      <c r="D13" s="214"/>
      <c r="E13" s="253"/>
      <c r="F13" s="253">
        <v>91000</v>
      </c>
      <c r="G13" s="253">
        <f t="shared" ref="G13:G44" si="0">+G12+E13-F13</f>
        <v>29693733</v>
      </c>
      <c r="H13" s="214" t="s">
        <v>28</v>
      </c>
      <c r="I13" s="214"/>
      <c r="J13" s="214"/>
      <c r="K13" s="214"/>
      <c r="L13" s="214" t="s">
        <v>164</v>
      </c>
      <c r="M13" s="214"/>
      <c r="N13" s="214"/>
      <c r="O13" s="214"/>
    </row>
    <row r="14" spans="1:45" s="257" customFormat="1" ht="15" customHeight="1" x14ac:dyDescent="0.25">
      <c r="A14" s="252">
        <v>44440</v>
      </c>
      <c r="B14" s="214" t="s">
        <v>179</v>
      </c>
      <c r="C14" s="214" t="s">
        <v>81</v>
      </c>
      <c r="D14" s="214"/>
      <c r="E14" s="253"/>
      <c r="F14" s="253">
        <v>5000</v>
      </c>
      <c r="G14" s="253">
        <f t="shared" si="0"/>
        <v>29688733</v>
      </c>
      <c r="H14" s="214" t="s">
        <v>28</v>
      </c>
      <c r="I14" s="214"/>
      <c r="J14" s="214"/>
      <c r="K14" s="214"/>
      <c r="L14" s="214" t="s">
        <v>164</v>
      </c>
      <c r="M14" s="258"/>
      <c r="N14" s="214"/>
      <c r="O14" s="214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</row>
    <row r="15" spans="1:45" s="257" customFormat="1" ht="15" customHeight="1" x14ac:dyDescent="0.25">
      <c r="A15" s="252">
        <v>44440</v>
      </c>
      <c r="B15" s="214" t="s">
        <v>34</v>
      </c>
      <c r="C15" s="214" t="s">
        <v>81</v>
      </c>
      <c r="D15" s="214"/>
      <c r="E15" s="253"/>
      <c r="F15" s="253">
        <v>10000</v>
      </c>
      <c r="G15" s="253">
        <f t="shared" si="0"/>
        <v>29678733</v>
      </c>
      <c r="H15" s="214" t="s">
        <v>28</v>
      </c>
      <c r="I15" s="214"/>
      <c r="J15" s="214"/>
      <c r="K15" s="214"/>
      <c r="L15" s="214" t="s">
        <v>164</v>
      </c>
      <c r="M15" s="214"/>
      <c r="N15" s="214"/>
      <c r="O15" s="214"/>
    </row>
    <row r="16" spans="1:45" s="257" customFormat="1" ht="15" customHeight="1" x14ac:dyDescent="0.25">
      <c r="A16" s="252">
        <v>44440</v>
      </c>
      <c r="B16" s="214" t="s">
        <v>238</v>
      </c>
      <c r="C16" s="214" t="s">
        <v>81</v>
      </c>
      <c r="D16" s="214"/>
      <c r="E16" s="253">
        <v>10000</v>
      </c>
      <c r="F16" s="253"/>
      <c r="G16" s="253">
        <f t="shared" si="0"/>
        <v>29688733</v>
      </c>
      <c r="H16" s="214" t="s">
        <v>34</v>
      </c>
      <c r="I16" s="214" t="s">
        <v>228</v>
      </c>
      <c r="J16" s="214"/>
      <c r="K16" s="214"/>
      <c r="L16" s="214" t="s">
        <v>164</v>
      </c>
      <c r="M16" s="214"/>
      <c r="N16" s="214"/>
      <c r="O16" s="214"/>
    </row>
    <row r="17" spans="1:45" s="257" customFormat="1" ht="15" customHeight="1" x14ac:dyDescent="0.25">
      <c r="A17" s="252">
        <v>44440</v>
      </c>
      <c r="B17" s="214" t="s">
        <v>255</v>
      </c>
      <c r="C17" s="214" t="s">
        <v>37</v>
      </c>
      <c r="D17" s="214" t="s">
        <v>194</v>
      </c>
      <c r="E17" s="253"/>
      <c r="F17" s="267">
        <v>10000</v>
      </c>
      <c r="G17" s="253">
        <f t="shared" si="0"/>
        <v>29678733</v>
      </c>
      <c r="H17" s="214" t="s">
        <v>166</v>
      </c>
      <c r="I17" s="214" t="s">
        <v>184</v>
      </c>
      <c r="J17" s="214" t="s">
        <v>295</v>
      </c>
      <c r="K17" s="214" t="s">
        <v>283</v>
      </c>
      <c r="L17" s="214" t="s">
        <v>164</v>
      </c>
      <c r="M17" s="259"/>
      <c r="N17" s="214"/>
      <c r="O17" s="214"/>
    </row>
    <row r="18" spans="1:45" s="256" customFormat="1" ht="15" customHeight="1" x14ac:dyDescent="0.25">
      <c r="A18" s="252">
        <v>44440</v>
      </c>
      <c r="B18" s="214" t="s">
        <v>253</v>
      </c>
      <c r="C18" s="214" t="s">
        <v>81</v>
      </c>
      <c r="D18" s="214"/>
      <c r="E18" s="253">
        <v>96000</v>
      </c>
      <c r="F18" s="253"/>
      <c r="G18" s="253">
        <f t="shared" si="0"/>
        <v>29774733</v>
      </c>
      <c r="H18" s="214" t="s">
        <v>166</v>
      </c>
      <c r="I18" s="214" t="s">
        <v>228</v>
      </c>
      <c r="J18" s="214"/>
      <c r="K18" s="214"/>
      <c r="L18" s="214" t="s">
        <v>164</v>
      </c>
      <c r="M18" s="214"/>
      <c r="N18" s="214"/>
      <c r="O18" s="214"/>
    </row>
    <row r="19" spans="1:45" s="256" customFormat="1" ht="15" customHeight="1" x14ac:dyDescent="0.25">
      <c r="A19" s="260">
        <v>44440</v>
      </c>
      <c r="B19" s="240" t="s">
        <v>266</v>
      </c>
      <c r="C19" s="261" t="s">
        <v>151</v>
      </c>
      <c r="D19" s="261" t="s">
        <v>181</v>
      </c>
      <c r="E19" s="259"/>
      <c r="F19" s="228">
        <v>14701</v>
      </c>
      <c r="G19" s="253">
        <f t="shared" si="0"/>
        <v>29760032</v>
      </c>
      <c r="H19" s="240" t="s">
        <v>280</v>
      </c>
      <c r="I19" s="240" t="s">
        <v>265</v>
      </c>
      <c r="J19" s="249" t="s">
        <v>108</v>
      </c>
      <c r="K19" s="240" t="s">
        <v>284</v>
      </c>
      <c r="L19" s="214" t="s">
        <v>164</v>
      </c>
      <c r="M19" s="240" t="s">
        <v>331</v>
      </c>
      <c r="N19" s="240" t="s">
        <v>286</v>
      </c>
      <c r="O19" s="240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</row>
    <row r="20" spans="1:45" s="257" customFormat="1" ht="15" customHeight="1" x14ac:dyDescent="0.25">
      <c r="A20" s="252">
        <v>44440</v>
      </c>
      <c r="B20" s="214" t="s">
        <v>267</v>
      </c>
      <c r="C20" s="253" t="s">
        <v>2</v>
      </c>
      <c r="D20" s="214" t="s">
        <v>194</v>
      </c>
      <c r="E20" s="259"/>
      <c r="F20" s="268">
        <v>132365</v>
      </c>
      <c r="G20" s="253">
        <f t="shared" si="0"/>
        <v>29627667</v>
      </c>
      <c r="H20" s="240" t="s">
        <v>280</v>
      </c>
      <c r="I20" s="214">
        <v>3643522</v>
      </c>
      <c r="J20" s="249" t="s">
        <v>108</v>
      </c>
      <c r="K20" s="240" t="s">
        <v>284</v>
      </c>
      <c r="L20" s="214" t="s">
        <v>164</v>
      </c>
      <c r="M20" s="240" t="s">
        <v>332</v>
      </c>
      <c r="N20" s="214" t="s">
        <v>290</v>
      </c>
      <c r="O20" s="214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</row>
    <row r="21" spans="1:45" s="256" customFormat="1" ht="15" customHeight="1" x14ac:dyDescent="0.25">
      <c r="A21" s="252">
        <v>44441</v>
      </c>
      <c r="B21" s="214" t="s">
        <v>311</v>
      </c>
      <c r="C21" s="214" t="s">
        <v>233</v>
      </c>
      <c r="D21" s="214" t="s">
        <v>194</v>
      </c>
      <c r="E21" s="253"/>
      <c r="F21" s="267">
        <v>20000</v>
      </c>
      <c r="G21" s="253">
        <f t="shared" si="0"/>
        <v>29607667</v>
      </c>
      <c r="H21" s="214" t="s">
        <v>166</v>
      </c>
      <c r="I21" s="214" t="s">
        <v>228</v>
      </c>
      <c r="J21" s="214" t="s">
        <v>295</v>
      </c>
      <c r="K21" s="214" t="s">
        <v>283</v>
      </c>
      <c r="L21" s="214" t="s">
        <v>164</v>
      </c>
      <c r="M21" s="259"/>
      <c r="N21" s="214"/>
      <c r="O21" s="214"/>
    </row>
    <row r="22" spans="1:45" s="257" customFormat="1" ht="15" customHeight="1" x14ac:dyDescent="0.25">
      <c r="A22" s="252">
        <v>44442</v>
      </c>
      <c r="B22" s="214" t="s">
        <v>180</v>
      </c>
      <c r="C22" s="214" t="s">
        <v>4</v>
      </c>
      <c r="D22" s="261" t="s">
        <v>181</v>
      </c>
      <c r="E22" s="253"/>
      <c r="F22" s="267">
        <v>50268</v>
      </c>
      <c r="G22" s="253">
        <f t="shared" si="0"/>
        <v>29557399</v>
      </c>
      <c r="H22" s="214" t="s">
        <v>28</v>
      </c>
      <c r="I22" s="214" t="s">
        <v>184</v>
      </c>
      <c r="J22" s="249" t="s">
        <v>108</v>
      </c>
      <c r="K22" s="214" t="s">
        <v>284</v>
      </c>
      <c r="L22" s="214" t="s">
        <v>164</v>
      </c>
      <c r="M22" s="240" t="s">
        <v>333</v>
      </c>
      <c r="N22" s="214" t="s">
        <v>298</v>
      </c>
      <c r="O22" s="214"/>
    </row>
    <row r="23" spans="1:45" s="256" customFormat="1" ht="15" customHeight="1" x14ac:dyDescent="0.25">
      <c r="A23" s="252">
        <v>44442</v>
      </c>
      <c r="B23" s="214" t="s">
        <v>182</v>
      </c>
      <c r="C23" s="253" t="s">
        <v>2</v>
      </c>
      <c r="D23" s="214" t="s">
        <v>183</v>
      </c>
      <c r="E23" s="253"/>
      <c r="F23" s="267">
        <v>25000</v>
      </c>
      <c r="G23" s="253">
        <f t="shared" si="0"/>
        <v>29532399</v>
      </c>
      <c r="H23" s="214" t="s">
        <v>28</v>
      </c>
      <c r="I23" s="214" t="s">
        <v>184</v>
      </c>
      <c r="J23" s="214" t="s">
        <v>295</v>
      </c>
      <c r="K23" s="214" t="s">
        <v>283</v>
      </c>
      <c r="L23" s="214" t="s">
        <v>164</v>
      </c>
      <c r="M23" s="258"/>
      <c r="N23" s="214"/>
      <c r="O23" s="214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</row>
    <row r="24" spans="1:45" s="257" customFormat="1" ht="15" customHeight="1" x14ac:dyDescent="0.25">
      <c r="A24" s="252">
        <v>44443</v>
      </c>
      <c r="B24" s="214" t="s">
        <v>256</v>
      </c>
      <c r="C24" s="214" t="s">
        <v>37</v>
      </c>
      <c r="D24" s="214" t="s">
        <v>194</v>
      </c>
      <c r="E24" s="253"/>
      <c r="F24" s="267">
        <v>10000</v>
      </c>
      <c r="G24" s="253">
        <f t="shared" si="0"/>
        <v>29522399</v>
      </c>
      <c r="H24" s="214" t="s">
        <v>166</v>
      </c>
      <c r="I24" s="214" t="s">
        <v>184</v>
      </c>
      <c r="J24" s="214" t="s">
        <v>295</v>
      </c>
      <c r="K24" s="214" t="s">
        <v>283</v>
      </c>
      <c r="L24" s="214" t="s">
        <v>164</v>
      </c>
      <c r="M24" s="214"/>
      <c r="N24" s="214"/>
      <c r="O24" s="214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</row>
    <row r="25" spans="1:45" s="256" customFormat="1" ht="15" customHeight="1" x14ac:dyDescent="0.25">
      <c r="A25" s="252">
        <v>44443</v>
      </c>
      <c r="B25" s="214" t="s">
        <v>312</v>
      </c>
      <c r="C25" s="214" t="s">
        <v>233</v>
      </c>
      <c r="D25" s="214" t="s">
        <v>194</v>
      </c>
      <c r="E25" s="253"/>
      <c r="F25" s="267">
        <v>30000</v>
      </c>
      <c r="G25" s="253">
        <f t="shared" si="0"/>
        <v>29492399</v>
      </c>
      <c r="H25" s="214" t="s">
        <v>166</v>
      </c>
      <c r="I25" s="214" t="s">
        <v>184</v>
      </c>
      <c r="J25" s="214" t="s">
        <v>295</v>
      </c>
      <c r="K25" s="214" t="s">
        <v>283</v>
      </c>
      <c r="L25" s="214" t="s">
        <v>164</v>
      </c>
      <c r="M25" s="262"/>
      <c r="N25" s="214"/>
      <c r="O25" s="214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</row>
    <row r="26" spans="1:45" s="256" customFormat="1" ht="15" customHeight="1" x14ac:dyDescent="0.25">
      <c r="A26" s="252">
        <v>44445</v>
      </c>
      <c r="B26" s="214" t="s">
        <v>99</v>
      </c>
      <c r="C26" s="214" t="s">
        <v>81</v>
      </c>
      <c r="D26" s="214"/>
      <c r="E26" s="253"/>
      <c r="F26" s="253">
        <v>10000</v>
      </c>
      <c r="G26" s="253">
        <f t="shared" si="0"/>
        <v>29482399</v>
      </c>
      <c r="H26" s="214" t="s">
        <v>28</v>
      </c>
      <c r="I26" s="258"/>
      <c r="J26" s="214"/>
      <c r="K26" s="214"/>
      <c r="L26" s="214" t="s">
        <v>164</v>
      </c>
      <c r="M26" s="259"/>
      <c r="N26" s="214"/>
      <c r="O26" s="214"/>
    </row>
    <row r="27" spans="1:45" s="256" customFormat="1" ht="15" customHeight="1" x14ac:dyDescent="0.25">
      <c r="A27" s="252">
        <v>44445</v>
      </c>
      <c r="B27" s="214" t="s">
        <v>185</v>
      </c>
      <c r="C27" s="253" t="s">
        <v>2</v>
      </c>
      <c r="D27" s="214" t="s">
        <v>183</v>
      </c>
      <c r="E27" s="253"/>
      <c r="F27" s="267">
        <v>9000</v>
      </c>
      <c r="G27" s="253">
        <f t="shared" si="0"/>
        <v>29473399</v>
      </c>
      <c r="H27" s="214" t="s">
        <v>28</v>
      </c>
      <c r="I27" s="214" t="s">
        <v>184</v>
      </c>
      <c r="J27" s="214" t="s">
        <v>295</v>
      </c>
      <c r="K27" s="214" t="s">
        <v>283</v>
      </c>
      <c r="L27" s="214" t="s">
        <v>164</v>
      </c>
      <c r="M27" s="259"/>
      <c r="N27" s="214"/>
      <c r="O27" s="214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</row>
    <row r="28" spans="1:45" s="263" customFormat="1" ht="15" customHeight="1" x14ac:dyDescent="0.25">
      <c r="A28" s="252">
        <v>44445</v>
      </c>
      <c r="B28" s="214" t="s">
        <v>186</v>
      </c>
      <c r="C28" s="214" t="s">
        <v>81</v>
      </c>
      <c r="D28" s="214"/>
      <c r="E28" s="253">
        <v>2000000</v>
      </c>
      <c r="F28" s="253"/>
      <c r="G28" s="253">
        <f t="shared" si="0"/>
        <v>31473399</v>
      </c>
      <c r="H28" s="214" t="s">
        <v>28</v>
      </c>
      <c r="I28" s="262"/>
      <c r="J28" s="214"/>
      <c r="K28" s="214"/>
      <c r="L28" s="214" t="s">
        <v>164</v>
      </c>
      <c r="M28" s="258"/>
      <c r="N28" s="214"/>
      <c r="O28" s="214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</row>
    <row r="29" spans="1:45" s="256" customFormat="1" ht="15" customHeight="1" x14ac:dyDescent="0.25">
      <c r="A29" s="252">
        <v>44445</v>
      </c>
      <c r="B29" s="214" t="s">
        <v>179</v>
      </c>
      <c r="C29" s="214" t="s">
        <v>81</v>
      </c>
      <c r="D29" s="214"/>
      <c r="E29" s="253"/>
      <c r="F29" s="253">
        <v>86000</v>
      </c>
      <c r="G29" s="253">
        <f t="shared" si="0"/>
        <v>31387399</v>
      </c>
      <c r="H29" s="214" t="s">
        <v>28</v>
      </c>
      <c r="I29" s="262"/>
      <c r="J29" s="214"/>
      <c r="K29" s="214"/>
      <c r="L29" s="214" t="s">
        <v>164</v>
      </c>
      <c r="M29" s="259"/>
      <c r="N29" s="214"/>
      <c r="O29" s="214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</row>
    <row r="30" spans="1:45" s="256" customFormat="1" ht="15" customHeight="1" x14ac:dyDescent="0.25">
      <c r="A30" s="252">
        <v>44445</v>
      </c>
      <c r="B30" s="214" t="s">
        <v>251</v>
      </c>
      <c r="C30" s="214" t="s">
        <v>81</v>
      </c>
      <c r="D30" s="214"/>
      <c r="E30" s="253">
        <v>10000</v>
      </c>
      <c r="F30" s="253"/>
      <c r="G30" s="253">
        <f t="shared" si="0"/>
        <v>31397399</v>
      </c>
      <c r="H30" s="214" t="s">
        <v>99</v>
      </c>
      <c r="I30" s="214"/>
      <c r="J30" s="214"/>
      <c r="K30" s="214"/>
      <c r="L30" s="214" t="s">
        <v>164</v>
      </c>
      <c r="M30" s="214"/>
      <c r="N30" s="214"/>
      <c r="O30" s="214"/>
    </row>
    <row r="31" spans="1:45" s="256" customFormat="1" ht="15" customHeight="1" x14ac:dyDescent="0.25">
      <c r="A31" s="252">
        <v>44445</v>
      </c>
      <c r="B31" s="214" t="s">
        <v>257</v>
      </c>
      <c r="C31" s="214" t="s">
        <v>37</v>
      </c>
      <c r="D31" s="214" t="s">
        <v>194</v>
      </c>
      <c r="E31" s="253"/>
      <c r="F31" s="267">
        <v>12000</v>
      </c>
      <c r="G31" s="253">
        <f t="shared" si="0"/>
        <v>31385399</v>
      </c>
      <c r="H31" s="214" t="s">
        <v>166</v>
      </c>
      <c r="I31" s="214" t="s">
        <v>184</v>
      </c>
      <c r="J31" s="214" t="s">
        <v>295</v>
      </c>
      <c r="K31" s="214" t="s">
        <v>283</v>
      </c>
      <c r="L31" s="214" t="s">
        <v>164</v>
      </c>
      <c r="M31" s="262"/>
      <c r="N31" s="214"/>
      <c r="O31" s="214"/>
    </row>
    <row r="32" spans="1:45" s="256" customFormat="1" ht="15" customHeight="1" x14ac:dyDescent="0.25">
      <c r="A32" s="252">
        <v>44445</v>
      </c>
      <c r="B32" s="214" t="s">
        <v>253</v>
      </c>
      <c r="C32" s="214" t="s">
        <v>81</v>
      </c>
      <c r="D32" s="214"/>
      <c r="E32" s="253">
        <v>86000</v>
      </c>
      <c r="F32" s="253"/>
      <c r="G32" s="253">
        <f t="shared" si="0"/>
        <v>31471399</v>
      </c>
      <c r="H32" s="214" t="s">
        <v>166</v>
      </c>
      <c r="I32" s="214" t="s">
        <v>228</v>
      </c>
      <c r="J32" s="214"/>
      <c r="K32" s="214"/>
      <c r="L32" s="214" t="s">
        <v>164</v>
      </c>
      <c r="M32" s="258"/>
      <c r="N32" s="214"/>
      <c r="O32" s="214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</row>
    <row r="33" spans="1:45" s="256" customFormat="1" ht="15.75" x14ac:dyDescent="0.25">
      <c r="A33" s="260">
        <v>44445</v>
      </c>
      <c r="B33" s="240" t="s">
        <v>320</v>
      </c>
      <c r="C33" s="261" t="s">
        <v>151</v>
      </c>
      <c r="D33" s="261" t="s">
        <v>181</v>
      </c>
      <c r="E33" s="259"/>
      <c r="F33" s="228">
        <v>23345</v>
      </c>
      <c r="G33" s="261">
        <f t="shared" si="0"/>
        <v>31448054</v>
      </c>
      <c r="H33" s="240" t="s">
        <v>27</v>
      </c>
      <c r="I33" s="240" t="s">
        <v>265</v>
      </c>
      <c r="J33" s="249" t="s">
        <v>295</v>
      </c>
      <c r="K33" s="240" t="s">
        <v>283</v>
      </c>
      <c r="L33" s="240" t="s">
        <v>164</v>
      </c>
      <c r="M33" s="240"/>
      <c r="N33" s="240"/>
      <c r="O33" s="240"/>
    </row>
    <row r="34" spans="1:45" s="256" customFormat="1" ht="15" customHeight="1" x14ac:dyDescent="0.25">
      <c r="A34" s="252">
        <v>44445</v>
      </c>
      <c r="B34" s="214" t="s">
        <v>281</v>
      </c>
      <c r="C34" s="253" t="s">
        <v>81</v>
      </c>
      <c r="D34" s="261"/>
      <c r="E34" s="258"/>
      <c r="F34" s="262">
        <v>2000000</v>
      </c>
      <c r="G34" s="253">
        <f t="shared" si="0"/>
        <v>29448054</v>
      </c>
      <c r="H34" s="214" t="s">
        <v>27</v>
      </c>
      <c r="I34" s="214">
        <v>3654454</v>
      </c>
      <c r="J34" s="258"/>
      <c r="K34" s="259"/>
      <c r="L34" s="214" t="s">
        <v>164</v>
      </c>
      <c r="M34" s="214"/>
      <c r="N34" s="214"/>
      <c r="O34" s="214"/>
    </row>
    <row r="35" spans="1:45" s="257" customFormat="1" ht="15.75" x14ac:dyDescent="0.25">
      <c r="A35" s="252">
        <v>44446</v>
      </c>
      <c r="B35" s="214" t="s">
        <v>313</v>
      </c>
      <c r="C35" s="214" t="s">
        <v>233</v>
      </c>
      <c r="D35" s="214" t="s">
        <v>194</v>
      </c>
      <c r="E35" s="253"/>
      <c r="F35" s="267">
        <v>30000</v>
      </c>
      <c r="G35" s="253">
        <f t="shared" si="0"/>
        <v>29418054</v>
      </c>
      <c r="H35" s="214" t="s">
        <v>166</v>
      </c>
      <c r="I35" s="214" t="s">
        <v>228</v>
      </c>
      <c r="J35" s="214" t="s">
        <v>295</v>
      </c>
      <c r="K35" s="214" t="s">
        <v>283</v>
      </c>
      <c r="L35" s="214" t="s">
        <v>164</v>
      </c>
      <c r="M35" s="259"/>
      <c r="N35" s="214"/>
      <c r="O35" s="214"/>
    </row>
    <row r="36" spans="1:45" s="256" customFormat="1" ht="15.75" x14ac:dyDescent="0.25">
      <c r="A36" s="252">
        <v>44447</v>
      </c>
      <c r="B36" s="214" t="s">
        <v>187</v>
      </c>
      <c r="C36" s="214" t="s">
        <v>38</v>
      </c>
      <c r="D36" s="261" t="s">
        <v>181</v>
      </c>
      <c r="E36" s="253"/>
      <c r="F36" s="267">
        <v>26000</v>
      </c>
      <c r="G36" s="253">
        <f t="shared" si="0"/>
        <v>29392054</v>
      </c>
      <c r="H36" s="214" t="s">
        <v>28</v>
      </c>
      <c r="I36" s="214" t="s">
        <v>184</v>
      </c>
      <c r="J36" s="249" t="s">
        <v>108</v>
      </c>
      <c r="K36" s="214" t="s">
        <v>284</v>
      </c>
      <c r="L36" s="214" t="s">
        <v>164</v>
      </c>
      <c r="M36" s="240" t="s">
        <v>334</v>
      </c>
      <c r="N36" s="214" t="s">
        <v>289</v>
      </c>
      <c r="O36" s="214"/>
    </row>
    <row r="37" spans="1:45" s="256" customFormat="1" ht="15.75" x14ac:dyDescent="0.25">
      <c r="A37" s="252">
        <v>44448</v>
      </c>
      <c r="B37" s="214" t="s">
        <v>119</v>
      </c>
      <c r="C37" s="214" t="s">
        <v>81</v>
      </c>
      <c r="D37" s="214"/>
      <c r="E37" s="253"/>
      <c r="F37" s="253">
        <v>40000</v>
      </c>
      <c r="G37" s="253">
        <f t="shared" si="0"/>
        <v>29352054</v>
      </c>
      <c r="H37" s="214" t="s">
        <v>28</v>
      </c>
      <c r="I37" s="259"/>
      <c r="J37" s="214"/>
      <c r="K37" s="214"/>
      <c r="L37" s="214" t="s">
        <v>164</v>
      </c>
      <c r="M37" s="258"/>
      <c r="N37" s="214"/>
      <c r="O37" s="214"/>
    </row>
    <row r="38" spans="1:45" s="256" customFormat="1" ht="15.75" x14ac:dyDescent="0.25">
      <c r="A38" s="252">
        <v>44448</v>
      </c>
      <c r="B38" s="214" t="s">
        <v>249</v>
      </c>
      <c r="C38" s="214" t="s">
        <v>167</v>
      </c>
      <c r="D38" s="214"/>
      <c r="E38" s="253">
        <v>40000</v>
      </c>
      <c r="F38" s="253"/>
      <c r="G38" s="253">
        <f t="shared" si="0"/>
        <v>29392054</v>
      </c>
      <c r="H38" s="214" t="s">
        <v>119</v>
      </c>
      <c r="I38" s="214" t="s">
        <v>228</v>
      </c>
      <c r="J38" s="214"/>
      <c r="K38" s="214"/>
      <c r="L38" s="214" t="s">
        <v>164</v>
      </c>
      <c r="M38" s="259"/>
      <c r="N38" s="214"/>
      <c r="O38" s="214"/>
    </row>
    <row r="39" spans="1:45" s="257" customFormat="1" ht="15.75" x14ac:dyDescent="0.25">
      <c r="A39" s="252">
        <v>44448</v>
      </c>
      <c r="B39" s="214" t="s">
        <v>314</v>
      </c>
      <c r="C39" s="214" t="s">
        <v>233</v>
      </c>
      <c r="D39" s="214" t="s">
        <v>194</v>
      </c>
      <c r="E39" s="253"/>
      <c r="F39" s="267">
        <v>30000</v>
      </c>
      <c r="G39" s="253">
        <f t="shared" si="0"/>
        <v>29362054</v>
      </c>
      <c r="H39" s="214" t="s">
        <v>166</v>
      </c>
      <c r="I39" s="214" t="s">
        <v>184</v>
      </c>
      <c r="J39" s="214" t="s">
        <v>295</v>
      </c>
      <c r="K39" s="214" t="s">
        <v>283</v>
      </c>
      <c r="L39" s="214" t="s">
        <v>164</v>
      </c>
      <c r="M39" s="259"/>
      <c r="N39" s="214"/>
      <c r="O39" s="214"/>
    </row>
    <row r="40" spans="1:45" s="256" customFormat="1" ht="15.75" x14ac:dyDescent="0.25">
      <c r="A40" s="252">
        <v>44449</v>
      </c>
      <c r="B40" s="214" t="s">
        <v>258</v>
      </c>
      <c r="C40" s="214" t="s">
        <v>37</v>
      </c>
      <c r="D40" s="214" t="s">
        <v>194</v>
      </c>
      <c r="E40" s="253"/>
      <c r="F40" s="267">
        <v>12000</v>
      </c>
      <c r="G40" s="253">
        <f t="shared" si="0"/>
        <v>29350054</v>
      </c>
      <c r="H40" s="214" t="s">
        <v>166</v>
      </c>
      <c r="I40" s="262" t="s">
        <v>184</v>
      </c>
      <c r="J40" s="214" t="s">
        <v>295</v>
      </c>
      <c r="K40" s="214" t="s">
        <v>283</v>
      </c>
      <c r="L40" s="214" t="s">
        <v>164</v>
      </c>
      <c r="M40" s="214"/>
      <c r="N40" s="214"/>
      <c r="O40" s="214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</row>
    <row r="41" spans="1:45" s="256" customFormat="1" ht="15.75" x14ac:dyDescent="0.25">
      <c r="A41" s="252">
        <v>44449</v>
      </c>
      <c r="B41" s="214" t="s">
        <v>34</v>
      </c>
      <c r="C41" s="214" t="s">
        <v>81</v>
      </c>
      <c r="D41" s="264"/>
      <c r="E41" s="253"/>
      <c r="F41" s="253">
        <v>5000</v>
      </c>
      <c r="G41" s="253">
        <f t="shared" si="0"/>
        <v>29345054</v>
      </c>
      <c r="H41" s="214" t="s">
        <v>28</v>
      </c>
      <c r="I41" s="258"/>
      <c r="J41" s="214"/>
      <c r="K41" s="214"/>
      <c r="L41" s="214" t="s">
        <v>164</v>
      </c>
      <c r="M41" s="259"/>
      <c r="N41" s="214"/>
      <c r="O41" s="214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</row>
    <row r="42" spans="1:45" s="257" customFormat="1" ht="15.75" x14ac:dyDescent="0.25">
      <c r="A42" s="252">
        <v>44449</v>
      </c>
      <c r="B42" s="214" t="s">
        <v>238</v>
      </c>
      <c r="C42" s="214" t="s">
        <v>81</v>
      </c>
      <c r="D42" s="214"/>
      <c r="E42" s="253">
        <v>5000</v>
      </c>
      <c r="F42" s="253"/>
      <c r="G42" s="253">
        <f t="shared" si="0"/>
        <v>29350054</v>
      </c>
      <c r="H42" s="214" t="s">
        <v>34</v>
      </c>
      <c r="I42" s="262" t="s">
        <v>228</v>
      </c>
      <c r="J42" s="214"/>
      <c r="K42" s="214"/>
      <c r="L42" s="214" t="s">
        <v>164</v>
      </c>
      <c r="M42" s="214"/>
      <c r="N42" s="214"/>
      <c r="O42" s="214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</row>
    <row r="43" spans="1:45" s="257" customFormat="1" ht="15" customHeight="1" x14ac:dyDescent="0.25">
      <c r="A43" s="252">
        <v>44452</v>
      </c>
      <c r="B43" s="214" t="s">
        <v>179</v>
      </c>
      <c r="C43" s="214" t="s">
        <v>81</v>
      </c>
      <c r="D43" s="264"/>
      <c r="E43" s="253"/>
      <c r="F43" s="253">
        <v>10000</v>
      </c>
      <c r="G43" s="253">
        <f t="shared" si="0"/>
        <v>29340054</v>
      </c>
      <c r="H43" s="214" t="s">
        <v>28</v>
      </c>
      <c r="I43" s="259"/>
      <c r="J43" s="214"/>
      <c r="K43" s="214"/>
      <c r="L43" s="214" t="s">
        <v>164</v>
      </c>
      <c r="M43" s="258"/>
      <c r="N43" s="214"/>
      <c r="O43" s="214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</row>
    <row r="44" spans="1:45" s="256" customFormat="1" ht="15" customHeight="1" x14ac:dyDescent="0.25">
      <c r="A44" s="252">
        <v>44452</v>
      </c>
      <c r="B44" s="214" t="s">
        <v>188</v>
      </c>
      <c r="C44" s="214" t="s">
        <v>38</v>
      </c>
      <c r="D44" s="261" t="s">
        <v>181</v>
      </c>
      <c r="E44" s="253"/>
      <c r="F44" s="267">
        <v>1000</v>
      </c>
      <c r="G44" s="253">
        <f t="shared" si="0"/>
        <v>29339054</v>
      </c>
      <c r="H44" s="214" t="s">
        <v>28</v>
      </c>
      <c r="I44" s="214" t="s">
        <v>184</v>
      </c>
      <c r="J44" s="214" t="s">
        <v>295</v>
      </c>
      <c r="K44" s="214" t="s">
        <v>283</v>
      </c>
      <c r="L44" s="214" t="s">
        <v>164</v>
      </c>
      <c r="M44" s="259"/>
      <c r="N44" s="214"/>
      <c r="O44" s="214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</row>
    <row r="45" spans="1:45" s="256" customFormat="1" ht="15" customHeight="1" x14ac:dyDescent="0.25">
      <c r="A45" s="260">
        <v>44452</v>
      </c>
      <c r="B45" s="240" t="s">
        <v>239</v>
      </c>
      <c r="C45" s="253" t="s">
        <v>2</v>
      </c>
      <c r="D45" s="240" t="s">
        <v>183</v>
      </c>
      <c r="E45" s="261"/>
      <c r="F45" s="269">
        <v>2000</v>
      </c>
      <c r="G45" s="253">
        <f t="shared" ref="G45:G76" si="1">+G44+E45-F45</f>
        <v>29337054</v>
      </c>
      <c r="H45" s="240" t="s">
        <v>34</v>
      </c>
      <c r="I45" s="259" t="s">
        <v>184</v>
      </c>
      <c r="J45" s="214" t="s">
        <v>295</v>
      </c>
      <c r="K45" s="214" t="s">
        <v>283</v>
      </c>
      <c r="L45" s="214" t="s">
        <v>164</v>
      </c>
      <c r="M45" s="240"/>
      <c r="N45" s="240"/>
      <c r="O45" s="240"/>
    </row>
    <row r="46" spans="1:45" s="257" customFormat="1" ht="15" customHeight="1" x14ac:dyDescent="0.25">
      <c r="A46" s="252">
        <v>44452</v>
      </c>
      <c r="B46" s="214" t="s">
        <v>253</v>
      </c>
      <c r="C46" s="214" t="s">
        <v>81</v>
      </c>
      <c r="D46" s="214"/>
      <c r="E46" s="253">
        <v>10000</v>
      </c>
      <c r="F46" s="253"/>
      <c r="G46" s="253">
        <f t="shared" si="1"/>
        <v>29347054</v>
      </c>
      <c r="H46" s="214" t="s">
        <v>166</v>
      </c>
      <c r="I46" s="214" t="s">
        <v>228</v>
      </c>
      <c r="J46" s="214"/>
      <c r="K46" s="214"/>
      <c r="L46" s="214" t="s">
        <v>164</v>
      </c>
      <c r="M46" s="258"/>
      <c r="N46" s="214"/>
      <c r="O46" s="214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</row>
    <row r="47" spans="1:45" s="257" customFormat="1" ht="15" customHeight="1" x14ac:dyDescent="0.25">
      <c r="A47" s="252">
        <v>44453</v>
      </c>
      <c r="B47" s="214" t="s">
        <v>179</v>
      </c>
      <c r="C47" s="214" t="s">
        <v>81</v>
      </c>
      <c r="D47" s="264"/>
      <c r="E47" s="253"/>
      <c r="F47" s="253">
        <v>4450</v>
      </c>
      <c r="G47" s="253">
        <f t="shared" si="1"/>
        <v>29342604</v>
      </c>
      <c r="H47" s="214" t="s">
        <v>28</v>
      </c>
      <c r="I47" s="259"/>
      <c r="J47" s="214"/>
      <c r="K47" s="214"/>
      <c r="L47" s="214" t="s">
        <v>164</v>
      </c>
      <c r="M47" s="259"/>
      <c r="N47" s="214"/>
      <c r="O47" s="214"/>
    </row>
    <row r="48" spans="1:45" s="257" customFormat="1" ht="15" customHeight="1" x14ac:dyDescent="0.25">
      <c r="A48" s="252">
        <v>44453</v>
      </c>
      <c r="B48" s="214" t="s">
        <v>190</v>
      </c>
      <c r="C48" s="214" t="s">
        <v>4</v>
      </c>
      <c r="D48" s="261" t="s">
        <v>181</v>
      </c>
      <c r="E48" s="253"/>
      <c r="F48" s="267">
        <v>24000</v>
      </c>
      <c r="G48" s="253">
        <f t="shared" si="1"/>
        <v>29318604</v>
      </c>
      <c r="H48" s="214" t="s">
        <v>28</v>
      </c>
      <c r="I48" s="214" t="s">
        <v>184</v>
      </c>
      <c r="J48" s="249" t="s">
        <v>108</v>
      </c>
      <c r="K48" s="214" t="s">
        <v>284</v>
      </c>
      <c r="L48" s="214" t="s">
        <v>164</v>
      </c>
      <c r="M48" s="240" t="s">
        <v>335</v>
      </c>
      <c r="N48" s="214" t="s">
        <v>298</v>
      </c>
      <c r="O48" s="214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</row>
    <row r="49" spans="1:45" s="257" customFormat="1" ht="15" customHeight="1" x14ac:dyDescent="0.25">
      <c r="A49" s="252">
        <v>44453</v>
      </c>
      <c r="B49" s="214" t="s">
        <v>191</v>
      </c>
      <c r="C49" s="214" t="s">
        <v>390</v>
      </c>
      <c r="D49" s="264" t="s">
        <v>5</v>
      </c>
      <c r="E49" s="253"/>
      <c r="F49" s="267">
        <v>25000</v>
      </c>
      <c r="G49" s="253">
        <f t="shared" si="1"/>
        <v>29293604</v>
      </c>
      <c r="H49" s="214" t="s">
        <v>28</v>
      </c>
      <c r="I49" s="214" t="s">
        <v>184</v>
      </c>
      <c r="J49" s="249" t="s">
        <v>108</v>
      </c>
      <c r="K49" s="214" t="s">
        <v>284</v>
      </c>
      <c r="L49" s="214" t="s">
        <v>164</v>
      </c>
      <c r="M49" s="240" t="s">
        <v>336</v>
      </c>
      <c r="N49" s="214" t="s">
        <v>319</v>
      </c>
      <c r="O49" s="214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</row>
    <row r="50" spans="1:45" s="257" customFormat="1" ht="15" customHeight="1" x14ac:dyDescent="0.25">
      <c r="A50" s="252">
        <v>44453</v>
      </c>
      <c r="B50" s="214" t="s">
        <v>321</v>
      </c>
      <c r="C50" s="214" t="s">
        <v>390</v>
      </c>
      <c r="D50" s="214" t="s">
        <v>194</v>
      </c>
      <c r="E50" s="253"/>
      <c r="F50" s="267">
        <v>10000</v>
      </c>
      <c r="G50" s="253">
        <f t="shared" si="1"/>
        <v>29283604</v>
      </c>
      <c r="H50" s="214" t="s">
        <v>28</v>
      </c>
      <c r="I50" s="214" t="s">
        <v>184</v>
      </c>
      <c r="J50" s="249" t="s">
        <v>295</v>
      </c>
      <c r="K50" s="214" t="s">
        <v>283</v>
      </c>
      <c r="L50" s="214" t="s">
        <v>164</v>
      </c>
      <c r="M50" s="259"/>
      <c r="N50" s="214"/>
      <c r="O50" s="214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</row>
    <row r="51" spans="1:45" s="256" customFormat="1" ht="15" customHeight="1" x14ac:dyDescent="0.25">
      <c r="A51" s="252">
        <v>44453</v>
      </c>
      <c r="B51" s="214" t="s">
        <v>193</v>
      </c>
      <c r="C51" s="214" t="s">
        <v>390</v>
      </c>
      <c r="D51" s="214" t="s">
        <v>194</v>
      </c>
      <c r="E51" s="253"/>
      <c r="F51" s="267">
        <v>16000</v>
      </c>
      <c r="G51" s="253">
        <f t="shared" si="1"/>
        <v>29267604</v>
      </c>
      <c r="H51" s="214" t="s">
        <v>28</v>
      </c>
      <c r="I51" s="214" t="s">
        <v>184</v>
      </c>
      <c r="J51" s="249" t="s">
        <v>108</v>
      </c>
      <c r="K51" s="214" t="s">
        <v>284</v>
      </c>
      <c r="L51" s="214" t="s">
        <v>164</v>
      </c>
      <c r="M51" s="240" t="s">
        <v>337</v>
      </c>
      <c r="N51" s="214" t="s">
        <v>319</v>
      </c>
      <c r="O51" s="214"/>
    </row>
    <row r="52" spans="1:45" s="256" customFormat="1" ht="15" customHeight="1" x14ac:dyDescent="0.25">
      <c r="A52" s="252">
        <v>44453</v>
      </c>
      <c r="B52" s="214" t="s">
        <v>195</v>
      </c>
      <c r="C52" s="214" t="s">
        <v>390</v>
      </c>
      <c r="D52" s="214" t="s">
        <v>7</v>
      </c>
      <c r="E52" s="253"/>
      <c r="F52" s="267">
        <v>10000</v>
      </c>
      <c r="G52" s="253">
        <f t="shared" si="1"/>
        <v>29257604</v>
      </c>
      <c r="H52" s="214" t="s">
        <v>28</v>
      </c>
      <c r="I52" s="214" t="s">
        <v>184</v>
      </c>
      <c r="J52" s="249" t="s">
        <v>108</v>
      </c>
      <c r="K52" s="214" t="s">
        <v>284</v>
      </c>
      <c r="L52" s="214" t="s">
        <v>164</v>
      </c>
      <c r="M52" s="240" t="s">
        <v>338</v>
      </c>
      <c r="N52" s="214" t="s">
        <v>319</v>
      </c>
      <c r="O52" s="214"/>
    </row>
    <row r="53" spans="1:45" s="257" customFormat="1" ht="15" customHeight="1" x14ac:dyDescent="0.25">
      <c r="A53" s="252">
        <v>44453</v>
      </c>
      <c r="B53" s="214" t="s">
        <v>196</v>
      </c>
      <c r="C53" s="214" t="s">
        <v>390</v>
      </c>
      <c r="D53" s="214" t="s">
        <v>241</v>
      </c>
      <c r="E53" s="253"/>
      <c r="F53" s="267">
        <v>10000</v>
      </c>
      <c r="G53" s="253">
        <f t="shared" si="1"/>
        <v>29247604</v>
      </c>
      <c r="H53" s="214" t="s">
        <v>28</v>
      </c>
      <c r="I53" s="214" t="s">
        <v>184</v>
      </c>
      <c r="J53" s="249" t="s">
        <v>108</v>
      </c>
      <c r="K53" s="214" t="s">
        <v>284</v>
      </c>
      <c r="L53" s="214" t="s">
        <v>164</v>
      </c>
      <c r="M53" s="240" t="s">
        <v>339</v>
      </c>
      <c r="N53" s="214" t="s">
        <v>319</v>
      </c>
      <c r="O53" s="214"/>
    </row>
    <row r="54" spans="1:45" s="257" customFormat="1" ht="15" customHeight="1" x14ac:dyDescent="0.25">
      <c r="A54" s="252">
        <v>44453</v>
      </c>
      <c r="B54" s="214" t="s">
        <v>197</v>
      </c>
      <c r="C54" s="214" t="s">
        <v>390</v>
      </c>
      <c r="D54" s="214" t="s">
        <v>194</v>
      </c>
      <c r="E54" s="253"/>
      <c r="F54" s="267">
        <v>5000</v>
      </c>
      <c r="G54" s="253">
        <f t="shared" si="1"/>
        <v>29242604</v>
      </c>
      <c r="H54" s="214" t="s">
        <v>28</v>
      </c>
      <c r="I54" s="214" t="s">
        <v>184</v>
      </c>
      <c r="J54" s="249" t="s">
        <v>108</v>
      </c>
      <c r="K54" s="214" t="s">
        <v>284</v>
      </c>
      <c r="L54" s="214" t="s">
        <v>164</v>
      </c>
      <c r="M54" s="240" t="s">
        <v>340</v>
      </c>
      <c r="N54" s="214" t="s">
        <v>319</v>
      </c>
      <c r="O54" s="214"/>
    </row>
    <row r="55" spans="1:45" s="256" customFormat="1" ht="15" customHeight="1" x14ac:dyDescent="0.25">
      <c r="A55" s="252">
        <v>44453</v>
      </c>
      <c r="B55" s="214" t="s">
        <v>199</v>
      </c>
      <c r="C55" s="214" t="s">
        <v>390</v>
      </c>
      <c r="D55" s="214" t="s">
        <v>7</v>
      </c>
      <c r="E55" s="253"/>
      <c r="F55" s="267">
        <v>16000</v>
      </c>
      <c r="G55" s="253">
        <f t="shared" si="1"/>
        <v>29226604</v>
      </c>
      <c r="H55" s="214" t="s">
        <v>28</v>
      </c>
      <c r="I55" s="214" t="s">
        <v>184</v>
      </c>
      <c r="J55" s="249" t="s">
        <v>108</v>
      </c>
      <c r="K55" s="214" t="s">
        <v>284</v>
      </c>
      <c r="L55" s="214" t="s">
        <v>164</v>
      </c>
      <c r="M55" s="240" t="s">
        <v>341</v>
      </c>
      <c r="N55" s="214" t="s">
        <v>319</v>
      </c>
      <c r="O55" s="214"/>
    </row>
    <row r="56" spans="1:45" s="256" customFormat="1" ht="15" customHeight="1" x14ac:dyDescent="0.25">
      <c r="A56" s="252">
        <v>44453</v>
      </c>
      <c r="B56" s="214" t="s">
        <v>253</v>
      </c>
      <c r="C56" s="214" t="s">
        <v>81</v>
      </c>
      <c r="D56" s="214"/>
      <c r="E56" s="253">
        <v>4450</v>
      </c>
      <c r="F56" s="253"/>
      <c r="G56" s="253">
        <f t="shared" si="1"/>
        <v>29231054</v>
      </c>
      <c r="H56" s="214" t="s">
        <v>166</v>
      </c>
      <c r="I56" s="214" t="s">
        <v>228</v>
      </c>
      <c r="J56" s="214"/>
      <c r="K56" s="214"/>
      <c r="L56" s="214" t="s">
        <v>164</v>
      </c>
      <c r="M56" s="259"/>
      <c r="N56" s="214"/>
      <c r="O56" s="214"/>
    </row>
    <row r="57" spans="1:45" s="256" customFormat="1" ht="15" customHeight="1" x14ac:dyDescent="0.25">
      <c r="A57" s="252">
        <v>44453</v>
      </c>
      <c r="B57" s="214" t="s">
        <v>287</v>
      </c>
      <c r="C57" s="214" t="s">
        <v>155</v>
      </c>
      <c r="D57" s="214" t="s">
        <v>194</v>
      </c>
      <c r="E57" s="253"/>
      <c r="F57" s="267">
        <v>450</v>
      </c>
      <c r="G57" s="253">
        <f t="shared" si="1"/>
        <v>29230604</v>
      </c>
      <c r="H57" s="214" t="s">
        <v>166</v>
      </c>
      <c r="I57" s="214" t="s">
        <v>228</v>
      </c>
      <c r="J57" s="214" t="s">
        <v>295</v>
      </c>
      <c r="K57" s="214" t="s">
        <v>283</v>
      </c>
      <c r="L57" s="214" t="s">
        <v>164</v>
      </c>
      <c r="M57" s="214"/>
      <c r="N57" s="214"/>
      <c r="O57" s="214"/>
    </row>
    <row r="58" spans="1:45" s="257" customFormat="1" ht="15" customHeight="1" x14ac:dyDescent="0.25">
      <c r="A58" s="252">
        <v>44453</v>
      </c>
      <c r="B58" s="214" t="s">
        <v>268</v>
      </c>
      <c r="C58" s="214" t="s">
        <v>154</v>
      </c>
      <c r="D58" s="214" t="s">
        <v>194</v>
      </c>
      <c r="E58" s="259"/>
      <c r="F58" s="208">
        <v>300000</v>
      </c>
      <c r="G58" s="253">
        <f t="shared" si="1"/>
        <v>28930604</v>
      </c>
      <c r="H58" s="240" t="s">
        <v>280</v>
      </c>
      <c r="I58" s="214">
        <v>3643525</v>
      </c>
      <c r="J58" s="249" t="s">
        <v>108</v>
      </c>
      <c r="K58" s="214" t="s">
        <v>284</v>
      </c>
      <c r="L58" s="214" t="s">
        <v>164</v>
      </c>
      <c r="M58" s="240" t="s">
        <v>342</v>
      </c>
      <c r="N58" s="214" t="s">
        <v>288</v>
      </c>
      <c r="O58" s="214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</row>
    <row r="59" spans="1:45" s="256" customFormat="1" ht="15" customHeight="1" x14ac:dyDescent="0.25">
      <c r="A59" s="252">
        <v>44453</v>
      </c>
      <c r="B59" s="214" t="s">
        <v>269</v>
      </c>
      <c r="C59" s="214" t="s">
        <v>154</v>
      </c>
      <c r="D59" s="214" t="s">
        <v>194</v>
      </c>
      <c r="E59" s="259"/>
      <c r="F59" s="208">
        <v>200000</v>
      </c>
      <c r="G59" s="253">
        <f t="shared" si="1"/>
        <v>28730604</v>
      </c>
      <c r="H59" s="240" t="s">
        <v>280</v>
      </c>
      <c r="I59" s="214">
        <v>3643526</v>
      </c>
      <c r="J59" s="249" t="s">
        <v>108</v>
      </c>
      <c r="K59" s="214" t="s">
        <v>284</v>
      </c>
      <c r="L59" s="214" t="s">
        <v>164</v>
      </c>
      <c r="M59" s="240" t="s">
        <v>343</v>
      </c>
      <c r="N59" s="214" t="s">
        <v>288</v>
      </c>
      <c r="O59" s="214"/>
    </row>
    <row r="60" spans="1:45" s="256" customFormat="1" ht="15" customHeight="1" x14ac:dyDescent="0.25">
      <c r="A60" s="252">
        <v>44453</v>
      </c>
      <c r="B60" s="214" t="s">
        <v>270</v>
      </c>
      <c r="C60" s="253" t="s">
        <v>2</v>
      </c>
      <c r="D60" s="253" t="s">
        <v>5</v>
      </c>
      <c r="E60" s="259"/>
      <c r="F60" s="268">
        <v>1311914</v>
      </c>
      <c r="G60" s="253">
        <f t="shared" si="1"/>
        <v>27418690</v>
      </c>
      <c r="H60" s="240" t="s">
        <v>280</v>
      </c>
      <c r="I60" s="214">
        <v>3643523</v>
      </c>
      <c r="J60" s="249" t="s">
        <v>108</v>
      </c>
      <c r="K60" s="240" t="s">
        <v>284</v>
      </c>
      <c r="L60" s="214" t="s">
        <v>164</v>
      </c>
      <c r="M60" s="240" t="s">
        <v>344</v>
      </c>
      <c r="N60" s="214" t="s">
        <v>291</v>
      </c>
      <c r="O60" s="214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</row>
    <row r="61" spans="1:45" s="256" customFormat="1" ht="15" customHeight="1" x14ac:dyDescent="0.25">
      <c r="A61" s="252">
        <v>44453</v>
      </c>
      <c r="B61" s="214" t="s">
        <v>271</v>
      </c>
      <c r="C61" s="214" t="s">
        <v>154</v>
      </c>
      <c r="D61" s="214" t="s">
        <v>194</v>
      </c>
      <c r="E61" s="258"/>
      <c r="F61" s="208">
        <v>150000</v>
      </c>
      <c r="G61" s="253">
        <f t="shared" si="1"/>
        <v>27268690</v>
      </c>
      <c r="H61" s="240" t="s">
        <v>280</v>
      </c>
      <c r="I61" s="214">
        <v>3643524</v>
      </c>
      <c r="J61" s="249" t="s">
        <v>108</v>
      </c>
      <c r="K61" s="214" t="s">
        <v>284</v>
      </c>
      <c r="L61" s="214" t="s">
        <v>164</v>
      </c>
      <c r="M61" s="240" t="s">
        <v>345</v>
      </c>
      <c r="N61" s="214" t="s">
        <v>288</v>
      </c>
      <c r="O61" s="214"/>
    </row>
    <row r="62" spans="1:45" s="256" customFormat="1" ht="15" customHeight="1" x14ac:dyDescent="0.25">
      <c r="A62" s="252">
        <v>44454</v>
      </c>
      <c r="B62" s="214" t="s">
        <v>200</v>
      </c>
      <c r="C62" s="253" t="s">
        <v>2</v>
      </c>
      <c r="D62" s="264" t="s">
        <v>5</v>
      </c>
      <c r="E62" s="253"/>
      <c r="F62" s="267">
        <v>100000</v>
      </c>
      <c r="G62" s="253">
        <f t="shared" si="1"/>
        <v>27168690</v>
      </c>
      <c r="H62" s="214" t="s">
        <v>28</v>
      </c>
      <c r="I62" s="262" t="s">
        <v>228</v>
      </c>
      <c r="J62" s="214" t="s">
        <v>295</v>
      </c>
      <c r="K62" s="214" t="s">
        <v>283</v>
      </c>
      <c r="L62" s="214" t="s">
        <v>164</v>
      </c>
      <c r="M62" s="259"/>
      <c r="N62" s="214"/>
      <c r="O62" s="214"/>
    </row>
    <row r="63" spans="1:45" s="256" customFormat="1" ht="15" customHeight="1" x14ac:dyDescent="0.25">
      <c r="A63" s="252">
        <v>44455</v>
      </c>
      <c r="B63" s="214" t="s">
        <v>201</v>
      </c>
      <c r="C63" s="214" t="s">
        <v>38</v>
      </c>
      <c r="D63" s="261" t="s">
        <v>181</v>
      </c>
      <c r="E63" s="253"/>
      <c r="F63" s="267">
        <v>25000</v>
      </c>
      <c r="G63" s="253">
        <f t="shared" si="1"/>
        <v>27143690</v>
      </c>
      <c r="H63" s="214" t="s">
        <v>28</v>
      </c>
      <c r="I63" s="214" t="s">
        <v>184</v>
      </c>
      <c r="J63" s="249" t="s">
        <v>108</v>
      </c>
      <c r="K63" s="214" t="s">
        <v>284</v>
      </c>
      <c r="L63" s="214" t="s">
        <v>164</v>
      </c>
      <c r="M63" s="240" t="s">
        <v>346</v>
      </c>
      <c r="N63" s="214" t="s">
        <v>289</v>
      </c>
      <c r="O63" s="214"/>
    </row>
    <row r="64" spans="1:45" s="257" customFormat="1" ht="15" customHeight="1" x14ac:dyDescent="0.25">
      <c r="A64" s="252">
        <v>44455</v>
      </c>
      <c r="B64" s="214" t="s">
        <v>202</v>
      </c>
      <c r="C64" s="214" t="s">
        <v>6</v>
      </c>
      <c r="D64" s="261" t="s">
        <v>181</v>
      </c>
      <c r="E64" s="253"/>
      <c r="F64" s="267">
        <v>15000</v>
      </c>
      <c r="G64" s="253">
        <f t="shared" si="1"/>
        <v>27128690</v>
      </c>
      <c r="H64" s="214" t="s">
        <v>28</v>
      </c>
      <c r="I64" s="214" t="s">
        <v>184</v>
      </c>
      <c r="J64" s="214" t="s">
        <v>295</v>
      </c>
      <c r="K64" s="240" t="s">
        <v>283</v>
      </c>
      <c r="L64" s="214" t="s">
        <v>164</v>
      </c>
      <c r="M64" s="259"/>
      <c r="N64" s="214"/>
      <c r="O64" s="214"/>
    </row>
    <row r="65" spans="1:45" s="265" customFormat="1" ht="15" customHeight="1" x14ac:dyDescent="0.25">
      <c r="A65" s="252">
        <v>44456</v>
      </c>
      <c r="B65" s="214" t="s">
        <v>34</v>
      </c>
      <c r="C65" s="214" t="s">
        <v>81</v>
      </c>
      <c r="D65" s="214"/>
      <c r="E65" s="253"/>
      <c r="F65" s="253">
        <v>10000</v>
      </c>
      <c r="G65" s="253">
        <f t="shared" si="1"/>
        <v>27118690</v>
      </c>
      <c r="H65" s="214" t="s">
        <v>28</v>
      </c>
      <c r="I65" s="214"/>
      <c r="J65" s="214"/>
      <c r="K65" s="214"/>
      <c r="L65" s="214" t="s">
        <v>164</v>
      </c>
      <c r="M65" s="259"/>
      <c r="N65" s="214"/>
      <c r="O65" s="214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</row>
    <row r="66" spans="1:45" s="257" customFormat="1" ht="15" customHeight="1" x14ac:dyDescent="0.25">
      <c r="A66" s="252">
        <v>44456</v>
      </c>
      <c r="B66" s="214" t="s">
        <v>179</v>
      </c>
      <c r="C66" s="214" t="s">
        <v>81</v>
      </c>
      <c r="D66" s="214"/>
      <c r="E66" s="253"/>
      <c r="F66" s="253">
        <v>10000</v>
      </c>
      <c r="G66" s="253">
        <f t="shared" si="1"/>
        <v>27108690</v>
      </c>
      <c r="H66" s="214" t="s">
        <v>28</v>
      </c>
      <c r="I66" s="214"/>
      <c r="J66" s="214"/>
      <c r="K66" s="214"/>
      <c r="L66" s="214" t="s">
        <v>164</v>
      </c>
      <c r="M66" s="259"/>
      <c r="N66" s="214"/>
      <c r="O66" s="214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</row>
    <row r="67" spans="1:45" s="257" customFormat="1" ht="15" customHeight="1" x14ac:dyDescent="0.25">
      <c r="A67" s="252">
        <v>44456</v>
      </c>
      <c r="B67" s="214" t="s">
        <v>301</v>
      </c>
      <c r="C67" s="214" t="s">
        <v>6</v>
      </c>
      <c r="D67" s="261" t="s">
        <v>181</v>
      </c>
      <c r="E67" s="253"/>
      <c r="F67" s="267">
        <v>12000</v>
      </c>
      <c r="G67" s="253">
        <f t="shared" si="1"/>
        <v>27096690</v>
      </c>
      <c r="H67" s="214" t="s">
        <v>28</v>
      </c>
      <c r="I67" s="214" t="s">
        <v>184</v>
      </c>
      <c r="J67" s="214" t="s">
        <v>295</v>
      </c>
      <c r="K67" s="240" t="s">
        <v>283</v>
      </c>
      <c r="L67" s="214" t="s">
        <v>164</v>
      </c>
      <c r="M67" s="258"/>
      <c r="N67" s="214"/>
      <c r="O67" s="214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</row>
    <row r="68" spans="1:45" s="256" customFormat="1" ht="15" customHeight="1" x14ac:dyDescent="0.25">
      <c r="A68" s="252">
        <v>44456</v>
      </c>
      <c r="B68" s="214" t="s">
        <v>203</v>
      </c>
      <c r="C68" s="214" t="s">
        <v>38</v>
      </c>
      <c r="D68" s="261" t="s">
        <v>181</v>
      </c>
      <c r="E68" s="253"/>
      <c r="F68" s="267">
        <v>5000</v>
      </c>
      <c r="G68" s="253">
        <f t="shared" si="1"/>
        <v>27091690</v>
      </c>
      <c r="H68" s="214" t="s">
        <v>28</v>
      </c>
      <c r="I68" s="214" t="s">
        <v>184</v>
      </c>
      <c r="J68" s="249" t="s">
        <v>108</v>
      </c>
      <c r="K68" s="214" t="s">
        <v>284</v>
      </c>
      <c r="L68" s="214" t="s">
        <v>164</v>
      </c>
      <c r="M68" s="240" t="s">
        <v>347</v>
      </c>
      <c r="N68" s="214" t="s">
        <v>289</v>
      </c>
      <c r="O68" s="214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</row>
    <row r="69" spans="1:45" s="257" customFormat="1" ht="15" customHeight="1" x14ac:dyDescent="0.25">
      <c r="A69" s="252">
        <v>44456</v>
      </c>
      <c r="B69" s="214" t="s">
        <v>204</v>
      </c>
      <c r="C69" s="214" t="s">
        <v>6</v>
      </c>
      <c r="D69" s="261" t="s">
        <v>181</v>
      </c>
      <c r="E69" s="253"/>
      <c r="F69" s="267">
        <v>6000</v>
      </c>
      <c r="G69" s="253">
        <f t="shared" si="1"/>
        <v>27085690</v>
      </c>
      <c r="H69" s="214" t="s">
        <v>28</v>
      </c>
      <c r="I69" s="214" t="s">
        <v>184</v>
      </c>
      <c r="J69" s="214" t="s">
        <v>295</v>
      </c>
      <c r="K69" s="240" t="s">
        <v>283</v>
      </c>
      <c r="L69" s="214" t="s">
        <v>164</v>
      </c>
      <c r="M69" s="259"/>
      <c r="N69" s="214"/>
      <c r="O69" s="214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</row>
    <row r="70" spans="1:45" s="256" customFormat="1" ht="15" customHeight="1" x14ac:dyDescent="0.25">
      <c r="A70" s="252">
        <v>44456</v>
      </c>
      <c r="B70" s="214" t="s">
        <v>33</v>
      </c>
      <c r="C70" s="214" t="s">
        <v>81</v>
      </c>
      <c r="D70" s="214"/>
      <c r="E70" s="253"/>
      <c r="F70" s="253">
        <v>104000</v>
      </c>
      <c r="G70" s="253">
        <f t="shared" si="1"/>
        <v>26981690</v>
      </c>
      <c r="H70" s="214" t="s">
        <v>28</v>
      </c>
      <c r="I70" s="214"/>
      <c r="J70" s="214"/>
      <c r="K70" s="214"/>
      <c r="L70" s="214" t="s">
        <v>164</v>
      </c>
      <c r="M70" s="258"/>
      <c r="N70" s="214"/>
      <c r="O70" s="214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</row>
    <row r="71" spans="1:45" s="257" customFormat="1" ht="15" customHeight="1" x14ac:dyDescent="0.25">
      <c r="A71" s="252">
        <v>44456</v>
      </c>
      <c r="B71" s="214" t="s">
        <v>238</v>
      </c>
      <c r="C71" s="214" t="s">
        <v>81</v>
      </c>
      <c r="D71" s="214"/>
      <c r="E71" s="253">
        <v>10000</v>
      </c>
      <c r="F71" s="253"/>
      <c r="G71" s="253">
        <f t="shared" si="1"/>
        <v>26991690</v>
      </c>
      <c r="H71" s="214" t="s">
        <v>34</v>
      </c>
      <c r="I71" s="262" t="s">
        <v>228</v>
      </c>
      <c r="J71" s="214"/>
      <c r="K71" s="214"/>
      <c r="L71" s="214" t="s">
        <v>164</v>
      </c>
      <c r="M71" s="214"/>
      <c r="N71" s="214"/>
      <c r="O71" s="214"/>
    </row>
    <row r="72" spans="1:45" s="257" customFormat="1" ht="15" customHeight="1" x14ac:dyDescent="0.25">
      <c r="A72" s="252">
        <v>44456</v>
      </c>
      <c r="B72" s="214" t="s">
        <v>242</v>
      </c>
      <c r="C72" s="214" t="s">
        <v>81</v>
      </c>
      <c r="D72" s="214"/>
      <c r="E72" s="253">
        <v>104000</v>
      </c>
      <c r="F72" s="253"/>
      <c r="G72" s="253">
        <f t="shared" si="1"/>
        <v>27095690</v>
      </c>
      <c r="H72" s="214" t="s">
        <v>54</v>
      </c>
      <c r="I72" s="262" t="s">
        <v>228</v>
      </c>
      <c r="J72" s="214"/>
      <c r="K72" s="214"/>
      <c r="L72" s="214" t="s">
        <v>164</v>
      </c>
      <c r="M72" s="214"/>
      <c r="N72" s="214"/>
      <c r="O72" s="214"/>
    </row>
    <row r="73" spans="1:45" s="256" customFormat="1" ht="15" customHeight="1" x14ac:dyDescent="0.25">
      <c r="A73" s="252">
        <v>44456</v>
      </c>
      <c r="B73" s="214" t="s">
        <v>243</v>
      </c>
      <c r="C73" s="214" t="s">
        <v>37</v>
      </c>
      <c r="D73" s="214" t="s">
        <v>7</v>
      </c>
      <c r="E73" s="253"/>
      <c r="F73" s="267">
        <v>15000</v>
      </c>
      <c r="G73" s="253">
        <f t="shared" si="1"/>
        <v>27080690</v>
      </c>
      <c r="H73" s="214" t="s">
        <v>54</v>
      </c>
      <c r="I73" s="214" t="s">
        <v>184</v>
      </c>
      <c r="J73" s="249" t="s">
        <v>108</v>
      </c>
      <c r="K73" s="214" t="s">
        <v>284</v>
      </c>
      <c r="L73" s="214" t="s">
        <v>164</v>
      </c>
      <c r="M73" s="240" t="s">
        <v>348</v>
      </c>
      <c r="N73" s="214" t="s">
        <v>302</v>
      </c>
      <c r="O73" s="214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</row>
    <row r="74" spans="1:45" s="256" customFormat="1" ht="15" customHeight="1" x14ac:dyDescent="0.25">
      <c r="A74" s="252">
        <v>44456</v>
      </c>
      <c r="B74" s="214" t="s">
        <v>253</v>
      </c>
      <c r="C74" s="214" t="s">
        <v>81</v>
      </c>
      <c r="D74" s="214"/>
      <c r="E74" s="253">
        <v>10000</v>
      </c>
      <c r="F74" s="253"/>
      <c r="G74" s="253">
        <f t="shared" si="1"/>
        <v>27090690</v>
      </c>
      <c r="H74" s="214" t="s">
        <v>166</v>
      </c>
      <c r="I74" s="214" t="s">
        <v>228</v>
      </c>
      <c r="J74" s="214"/>
      <c r="K74" s="214"/>
      <c r="L74" s="214" t="s">
        <v>164</v>
      </c>
      <c r="M74" s="262"/>
      <c r="N74" s="214"/>
      <c r="O74" s="214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</row>
    <row r="75" spans="1:45" s="256" customFormat="1" ht="15" customHeight="1" x14ac:dyDescent="0.25">
      <c r="A75" s="252">
        <v>44456</v>
      </c>
      <c r="B75" s="214" t="s">
        <v>299</v>
      </c>
      <c r="C75" s="214" t="s">
        <v>4</v>
      </c>
      <c r="D75" s="261" t="s">
        <v>181</v>
      </c>
      <c r="E75" s="258"/>
      <c r="F75" s="208">
        <v>208961</v>
      </c>
      <c r="G75" s="253">
        <f t="shared" si="1"/>
        <v>26881729</v>
      </c>
      <c r="H75" s="214" t="s">
        <v>27</v>
      </c>
      <c r="I75" s="214">
        <v>3654457</v>
      </c>
      <c r="J75" s="214" t="s">
        <v>295</v>
      </c>
      <c r="K75" s="240" t="s">
        <v>283</v>
      </c>
      <c r="L75" s="214" t="s">
        <v>164</v>
      </c>
      <c r="M75" s="258"/>
      <c r="N75" s="214"/>
      <c r="O75" s="214"/>
    </row>
    <row r="76" spans="1:45" s="256" customFormat="1" ht="15" customHeight="1" x14ac:dyDescent="0.25">
      <c r="A76" s="252">
        <v>44458</v>
      </c>
      <c r="B76" s="214" t="s">
        <v>307</v>
      </c>
      <c r="C76" s="214" t="s">
        <v>233</v>
      </c>
      <c r="D76" s="214" t="s">
        <v>7</v>
      </c>
      <c r="E76" s="253"/>
      <c r="F76" s="267">
        <v>60000</v>
      </c>
      <c r="G76" s="253">
        <f t="shared" si="1"/>
        <v>26821729</v>
      </c>
      <c r="H76" s="214" t="s">
        <v>54</v>
      </c>
      <c r="I76" s="214" t="s">
        <v>228</v>
      </c>
      <c r="J76" s="249" t="s">
        <v>108</v>
      </c>
      <c r="K76" s="214" t="s">
        <v>284</v>
      </c>
      <c r="L76" s="214" t="s">
        <v>164</v>
      </c>
      <c r="M76" s="240" t="s">
        <v>349</v>
      </c>
      <c r="N76" s="214" t="s">
        <v>310</v>
      </c>
      <c r="O76" s="214"/>
    </row>
    <row r="77" spans="1:45" s="256" customFormat="1" ht="15" customHeight="1" x14ac:dyDescent="0.25">
      <c r="A77" s="252">
        <v>44459</v>
      </c>
      <c r="B77" s="214" t="s">
        <v>205</v>
      </c>
      <c r="C77" s="214" t="s">
        <v>154</v>
      </c>
      <c r="D77" s="214" t="s">
        <v>194</v>
      </c>
      <c r="E77" s="253"/>
      <c r="F77" s="267">
        <v>86000</v>
      </c>
      <c r="G77" s="253">
        <f t="shared" ref="G77:G108" si="2">+G76+E77-F77</f>
        <v>26735729</v>
      </c>
      <c r="H77" s="214" t="s">
        <v>28</v>
      </c>
      <c r="I77" s="214" t="s">
        <v>184</v>
      </c>
      <c r="J77" s="249" t="s">
        <v>108</v>
      </c>
      <c r="K77" s="214" t="s">
        <v>284</v>
      </c>
      <c r="L77" s="214" t="s">
        <v>164</v>
      </c>
      <c r="M77" s="240" t="s">
        <v>350</v>
      </c>
      <c r="N77" s="214" t="s">
        <v>288</v>
      </c>
      <c r="O77" s="214"/>
    </row>
    <row r="78" spans="1:45" s="257" customFormat="1" ht="15" customHeight="1" x14ac:dyDescent="0.25">
      <c r="A78" s="252">
        <v>44459</v>
      </c>
      <c r="B78" s="214" t="s">
        <v>206</v>
      </c>
      <c r="C78" s="214" t="s">
        <v>81</v>
      </c>
      <c r="D78" s="264"/>
      <c r="E78" s="253"/>
      <c r="F78" s="253">
        <v>5000</v>
      </c>
      <c r="G78" s="253">
        <f t="shared" si="2"/>
        <v>26730729</v>
      </c>
      <c r="H78" s="214" t="s">
        <v>28</v>
      </c>
      <c r="I78" s="259"/>
      <c r="J78" s="214"/>
      <c r="K78" s="214"/>
      <c r="L78" s="214" t="s">
        <v>164</v>
      </c>
      <c r="M78" s="259"/>
      <c r="N78" s="214"/>
      <c r="O78" s="214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</row>
    <row r="79" spans="1:45" s="257" customFormat="1" ht="15" customHeight="1" x14ac:dyDescent="0.25">
      <c r="A79" s="252">
        <v>44459</v>
      </c>
      <c r="B79" s="214" t="s">
        <v>207</v>
      </c>
      <c r="C79" s="214" t="s">
        <v>390</v>
      </c>
      <c r="D79" s="214" t="s">
        <v>194</v>
      </c>
      <c r="E79" s="253"/>
      <c r="F79" s="267">
        <v>5500</v>
      </c>
      <c r="G79" s="253">
        <f t="shared" si="2"/>
        <v>26725229</v>
      </c>
      <c r="H79" s="214" t="s">
        <v>28</v>
      </c>
      <c r="I79" s="214" t="s">
        <v>184</v>
      </c>
      <c r="J79" s="214" t="s">
        <v>295</v>
      </c>
      <c r="K79" s="214" t="s">
        <v>283</v>
      </c>
      <c r="L79" s="214" t="s">
        <v>164</v>
      </c>
      <c r="M79" s="259"/>
      <c r="N79" s="214"/>
      <c r="O79" s="214"/>
    </row>
    <row r="80" spans="1:45" s="256" customFormat="1" ht="15" customHeight="1" x14ac:dyDescent="0.25">
      <c r="A80" s="252">
        <v>44459</v>
      </c>
      <c r="B80" s="214" t="s">
        <v>208</v>
      </c>
      <c r="C80" s="214" t="s">
        <v>81</v>
      </c>
      <c r="D80" s="264"/>
      <c r="E80" s="253"/>
      <c r="F80" s="253">
        <v>165000</v>
      </c>
      <c r="G80" s="253">
        <f t="shared" si="2"/>
        <v>26560229</v>
      </c>
      <c r="H80" s="214" t="s">
        <v>28</v>
      </c>
      <c r="I80" s="214"/>
      <c r="J80" s="214"/>
      <c r="K80" s="214"/>
      <c r="L80" s="214" t="s">
        <v>164</v>
      </c>
      <c r="M80" s="258"/>
      <c r="N80" s="214"/>
      <c r="O80" s="214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</row>
    <row r="81" spans="1:45" s="256" customFormat="1" ht="15" customHeight="1" x14ac:dyDescent="0.25">
      <c r="A81" s="252">
        <v>44459</v>
      </c>
      <c r="B81" s="214" t="s">
        <v>206</v>
      </c>
      <c r="C81" s="214" t="s">
        <v>81</v>
      </c>
      <c r="D81" s="264"/>
      <c r="E81" s="253"/>
      <c r="F81" s="253">
        <v>90000</v>
      </c>
      <c r="G81" s="253">
        <f t="shared" si="2"/>
        <v>26470229</v>
      </c>
      <c r="H81" s="214" t="s">
        <v>28</v>
      </c>
      <c r="I81" s="259"/>
      <c r="J81" s="214"/>
      <c r="K81" s="214"/>
      <c r="L81" s="214" t="s">
        <v>164</v>
      </c>
      <c r="M81" s="258"/>
      <c r="N81" s="214"/>
      <c r="O81" s="214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</row>
    <row r="82" spans="1:45" s="257" customFormat="1" ht="15" customHeight="1" x14ac:dyDescent="0.25">
      <c r="A82" s="252">
        <v>44459</v>
      </c>
      <c r="B82" s="214" t="s">
        <v>229</v>
      </c>
      <c r="C82" s="214" t="s">
        <v>37</v>
      </c>
      <c r="D82" s="214" t="s">
        <v>5</v>
      </c>
      <c r="E82" s="253"/>
      <c r="F82" s="267">
        <v>15000</v>
      </c>
      <c r="G82" s="253">
        <f t="shared" si="2"/>
        <v>26455229</v>
      </c>
      <c r="H82" s="214" t="s">
        <v>53</v>
      </c>
      <c r="I82" s="214" t="s">
        <v>184</v>
      </c>
      <c r="J82" s="249" t="s">
        <v>108</v>
      </c>
      <c r="K82" s="214" t="s">
        <v>284</v>
      </c>
      <c r="L82" s="214" t="s">
        <v>164</v>
      </c>
      <c r="M82" s="240" t="s">
        <v>351</v>
      </c>
      <c r="N82" s="214" t="s">
        <v>302</v>
      </c>
      <c r="O82" s="214"/>
    </row>
    <row r="83" spans="1:45" s="256" customFormat="1" ht="15" customHeight="1" x14ac:dyDescent="0.25">
      <c r="A83" s="252">
        <v>44459</v>
      </c>
      <c r="B83" s="214" t="s">
        <v>230</v>
      </c>
      <c r="C83" s="214" t="s">
        <v>81</v>
      </c>
      <c r="D83" s="264"/>
      <c r="E83" s="253">
        <v>165000</v>
      </c>
      <c r="F83" s="253"/>
      <c r="G83" s="253">
        <f t="shared" si="2"/>
        <v>26620229</v>
      </c>
      <c r="H83" s="214" t="s">
        <v>53</v>
      </c>
      <c r="I83" s="214" t="s">
        <v>189</v>
      </c>
      <c r="J83" s="214"/>
      <c r="K83" s="214"/>
      <c r="L83" s="214" t="s">
        <v>164</v>
      </c>
      <c r="M83" s="258"/>
      <c r="N83" s="214"/>
      <c r="O83" s="214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</row>
    <row r="84" spans="1:45" s="256" customFormat="1" ht="15" customHeight="1" x14ac:dyDescent="0.25">
      <c r="A84" s="252">
        <v>44459</v>
      </c>
      <c r="B84" s="214" t="s">
        <v>253</v>
      </c>
      <c r="C84" s="214" t="s">
        <v>81</v>
      </c>
      <c r="D84" s="264"/>
      <c r="E84" s="253">
        <v>5000</v>
      </c>
      <c r="F84" s="253"/>
      <c r="G84" s="253">
        <f t="shared" si="2"/>
        <v>26625229</v>
      </c>
      <c r="H84" s="214" t="s">
        <v>206</v>
      </c>
      <c r="I84" s="262" t="s">
        <v>184</v>
      </c>
      <c r="J84" s="214"/>
      <c r="K84" s="214"/>
      <c r="L84" s="214" t="s">
        <v>164</v>
      </c>
      <c r="M84" s="214"/>
      <c r="N84" s="214"/>
      <c r="O84" s="214"/>
    </row>
    <row r="85" spans="1:45" s="256" customFormat="1" ht="15" customHeight="1" x14ac:dyDescent="0.25">
      <c r="A85" s="252">
        <v>44459</v>
      </c>
      <c r="B85" s="214" t="s">
        <v>260</v>
      </c>
      <c r="C85" s="214" t="s">
        <v>81</v>
      </c>
      <c r="D85" s="214"/>
      <c r="E85" s="253">
        <v>90000</v>
      </c>
      <c r="F85" s="253"/>
      <c r="G85" s="253">
        <f t="shared" si="2"/>
        <v>26715229</v>
      </c>
      <c r="H85" s="214" t="s">
        <v>206</v>
      </c>
      <c r="I85" s="214" t="s">
        <v>184</v>
      </c>
      <c r="J85" s="214"/>
      <c r="K85" s="214"/>
      <c r="L85" s="214" t="s">
        <v>164</v>
      </c>
      <c r="M85" s="262"/>
      <c r="N85" s="214"/>
      <c r="O85" s="214"/>
    </row>
    <row r="86" spans="1:45" s="256" customFormat="1" ht="15" customHeight="1" x14ac:dyDescent="0.25">
      <c r="A86" s="252">
        <v>44459</v>
      </c>
      <c r="B86" s="214" t="s">
        <v>261</v>
      </c>
      <c r="C86" s="214" t="s">
        <v>37</v>
      </c>
      <c r="D86" s="214" t="s">
        <v>194</v>
      </c>
      <c r="E86" s="253"/>
      <c r="F86" s="267">
        <v>15000</v>
      </c>
      <c r="G86" s="253">
        <f t="shared" si="2"/>
        <v>26700229</v>
      </c>
      <c r="H86" s="214" t="s">
        <v>206</v>
      </c>
      <c r="I86" s="214" t="s">
        <v>184</v>
      </c>
      <c r="J86" s="214" t="s">
        <v>295</v>
      </c>
      <c r="K86" s="214" t="s">
        <v>283</v>
      </c>
      <c r="L86" s="214" t="s">
        <v>164</v>
      </c>
      <c r="M86" s="262"/>
      <c r="N86" s="214"/>
      <c r="O86" s="214"/>
    </row>
    <row r="87" spans="1:45" s="256" customFormat="1" ht="15" customHeight="1" x14ac:dyDescent="0.25">
      <c r="A87" s="252">
        <v>44459</v>
      </c>
      <c r="B87" s="214" t="s">
        <v>305</v>
      </c>
      <c r="C87" s="214" t="s">
        <v>233</v>
      </c>
      <c r="D87" s="214" t="s">
        <v>194</v>
      </c>
      <c r="E87" s="253"/>
      <c r="F87" s="267">
        <v>1000</v>
      </c>
      <c r="G87" s="253">
        <f t="shared" si="2"/>
        <v>26699229</v>
      </c>
      <c r="H87" s="214" t="s">
        <v>206</v>
      </c>
      <c r="I87" s="214" t="s">
        <v>228</v>
      </c>
      <c r="J87" s="214" t="s">
        <v>295</v>
      </c>
      <c r="K87" s="214" t="s">
        <v>283</v>
      </c>
      <c r="L87" s="214" t="s">
        <v>164</v>
      </c>
      <c r="M87" s="262"/>
      <c r="N87" s="214"/>
      <c r="O87" s="214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</row>
    <row r="88" spans="1:45" s="256" customFormat="1" ht="15" customHeight="1" x14ac:dyDescent="0.25">
      <c r="A88" s="252">
        <v>44460</v>
      </c>
      <c r="B88" s="214" t="s">
        <v>33</v>
      </c>
      <c r="C88" s="214" t="s">
        <v>81</v>
      </c>
      <c r="D88" s="214"/>
      <c r="E88" s="253"/>
      <c r="F88" s="253">
        <v>110000</v>
      </c>
      <c r="G88" s="253">
        <f t="shared" si="2"/>
        <v>26589229</v>
      </c>
      <c r="H88" s="214" t="s">
        <v>28</v>
      </c>
      <c r="I88" s="258"/>
      <c r="J88" s="214"/>
      <c r="K88" s="214"/>
      <c r="L88" s="214" t="s">
        <v>164</v>
      </c>
      <c r="M88" s="258"/>
      <c r="N88" s="214"/>
      <c r="O88" s="214"/>
    </row>
    <row r="89" spans="1:45" s="256" customFormat="1" ht="15" customHeight="1" x14ac:dyDescent="0.25">
      <c r="A89" s="252">
        <v>44460</v>
      </c>
      <c r="B89" s="214" t="s">
        <v>209</v>
      </c>
      <c r="C89" s="214" t="s">
        <v>153</v>
      </c>
      <c r="D89" s="261" t="s">
        <v>181</v>
      </c>
      <c r="E89" s="253"/>
      <c r="F89" s="267">
        <v>3300</v>
      </c>
      <c r="G89" s="253">
        <f t="shared" si="2"/>
        <v>26585929</v>
      </c>
      <c r="H89" s="214" t="s">
        <v>28</v>
      </c>
      <c r="I89" s="214" t="s">
        <v>184</v>
      </c>
      <c r="J89" s="249" t="s">
        <v>108</v>
      </c>
      <c r="K89" s="214" t="s">
        <v>284</v>
      </c>
      <c r="L89" s="214" t="s">
        <v>164</v>
      </c>
      <c r="M89" s="240" t="s">
        <v>352</v>
      </c>
      <c r="N89" s="214" t="s">
        <v>286</v>
      </c>
      <c r="O89" s="214"/>
    </row>
    <row r="90" spans="1:45" s="256" customFormat="1" ht="15" customHeight="1" x14ac:dyDescent="0.25">
      <c r="A90" s="252">
        <v>44460</v>
      </c>
      <c r="B90" s="214" t="s">
        <v>242</v>
      </c>
      <c r="C90" s="214" t="s">
        <v>81</v>
      </c>
      <c r="D90" s="214"/>
      <c r="E90" s="253">
        <v>110000</v>
      </c>
      <c r="F90" s="253"/>
      <c r="G90" s="253">
        <f t="shared" si="2"/>
        <v>26695929</v>
      </c>
      <c r="H90" s="214" t="s">
        <v>54</v>
      </c>
      <c r="I90" s="262" t="s">
        <v>228</v>
      </c>
      <c r="J90" s="214"/>
      <c r="K90" s="214"/>
      <c r="L90" s="214" t="s">
        <v>164</v>
      </c>
      <c r="M90" s="259"/>
      <c r="N90" s="214"/>
      <c r="O90" s="214"/>
    </row>
    <row r="91" spans="1:45" s="256" customFormat="1" ht="15" customHeight="1" x14ac:dyDescent="0.25">
      <c r="A91" s="252">
        <v>44460</v>
      </c>
      <c r="B91" s="214" t="s">
        <v>304</v>
      </c>
      <c r="C91" s="214" t="s">
        <v>233</v>
      </c>
      <c r="D91" s="214" t="s">
        <v>194</v>
      </c>
      <c r="E91" s="253"/>
      <c r="F91" s="267">
        <v>100000</v>
      </c>
      <c r="G91" s="253">
        <f t="shared" si="2"/>
        <v>26595929</v>
      </c>
      <c r="H91" s="214" t="s">
        <v>206</v>
      </c>
      <c r="I91" s="214" t="s">
        <v>228</v>
      </c>
      <c r="J91" s="214" t="s">
        <v>295</v>
      </c>
      <c r="K91" s="214" t="s">
        <v>283</v>
      </c>
      <c r="L91" s="214" t="s">
        <v>164</v>
      </c>
      <c r="M91" s="214"/>
      <c r="N91" s="214"/>
      <c r="O91" s="214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</row>
    <row r="92" spans="1:45" s="256" customFormat="1" ht="15" customHeight="1" x14ac:dyDescent="0.25">
      <c r="A92" s="252">
        <v>44460</v>
      </c>
      <c r="B92" s="214" t="s">
        <v>272</v>
      </c>
      <c r="C92" s="214" t="s">
        <v>4</v>
      </c>
      <c r="D92" s="261" t="s">
        <v>181</v>
      </c>
      <c r="E92" s="258"/>
      <c r="F92" s="208">
        <v>500000</v>
      </c>
      <c r="G92" s="253">
        <f t="shared" si="2"/>
        <v>26095929</v>
      </c>
      <c r="H92" s="240" t="s">
        <v>280</v>
      </c>
      <c r="I92" s="214">
        <v>3643527</v>
      </c>
      <c r="J92" s="249" t="s">
        <v>108</v>
      </c>
      <c r="K92" s="214" t="s">
        <v>284</v>
      </c>
      <c r="L92" s="214" t="s">
        <v>164</v>
      </c>
      <c r="M92" s="240" t="s">
        <v>353</v>
      </c>
      <c r="N92" s="214" t="s">
        <v>300</v>
      </c>
      <c r="O92" s="214"/>
    </row>
    <row r="93" spans="1:45" s="257" customFormat="1" ht="15" customHeight="1" x14ac:dyDescent="0.25">
      <c r="A93" s="252">
        <v>44460</v>
      </c>
      <c r="B93" s="214" t="s">
        <v>282</v>
      </c>
      <c r="C93" s="214" t="s">
        <v>154</v>
      </c>
      <c r="D93" s="214" t="s">
        <v>194</v>
      </c>
      <c r="E93" s="258"/>
      <c r="F93" s="208">
        <v>295000</v>
      </c>
      <c r="G93" s="253">
        <f t="shared" si="2"/>
        <v>25800929</v>
      </c>
      <c r="H93" s="214" t="s">
        <v>27</v>
      </c>
      <c r="I93" s="214">
        <v>3654456</v>
      </c>
      <c r="J93" s="214" t="s">
        <v>295</v>
      </c>
      <c r="K93" s="214" t="s">
        <v>283</v>
      </c>
      <c r="L93" s="214" t="s">
        <v>164</v>
      </c>
      <c r="M93" s="258"/>
      <c r="N93" s="214"/>
      <c r="O93" s="214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</row>
    <row r="94" spans="1:45" s="256" customFormat="1" ht="15" customHeight="1" x14ac:dyDescent="0.25">
      <c r="A94" s="252">
        <v>44461</v>
      </c>
      <c r="B94" s="214" t="s">
        <v>210</v>
      </c>
      <c r="C94" s="253" t="s">
        <v>2</v>
      </c>
      <c r="D94" s="214" t="s">
        <v>5</v>
      </c>
      <c r="E94" s="253"/>
      <c r="F94" s="267">
        <v>223339</v>
      </c>
      <c r="G94" s="253">
        <f t="shared" si="2"/>
        <v>25577590</v>
      </c>
      <c r="H94" s="214" t="s">
        <v>28</v>
      </c>
      <c r="I94" s="214" t="s">
        <v>184</v>
      </c>
      <c r="J94" s="214" t="s">
        <v>295</v>
      </c>
      <c r="K94" s="214" t="s">
        <v>283</v>
      </c>
      <c r="L94" s="214" t="s">
        <v>164</v>
      </c>
      <c r="M94" s="259"/>
      <c r="N94" s="214"/>
      <c r="O94" s="214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</row>
    <row r="95" spans="1:45" s="256" customFormat="1" ht="15" customHeight="1" x14ac:dyDescent="0.25">
      <c r="A95" s="252">
        <v>44461</v>
      </c>
      <c r="B95" s="214" t="s">
        <v>211</v>
      </c>
      <c r="C95" s="214" t="s">
        <v>296</v>
      </c>
      <c r="D95" s="261" t="s">
        <v>181</v>
      </c>
      <c r="E95" s="253"/>
      <c r="F95" s="267">
        <v>175000</v>
      </c>
      <c r="G95" s="253">
        <f t="shared" si="2"/>
        <v>25402590</v>
      </c>
      <c r="H95" s="214" t="s">
        <v>28</v>
      </c>
      <c r="I95" s="214" t="s">
        <v>184</v>
      </c>
      <c r="J95" s="249" t="s">
        <v>108</v>
      </c>
      <c r="K95" s="214" t="s">
        <v>284</v>
      </c>
      <c r="L95" s="214" t="s">
        <v>164</v>
      </c>
      <c r="M95" s="240" t="s">
        <v>354</v>
      </c>
      <c r="N95" s="214" t="s">
        <v>297</v>
      </c>
      <c r="O95" s="214"/>
    </row>
    <row r="96" spans="1:45" s="256" customFormat="1" ht="15" customHeight="1" x14ac:dyDescent="0.25">
      <c r="A96" s="252">
        <v>44461</v>
      </c>
      <c r="B96" s="214" t="s">
        <v>212</v>
      </c>
      <c r="C96" s="214" t="s">
        <v>153</v>
      </c>
      <c r="D96" s="261" t="s">
        <v>181</v>
      </c>
      <c r="E96" s="253"/>
      <c r="F96" s="267">
        <f>190548-175000</f>
        <v>15548</v>
      </c>
      <c r="G96" s="253">
        <f t="shared" si="2"/>
        <v>25387042</v>
      </c>
      <c r="H96" s="214" t="s">
        <v>28</v>
      </c>
      <c r="I96" s="214" t="s">
        <v>184</v>
      </c>
      <c r="J96" s="249" t="s">
        <v>108</v>
      </c>
      <c r="K96" s="214" t="s">
        <v>284</v>
      </c>
      <c r="L96" s="214" t="s">
        <v>164</v>
      </c>
      <c r="M96" s="240" t="s">
        <v>355</v>
      </c>
      <c r="N96" s="214" t="s">
        <v>286</v>
      </c>
      <c r="O96" s="214"/>
    </row>
    <row r="97" spans="1:45" s="256" customFormat="1" ht="15" customHeight="1" x14ac:dyDescent="0.25">
      <c r="A97" s="252">
        <v>44461</v>
      </c>
      <c r="B97" s="214" t="s">
        <v>179</v>
      </c>
      <c r="C97" s="214" t="s">
        <v>81</v>
      </c>
      <c r="D97" s="214"/>
      <c r="E97" s="253"/>
      <c r="F97" s="253">
        <v>10000</v>
      </c>
      <c r="G97" s="253">
        <f t="shared" si="2"/>
        <v>25377042</v>
      </c>
      <c r="H97" s="214" t="s">
        <v>28</v>
      </c>
      <c r="I97" s="214"/>
      <c r="J97" s="214"/>
      <c r="K97" s="214"/>
      <c r="L97" s="214" t="s">
        <v>164</v>
      </c>
      <c r="M97" s="258"/>
      <c r="N97" s="214"/>
      <c r="O97" s="214"/>
    </row>
    <row r="98" spans="1:45" s="257" customFormat="1" ht="15" customHeight="1" x14ac:dyDescent="0.25">
      <c r="A98" s="252">
        <v>44461</v>
      </c>
      <c r="B98" s="214" t="s">
        <v>213</v>
      </c>
      <c r="C98" s="214" t="s">
        <v>168</v>
      </c>
      <c r="D98" s="261" t="s">
        <v>181</v>
      </c>
      <c r="E98" s="253"/>
      <c r="F98" s="267">
        <f>942.7*655.957</f>
        <v>618370.66390000004</v>
      </c>
      <c r="G98" s="253">
        <f t="shared" si="2"/>
        <v>24758671.336100001</v>
      </c>
      <c r="H98" s="214" t="s">
        <v>28</v>
      </c>
      <c r="I98" s="214" t="s">
        <v>184</v>
      </c>
      <c r="J98" s="214" t="s">
        <v>295</v>
      </c>
      <c r="K98" s="214" t="s">
        <v>283</v>
      </c>
      <c r="L98" s="214" t="s">
        <v>164</v>
      </c>
      <c r="M98" s="259"/>
      <c r="N98" s="214"/>
      <c r="O98" s="214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</row>
    <row r="99" spans="1:45" s="257" customFormat="1" ht="15" customHeight="1" x14ac:dyDescent="0.25">
      <c r="A99" s="252">
        <v>44461</v>
      </c>
      <c r="B99" s="214" t="s">
        <v>231</v>
      </c>
      <c r="C99" s="214" t="s">
        <v>391</v>
      </c>
      <c r="D99" s="214" t="s">
        <v>194</v>
      </c>
      <c r="E99" s="253"/>
      <c r="F99" s="267">
        <v>50000</v>
      </c>
      <c r="G99" s="253">
        <f t="shared" si="2"/>
        <v>24708671.336100001</v>
      </c>
      <c r="H99" s="214" t="s">
        <v>53</v>
      </c>
      <c r="I99" s="262" t="s">
        <v>189</v>
      </c>
      <c r="J99" s="214" t="s">
        <v>295</v>
      </c>
      <c r="K99" s="214" t="s">
        <v>283</v>
      </c>
      <c r="L99" s="214" t="s">
        <v>164</v>
      </c>
      <c r="M99" s="258"/>
      <c r="N99" s="214"/>
      <c r="O99" s="214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</row>
    <row r="100" spans="1:45" s="257" customFormat="1" ht="15" customHeight="1" x14ac:dyDescent="0.25">
      <c r="A100" s="252">
        <v>44461</v>
      </c>
      <c r="B100" s="214" t="s">
        <v>232</v>
      </c>
      <c r="C100" s="214" t="s">
        <v>37</v>
      </c>
      <c r="D100" s="214" t="s">
        <v>5</v>
      </c>
      <c r="E100" s="253"/>
      <c r="F100" s="267">
        <v>5000</v>
      </c>
      <c r="G100" s="253">
        <f t="shared" si="2"/>
        <v>24703671.336100001</v>
      </c>
      <c r="H100" s="214" t="s">
        <v>53</v>
      </c>
      <c r="I100" s="214" t="s">
        <v>184</v>
      </c>
      <c r="J100" s="249" t="s">
        <v>108</v>
      </c>
      <c r="K100" s="214" t="s">
        <v>284</v>
      </c>
      <c r="L100" s="214" t="s">
        <v>164</v>
      </c>
      <c r="M100" s="240" t="s">
        <v>356</v>
      </c>
      <c r="N100" s="214" t="s">
        <v>302</v>
      </c>
      <c r="O100" s="214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</row>
    <row r="101" spans="1:45" s="256" customFormat="1" ht="15" customHeight="1" x14ac:dyDescent="0.25">
      <c r="A101" s="252">
        <v>44461</v>
      </c>
      <c r="B101" s="214" t="s">
        <v>317</v>
      </c>
      <c r="C101" s="214" t="s">
        <v>233</v>
      </c>
      <c r="D101" s="214" t="s">
        <v>5</v>
      </c>
      <c r="E101" s="253"/>
      <c r="F101" s="267">
        <v>100000</v>
      </c>
      <c r="G101" s="253">
        <f t="shared" si="2"/>
        <v>24603671.336100001</v>
      </c>
      <c r="H101" s="214" t="s">
        <v>53</v>
      </c>
      <c r="I101" s="214" t="s">
        <v>228</v>
      </c>
      <c r="J101" s="249" t="s">
        <v>108</v>
      </c>
      <c r="K101" s="214" t="s">
        <v>284</v>
      </c>
      <c r="L101" s="214" t="s">
        <v>164</v>
      </c>
      <c r="M101" s="240" t="s">
        <v>357</v>
      </c>
      <c r="N101" s="214" t="s">
        <v>310</v>
      </c>
      <c r="O101" s="214"/>
    </row>
    <row r="102" spans="1:45" s="257" customFormat="1" ht="15" customHeight="1" x14ac:dyDescent="0.25">
      <c r="A102" s="252">
        <v>44461</v>
      </c>
      <c r="B102" s="214" t="s">
        <v>253</v>
      </c>
      <c r="C102" s="214" t="s">
        <v>81</v>
      </c>
      <c r="D102" s="214"/>
      <c r="E102" s="253">
        <v>10000</v>
      </c>
      <c r="F102" s="253"/>
      <c r="G102" s="253">
        <f t="shared" si="2"/>
        <v>24613671.336100001</v>
      </c>
      <c r="H102" s="214" t="s">
        <v>166</v>
      </c>
      <c r="I102" s="214" t="s">
        <v>228</v>
      </c>
      <c r="J102" s="214"/>
      <c r="K102" s="214"/>
      <c r="L102" s="214" t="s">
        <v>164</v>
      </c>
      <c r="M102" s="258"/>
      <c r="N102" s="214"/>
      <c r="O102" s="214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</row>
    <row r="103" spans="1:45" s="257" customFormat="1" ht="15" customHeight="1" x14ac:dyDescent="0.25">
      <c r="A103" s="252">
        <v>44461</v>
      </c>
      <c r="B103" s="214" t="s">
        <v>262</v>
      </c>
      <c r="C103" s="214" t="s">
        <v>37</v>
      </c>
      <c r="D103" s="214" t="s">
        <v>194</v>
      </c>
      <c r="E103" s="253"/>
      <c r="F103" s="267">
        <v>5000</v>
      </c>
      <c r="G103" s="253">
        <f t="shared" si="2"/>
        <v>24608671.336100001</v>
      </c>
      <c r="H103" s="214" t="s">
        <v>206</v>
      </c>
      <c r="I103" s="214" t="s">
        <v>184</v>
      </c>
      <c r="J103" s="214" t="s">
        <v>295</v>
      </c>
      <c r="K103" s="214" t="s">
        <v>283</v>
      </c>
      <c r="L103" s="214" t="s">
        <v>164</v>
      </c>
      <c r="M103" s="262"/>
      <c r="N103" s="214"/>
      <c r="O103" s="214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</row>
    <row r="104" spans="1:45" s="256" customFormat="1" ht="15" customHeight="1" x14ac:dyDescent="0.25">
      <c r="A104" s="252">
        <v>44462</v>
      </c>
      <c r="B104" s="214" t="s">
        <v>316</v>
      </c>
      <c r="C104" s="214" t="s">
        <v>233</v>
      </c>
      <c r="D104" s="214" t="s">
        <v>5</v>
      </c>
      <c r="E104" s="253"/>
      <c r="F104" s="267">
        <v>30000</v>
      </c>
      <c r="G104" s="253">
        <f t="shared" si="2"/>
        <v>24578671.336100001</v>
      </c>
      <c r="H104" s="214" t="s">
        <v>53</v>
      </c>
      <c r="I104" s="214" t="s">
        <v>184</v>
      </c>
      <c r="J104" s="249" t="s">
        <v>108</v>
      </c>
      <c r="K104" s="214" t="s">
        <v>284</v>
      </c>
      <c r="L104" s="214" t="s">
        <v>164</v>
      </c>
      <c r="M104" s="240" t="s">
        <v>358</v>
      </c>
      <c r="N104" s="214" t="s">
        <v>310</v>
      </c>
      <c r="O104" s="214"/>
    </row>
    <row r="105" spans="1:45" s="257" customFormat="1" ht="15" customHeight="1" x14ac:dyDescent="0.25">
      <c r="A105" s="252">
        <v>44462</v>
      </c>
      <c r="B105" s="214" t="s">
        <v>208</v>
      </c>
      <c r="C105" s="214" t="s">
        <v>81</v>
      </c>
      <c r="D105" s="264"/>
      <c r="E105" s="253"/>
      <c r="F105" s="253">
        <v>56000</v>
      </c>
      <c r="G105" s="253">
        <f t="shared" si="2"/>
        <v>24522671.336100001</v>
      </c>
      <c r="H105" s="214" t="s">
        <v>28</v>
      </c>
      <c r="I105" s="262"/>
      <c r="J105" s="214"/>
      <c r="K105" s="214"/>
      <c r="L105" s="214" t="s">
        <v>164</v>
      </c>
      <c r="M105" s="259"/>
      <c r="N105" s="214"/>
      <c r="O105" s="214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</row>
    <row r="106" spans="1:45" s="256" customFormat="1" ht="15" customHeight="1" x14ac:dyDescent="0.25">
      <c r="A106" s="252">
        <v>44462</v>
      </c>
      <c r="B106" s="214" t="s">
        <v>206</v>
      </c>
      <c r="C106" s="214" t="s">
        <v>81</v>
      </c>
      <c r="D106" s="214"/>
      <c r="E106" s="253"/>
      <c r="F106" s="253">
        <v>69000</v>
      </c>
      <c r="G106" s="253">
        <f t="shared" si="2"/>
        <v>24453671.336100001</v>
      </c>
      <c r="H106" s="214" t="s">
        <v>28</v>
      </c>
      <c r="I106" s="262"/>
      <c r="J106" s="214"/>
      <c r="K106" s="214"/>
      <c r="L106" s="214" t="s">
        <v>164</v>
      </c>
      <c r="M106" s="259"/>
      <c r="N106" s="214"/>
      <c r="O106" s="214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257"/>
      <c r="AR106" s="257"/>
      <c r="AS106" s="257"/>
    </row>
    <row r="107" spans="1:45" s="256" customFormat="1" ht="15" customHeight="1" x14ac:dyDescent="0.25">
      <c r="A107" s="252">
        <v>44462</v>
      </c>
      <c r="B107" s="214" t="s">
        <v>214</v>
      </c>
      <c r="C107" s="214" t="s">
        <v>153</v>
      </c>
      <c r="D107" s="261" t="s">
        <v>181</v>
      </c>
      <c r="E107" s="253"/>
      <c r="F107" s="267">
        <v>3750</v>
      </c>
      <c r="G107" s="253">
        <f t="shared" si="2"/>
        <v>24449921.336100001</v>
      </c>
      <c r="H107" s="214" t="s">
        <v>28</v>
      </c>
      <c r="I107" s="214" t="s">
        <v>184</v>
      </c>
      <c r="J107" s="249" t="s">
        <v>108</v>
      </c>
      <c r="K107" s="214" t="s">
        <v>284</v>
      </c>
      <c r="L107" s="214" t="s">
        <v>164</v>
      </c>
      <c r="M107" s="240" t="s">
        <v>359</v>
      </c>
      <c r="N107" s="214" t="s">
        <v>286</v>
      </c>
      <c r="O107" s="214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</row>
    <row r="108" spans="1:45" s="256" customFormat="1" ht="15" customHeight="1" x14ac:dyDescent="0.25">
      <c r="A108" s="252">
        <v>44462</v>
      </c>
      <c r="B108" s="214" t="s">
        <v>215</v>
      </c>
      <c r="C108" s="214" t="s">
        <v>38</v>
      </c>
      <c r="D108" s="261" t="s">
        <v>181</v>
      </c>
      <c r="E108" s="253"/>
      <c r="F108" s="267">
        <v>13500</v>
      </c>
      <c r="G108" s="253">
        <f t="shared" si="2"/>
        <v>24436421.336100001</v>
      </c>
      <c r="H108" s="214" t="s">
        <v>28</v>
      </c>
      <c r="I108" s="214" t="s">
        <v>184</v>
      </c>
      <c r="J108" s="249" t="s">
        <v>108</v>
      </c>
      <c r="K108" s="214" t="s">
        <v>284</v>
      </c>
      <c r="L108" s="214" t="s">
        <v>164</v>
      </c>
      <c r="M108" s="240" t="s">
        <v>360</v>
      </c>
      <c r="N108" s="214" t="s">
        <v>289</v>
      </c>
      <c r="O108" s="214"/>
    </row>
    <row r="109" spans="1:45" s="256" customFormat="1" ht="15" customHeight="1" x14ac:dyDescent="0.25">
      <c r="A109" s="252">
        <v>44462</v>
      </c>
      <c r="B109" s="214" t="s">
        <v>216</v>
      </c>
      <c r="C109" s="253" t="s">
        <v>2</v>
      </c>
      <c r="D109" s="264" t="s">
        <v>183</v>
      </c>
      <c r="E109" s="253"/>
      <c r="F109" s="267">
        <v>25000</v>
      </c>
      <c r="G109" s="253">
        <f t="shared" ref="G109:G140" si="3">+G108+E109-F109</f>
        <v>24411421.336100001</v>
      </c>
      <c r="H109" s="214" t="s">
        <v>28</v>
      </c>
      <c r="I109" s="214" t="s">
        <v>184</v>
      </c>
      <c r="J109" s="214" t="s">
        <v>295</v>
      </c>
      <c r="K109" s="214" t="s">
        <v>283</v>
      </c>
      <c r="L109" s="214" t="s">
        <v>164</v>
      </c>
      <c r="M109" s="259"/>
      <c r="N109" s="214"/>
      <c r="O109" s="214"/>
    </row>
    <row r="110" spans="1:45" s="257" customFormat="1" ht="15" customHeight="1" x14ac:dyDescent="0.25">
      <c r="A110" s="252">
        <v>44462</v>
      </c>
      <c r="B110" s="214" t="s">
        <v>165</v>
      </c>
      <c r="C110" s="214" t="s">
        <v>81</v>
      </c>
      <c r="D110" s="264"/>
      <c r="E110" s="253"/>
      <c r="F110" s="253">
        <v>10000</v>
      </c>
      <c r="G110" s="253">
        <f t="shared" si="3"/>
        <v>24401421.336100001</v>
      </c>
      <c r="H110" s="214" t="s">
        <v>28</v>
      </c>
      <c r="I110" s="258"/>
      <c r="J110" s="214"/>
      <c r="K110" s="214"/>
      <c r="L110" s="214" t="s">
        <v>164</v>
      </c>
      <c r="M110" s="259"/>
      <c r="N110" s="214"/>
      <c r="O110" s="214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</row>
    <row r="111" spans="1:45" s="256" customFormat="1" ht="15" customHeight="1" x14ac:dyDescent="0.25">
      <c r="A111" s="252">
        <v>44462</v>
      </c>
      <c r="B111" s="214" t="s">
        <v>234</v>
      </c>
      <c r="C111" s="214" t="s">
        <v>81</v>
      </c>
      <c r="D111" s="214"/>
      <c r="E111" s="253">
        <v>56000</v>
      </c>
      <c r="F111" s="253"/>
      <c r="G111" s="253">
        <f t="shared" si="3"/>
        <v>24457421.336100001</v>
      </c>
      <c r="H111" s="214" t="s">
        <v>53</v>
      </c>
      <c r="I111" s="214" t="s">
        <v>189</v>
      </c>
      <c r="J111" s="250"/>
      <c r="K111" s="214"/>
      <c r="L111" s="214" t="s">
        <v>164</v>
      </c>
      <c r="M111" s="262"/>
      <c r="N111" s="214"/>
      <c r="O111" s="214"/>
    </row>
    <row r="112" spans="1:45" s="256" customFormat="1" ht="15" customHeight="1" x14ac:dyDescent="0.25">
      <c r="A112" s="252">
        <v>44462</v>
      </c>
      <c r="B112" s="214" t="s">
        <v>244</v>
      </c>
      <c r="C112" s="214" t="s">
        <v>37</v>
      </c>
      <c r="D112" s="214" t="s">
        <v>7</v>
      </c>
      <c r="E112" s="253"/>
      <c r="F112" s="267">
        <v>5000</v>
      </c>
      <c r="G112" s="253">
        <f t="shared" si="3"/>
        <v>24452421.336100001</v>
      </c>
      <c r="H112" s="214" t="s">
        <v>54</v>
      </c>
      <c r="I112" s="214" t="s">
        <v>184</v>
      </c>
      <c r="J112" s="249" t="s">
        <v>108</v>
      </c>
      <c r="K112" s="214" t="s">
        <v>284</v>
      </c>
      <c r="L112" s="214" t="s">
        <v>164</v>
      </c>
      <c r="M112" s="240" t="s">
        <v>361</v>
      </c>
      <c r="N112" s="214" t="s">
        <v>302</v>
      </c>
      <c r="O112" s="214"/>
    </row>
    <row r="113" spans="1:45" s="256" customFormat="1" ht="15" customHeight="1" x14ac:dyDescent="0.25">
      <c r="A113" s="252">
        <v>44462</v>
      </c>
      <c r="B113" s="214" t="s">
        <v>308</v>
      </c>
      <c r="C113" s="214" t="s">
        <v>233</v>
      </c>
      <c r="D113" s="214" t="s">
        <v>7</v>
      </c>
      <c r="E113" s="253"/>
      <c r="F113" s="267">
        <v>60000</v>
      </c>
      <c r="G113" s="253">
        <f t="shared" si="3"/>
        <v>24392421.336100001</v>
      </c>
      <c r="H113" s="214" t="s">
        <v>54</v>
      </c>
      <c r="I113" s="214" t="s">
        <v>184</v>
      </c>
      <c r="J113" s="249" t="s">
        <v>108</v>
      </c>
      <c r="K113" s="214" t="s">
        <v>284</v>
      </c>
      <c r="L113" s="214" t="s">
        <v>164</v>
      </c>
      <c r="M113" s="240" t="s">
        <v>362</v>
      </c>
      <c r="N113" s="214" t="s">
        <v>310</v>
      </c>
      <c r="O113" s="214"/>
    </row>
    <row r="114" spans="1:45" s="256" customFormat="1" ht="15" customHeight="1" x14ac:dyDescent="0.25">
      <c r="A114" s="252">
        <v>44462</v>
      </c>
      <c r="B114" s="214" t="s">
        <v>253</v>
      </c>
      <c r="C114" s="214" t="s">
        <v>81</v>
      </c>
      <c r="D114" s="214"/>
      <c r="E114" s="253">
        <v>10000</v>
      </c>
      <c r="F114" s="253"/>
      <c r="G114" s="253">
        <f t="shared" si="3"/>
        <v>24402421.336100001</v>
      </c>
      <c r="H114" s="214" t="s">
        <v>165</v>
      </c>
      <c r="I114" s="214" t="s">
        <v>228</v>
      </c>
      <c r="J114" s="214"/>
      <c r="K114" s="214"/>
      <c r="L114" s="214" t="s">
        <v>164</v>
      </c>
      <c r="M114" s="259"/>
      <c r="N114" s="214"/>
      <c r="O114" s="214"/>
    </row>
    <row r="115" spans="1:45" s="256" customFormat="1" ht="15" customHeight="1" x14ac:dyDescent="0.25">
      <c r="A115" s="252">
        <v>44462</v>
      </c>
      <c r="B115" s="214" t="s">
        <v>306</v>
      </c>
      <c r="C115" s="214" t="s">
        <v>233</v>
      </c>
      <c r="D115" s="214" t="s">
        <v>194</v>
      </c>
      <c r="E115" s="253"/>
      <c r="F115" s="267">
        <v>30000</v>
      </c>
      <c r="G115" s="253">
        <f t="shared" si="3"/>
        <v>24372421.336100001</v>
      </c>
      <c r="H115" s="214" t="s">
        <v>206</v>
      </c>
      <c r="I115" s="214" t="s">
        <v>184</v>
      </c>
      <c r="J115" s="214" t="s">
        <v>295</v>
      </c>
      <c r="K115" s="214" t="s">
        <v>283</v>
      </c>
      <c r="L115" s="214" t="s">
        <v>164</v>
      </c>
      <c r="M115" s="259"/>
      <c r="N115" s="214"/>
      <c r="O115" s="214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</row>
    <row r="116" spans="1:45" s="256" customFormat="1" ht="15" customHeight="1" x14ac:dyDescent="0.25">
      <c r="A116" s="252">
        <v>44463</v>
      </c>
      <c r="B116" s="214" t="s">
        <v>217</v>
      </c>
      <c r="C116" s="214" t="s">
        <v>81</v>
      </c>
      <c r="D116" s="264"/>
      <c r="E116" s="253">
        <v>1000000</v>
      </c>
      <c r="F116" s="253"/>
      <c r="G116" s="253">
        <f t="shared" si="3"/>
        <v>25372421.336100001</v>
      </c>
      <c r="H116" s="214" t="s">
        <v>28</v>
      </c>
      <c r="I116" s="258"/>
      <c r="J116" s="214"/>
      <c r="K116" s="214"/>
      <c r="L116" s="214" t="s">
        <v>164</v>
      </c>
      <c r="M116" s="259"/>
      <c r="N116" s="214"/>
      <c r="O116" s="214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</row>
    <row r="117" spans="1:45" s="256" customFormat="1" ht="15" customHeight="1" x14ac:dyDescent="0.25">
      <c r="A117" s="252">
        <v>44463</v>
      </c>
      <c r="B117" s="214" t="s">
        <v>218</v>
      </c>
      <c r="C117" s="214" t="s">
        <v>81</v>
      </c>
      <c r="D117" s="214"/>
      <c r="E117" s="253">
        <v>1000000</v>
      </c>
      <c r="F117" s="253"/>
      <c r="G117" s="253">
        <f t="shared" si="3"/>
        <v>26372421.336100001</v>
      </c>
      <c r="H117" s="214" t="s">
        <v>28</v>
      </c>
      <c r="I117" s="214"/>
      <c r="J117" s="214"/>
      <c r="K117" s="214"/>
      <c r="L117" s="214" t="s">
        <v>164</v>
      </c>
      <c r="M117" s="259"/>
      <c r="N117" s="214"/>
      <c r="O117" s="214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</row>
    <row r="118" spans="1:45" s="256" customFormat="1" ht="15" customHeight="1" x14ac:dyDescent="0.25">
      <c r="A118" s="252">
        <v>44463</v>
      </c>
      <c r="B118" s="214" t="s">
        <v>219</v>
      </c>
      <c r="C118" s="253" t="s">
        <v>2</v>
      </c>
      <c r="D118" s="214" t="s">
        <v>5</v>
      </c>
      <c r="E118" s="253"/>
      <c r="F118" s="267">
        <v>1085970</v>
      </c>
      <c r="G118" s="253">
        <f t="shared" si="3"/>
        <v>25286451.336100001</v>
      </c>
      <c r="H118" s="214" t="s">
        <v>28</v>
      </c>
      <c r="I118" s="214" t="s">
        <v>184</v>
      </c>
      <c r="J118" s="214" t="s">
        <v>295</v>
      </c>
      <c r="K118" s="214" t="s">
        <v>283</v>
      </c>
      <c r="L118" s="214" t="s">
        <v>164</v>
      </c>
      <c r="M118" s="258"/>
      <c r="N118" s="214"/>
      <c r="O118" s="214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</row>
    <row r="119" spans="1:45" s="257" customFormat="1" ht="15" customHeight="1" x14ac:dyDescent="0.25">
      <c r="A119" s="252">
        <v>44463</v>
      </c>
      <c r="B119" s="214" t="s">
        <v>220</v>
      </c>
      <c r="C119" s="214" t="s">
        <v>145</v>
      </c>
      <c r="D119" s="261" t="s">
        <v>181</v>
      </c>
      <c r="E119" s="253"/>
      <c r="F119" s="267">
        <v>89175</v>
      </c>
      <c r="G119" s="253">
        <f t="shared" si="3"/>
        <v>25197276.336100001</v>
      </c>
      <c r="H119" s="214" t="s">
        <v>28</v>
      </c>
      <c r="I119" s="214" t="s">
        <v>184</v>
      </c>
      <c r="J119" s="249" t="s">
        <v>108</v>
      </c>
      <c r="K119" s="214" t="s">
        <v>284</v>
      </c>
      <c r="L119" s="214" t="s">
        <v>164</v>
      </c>
      <c r="M119" s="240" t="s">
        <v>363</v>
      </c>
      <c r="N119" s="214" t="s">
        <v>285</v>
      </c>
      <c r="O119" s="214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</row>
    <row r="120" spans="1:45" s="257" customFormat="1" ht="15" customHeight="1" x14ac:dyDescent="0.25">
      <c r="A120" s="252">
        <v>44463</v>
      </c>
      <c r="B120" s="214" t="s">
        <v>208</v>
      </c>
      <c r="C120" s="214" t="s">
        <v>81</v>
      </c>
      <c r="D120" s="214"/>
      <c r="E120" s="253"/>
      <c r="F120" s="253">
        <v>54000</v>
      </c>
      <c r="G120" s="253">
        <f t="shared" si="3"/>
        <v>25143276.336100001</v>
      </c>
      <c r="H120" s="214" t="s">
        <v>28</v>
      </c>
      <c r="I120" s="262"/>
      <c r="J120" s="214"/>
      <c r="K120" s="214"/>
      <c r="L120" s="214" t="s">
        <v>164</v>
      </c>
      <c r="M120" s="258"/>
      <c r="N120" s="214"/>
      <c r="O120" s="214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256"/>
      <c r="AR120" s="256"/>
      <c r="AS120" s="256"/>
    </row>
    <row r="121" spans="1:45" s="257" customFormat="1" ht="15" customHeight="1" x14ac:dyDescent="0.25">
      <c r="A121" s="252">
        <v>44463</v>
      </c>
      <c r="B121" s="214" t="s">
        <v>206</v>
      </c>
      <c r="C121" s="214" t="s">
        <v>81</v>
      </c>
      <c r="D121" s="214"/>
      <c r="E121" s="253"/>
      <c r="F121" s="253">
        <v>58000</v>
      </c>
      <c r="G121" s="253">
        <f t="shared" si="3"/>
        <v>25085276.336100001</v>
      </c>
      <c r="H121" s="214" t="s">
        <v>28</v>
      </c>
      <c r="I121" s="262"/>
      <c r="J121" s="214"/>
      <c r="K121" s="214"/>
      <c r="L121" s="214" t="s">
        <v>164</v>
      </c>
      <c r="M121" s="258"/>
      <c r="N121" s="214"/>
      <c r="O121" s="214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</row>
    <row r="122" spans="1:45" s="257" customFormat="1" ht="15" customHeight="1" x14ac:dyDescent="0.25">
      <c r="A122" s="252">
        <v>44463</v>
      </c>
      <c r="B122" s="214" t="s">
        <v>214</v>
      </c>
      <c r="C122" s="214" t="s">
        <v>153</v>
      </c>
      <c r="D122" s="261" t="s">
        <v>181</v>
      </c>
      <c r="E122" s="253"/>
      <c r="F122" s="267">
        <v>3360</v>
      </c>
      <c r="G122" s="253">
        <f t="shared" si="3"/>
        <v>25081916.336100001</v>
      </c>
      <c r="H122" s="214" t="s">
        <v>28</v>
      </c>
      <c r="I122" s="214" t="s">
        <v>184</v>
      </c>
      <c r="J122" s="249" t="s">
        <v>108</v>
      </c>
      <c r="K122" s="214" t="s">
        <v>284</v>
      </c>
      <c r="L122" s="214" t="s">
        <v>164</v>
      </c>
      <c r="M122" s="240" t="s">
        <v>364</v>
      </c>
      <c r="N122" s="214" t="s">
        <v>286</v>
      </c>
      <c r="O122" s="214"/>
    </row>
    <row r="123" spans="1:45" s="256" customFormat="1" ht="15" customHeight="1" x14ac:dyDescent="0.25">
      <c r="A123" s="252">
        <v>44463</v>
      </c>
      <c r="B123" s="214" t="s">
        <v>99</v>
      </c>
      <c r="C123" s="214" t="s">
        <v>81</v>
      </c>
      <c r="D123" s="214"/>
      <c r="E123" s="253"/>
      <c r="F123" s="253">
        <v>10000</v>
      </c>
      <c r="G123" s="253">
        <f t="shared" si="3"/>
        <v>25071916.336100001</v>
      </c>
      <c r="H123" s="214" t="s">
        <v>28</v>
      </c>
      <c r="I123" s="258"/>
      <c r="J123" s="214"/>
      <c r="K123" s="214"/>
      <c r="L123" s="214" t="s">
        <v>164</v>
      </c>
      <c r="M123" s="258"/>
      <c r="N123" s="214"/>
      <c r="O123" s="214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</row>
    <row r="124" spans="1:45" s="257" customFormat="1" ht="15" customHeight="1" x14ac:dyDescent="0.25">
      <c r="A124" s="252">
        <v>44463</v>
      </c>
      <c r="B124" s="214" t="s">
        <v>235</v>
      </c>
      <c r="C124" s="214" t="s">
        <v>38</v>
      </c>
      <c r="D124" s="214" t="s">
        <v>5</v>
      </c>
      <c r="E124" s="253"/>
      <c r="F124" s="267">
        <v>25000</v>
      </c>
      <c r="G124" s="253">
        <f t="shared" si="3"/>
        <v>25046916.336100001</v>
      </c>
      <c r="H124" s="214" t="s">
        <v>53</v>
      </c>
      <c r="I124" s="214" t="s">
        <v>189</v>
      </c>
      <c r="J124" s="214" t="s">
        <v>295</v>
      </c>
      <c r="K124" s="214" t="s">
        <v>283</v>
      </c>
      <c r="L124" s="214" t="s">
        <v>164</v>
      </c>
      <c r="M124" s="214"/>
      <c r="N124" s="214"/>
      <c r="O124" s="214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</row>
    <row r="125" spans="1:45" s="256" customFormat="1" ht="15" customHeight="1" x14ac:dyDescent="0.25">
      <c r="A125" s="252">
        <v>44463</v>
      </c>
      <c r="B125" s="214" t="s">
        <v>234</v>
      </c>
      <c r="C125" s="214" t="s">
        <v>81</v>
      </c>
      <c r="D125" s="214"/>
      <c r="E125" s="253">
        <v>54000</v>
      </c>
      <c r="F125" s="253"/>
      <c r="G125" s="253">
        <f t="shared" si="3"/>
        <v>25100916.336100001</v>
      </c>
      <c r="H125" s="214" t="s">
        <v>53</v>
      </c>
      <c r="I125" s="214" t="s">
        <v>189</v>
      </c>
      <c r="J125" s="214"/>
      <c r="K125" s="214"/>
      <c r="L125" s="214" t="s">
        <v>164</v>
      </c>
      <c r="M125" s="262"/>
      <c r="N125" s="214"/>
      <c r="O125" s="214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</row>
    <row r="126" spans="1:45" s="257" customFormat="1" ht="15" customHeight="1" x14ac:dyDescent="0.25">
      <c r="A126" s="252">
        <v>44463</v>
      </c>
      <c r="B126" s="214" t="s">
        <v>245</v>
      </c>
      <c r="C126" s="214" t="s">
        <v>37</v>
      </c>
      <c r="D126" s="214" t="s">
        <v>7</v>
      </c>
      <c r="E126" s="253"/>
      <c r="F126" s="267">
        <v>10000</v>
      </c>
      <c r="G126" s="253">
        <f t="shared" si="3"/>
        <v>25090916.336100001</v>
      </c>
      <c r="H126" s="214" t="s">
        <v>54</v>
      </c>
      <c r="I126" s="214" t="s">
        <v>184</v>
      </c>
      <c r="J126" s="249" t="s">
        <v>108</v>
      </c>
      <c r="K126" s="214" t="s">
        <v>284</v>
      </c>
      <c r="L126" s="214" t="s">
        <v>164</v>
      </c>
      <c r="M126" s="240" t="s">
        <v>365</v>
      </c>
      <c r="N126" s="214" t="s">
        <v>302</v>
      </c>
      <c r="O126" s="214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</row>
    <row r="127" spans="1:45" s="257" customFormat="1" ht="15" customHeight="1" x14ac:dyDescent="0.25">
      <c r="A127" s="252">
        <v>44463</v>
      </c>
      <c r="B127" s="214" t="s">
        <v>251</v>
      </c>
      <c r="C127" s="214" t="s">
        <v>81</v>
      </c>
      <c r="D127" s="214"/>
      <c r="E127" s="253">
        <v>10000</v>
      </c>
      <c r="F127" s="253"/>
      <c r="G127" s="253">
        <f t="shared" si="3"/>
        <v>25100916.336100001</v>
      </c>
      <c r="H127" s="214" t="s">
        <v>99</v>
      </c>
      <c r="I127" s="214"/>
      <c r="J127" s="214"/>
      <c r="K127" s="214"/>
      <c r="L127" s="214" t="s">
        <v>164</v>
      </c>
      <c r="M127" s="262"/>
      <c r="N127" s="214"/>
      <c r="O127" s="214"/>
    </row>
    <row r="128" spans="1:45" s="257" customFormat="1" ht="15" customHeight="1" x14ac:dyDescent="0.25">
      <c r="A128" s="252">
        <v>44463</v>
      </c>
      <c r="B128" s="214" t="s">
        <v>253</v>
      </c>
      <c r="C128" s="214" t="s">
        <v>81</v>
      </c>
      <c r="D128" s="214"/>
      <c r="E128" s="253">
        <v>69000</v>
      </c>
      <c r="F128" s="253"/>
      <c r="G128" s="253">
        <f t="shared" si="3"/>
        <v>25169916.336100001</v>
      </c>
      <c r="H128" s="214" t="s">
        <v>206</v>
      </c>
      <c r="I128" s="214" t="s">
        <v>228</v>
      </c>
      <c r="J128" s="214"/>
      <c r="K128" s="214"/>
      <c r="L128" s="214" t="s">
        <v>164</v>
      </c>
      <c r="M128" s="259"/>
      <c r="N128" s="214"/>
      <c r="O128" s="214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</row>
    <row r="129" spans="1:45" s="265" customFormat="1" ht="15" customHeight="1" x14ac:dyDescent="0.25">
      <c r="A129" s="252">
        <v>44463</v>
      </c>
      <c r="B129" s="264" t="s">
        <v>273</v>
      </c>
      <c r="C129" s="253" t="s">
        <v>81</v>
      </c>
      <c r="D129" s="253"/>
      <c r="E129" s="258"/>
      <c r="F129" s="214">
        <v>1000000</v>
      </c>
      <c r="G129" s="253">
        <f t="shared" si="3"/>
        <v>24169916.336100001</v>
      </c>
      <c r="H129" s="240" t="s">
        <v>280</v>
      </c>
      <c r="I129" s="214">
        <v>3643528</v>
      </c>
      <c r="J129" s="258"/>
      <c r="K129" s="258"/>
      <c r="L129" s="214" t="s">
        <v>164</v>
      </c>
      <c r="M129" s="259"/>
      <c r="N129" s="214"/>
      <c r="O129" s="214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</row>
    <row r="130" spans="1:45" s="257" customFormat="1" ht="15" customHeight="1" x14ac:dyDescent="0.25">
      <c r="A130" s="252">
        <v>44463</v>
      </c>
      <c r="B130" s="264" t="s">
        <v>274</v>
      </c>
      <c r="C130" s="253" t="s">
        <v>81</v>
      </c>
      <c r="D130" s="253"/>
      <c r="E130" s="258"/>
      <c r="F130" s="262">
        <v>1000000</v>
      </c>
      <c r="G130" s="253">
        <f t="shared" si="3"/>
        <v>23169916.336100001</v>
      </c>
      <c r="H130" s="240" t="s">
        <v>280</v>
      </c>
      <c r="I130" s="214">
        <v>3643529</v>
      </c>
      <c r="J130" s="258"/>
      <c r="K130" s="258"/>
      <c r="L130" s="214" t="s">
        <v>164</v>
      </c>
      <c r="M130" s="259"/>
      <c r="N130" s="214"/>
      <c r="O130" s="214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256"/>
      <c r="AR130" s="256"/>
      <c r="AS130" s="256"/>
    </row>
    <row r="131" spans="1:45" s="257" customFormat="1" ht="15" customHeight="1" x14ac:dyDescent="0.25">
      <c r="A131" s="252">
        <v>44464</v>
      </c>
      <c r="B131" s="251" t="s">
        <v>309</v>
      </c>
      <c r="C131" s="214" t="s">
        <v>233</v>
      </c>
      <c r="D131" s="214" t="s">
        <v>7</v>
      </c>
      <c r="E131" s="253"/>
      <c r="F131" s="267">
        <v>30000</v>
      </c>
      <c r="G131" s="253">
        <f t="shared" si="3"/>
        <v>23139916.336100001</v>
      </c>
      <c r="H131" s="214" t="s">
        <v>54</v>
      </c>
      <c r="I131" s="214" t="s">
        <v>184</v>
      </c>
      <c r="J131" s="249" t="s">
        <v>108</v>
      </c>
      <c r="K131" s="214" t="s">
        <v>284</v>
      </c>
      <c r="L131" s="214" t="s">
        <v>164</v>
      </c>
      <c r="M131" s="240" t="s">
        <v>366</v>
      </c>
      <c r="N131" s="214" t="s">
        <v>310</v>
      </c>
      <c r="O131" s="214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56"/>
      <c r="AO131" s="256"/>
      <c r="AP131" s="256"/>
      <c r="AQ131" s="256"/>
      <c r="AR131" s="256"/>
      <c r="AS131" s="256"/>
    </row>
    <row r="132" spans="1:45" s="256" customFormat="1" ht="15.75" customHeight="1" x14ac:dyDescent="0.25">
      <c r="A132" s="252">
        <v>44464</v>
      </c>
      <c r="B132" s="214" t="s">
        <v>253</v>
      </c>
      <c r="C132" s="214" t="s">
        <v>81</v>
      </c>
      <c r="D132" s="214"/>
      <c r="E132" s="253">
        <v>58000</v>
      </c>
      <c r="F132" s="253"/>
      <c r="G132" s="253">
        <f t="shared" si="3"/>
        <v>23197916.336100001</v>
      </c>
      <c r="H132" s="214" t="s">
        <v>206</v>
      </c>
      <c r="I132" s="214" t="s">
        <v>228</v>
      </c>
      <c r="J132" s="214"/>
      <c r="K132" s="214"/>
      <c r="L132" s="214" t="s">
        <v>164</v>
      </c>
      <c r="M132" s="214"/>
      <c r="N132" s="214"/>
      <c r="O132" s="214"/>
    </row>
    <row r="133" spans="1:45" s="256" customFormat="1" ht="15" customHeight="1" x14ac:dyDescent="0.25">
      <c r="A133" s="252">
        <v>44466</v>
      </c>
      <c r="B133" s="214" t="s">
        <v>206</v>
      </c>
      <c r="C133" s="214" t="s">
        <v>81</v>
      </c>
      <c r="D133" s="214"/>
      <c r="E133" s="253"/>
      <c r="F133" s="253">
        <v>64000</v>
      </c>
      <c r="G133" s="253">
        <f t="shared" si="3"/>
        <v>23133916.336100001</v>
      </c>
      <c r="H133" s="214" t="s">
        <v>28</v>
      </c>
      <c r="I133" s="214"/>
      <c r="J133" s="214"/>
      <c r="K133" s="214"/>
      <c r="L133" s="214" t="s">
        <v>164</v>
      </c>
      <c r="M133" s="259"/>
      <c r="N133" s="214"/>
      <c r="O133" s="214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257"/>
      <c r="AR133" s="257"/>
      <c r="AS133" s="257"/>
    </row>
    <row r="134" spans="1:45" s="256" customFormat="1" ht="15" customHeight="1" x14ac:dyDescent="0.25">
      <c r="A134" s="252">
        <v>44466</v>
      </c>
      <c r="B134" s="214" t="s">
        <v>208</v>
      </c>
      <c r="C134" s="214" t="s">
        <v>81</v>
      </c>
      <c r="D134" s="264"/>
      <c r="E134" s="253"/>
      <c r="F134" s="253">
        <v>56000</v>
      </c>
      <c r="G134" s="253">
        <f t="shared" si="3"/>
        <v>23077916.336100001</v>
      </c>
      <c r="H134" s="214" t="s">
        <v>28</v>
      </c>
      <c r="I134" s="259"/>
      <c r="J134" s="214"/>
      <c r="K134" s="214"/>
      <c r="L134" s="214" t="s">
        <v>164</v>
      </c>
      <c r="M134" s="258"/>
      <c r="N134" s="214"/>
      <c r="O134" s="214"/>
    </row>
    <row r="135" spans="1:45" s="256" customFormat="1" ht="15" customHeight="1" x14ac:dyDescent="0.25">
      <c r="A135" s="252">
        <v>44466</v>
      </c>
      <c r="B135" s="214" t="s">
        <v>214</v>
      </c>
      <c r="C135" s="214" t="s">
        <v>153</v>
      </c>
      <c r="D135" s="261" t="s">
        <v>181</v>
      </c>
      <c r="E135" s="253"/>
      <c r="F135" s="267">
        <v>4920</v>
      </c>
      <c r="G135" s="253">
        <f t="shared" si="3"/>
        <v>23072996.336100001</v>
      </c>
      <c r="H135" s="214" t="s">
        <v>28</v>
      </c>
      <c r="I135" s="214" t="s">
        <v>184</v>
      </c>
      <c r="J135" s="249" t="s">
        <v>108</v>
      </c>
      <c r="K135" s="214" t="s">
        <v>284</v>
      </c>
      <c r="L135" s="214" t="s">
        <v>164</v>
      </c>
      <c r="M135" s="240" t="s">
        <v>367</v>
      </c>
      <c r="N135" s="214" t="s">
        <v>286</v>
      </c>
      <c r="O135" s="214"/>
    </row>
    <row r="136" spans="1:45" s="257" customFormat="1" ht="15" customHeight="1" x14ac:dyDescent="0.25">
      <c r="A136" s="252">
        <v>44466</v>
      </c>
      <c r="B136" s="214" t="s">
        <v>221</v>
      </c>
      <c r="C136" s="214" t="s">
        <v>154</v>
      </c>
      <c r="D136" s="214" t="s">
        <v>194</v>
      </c>
      <c r="E136" s="253"/>
      <c r="F136" s="267">
        <v>76000</v>
      </c>
      <c r="G136" s="253">
        <f t="shared" si="3"/>
        <v>22996996.336100001</v>
      </c>
      <c r="H136" s="214" t="s">
        <v>28</v>
      </c>
      <c r="I136" s="214" t="s">
        <v>184</v>
      </c>
      <c r="J136" s="249" t="s">
        <v>108</v>
      </c>
      <c r="K136" s="214" t="s">
        <v>284</v>
      </c>
      <c r="L136" s="214" t="s">
        <v>164</v>
      </c>
      <c r="M136" s="240" t="s">
        <v>368</v>
      </c>
      <c r="N136" s="214" t="s">
        <v>288</v>
      </c>
      <c r="O136" s="214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  <c r="AO136" s="256"/>
      <c r="AP136" s="256"/>
      <c r="AQ136" s="256"/>
      <c r="AR136" s="256"/>
      <c r="AS136" s="256"/>
    </row>
    <row r="137" spans="1:45" s="257" customFormat="1" ht="15" customHeight="1" x14ac:dyDescent="0.25">
      <c r="A137" s="252">
        <v>44466</v>
      </c>
      <c r="B137" s="214" t="s">
        <v>222</v>
      </c>
      <c r="C137" s="214" t="s">
        <v>38</v>
      </c>
      <c r="D137" s="261" t="s">
        <v>181</v>
      </c>
      <c r="E137" s="253"/>
      <c r="F137" s="267">
        <v>34200</v>
      </c>
      <c r="G137" s="253">
        <f t="shared" si="3"/>
        <v>22962796.336100001</v>
      </c>
      <c r="H137" s="214" t="s">
        <v>28</v>
      </c>
      <c r="I137" s="214" t="s">
        <v>184</v>
      </c>
      <c r="J137" s="249" t="s">
        <v>108</v>
      </c>
      <c r="K137" s="214" t="s">
        <v>284</v>
      </c>
      <c r="L137" s="214" t="s">
        <v>164</v>
      </c>
      <c r="M137" s="240" t="s">
        <v>369</v>
      </c>
      <c r="N137" s="214" t="s">
        <v>289</v>
      </c>
      <c r="O137" s="214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  <c r="AM137" s="256"/>
      <c r="AN137" s="256"/>
      <c r="AO137" s="256"/>
      <c r="AP137" s="256"/>
      <c r="AQ137" s="256"/>
      <c r="AR137" s="256"/>
      <c r="AS137" s="256"/>
    </row>
    <row r="138" spans="1:45" s="257" customFormat="1" ht="15" customHeight="1" x14ac:dyDescent="0.25">
      <c r="A138" s="252">
        <v>44466</v>
      </c>
      <c r="B138" s="214" t="s">
        <v>253</v>
      </c>
      <c r="C138" s="214" t="s">
        <v>81</v>
      </c>
      <c r="D138" s="214"/>
      <c r="E138" s="253">
        <v>64000</v>
      </c>
      <c r="F138" s="253"/>
      <c r="G138" s="253">
        <f t="shared" si="3"/>
        <v>23026796.336100001</v>
      </c>
      <c r="H138" s="214" t="s">
        <v>206</v>
      </c>
      <c r="I138" s="214" t="s">
        <v>228</v>
      </c>
      <c r="J138" s="214"/>
      <c r="K138" s="214"/>
      <c r="L138" s="214" t="s">
        <v>164</v>
      </c>
      <c r="M138" s="214"/>
      <c r="N138" s="214"/>
      <c r="O138" s="214"/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256"/>
      <c r="AH138" s="256"/>
      <c r="AI138" s="256"/>
      <c r="AJ138" s="256"/>
      <c r="AK138" s="256"/>
      <c r="AL138" s="256"/>
      <c r="AM138" s="256"/>
      <c r="AN138" s="256"/>
      <c r="AO138" s="256"/>
      <c r="AP138" s="256"/>
      <c r="AQ138" s="256"/>
      <c r="AR138" s="256"/>
      <c r="AS138" s="256"/>
    </row>
    <row r="139" spans="1:45" s="256" customFormat="1" ht="15" customHeight="1" x14ac:dyDescent="0.25">
      <c r="A139" s="252">
        <v>44466</v>
      </c>
      <c r="B139" s="214" t="s">
        <v>275</v>
      </c>
      <c r="C139" s="253" t="s">
        <v>2</v>
      </c>
      <c r="D139" s="214" t="s">
        <v>241</v>
      </c>
      <c r="E139" s="258"/>
      <c r="F139" s="208">
        <v>233039</v>
      </c>
      <c r="G139" s="253">
        <f t="shared" si="3"/>
        <v>22793757.336100001</v>
      </c>
      <c r="H139" s="240" t="s">
        <v>280</v>
      </c>
      <c r="I139" s="214">
        <v>3643532</v>
      </c>
      <c r="J139" s="249" t="s">
        <v>108</v>
      </c>
      <c r="K139" s="240" t="s">
        <v>284</v>
      </c>
      <c r="L139" s="214" t="s">
        <v>164</v>
      </c>
      <c r="M139" s="240" t="s">
        <v>370</v>
      </c>
      <c r="N139" s="214" t="s">
        <v>292</v>
      </c>
      <c r="O139" s="214"/>
    </row>
    <row r="140" spans="1:45" s="256" customFormat="1" ht="15" customHeight="1" x14ac:dyDescent="0.25">
      <c r="A140" s="252">
        <v>44466</v>
      </c>
      <c r="B140" s="214" t="s">
        <v>276</v>
      </c>
      <c r="C140" s="253" t="s">
        <v>2</v>
      </c>
      <c r="D140" s="253" t="s">
        <v>5</v>
      </c>
      <c r="E140" s="258"/>
      <c r="F140" s="208">
        <v>275000</v>
      </c>
      <c r="G140" s="253">
        <f t="shared" si="3"/>
        <v>22518757.336100001</v>
      </c>
      <c r="H140" s="240" t="s">
        <v>280</v>
      </c>
      <c r="I140" s="214">
        <v>3643533</v>
      </c>
      <c r="J140" s="249" t="s">
        <v>108</v>
      </c>
      <c r="K140" s="240" t="s">
        <v>284</v>
      </c>
      <c r="L140" s="214" t="s">
        <v>164</v>
      </c>
      <c r="M140" s="240" t="s">
        <v>371</v>
      </c>
      <c r="N140" s="214" t="s">
        <v>293</v>
      </c>
      <c r="O140" s="214"/>
    </row>
    <row r="141" spans="1:45" s="256" customFormat="1" ht="15" customHeight="1" x14ac:dyDescent="0.25">
      <c r="A141" s="252">
        <v>44466</v>
      </c>
      <c r="B141" s="214" t="s">
        <v>277</v>
      </c>
      <c r="C141" s="253" t="s">
        <v>2</v>
      </c>
      <c r="D141" s="253" t="s">
        <v>5</v>
      </c>
      <c r="E141" s="258"/>
      <c r="F141" s="208">
        <v>1311914</v>
      </c>
      <c r="G141" s="253">
        <f t="shared" ref="G141:G172" si="4">+G140+E141-F141</f>
        <v>21206843.336100001</v>
      </c>
      <c r="H141" s="240" t="s">
        <v>280</v>
      </c>
      <c r="I141" s="214">
        <v>3643534</v>
      </c>
      <c r="J141" s="249" t="s">
        <v>108</v>
      </c>
      <c r="K141" s="240" t="s">
        <v>284</v>
      </c>
      <c r="L141" s="214" t="s">
        <v>164</v>
      </c>
      <c r="M141" s="240" t="s">
        <v>372</v>
      </c>
      <c r="N141" s="214" t="s">
        <v>291</v>
      </c>
      <c r="O141" s="214"/>
    </row>
    <row r="142" spans="1:45" s="256" customFormat="1" ht="15" customHeight="1" x14ac:dyDescent="0.25">
      <c r="A142" s="252">
        <v>44466</v>
      </c>
      <c r="B142" s="214" t="s">
        <v>278</v>
      </c>
      <c r="C142" s="253" t="s">
        <v>2</v>
      </c>
      <c r="D142" s="214" t="s">
        <v>7</v>
      </c>
      <c r="E142" s="259"/>
      <c r="F142" s="208">
        <v>400000</v>
      </c>
      <c r="G142" s="253">
        <f t="shared" si="4"/>
        <v>20806843.336100001</v>
      </c>
      <c r="H142" s="240" t="s">
        <v>280</v>
      </c>
      <c r="I142" s="214">
        <v>3643531</v>
      </c>
      <c r="J142" s="249" t="s">
        <v>108</v>
      </c>
      <c r="K142" s="240" t="s">
        <v>284</v>
      </c>
      <c r="L142" s="214" t="s">
        <v>164</v>
      </c>
      <c r="M142" s="240" t="s">
        <v>373</v>
      </c>
      <c r="N142" s="214" t="s">
        <v>294</v>
      </c>
      <c r="O142" s="214"/>
    </row>
    <row r="143" spans="1:45" s="256" customFormat="1" ht="15" customHeight="1" x14ac:dyDescent="0.25">
      <c r="A143" s="252">
        <v>44467</v>
      </c>
      <c r="B143" s="214" t="s">
        <v>223</v>
      </c>
      <c r="C143" s="214" t="s">
        <v>152</v>
      </c>
      <c r="D143" s="214" t="s">
        <v>5</v>
      </c>
      <c r="E143" s="253"/>
      <c r="F143" s="267">
        <v>634950</v>
      </c>
      <c r="G143" s="253">
        <f t="shared" si="4"/>
        <v>20171893.336100001</v>
      </c>
      <c r="H143" s="214" t="s">
        <v>28</v>
      </c>
      <c r="I143" s="214" t="s">
        <v>184</v>
      </c>
      <c r="J143" s="249" t="s">
        <v>295</v>
      </c>
      <c r="K143" s="214" t="s">
        <v>283</v>
      </c>
      <c r="L143" s="214" t="s">
        <v>164</v>
      </c>
      <c r="M143" s="259"/>
      <c r="N143" s="214"/>
      <c r="O143" s="214"/>
    </row>
    <row r="144" spans="1:45" s="256" customFormat="1" ht="15" customHeight="1" x14ac:dyDescent="0.25">
      <c r="A144" s="252">
        <v>44467</v>
      </c>
      <c r="B144" s="214" t="s">
        <v>179</v>
      </c>
      <c r="C144" s="214" t="s">
        <v>81</v>
      </c>
      <c r="D144" s="264"/>
      <c r="E144" s="253"/>
      <c r="F144" s="253">
        <v>10000</v>
      </c>
      <c r="G144" s="253">
        <f t="shared" si="4"/>
        <v>20161893.336100001</v>
      </c>
      <c r="H144" s="214" t="s">
        <v>28</v>
      </c>
      <c r="I144" s="259"/>
      <c r="J144" s="214"/>
      <c r="K144" s="214"/>
      <c r="L144" s="214" t="s">
        <v>164</v>
      </c>
      <c r="M144" s="259"/>
      <c r="N144" s="214"/>
      <c r="O144" s="214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257"/>
      <c r="AE144" s="257"/>
      <c r="AF144" s="257"/>
      <c r="AG144" s="257"/>
      <c r="AH144" s="257"/>
      <c r="AI144" s="257"/>
      <c r="AJ144" s="257"/>
      <c r="AK144" s="257"/>
      <c r="AL144" s="257"/>
      <c r="AM144" s="257"/>
      <c r="AN144" s="257"/>
      <c r="AO144" s="257"/>
      <c r="AP144" s="257"/>
      <c r="AQ144" s="257"/>
      <c r="AR144" s="257"/>
      <c r="AS144" s="257"/>
    </row>
    <row r="145" spans="1:45" s="256" customFormat="1" ht="15" customHeight="1" x14ac:dyDescent="0.25">
      <c r="A145" s="252">
        <v>44467</v>
      </c>
      <c r="B145" s="214" t="s">
        <v>224</v>
      </c>
      <c r="C145" s="214" t="s">
        <v>81</v>
      </c>
      <c r="D145" s="264"/>
      <c r="E145" s="253">
        <v>2000000</v>
      </c>
      <c r="F145" s="253"/>
      <c r="G145" s="253">
        <f t="shared" si="4"/>
        <v>22161893.336100001</v>
      </c>
      <c r="H145" s="214" t="s">
        <v>28</v>
      </c>
      <c r="I145" s="262"/>
      <c r="J145" s="214"/>
      <c r="K145" s="214"/>
      <c r="L145" s="214" t="s">
        <v>164</v>
      </c>
      <c r="M145" s="259"/>
      <c r="N145" s="214"/>
      <c r="O145" s="214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257"/>
      <c r="AI145" s="257"/>
      <c r="AJ145" s="257"/>
      <c r="AK145" s="257"/>
      <c r="AL145" s="257"/>
      <c r="AM145" s="257"/>
      <c r="AN145" s="257"/>
      <c r="AO145" s="257"/>
      <c r="AP145" s="257"/>
      <c r="AQ145" s="257"/>
      <c r="AR145" s="257"/>
      <c r="AS145" s="257"/>
    </row>
    <row r="146" spans="1:45" s="256" customFormat="1" ht="15" customHeight="1" x14ac:dyDescent="0.25">
      <c r="A146" s="252">
        <v>44467</v>
      </c>
      <c r="B146" s="214" t="s">
        <v>234</v>
      </c>
      <c r="C146" s="214" t="s">
        <v>81</v>
      </c>
      <c r="D146" s="214"/>
      <c r="E146" s="253">
        <v>56000</v>
      </c>
      <c r="F146" s="253"/>
      <c r="G146" s="253">
        <f t="shared" si="4"/>
        <v>22217893.336100001</v>
      </c>
      <c r="H146" s="214" t="s">
        <v>53</v>
      </c>
      <c r="I146" s="214" t="s">
        <v>189</v>
      </c>
      <c r="J146" s="214"/>
      <c r="K146" s="214"/>
      <c r="L146" s="214" t="s">
        <v>164</v>
      </c>
      <c r="M146" s="262"/>
      <c r="N146" s="214"/>
      <c r="O146" s="214"/>
    </row>
    <row r="147" spans="1:45" s="256" customFormat="1" ht="15" customHeight="1" x14ac:dyDescent="0.25">
      <c r="A147" s="252">
        <v>44467</v>
      </c>
      <c r="B147" s="214" t="s">
        <v>253</v>
      </c>
      <c r="C147" s="214" t="s">
        <v>81</v>
      </c>
      <c r="D147" s="214"/>
      <c r="E147" s="253">
        <v>10000</v>
      </c>
      <c r="F147" s="253"/>
      <c r="G147" s="253">
        <f t="shared" si="4"/>
        <v>22227893.336100001</v>
      </c>
      <c r="H147" s="214" t="s">
        <v>166</v>
      </c>
      <c r="I147" s="214" t="s">
        <v>228</v>
      </c>
      <c r="J147" s="250"/>
      <c r="K147" s="214"/>
      <c r="L147" s="214" t="s">
        <v>164</v>
      </c>
      <c r="M147" s="262"/>
      <c r="N147" s="214"/>
      <c r="O147" s="214"/>
    </row>
    <row r="148" spans="1:45" s="256" customFormat="1" ht="15" customHeight="1" x14ac:dyDescent="0.25">
      <c r="A148" s="252">
        <v>44467</v>
      </c>
      <c r="B148" s="214" t="s">
        <v>279</v>
      </c>
      <c r="C148" s="214" t="s">
        <v>81</v>
      </c>
      <c r="D148" s="253"/>
      <c r="E148" s="258"/>
      <c r="F148" s="214">
        <v>2000000</v>
      </c>
      <c r="G148" s="253">
        <f t="shared" si="4"/>
        <v>20227893.336100001</v>
      </c>
      <c r="H148" s="240" t="s">
        <v>280</v>
      </c>
      <c r="I148" s="214">
        <v>3643535</v>
      </c>
      <c r="J148" s="258"/>
      <c r="K148" s="258"/>
      <c r="L148" s="214" t="s">
        <v>164</v>
      </c>
      <c r="M148" s="262"/>
      <c r="N148" s="214"/>
      <c r="O148" s="214"/>
    </row>
    <row r="149" spans="1:45" s="256" customFormat="1" ht="15" customHeight="1" x14ac:dyDescent="0.25">
      <c r="A149" s="252">
        <v>44468</v>
      </c>
      <c r="B149" s="214" t="s">
        <v>322</v>
      </c>
      <c r="C149" s="214" t="s">
        <v>390</v>
      </c>
      <c r="D149" s="261" t="s">
        <v>241</v>
      </c>
      <c r="E149" s="253"/>
      <c r="F149" s="267">
        <v>5000</v>
      </c>
      <c r="G149" s="253">
        <f t="shared" si="4"/>
        <v>20222893.336100001</v>
      </c>
      <c r="H149" s="214" t="s">
        <v>28</v>
      </c>
      <c r="I149" s="214" t="s">
        <v>184</v>
      </c>
      <c r="J149" s="249" t="s">
        <v>108</v>
      </c>
      <c r="K149" s="214" t="s">
        <v>284</v>
      </c>
      <c r="L149" s="214" t="s">
        <v>164</v>
      </c>
      <c r="M149" s="240" t="s">
        <v>374</v>
      </c>
      <c r="N149" s="214" t="s">
        <v>319</v>
      </c>
      <c r="O149" s="214"/>
    </row>
    <row r="150" spans="1:45" s="257" customFormat="1" ht="15" customHeight="1" x14ac:dyDescent="0.25">
      <c r="A150" s="252">
        <v>44468</v>
      </c>
      <c r="B150" s="214" t="s">
        <v>323</v>
      </c>
      <c r="C150" s="214" t="s">
        <v>390</v>
      </c>
      <c r="D150" s="261" t="s">
        <v>7</v>
      </c>
      <c r="E150" s="253"/>
      <c r="F150" s="267">
        <v>10000</v>
      </c>
      <c r="G150" s="253">
        <f t="shared" si="4"/>
        <v>20212893.336100001</v>
      </c>
      <c r="H150" s="214" t="s">
        <v>28</v>
      </c>
      <c r="I150" s="214" t="s">
        <v>184</v>
      </c>
      <c r="J150" s="249" t="s">
        <v>108</v>
      </c>
      <c r="K150" s="214" t="s">
        <v>284</v>
      </c>
      <c r="L150" s="214" t="s">
        <v>164</v>
      </c>
      <c r="M150" s="240" t="s">
        <v>375</v>
      </c>
      <c r="N150" s="214" t="s">
        <v>319</v>
      </c>
      <c r="O150" s="214"/>
    </row>
    <row r="151" spans="1:45" s="257" customFormat="1" ht="15" customHeight="1" x14ac:dyDescent="0.25">
      <c r="A151" s="252">
        <v>44468</v>
      </c>
      <c r="B151" s="214" t="s">
        <v>324</v>
      </c>
      <c r="C151" s="214" t="s">
        <v>390</v>
      </c>
      <c r="D151" s="261" t="s">
        <v>194</v>
      </c>
      <c r="E151" s="253"/>
      <c r="F151" s="267">
        <v>42000</v>
      </c>
      <c r="G151" s="253">
        <f t="shared" si="4"/>
        <v>20170893.336100001</v>
      </c>
      <c r="H151" s="214" t="s">
        <v>28</v>
      </c>
      <c r="I151" s="214" t="s">
        <v>184</v>
      </c>
      <c r="J151" s="249" t="s">
        <v>295</v>
      </c>
      <c r="K151" s="214" t="s">
        <v>283</v>
      </c>
      <c r="L151" s="214" t="s">
        <v>164</v>
      </c>
      <c r="M151" s="258"/>
      <c r="N151" s="214"/>
      <c r="O151" s="214"/>
    </row>
    <row r="152" spans="1:45" s="257" customFormat="1" ht="15" customHeight="1" x14ac:dyDescent="0.25">
      <c r="A152" s="252">
        <v>44468</v>
      </c>
      <c r="B152" s="214" t="s">
        <v>325</v>
      </c>
      <c r="C152" s="214" t="s">
        <v>390</v>
      </c>
      <c r="D152" s="261" t="s">
        <v>194</v>
      </c>
      <c r="E152" s="253"/>
      <c r="F152" s="267">
        <v>16000</v>
      </c>
      <c r="G152" s="253">
        <f t="shared" si="4"/>
        <v>20154893.336100001</v>
      </c>
      <c r="H152" s="214" t="s">
        <v>28</v>
      </c>
      <c r="I152" s="214" t="s">
        <v>184</v>
      </c>
      <c r="J152" s="249" t="s">
        <v>108</v>
      </c>
      <c r="K152" s="214" t="s">
        <v>284</v>
      </c>
      <c r="L152" s="214" t="s">
        <v>164</v>
      </c>
      <c r="M152" s="240" t="s">
        <v>376</v>
      </c>
      <c r="N152" s="214" t="s">
        <v>319</v>
      </c>
      <c r="O152" s="214"/>
    </row>
    <row r="153" spans="1:45" s="257" customFormat="1" ht="15" customHeight="1" x14ac:dyDescent="0.25">
      <c r="A153" s="252">
        <v>44468</v>
      </c>
      <c r="B153" s="214" t="s">
        <v>326</v>
      </c>
      <c r="C153" s="214" t="s">
        <v>390</v>
      </c>
      <c r="D153" s="261" t="s">
        <v>5</v>
      </c>
      <c r="E153" s="253"/>
      <c r="F153" s="267">
        <v>52000</v>
      </c>
      <c r="G153" s="253">
        <f t="shared" si="4"/>
        <v>20102893.336100001</v>
      </c>
      <c r="H153" s="214" t="s">
        <v>28</v>
      </c>
      <c r="I153" s="214" t="s">
        <v>184</v>
      </c>
      <c r="J153" s="249" t="s">
        <v>108</v>
      </c>
      <c r="K153" s="214" t="s">
        <v>284</v>
      </c>
      <c r="L153" s="214" t="s">
        <v>164</v>
      </c>
      <c r="M153" s="240" t="s">
        <v>377</v>
      </c>
      <c r="N153" s="214" t="s">
        <v>319</v>
      </c>
      <c r="O153" s="214"/>
    </row>
    <row r="154" spans="1:45" s="257" customFormat="1" ht="15" customHeight="1" x14ac:dyDescent="0.25">
      <c r="A154" s="252">
        <v>44468</v>
      </c>
      <c r="B154" s="214" t="s">
        <v>327</v>
      </c>
      <c r="C154" s="214" t="s">
        <v>390</v>
      </c>
      <c r="D154" s="261" t="s">
        <v>5</v>
      </c>
      <c r="E154" s="253"/>
      <c r="F154" s="267">
        <v>11000</v>
      </c>
      <c r="G154" s="253">
        <f t="shared" si="4"/>
        <v>20091893.336100001</v>
      </c>
      <c r="H154" s="214" t="s">
        <v>28</v>
      </c>
      <c r="I154" s="214" t="s">
        <v>184</v>
      </c>
      <c r="J154" s="249" t="s">
        <v>108</v>
      </c>
      <c r="K154" s="214" t="s">
        <v>284</v>
      </c>
      <c r="L154" s="214" t="s">
        <v>164</v>
      </c>
      <c r="M154" s="240" t="s">
        <v>378</v>
      </c>
      <c r="N154" s="214" t="s">
        <v>319</v>
      </c>
      <c r="O154" s="214"/>
    </row>
    <row r="155" spans="1:45" s="257" customFormat="1" ht="15" customHeight="1" x14ac:dyDescent="0.25">
      <c r="A155" s="252">
        <v>44468</v>
      </c>
      <c r="B155" s="214" t="s">
        <v>328</v>
      </c>
      <c r="C155" s="214" t="s">
        <v>390</v>
      </c>
      <c r="D155" s="261" t="s">
        <v>194</v>
      </c>
      <c r="E155" s="253"/>
      <c r="F155" s="267">
        <v>5000</v>
      </c>
      <c r="G155" s="253">
        <f t="shared" si="4"/>
        <v>20086893.336100001</v>
      </c>
      <c r="H155" s="214" t="s">
        <v>28</v>
      </c>
      <c r="I155" s="214" t="s">
        <v>184</v>
      </c>
      <c r="J155" s="249" t="s">
        <v>108</v>
      </c>
      <c r="K155" s="214" t="s">
        <v>284</v>
      </c>
      <c r="L155" s="214" t="s">
        <v>164</v>
      </c>
      <c r="M155" s="240" t="s">
        <v>379</v>
      </c>
      <c r="N155" s="214" t="s">
        <v>319</v>
      </c>
      <c r="O155" s="214"/>
    </row>
    <row r="156" spans="1:45" s="257" customFormat="1" ht="15" customHeight="1" x14ac:dyDescent="0.25">
      <c r="A156" s="252">
        <v>44468</v>
      </c>
      <c r="B156" s="214" t="s">
        <v>329</v>
      </c>
      <c r="C156" s="214" t="s">
        <v>390</v>
      </c>
      <c r="D156" s="261" t="s">
        <v>7</v>
      </c>
      <c r="E156" s="253"/>
      <c r="F156" s="267">
        <v>16000</v>
      </c>
      <c r="G156" s="253">
        <f t="shared" si="4"/>
        <v>20070893.336100001</v>
      </c>
      <c r="H156" s="214" t="s">
        <v>28</v>
      </c>
      <c r="I156" s="214" t="s">
        <v>184</v>
      </c>
      <c r="J156" s="249" t="s">
        <v>108</v>
      </c>
      <c r="K156" s="214" t="s">
        <v>284</v>
      </c>
      <c r="L156" s="214" t="s">
        <v>164</v>
      </c>
      <c r="M156" s="240" t="s">
        <v>380</v>
      </c>
      <c r="N156" s="214" t="s">
        <v>319</v>
      </c>
      <c r="O156" s="214"/>
    </row>
    <row r="157" spans="1:45" s="257" customFormat="1" ht="15" customHeight="1" x14ac:dyDescent="0.25">
      <c r="A157" s="252">
        <v>44468</v>
      </c>
      <c r="B157" s="214" t="s">
        <v>330</v>
      </c>
      <c r="C157" s="214" t="s">
        <v>390</v>
      </c>
      <c r="D157" s="261" t="s">
        <v>241</v>
      </c>
      <c r="E157" s="253"/>
      <c r="F157" s="267">
        <v>11000</v>
      </c>
      <c r="G157" s="253">
        <f t="shared" si="4"/>
        <v>20059893.336100001</v>
      </c>
      <c r="H157" s="214" t="s">
        <v>28</v>
      </c>
      <c r="I157" s="214" t="s">
        <v>184</v>
      </c>
      <c r="J157" s="249" t="s">
        <v>108</v>
      </c>
      <c r="K157" s="214" t="s">
        <v>284</v>
      </c>
      <c r="L157" s="214" t="s">
        <v>164</v>
      </c>
      <c r="M157" s="240" t="s">
        <v>381</v>
      </c>
      <c r="N157" s="214" t="s">
        <v>319</v>
      </c>
      <c r="O157" s="214"/>
    </row>
    <row r="158" spans="1:45" s="257" customFormat="1" ht="15" customHeight="1" x14ac:dyDescent="0.25">
      <c r="A158" s="252">
        <v>44468</v>
      </c>
      <c r="B158" s="214" t="s">
        <v>225</v>
      </c>
      <c r="C158" s="214" t="s">
        <v>6</v>
      </c>
      <c r="D158" s="261" t="s">
        <v>181</v>
      </c>
      <c r="E158" s="253"/>
      <c r="F158" s="267">
        <v>75625</v>
      </c>
      <c r="G158" s="253">
        <f t="shared" si="4"/>
        <v>19984268.336100001</v>
      </c>
      <c r="H158" s="214" t="s">
        <v>28</v>
      </c>
      <c r="I158" s="214" t="s">
        <v>184</v>
      </c>
      <c r="J158" s="214" t="s">
        <v>295</v>
      </c>
      <c r="K158" s="240" t="s">
        <v>283</v>
      </c>
      <c r="L158" s="214" t="s">
        <v>164</v>
      </c>
      <c r="M158" s="259"/>
      <c r="N158" s="214"/>
      <c r="O158" s="214"/>
    </row>
    <row r="159" spans="1:45" s="256" customFormat="1" ht="15" customHeight="1" x14ac:dyDescent="0.25">
      <c r="A159" s="252">
        <v>44468</v>
      </c>
      <c r="B159" s="214" t="s">
        <v>301</v>
      </c>
      <c r="C159" s="214" t="s">
        <v>6</v>
      </c>
      <c r="D159" s="261" t="s">
        <v>181</v>
      </c>
      <c r="E159" s="253"/>
      <c r="F159" s="267">
        <v>18000</v>
      </c>
      <c r="G159" s="253">
        <f t="shared" si="4"/>
        <v>19966268.336100001</v>
      </c>
      <c r="H159" s="214" t="s">
        <v>28</v>
      </c>
      <c r="I159" s="214" t="s">
        <v>184</v>
      </c>
      <c r="J159" s="214" t="s">
        <v>295</v>
      </c>
      <c r="K159" s="240" t="s">
        <v>283</v>
      </c>
      <c r="L159" s="214" t="s">
        <v>164</v>
      </c>
      <c r="M159" s="259"/>
      <c r="N159" s="214"/>
      <c r="O159" s="214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  <c r="AA159" s="257"/>
      <c r="AB159" s="257"/>
      <c r="AC159" s="257"/>
      <c r="AD159" s="257"/>
      <c r="AE159" s="257"/>
      <c r="AF159" s="257"/>
      <c r="AG159" s="257"/>
      <c r="AH159" s="257"/>
      <c r="AI159" s="257"/>
      <c r="AJ159" s="257"/>
      <c r="AK159" s="257"/>
      <c r="AL159" s="257"/>
      <c r="AM159" s="257"/>
      <c r="AN159" s="257"/>
      <c r="AO159" s="257"/>
      <c r="AP159" s="257"/>
      <c r="AQ159" s="257"/>
      <c r="AR159" s="257"/>
      <c r="AS159" s="257"/>
    </row>
    <row r="160" spans="1:45" s="256" customFormat="1" ht="15" customHeight="1" x14ac:dyDescent="0.25">
      <c r="A160" s="252">
        <v>44468</v>
      </c>
      <c r="B160" s="214" t="s">
        <v>226</v>
      </c>
      <c r="C160" s="214" t="s">
        <v>390</v>
      </c>
      <c r="D160" s="214" t="s">
        <v>7</v>
      </c>
      <c r="E160" s="253"/>
      <c r="F160" s="267">
        <v>31500</v>
      </c>
      <c r="G160" s="253">
        <f t="shared" si="4"/>
        <v>19934768.336100001</v>
      </c>
      <c r="H160" s="214" t="s">
        <v>28</v>
      </c>
      <c r="I160" s="262" t="s">
        <v>228</v>
      </c>
      <c r="J160" s="214" t="s">
        <v>295</v>
      </c>
      <c r="K160" s="214" t="s">
        <v>283</v>
      </c>
      <c r="L160" s="214" t="s">
        <v>164</v>
      </c>
      <c r="M160" s="258"/>
      <c r="N160" s="214"/>
      <c r="O160" s="214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257"/>
      <c r="AG160" s="257"/>
      <c r="AH160" s="257"/>
      <c r="AI160" s="257"/>
      <c r="AJ160" s="257"/>
      <c r="AK160" s="257"/>
      <c r="AL160" s="257"/>
      <c r="AM160" s="257"/>
      <c r="AN160" s="257"/>
      <c r="AO160" s="257"/>
      <c r="AP160" s="257"/>
      <c r="AQ160" s="257"/>
      <c r="AR160" s="257"/>
      <c r="AS160" s="257"/>
    </row>
    <row r="161" spans="1:45" s="257" customFormat="1" ht="15" customHeight="1" x14ac:dyDescent="0.25">
      <c r="A161" s="252">
        <v>44468</v>
      </c>
      <c r="B161" s="214" t="s">
        <v>227</v>
      </c>
      <c r="C161" s="214" t="s">
        <v>81</v>
      </c>
      <c r="D161" s="214"/>
      <c r="E161" s="253"/>
      <c r="F161" s="253">
        <v>6000</v>
      </c>
      <c r="G161" s="253">
        <f t="shared" si="4"/>
        <v>19928768.336100001</v>
      </c>
      <c r="H161" s="214" t="s">
        <v>28</v>
      </c>
      <c r="I161" s="259"/>
      <c r="J161" s="214"/>
      <c r="K161" s="214"/>
      <c r="L161" s="214" t="s">
        <v>164</v>
      </c>
      <c r="M161" s="259"/>
      <c r="N161" s="214"/>
      <c r="O161" s="214"/>
    </row>
    <row r="162" spans="1:45" s="257" customFormat="1" ht="15" customHeight="1" x14ac:dyDescent="0.25">
      <c r="A162" s="252">
        <v>44468</v>
      </c>
      <c r="B162" s="214" t="s">
        <v>242</v>
      </c>
      <c r="C162" s="214" t="s">
        <v>81</v>
      </c>
      <c r="D162" s="214"/>
      <c r="E162" s="253">
        <v>6000</v>
      </c>
      <c r="F162" s="253"/>
      <c r="G162" s="253">
        <f t="shared" si="4"/>
        <v>19934768.336100001</v>
      </c>
      <c r="H162" s="214" t="s">
        <v>54</v>
      </c>
      <c r="I162" s="214" t="s">
        <v>228</v>
      </c>
      <c r="J162" s="214"/>
      <c r="K162" s="214"/>
      <c r="L162" s="214" t="s">
        <v>164</v>
      </c>
      <c r="M162" s="258"/>
      <c r="N162" s="214"/>
      <c r="O162" s="214"/>
    </row>
    <row r="163" spans="1:45" s="256" customFormat="1" ht="15" customHeight="1" x14ac:dyDescent="0.25">
      <c r="A163" s="252">
        <v>44468</v>
      </c>
      <c r="B163" s="214" t="s">
        <v>246</v>
      </c>
      <c r="C163" s="214" t="s">
        <v>247</v>
      </c>
      <c r="D163" s="214" t="s">
        <v>7</v>
      </c>
      <c r="E163" s="253"/>
      <c r="F163" s="269">
        <v>14000</v>
      </c>
      <c r="G163" s="253">
        <f t="shared" si="4"/>
        <v>19920768.336100001</v>
      </c>
      <c r="H163" s="214" t="s">
        <v>54</v>
      </c>
      <c r="I163" s="214" t="s">
        <v>228</v>
      </c>
      <c r="J163" s="214" t="s">
        <v>295</v>
      </c>
      <c r="K163" s="214" t="s">
        <v>283</v>
      </c>
      <c r="L163" s="214" t="s">
        <v>164</v>
      </c>
      <c r="M163" s="258"/>
      <c r="N163" s="214"/>
      <c r="O163" s="214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257"/>
      <c r="AR163" s="257"/>
      <c r="AS163" s="257"/>
    </row>
    <row r="164" spans="1:45" s="257" customFormat="1" ht="15" customHeight="1" x14ac:dyDescent="0.25">
      <c r="A164" s="252">
        <v>44468</v>
      </c>
      <c r="B164" s="214" t="s">
        <v>248</v>
      </c>
      <c r="C164" s="214" t="s">
        <v>37</v>
      </c>
      <c r="D164" s="214" t="s">
        <v>7</v>
      </c>
      <c r="E164" s="253"/>
      <c r="F164" s="269">
        <v>32700</v>
      </c>
      <c r="G164" s="253">
        <f t="shared" si="4"/>
        <v>19888068.336100001</v>
      </c>
      <c r="H164" s="214" t="s">
        <v>54</v>
      </c>
      <c r="I164" s="214" t="s">
        <v>228</v>
      </c>
      <c r="J164" s="249" t="s">
        <v>108</v>
      </c>
      <c r="K164" s="214" t="s">
        <v>284</v>
      </c>
      <c r="L164" s="214" t="s">
        <v>164</v>
      </c>
      <c r="M164" s="240" t="s">
        <v>382</v>
      </c>
      <c r="N164" s="214" t="s">
        <v>302</v>
      </c>
      <c r="O164" s="214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</row>
    <row r="165" spans="1:45" s="257" customFormat="1" ht="15" customHeight="1" x14ac:dyDescent="0.25">
      <c r="A165" s="252">
        <v>44468</v>
      </c>
      <c r="B165" s="214" t="s">
        <v>252</v>
      </c>
      <c r="C165" s="214" t="s">
        <v>37</v>
      </c>
      <c r="D165" s="214" t="s">
        <v>5</v>
      </c>
      <c r="E165" s="253"/>
      <c r="F165" s="267">
        <v>19500</v>
      </c>
      <c r="G165" s="253">
        <f t="shared" si="4"/>
        <v>19868568.336100001</v>
      </c>
      <c r="H165" s="214" t="s">
        <v>99</v>
      </c>
      <c r="I165" s="214" t="s">
        <v>228</v>
      </c>
      <c r="J165" s="249" t="s">
        <v>108</v>
      </c>
      <c r="K165" s="214" t="s">
        <v>284</v>
      </c>
      <c r="L165" s="214" t="s">
        <v>164</v>
      </c>
      <c r="M165" s="240" t="s">
        <v>383</v>
      </c>
      <c r="N165" s="214" t="s">
        <v>302</v>
      </c>
      <c r="O165" s="214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</row>
    <row r="166" spans="1:45" s="256" customFormat="1" ht="15" customHeight="1" x14ac:dyDescent="0.25">
      <c r="A166" s="252">
        <v>44468</v>
      </c>
      <c r="B166" s="214" t="s">
        <v>253</v>
      </c>
      <c r="C166" s="214" t="s">
        <v>81</v>
      </c>
      <c r="D166" s="214"/>
      <c r="E166" s="253">
        <v>62000</v>
      </c>
      <c r="F166" s="253"/>
      <c r="G166" s="253">
        <f t="shared" si="4"/>
        <v>19930568.336100001</v>
      </c>
      <c r="H166" s="214" t="s">
        <v>206</v>
      </c>
      <c r="I166" s="214" t="s">
        <v>228</v>
      </c>
      <c r="J166" s="214"/>
      <c r="K166" s="214"/>
      <c r="L166" s="214" t="s">
        <v>164</v>
      </c>
      <c r="M166" s="214"/>
      <c r="N166" s="214"/>
      <c r="O166" s="214"/>
    </row>
    <row r="167" spans="1:45" s="256" customFormat="1" ht="15" customHeight="1" x14ac:dyDescent="0.25">
      <c r="A167" s="252">
        <v>44469</v>
      </c>
      <c r="B167" s="214" t="s">
        <v>303</v>
      </c>
      <c r="C167" s="214" t="s">
        <v>233</v>
      </c>
      <c r="D167" s="214" t="s">
        <v>194</v>
      </c>
      <c r="E167" s="253"/>
      <c r="F167" s="267">
        <v>120000</v>
      </c>
      <c r="G167" s="253">
        <f t="shared" si="4"/>
        <v>19810568.336100001</v>
      </c>
      <c r="H167" s="214" t="s">
        <v>206</v>
      </c>
      <c r="I167" s="214" t="s">
        <v>184</v>
      </c>
      <c r="J167" s="214" t="s">
        <v>295</v>
      </c>
      <c r="K167" s="214" t="s">
        <v>283</v>
      </c>
      <c r="L167" s="214" t="s">
        <v>164</v>
      </c>
      <c r="M167" s="258"/>
      <c r="N167" s="214"/>
      <c r="O167" s="214"/>
    </row>
    <row r="168" spans="1:45" s="256" customFormat="1" ht="15" customHeight="1" x14ac:dyDescent="0.25">
      <c r="A168" s="252">
        <v>44469</v>
      </c>
      <c r="B168" s="214" t="s">
        <v>179</v>
      </c>
      <c r="C168" s="214" t="s">
        <v>81</v>
      </c>
      <c r="D168" s="264"/>
      <c r="E168" s="253"/>
      <c r="F168" s="253">
        <v>10000</v>
      </c>
      <c r="G168" s="253">
        <f t="shared" si="4"/>
        <v>19800568.336100001</v>
      </c>
      <c r="H168" s="214" t="s">
        <v>28</v>
      </c>
      <c r="I168" s="214"/>
      <c r="J168" s="214"/>
      <c r="K168" s="214"/>
      <c r="L168" s="214" t="s">
        <v>164</v>
      </c>
      <c r="M168" s="259"/>
      <c r="N168" s="214"/>
      <c r="O168" s="214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7"/>
      <c r="AR168" s="257"/>
      <c r="AS168" s="257"/>
    </row>
    <row r="169" spans="1:45" s="256" customFormat="1" ht="15" customHeight="1" x14ac:dyDescent="0.25">
      <c r="A169" s="252">
        <v>44469</v>
      </c>
      <c r="B169" s="214" t="s">
        <v>208</v>
      </c>
      <c r="C169" s="214" t="s">
        <v>81</v>
      </c>
      <c r="D169" s="214"/>
      <c r="E169" s="253"/>
      <c r="F169" s="253">
        <v>54000</v>
      </c>
      <c r="G169" s="253">
        <f t="shared" si="4"/>
        <v>19746568.336100001</v>
      </c>
      <c r="H169" s="214" t="s">
        <v>28</v>
      </c>
      <c r="I169" s="262"/>
      <c r="J169" s="214"/>
      <c r="K169" s="214"/>
      <c r="L169" s="214" t="s">
        <v>164</v>
      </c>
      <c r="M169" s="259"/>
      <c r="N169" s="214"/>
      <c r="O169" s="214"/>
    </row>
    <row r="170" spans="1:45" s="256" customFormat="1" ht="15" customHeight="1" x14ac:dyDescent="0.25">
      <c r="A170" s="252">
        <v>44469</v>
      </c>
      <c r="B170" s="214" t="s">
        <v>206</v>
      </c>
      <c r="C170" s="214" t="s">
        <v>81</v>
      </c>
      <c r="D170" s="214"/>
      <c r="E170" s="253"/>
      <c r="F170" s="253">
        <v>62000</v>
      </c>
      <c r="G170" s="253">
        <f t="shared" si="4"/>
        <v>19684568.336100001</v>
      </c>
      <c r="H170" s="214" t="s">
        <v>28</v>
      </c>
      <c r="I170" s="259"/>
      <c r="J170" s="214"/>
      <c r="K170" s="214"/>
      <c r="L170" s="214" t="s">
        <v>164</v>
      </c>
      <c r="M170" s="259"/>
      <c r="N170" s="214"/>
      <c r="O170" s="214"/>
    </row>
    <row r="171" spans="1:45" s="257" customFormat="1" ht="15" customHeight="1" x14ac:dyDescent="0.25">
      <c r="A171" s="252">
        <v>44469</v>
      </c>
      <c r="B171" s="214" t="s">
        <v>214</v>
      </c>
      <c r="C171" s="214" t="s">
        <v>153</v>
      </c>
      <c r="D171" s="261" t="s">
        <v>181</v>
      </c>
      <c r="E171" s="253"/>
      <c r="F171" s="267">
        <v>3480</v>
      </c>
      <c r="G171" s="253">
        <f t="shared" si="4"/>
        <v>19681088.336100001</v>
      </c>
      <c r="H171" s="214" t="s">
        <v>28</v>
      </c>
      <c r="I171" s="214" t="s">
        <v>184</v>
      </c>
      <c r="J171" s="249" t="s">
        <v>108</v>
      </c>
      <c r="K171" s="214" t="s">
        <v>284</v>
      </c>
      <c r="L171" s="214" t="s">
        <v>164</v>
      </c>
      <c r="M171" s="240" t="s">
        <v>384</v>
      </c>
      <c r="N171" s="214" t="s">
        <v>286</v>
      </c>
      <c r="O171" s="214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63"/>
      <c r="AG171" s="263"/>
      <c r="AH171" s="263"/>
      <c r="AI171" s="263"/>
      <c r="AJ171" s="263"/>
      <c r="AK171" s="263"/>
      <c r="AL171" s="263"/>
      <c r="AM171" s="263"/>
      <c r="AN171" s="263"/>
      <c r="AO171" s="263"/>
      <c r="AP171" s="263"/>
      <c r="AQ171" s="263"/>
      <c r="AR171" s="263"/>
      <c r="AS171" s="263"/>
    </row>
    <row r="172" spans="1:45" s="257" customFormat="1" ht="15" customHeight="1" x14ac:dyDescent="0.25">
      <c r="A172" s="252">
        <v>44469</v>
      </c>
      <c r="B172" s="214" t="s">
        <v>234</v>
      </c>
      <c r="C172" s="214" t="s">
        <v>81</v>
      </c>
      <c r="D172" s="214"/>
      <c r="E172" s="253">
        <v>54000</v>
      </c>
      <c r="F172" s="253"/>
      <c r="G172" s="253">
        <f t="shared" si="4"/>
        <v>19735088.336100001</v>
      </c>
      <c r="H172" s="214" t="s">
        <v>53</v>
      </c>
      <c r="I172" s="214" t="s">
        <v>189</v>
      </c>
      <c r="J172" s="214"/>
      <c r="K172" s="214"/>
      <c r="L172" s="214" t="s">
        <v>164</v>
      </c>
      <c r="M172" s="258"/>
      <c r="N172" s="214"/>
      <c r="O172" s="214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256"/>
      <c r="AR172" s="256"/>
      <c r="AS172" s="256"/>
    </row>
    <row r="173" spans="1:45" s="257" customFormat="1" ht="15" customHeight="1" x14ac:dyDescent="0.25">
      <c r="A173" s="252">
        <v>44469</v>
      </c>
      <c r="B173" s="214" t="s">
        <v>318</v>
      </c>
      <c r="C173" s="214" t="s">
        <v>233</v>
      </c>
      <c r="D173" s="214" t="s">
        <v>5</v>
      </c>
      <c r="E173" s="253"/>
      <c r="F173" s="267">
        <v>120000</v>
      </c>
      <c r="G173" s="253">
        <f t="shared" ref="G173:G184" si="5">+G172+E173-F173</f>
        <v>19615088.336100001</v>
      </c>
      <c r="H173" s="214" t="s">
        <v>53</v>
      </c>
      <c r="I173" s="214" t="s">
        <v>184</v>
      </c>
      <c r="J173" s="249" t="s">
        <v>108</v>
      </c>
      <c r="K173" s="214" t="s">
        <v>284</v>
      </c>
      <c r="L173" s="214" t="s">
        <v>164</v>
      </c>
      <c r="M173" s="240" t="s">
        <v>385</v>
      </c>
      <c r="N173" s="214" t="s">
        <v>310</v>
      </c>
      <c r="O173" s="214"/>
    </row>
    <row r="174" spans="1:45" s="257" customFormat="1" ht="15.75" x14ac:dyDescent="0.25">
      <c r="A174" s="252">
        <v>44469</v>
      </c>
      <c r="B174" s="214" t="s">
        <v>236</v>
      </c>
      <c r="C174" s="214" t="s">
        <v>37</v>
      </c>
      <c r="D174" s="214" t="s">
        <v>5</v>
      </c>
      <c r="E174" s="253"/>
      <c r="F174" s="267">
        <v>10000</v>
      </c>
      <c r="G174" s="253">
        <f t="shared" si="5"/>
        <v>19605088.336100001</v>
      </c>
      <c r="H174" s="214" t="s">
        <v>53</v>
      </c>
      <c r="I174" s="214" t="s">
        <v>184</v>
      </c>
      <c r="J174" s="249" t="s">
        <v>108</v>
      </c>
      <c r="K174" s="214" t="s">
        <v>284</v>
      </c>
      <c r="L174" s="214" t="s">
        <v>164</v>
      </c>
      <c r="M174" s="240" t="s">
        <v>386</v>
      </c>
      <c r="N174" s="214" t="s">
        <v>302</v>
      </c>
      <c r="O174" s="214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256"/>
      <c r="AR174" s="256"/>
      <c r="AS174" s="256"/>
    </row>
    <row r="175" spans="1:45" s="257" customFormat="1" ht="15" customHeight="1" x14ac:dyDescent="0.25">
      <c r="A175" s="252">
        <v>44469</v>
      </c>
      <c r="B175" s="214" t="s">
        <v>237</v>
      </c>
      <c r="C175" s="214" t="s">
        <v>37</v>
      </c>
      <c r="D175" s="214" t="s">
        <v>5</v>
      </c>
      <c r="E175" s="253"/>
      <c r="F175" s="267">
        <v>24900</v>
      </c>
      <c r="G175" s="253">
        <f t="shared" si="5"/>
        <v>19580188.336100001</v>
      </c>
      <c r="H175" s="214" t="s">
        <v>53</v>
      </c>
      <c r="I175" s="214" t="s">
        <v>228</v>
      </c>
      <c r="J175" s="249" t="s">
        <v>108</v>
      </c>
      <c r="K175" s="214" t="s">
        <v>284</v>
      </c>
      <c r="L175" s="214" t="s">
        <v>164</v>
      </c>
      <c r="M175" s="240" t="s">
        <v>387</v>
      </c>
      <c r="N175" s="214" t="s">
        <v>302</v>
      </c>
      <c r="O175" s="214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6"/>
      <c r="AC175" s="256"/>
      <c r="AD175" s="256"/>
      <c r="AE175" s="256"/>
      <c r="AF175" s="256"/>
      <c r="AG175" s="256"/>
      <c r="AH175" s="256"/>
      <c r="AI175" s="256"/>
      <c r="AJ175" s="256"/>
      <c r="AK175" s="256"/>
      <c r="AL175" s="256"/>
      <c r="AM175" s="256"/>
      <c r="AN175" s="256"/>
      <c r="AO175" s="256"/>
      <c r="AP175" s="256"/>
      <c r="AQ175" s="256"/>
      <c r="AR175" s="256"/>
      <c r="AS175" s="256"/>
    </row>
    <row r="176" spans="1:45" s="257" customFormat="1" ht="15" customHeight="1" x14ac:dyDescent="0.25">
      <c r="A176" s="252">
        <v>44469</v>
      </c>
      <c r="B176" s="214" t="s">
        <v>240</v>
      </c>
      <c r="C176" s="214" t="s">
        <v>37</v>
      </c>
      <c r="D176" s="214" t="s">
        <v>241</v>
      </c>
      <c r="E176" s="253"/>
      <c r="F176" s="267">
        <v>22000</v>
      </c>
      <c r="G176" s="253">
        <f t="shared" si="5"/>
        <v>19558188.336100001</v>
      </c>
      <c r="H176" s="214" t="s">
        <v>34</v>
      </c>
      <c r="I176" s="214" t="s">
        <v>228</v>
      </c>
      <c r="J176" s="249" t="s">
        <v>108</v>
      </c>
      <c r="K176" s="214" t="s">
        <v>284</v>
      </c>
      <c r="L176" s="214" t="s">
        <v>164</v>
      </c>
      <c r="M176" s="240" t="s">
        <v>388</v>
      </c>
      <c r="N176" s="214" t="s">
        <v>302</v>
      </c>
      <c r="O176" s="214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256"/>
      <c r="AN176" s="256"/>
      <c r="AO176" s="256"/>
      <c r="AP176" s="256"/>
      <c r="AQ176" s="256"/>
      <c r="AR176" s="256"/>
      <c r="AS176" s="256"/>
    </row>
    <row r="177" spans="1:45" s="257" customFormat="1" ht="15" customHeight="1" x14ac:dyDescent="0.25">
      <c r="A177" s="252">
        <v>44469</v>
      </c>
      <c r="B177" s="214" t="s">
        <v>250</v>
      </c>
      <c r="C177" s="214" t="s">
        <v>37</v>
      </c>
      <c r="D177" s="264" t="s">
        <v>5</v>
      </c>
      <c r="E177" s="253"/>
      <c r="F177" s="267">
        <v>5000</v>
      </c>
      <c r="G177" s="253">
        <f t="shared" si="5"/>
        <v>19553188.336100001</v>
      </c>
      <c r="H177" s="214" t="s">
        <v>119</v>
      </c>
      <c r="I177" s="214" t="s">
        <v>228</v>
      </c>
      <c r="J177" s="249" t="s">
        <v>108</v>
      </c>
      <c r="K177" s="214" t="s">
        <v>284</v>
      </c>
      <c r="L177" s="214" t="s">
        <v>164</v>
      </c>
      <c r="M177" s="240" t="s">
        <v>389</v>
      </c>
      <c r="N177" s="214" t="s">
        <v>302</v>
      </c>
      <c r="O177" s="214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  <c r="AM177" s="256"/>
      <c r="AN177" s="256"/>
      <c r="AO177" s="256"/>
      <c r="AP177" s="256"/>
      <c r="AQ177" s="256"/>
      <c r="AR177" s="256"/>
      <c r="AS177" s="256"/>
    </row>
    <row r="178" spans="1:45" s="256" customFormat="1" ht="15" customHeight="1" x14ac:dyDescent="0.25">
      <c r="A178" s="252">
        <v>44469</v>
      </c>
      <c r="B178" s="214" t="s">
        <v>254</v>
      </c>
      <c r="C178" s="214" t="s">
        <v>37</v>
      </c>
      <c r="D178" s="214" t="s">
        <v>5</v>
      </c>
      <c r="E178" s="253"/>
      <c r="F178" s="267">
        <v>12000</v>
      </c>
      <c r="G178" s="253">
        <f t="shared" si="5"/>
        <v>19541188.336100001</v>
      </c>
      <c r="H178" s="214" t="s">
        <v>165</v>
      </c>
      <c r="I178" s="214" t="s">
        <v>228</v>
      </c>
      <c r="J178" s="214" t="s">
        <v>295</v>
      </c>
      <c r="K178" s="214" t="s">
        <v>283</v>
      </c>
      <c r="L178" s="214" t="s">
        <v>164</v>
      </c>
      <c r="M178" s="259"/>
      <c r="N178" s="214"/>
      <c r="O178" s="214"/>
    </row>
    <row r="179" spans="1:45" s="257" customFormat="1" ht="15" customHeight="1" x14ac:dyDescent="0.25">
      <c r="A179" s="252">
        <v>44469</v>
      </c>
      <c r="B179" s="214" t="s">
        <v>253</v>
      </c>
      <c r="C179" s="214" t="s">
        <v>81</v>
      </c>
      <c r="D179" s="214"/>
      <c r="E179" s="253">
        <v>10000</v>
      </c>
      <c r="F179" s="253"/>
      <c r="G179" s="253">
        <f t="shared" si="5"/>
        <v>19551188.336100001</v>
      </c>
      <c r="H179" s="214" t="s">
        <v>166</v>
      </c>
      <c r="I179" s="214" t="s">
        <v>228</v>
      </c>
      <c r="J179" s="214"/>
      <c r="K179" s="214"/>
      <c r="L179" s="214" t="s">
        <v>164</v>
      </c>
      <c r="M179" s="262"/>
      <c r="N179" s="214"/>
      <c r="O179" s="214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  <c r="AO179" s="256"/>
      <c r="AP179" s="256"/>
      <c r="AQ179" s="256"/>
      <c r="AR179" s="256"/>
      <c r="AS179" s="256"/>
    </row>
    <row r="180" spans="1:45" s="257" customFormat="1" ht="15" customHeight="1" x14ac:dyDescent="0.25">
      <c r="A180" s="252">
        <v>44469</v>
      </c>
      <c r="B180" s="214" t="s">
        <v>315</v>
      </c>
      <c r="C180" s="214" t="s">
        <v>233</v>
      </c>
      <c r="D180" s="214" t="s">
        <v>194</v>
      </c>
      <c r="E180" s="253"/>
      <c r="F180" s="267">
        <v>16000</v>
      </c>
      <c r="G180" s="253">
        <f t="shared" si="5"/>
        <v>19535188.336100001</v>
      </c>
      <c r="H180" s="214" t="s">
        <v>166</v>
      </c>
      <c r="I180" s="214" t="s">
        <v>228</v>
      </c>
      <c r="J180" s="214" t="s">
        <v>295</v>
      </c>
      <c r="K180" s="214" t="s">
        <v>283</v>
      </c>
      <c r="L180" s="214" t="s">
        <v>164</v>
      </c>
      <c r="M180" s="258"/>
      <c r="N180" s="214"/>
      <c r="O180" s="214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</row>
    <row r="181" spans="1:45" s="257" customFormat="1" ht="15" customHeight="1" x14ac:dyDescent="0.25">
      <c r="A181" s="252">
        <v>44469</v>
      </c>
      <c r="B181" s="214" t="s">
        <v>259</v>
      </c>
      <c r="C181" s="214" t="s">
        <v>37</v>
      </c>
      <c r="D181" s="214" t="s">
        <v>194</v>
      </c>
      <c r="E181" s="253"/>
      <c r="F181" s="267">
        <v>65950</v>
      </c>
      <c r="G181" s="253">
        <f t="shared" si="5"/>
        <v>19469238.336100001</v>
      </c>
      <c r="H181" s="214" t="s">
        <v>166</v>
      </c>
      <c r="I181" s="214" t="s">
        <v>228</v>
      </c>
      <c r="J181" s="214" t="s">
        <v>295</v>
      </c>
      <c r="K181" s="214" t="s">
        <v>283</v>
      </c>
      <c r="L181" s="214" t="s">
        <v>164</v>
      </c>
      <c r="M181" s="259"/>
      <c r="N181" s="214"/>
      <c r="O181" s="214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  <c r="AA181" s="256"/>
      <c r="AB181" s="256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  <c r="AM181" s="256"/>
      <c r="AN181" s="256"/>
      <c r="AO181" s="256"/>
      <c r="AP181" s="256"/>
      <c r="AQ181" s="256"/>
      <c r="AR181" s="256"/>
      <c r="AS181" s="256"/>
    </row>
    <row r="182" spans="1:45" s="257" customFormat="1" ht="15" customHeight="1" x14ac:dyDescent="0.25">
      <c r="A182" s="252">
        <v>44469</v>
      </c>
      <c r="B182" s="214" t="s">
        <v>236</v>
      </c>
      <c r="C182" s="214" t="s">
        <v>37</v>
      </c>
      <c r="D182" s="214" t="s">
        <v>194</v>
      </c>
      <c r="E182" s="253"/>
      <c r="F182" s="267">
        <v>10000</v>
      </c>
      <c r="G182" s="253">
        <f t="shared" si="5"/>
        <v>19459238.336100001</v>
      </c>
      <c r="H182" s="214" t="s">
        <v>206</v>
      </c>
      <c r="I182" s="240" t="s">
        <v>184</v>
      </c>
      <c r="J182" s="240" t="s">
        <v>295</v>
      </c>
      <c r="K182" s="240" t="s">
        <v>283</v>
      </c>
      <c r="L182" s="240" t="s">
        <v>164</v>
      </c>
      <c r="M182" s="214"/>
      <c r="N182" s="214"/>
      <c r="O182" s="214"/>
    </row>
    <row r="183" spans="1:45" s="257" customFormat="1" ht="15" customHeight="1" x14ac:dyDescent="0.25">
      <c r="A183" s="252">
        <v>44469</v>
      </c>
      <c r="B183" s="214" t="s">
        <v>263</v>
      </c>
      <c r="C183" s="214" t="s">
        <v>155</v>
      </c>
      <c r="D183" s="214" t="s">
        <v>194</v>
      </c>
      <c r="E183" s="253"/>
      <c r="F183" s="269">
        <v>24000</v>
      </c>
      <c r="G183" s="253">
        <f t="shared" si="5"/>
        <v>19435238.336100001</v>
      </c>
      <c r="H183" s="214" t="s">
        <v>206</v>
      </c>
      <c r="I183" s="214" t="s">
        <v>228</v>
      </c>
      <c r="J183" s="214" t="s">
        <v>295</v>
      </c>
      <c r="K183" s="214" t="s">
        <v>283</v>
      </c>
      <c r="L183" s="214" t="s">
        <v>164</v>
      </c>
      <c r="M183" s="214"/>
      <c r="N183" s="214"/>
      <c r="O183" s="214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6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  <c r="AM183" s="256"/>
      <c r="AN183" s="256"/>
      <c r="AO183" s="256"/>
      <c r="AP183" s="256"/>
      <c r="AQ183" s="256"/>
      <c r="AR183" s="256"/>
      <c r="AS183" s="256"/>
    </row>
    <row r="184" spans="1:45" s="257" customFormat="1" ht="15" customHeight="1" x14ac:dyDescent="0.25">
      <c r="A184" s="252">
        <v>44469</v>
      </c>
      <c r="B184" s="214" t="s">
        <v>264</v>
      </c>
      <c r="C184" s="214" t="s">
        <v>37</v>
      </c>
      <c r="D184" s="214" t="s">
        <v>194</v>
      </c>
      <c r="E184" s="253"/>
      <c r="F184" s="267">
        <v>25800</v>
      </c>
      <c r="G184" s="253">
        <f t="shared" si="5"/>
        <v>19409438.336100001</v>
      </c>
      <c r="H184" s="214" t="s">
        <v>206</v>
      </c>
      <c r="I184" s="214" t="s">
        <v>228</v>
      </c>
      <c r="J184" s="214" t="s">
        <v>295</v>
      </c>
      <c r="K184" s="214" t="s">
        <v>283</v>
      </c>
      <c r="L184" s="214" t="s">
        <v>164</v>
      </c>
      <c r="M184" s="214"/>
      <c r="N184" s="214"/>
      <c r="O184" s="214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  <c r="AO184" s="256"/>
      <c r="AP184" s="256"/>
      <c r="AQ184" s="256"/>
      <c r="AR184" s="256"/>
      <c r="AS184" s="256"/>
    </row>
    <row r="185" spans="1:45" s="196" customFormat="1" ht="15" customHeight="1" x14ac:dyDescent="0.25">
      <c r="A185" s="205"/>
      <c r="B185" s="209"/>
      <c r="C185" s="209"/>
      <c r="D185" s="209"/>
      <c r="E185" s="207"/>
      <c r="F185" s="207"/>
      <c r="G185" s="207"/>
      <c r="H185" s="209"/>
      <c r="I185" s="211"/>
      <c r="J185" s="211"/>
      <c r="K185" s="210"/>
      <c r="L185" s="206"/>
      <c r="M185" s="211"/>
      <c r="N185" s="211"/>
      <c r="O185" s="20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</row>
    <row r="186" spans="1:45" s="116" customFormat="1" ht="15" customHeight="1" x14ac:dyDescent="0.25">
      <c r="A186" s="205"/>
      <c r="B186" s="209"/>
      <c r="C186" s="209"/>
      <c r="D186" s="209"/>
      <c r="E186" s="207"/>
      <c r="F186" s="207"/>
      <c r="G186" s="207"/>
      <c r="H186" s="209"/>
      <c r="I186" s="232"/>
      <c r="J186" s="211"/>
      <c r="K186" s="210"/>
      <c r="L186" s="206"/>
      <c r="M186" s="211"/>
      <c r="N186" s="211"/>
      <c r="O186" s="206"/>
    </row>
    <row r="187" spans="1:45" s="116" customFormat="1" ht="15" customHeight="1" x14ac:dyDescent="0.25">
      <c r="A187" s="205"/>
      <c r="B187" s="210"/>
      <c r="C187" s="209"/>
      <c r="D187" s="210"/>
      <c r="E187" s="207"/>
      <c r="F187" s="207"/>
      <c r="G187" s="215"/>
      <c r="H187" s="209"/>
      <c r="I187" s="211"/>
      <c r="J187" s="211"/>
      <c r="K187" s="210"/>
      <c r="L187" s="206"/>
      <c r="M187" s="211"/>
      <c r="N187" s="211"/>
      <c r="O187" s="20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</row>
    <row r="188" spans="1:45" s="116" customFormat="1" ht="15" customHeight="1" x14ac:dyDescent="0.25">
      <c r="A188" s="205"/>
      <c r="B188" s="210"/>
      <c r="C188" s="210"/>
      <c r="D188" s="213"/>
      <c r="E188" s="207"/>
      <c r="F188" s="207"/>
      <c r="G188" s="207"/>
      <c r="H188" s="209"/>
      <c r="I188" s="232"/>
      <c r="J188" s="211"/>
      <c r="K188" s="210"/>
      <c r="L188" s="206"/>
      <c r="M188" s="211"/>
      <c r="N188" s="211"/>
      <c r="O188" s="20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</row>
    <row r="189" spans="1:45" s="116" customFormat="1" ht="14.25" customHeight="1" x14ac:dyDescent="0.25">
      <c r="A189" s="224"/>
      <c r="B189" s="229"/>
      <c r="C189" s="229"/>
      <c r="D189" s="237"/>
      <c r="E189" s="226"/>
      <c r="F189" s="226"/>
      <c r="G189" s="226"/>
      <c r="H189" s="225"/>
      <c r="I189" s="236"/>
      <c r="J189" s="227"/>
      <c r="K189" s="229"/>
      <c r="L189" s="223"/>
      <c r="M189" s="227"/>
      <c r="N189" s="227"/>
      <c r="O189" s="223"/>
    </row>
    <row r="190" spans="1:45" s="116" customFormat="1" ht="15" customHeight="1" x14ac:dyDescent="0.25">
      <c r="A190" s="205"/>
      <c r="B190" s="210"/>
      <c r="C190" s="209"/>
      <c r="D190" s="209"/>
      <c r="E190" s="207"/>
      <c r="F190" s="207"/>
      <c r="G190" s="207"/>
      <c r="H190" s="209"/>
      <c r="I190" s="208"/>
      <c r="J190" s="208"/>
      <c r="K190" s="210"/>
      <c r="L190" s="206"/>
      <c r="M190" s="206"/>
      <c r="N190" s="211"/>
      <c r="O190" s="20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</row>
    <row r="191" spans="1:45" s="196" customFormat="1" ht="15" customHeight="1" x14ac:dyDescent="0.25">
      <c r="A191" s="205"/>
      <c r="B191" s="210"/>
      <c r="C191" s="210"/>
      <c r="D191" s="209"/>
      <c r="E191" s="207"/>
      <c r="F191" s="207"/>
      <c r="G191" s="207"/>
      <c r="H191" s="209"/>
      <c r="I191" s="208"/>
      <c r="J191" s="208"/>
      <c r="K191" s="210"/>
      <c r="L191" s="206"/>
      <c r="M191" s="3"/>
      <c r="N191" s="211"/>
      <c r="O191" s="206"/>
    </row>
    <row r="192" spans="1:45" s="116" customFormat="1" ht="15" customHeight="1" x14ac:dyDescent="0.25">
      <c r="A192" s="205"/>
      <c r="B192" s="209"/>
      <c r="C192" s="209"/>
      <c r="D192" s="209"/>
      <c r="E192" s="207"/>
      <c r="F192" s="207"/>
      <c r="G192" s="207"/>
      <c r="H192" s="209"/>
      <c r="I192" s="208"/>
      <c r="J192" s="208"/>
      <c r="K192" s="210"/>
      <c r="L192" s="206"/>
      <c r="M192" s="3"/>
      <c r="N192" s="211"/>
      <c r="O192" s="206"/>
    </row>
    <row r="193" spans="1:45" s="116" customFormat="1" ht="15" customHeight="1" x14ac:dyDescent="0.25">
      <c r="A193" s="205"/>
      <c r="B193" s="210"/>
      <c r="C193" s="209"/>
      <c r="D193" s="209"/>
      <c r="E193" s="207"/>
      <c r="F193" s="207"/>
      <c r="G193" s="215"/>
      <c r="H193" s="209"/>
      <c r="I193" s="208"/>
      <c r="J193" s="208"/>
      <c r="K193" s="210"/>
      <c r="L193" s="206"/>
      <c r="M193" s="211"/>
      <c r="N193" s="211"/>
      <c r="O193" s="206"/>
    </row>
    <row r="194" spans="1:45" s="116" customFormat="1" ht="15" customHeight="1" x14ac:dyDescent="0.25">
      <c r="A194" s="205"/>
      <c r="B194" s="209"/>
      <c r="C194" s="209"/>
      <c r="D194" s="209"/>
      <c r="E194" s="207"/>
      <c r="F194" s="207"/>
      <c r="G194" s="207"/>
      <c r="H194" s="209"/>
      <c r="I194" s="208"/>
      <c r="J194" s="211"/>
      <c r="K194" s="210"/>
      <c r="L194" s="206"/>
      <c r="M194" s="3"/>
      <c r="N194" s="211"/>
      <c r="O194" s="206"/>
    </row>
    <row r="195" spans="1:45" s="116" customFormat="1" ht="15" customHeight="1" x14ac:dyDescent="0.25">
      <c r="A195" s="205"/>
      <c r="B195" s="210"/>
      <c r="C195" s="209"/>
      <c r="D195" s="210"/>
      <c r="E195" s="207"/>
      <c r="F195" s="207"/>
      <c r="G195" s="207"/>
      <c r="H195" s="209"/>
      <c r="I195" s="208"/>
      <c r="J195" s="208"/>
      <c r="K195" s="210"/>
      <c r="L195" s="206"/>
      <c r="M195" s="211"/>
      <c r="N195" s="211"/>
      <c r="O195" s="20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</row>
    <row r="196" spans="1:45" s="116" customFormat="1" ht="15" customHeight="1" x14ac:dyDescent="0.25">
      <c r="A196" s="205"/>
      <c r="B196" s="209"/>
      <c r="C196" s="209"/>
      <c r="D196" s="209"/>
      <c r="E196" s="207"/>
      <c r="F196" s="207"/>
      <c r="G196" s="207"/>
      <c r="H196" s="209"/>
      <c r="I196" s="208"/>
      <c r="J196" s="208"/>
      <c r="K196" s="210"/>
      <c r="L196" s="206"/>
      <c r="M196" s="211"/>
      <c r="N196" s="211"/>
      <c r="O196" s="20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</row>
    <row r="197" spans="1:45" s="116" customFormat="1" ht="15" customHeight="1" x14ac:dyDescent="0.25">
      <c r="A197" s="205"/>
      <c r="B197" s="209"/>
      <c r="C197" s="209"/>
      <c r="D197" s="209"/>
      <c r="E197" s="207"/>
      <c r="F197" s="207"/>
      <c r="G197" s="207"/>
      <c r="H197" s="209"/>
      <c r="I197" s="208"/>
      <c r="J197" s="208"/>
      <c r="K197" s="210"/>
      <c r="L197" s="206"/>
      <c r="M197" s="211"/>
      <c r="N197" s="211"/>
      <c r="O197" s="206"/>
    </row>
    <row r="198" spans="1:45" s="116" customFormat="1" ht="15" customHeight="1" x14ac:dyDescent="0.25">
      <c r="A198" s="205"/>
      <c r="B198" s="209"/>
      <c r="C198" s="209"/>
      <c r="D198" s="209"/>
      <c r="E198" s="207"/>
      <c r="F198" s="207"/>
      <c r="G198" s="207"/>
      <c r="H198" s="209"/>
      <c r="I198" s="208"/>
      <c r="J198" s="208"/>
      <c r="K198" s="210"/>
      <c r="L198" s="206"/>
      <c r="M198" s="3"/>
      <c r="N198" s="211"/>
      <c r="O198" s="20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196"/>
    </row>
    <row r="199" spans="1:45" s="196" customFormat="1" ht="15" customHeight="1" x14ac:dyDescent="0.25">
      <c r="A199" s="205"/>
      <c r="B199" s="210"/>
      <c r="C199" s="209"/>
      <c r="D199" s="213"/>
      <c r="E199" s="207"/>
      <c r="F199" s="207"/>
      <c r="G199" s="207"/>
      <c r="H199" s="209"/>
      <c r="I199" s="208"/>
      <c r="J199" s="208"/>
      <c r="K199" s="210"/>
      <c r="L199" s="206"/>
      <c r="M199" s="231"/>
      <c r="N199" s="211"/>
      <c r="O199" s="20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</row>
    <row r="200" spans="1:45" s="116" customFormat="1" ht="15" customHeight="1" x14ac:dyDescent="0.25">
      <c r="A200" s="205"/>
      <c r="B200" s="210"/>
      <c r="C200" s="209"/>
      <c r="D200" s="206"/>
      <c r="E200" s="207"/>
      <c r="F200" s="207"/>
      <c r="G200" s="207"/>
      <c r="H200" s="210"/>
      <c r="I200" s="211"/>
      <c r="J200" s="208"/>
      <c r="K200" s="210"/>
      <c r="L200" s="206"/>
      <c r="M200" s="231"/>
      <c r="N200" s="211"/>
      <c r="O200" s="206"/>
    </row>
    <row r="201" spans="1:45" s="196" customFormat="1" ht="15" customHeight="1" x14ac:dyDescent="0.25">
      <c r="A201" s="205"/>
      <c r="B201" s="212"/>
      <c r="C201" s="209"/>
      <c r="D201" s="216"/>
      <c r="E201" s="207"/>
      <c r="F201" s="207"/>
      <c r="G201" s="207"/>
      <c r="H201" s="210"/>
      <c r="I201" s="208"/>
      <c r="J201" s="208"/>
      <c r="K201" s="210"/>
      <c r="L201" s="206"/>
      <c r="M201" s="231"/>
      <c r="N201" s="211"/>
      <c r="O201" s="210"/>
    </row>
    <row r="202" spans="1:45" s="196" customFormat="1" ht="15" customHeight="1" x14ac:dyDescent="0.25">
      <c r="A202" s="205"/>
      <c r="B202" s="209"/>
      <c r="C202" s="209"/>
      <c r="D202" s="209"/>
      <c r="E202" s="207"/>
      <c r="F202" s="207"/>
      <c r="G202" s="207"/>
      <c r="H202" s="209"/>
      <c r="I202" s="211"/>
      <c r="J202" s="211"/>
      <c r="K202" s="210"/>
      <c r="L202" s="206"/>
      <c r="M202" s="211"/>
      <c r="N202" s="211"/>
      <c r="O202" s="20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</row>
    <row r="203" spans="1:45" s="116" customFormat="1" ht="15" customHeight="1" x14ac:dyDescent="0.25">
      <c r="A203" s="205"/>
      <c r="B203" s="209"/>
      <c r="C203" s="209"/>
      <c r="D203" s="209"/>
      <c r="E203" s="207"/>
      <c r="F203" s="207"/>
      <c r="G203" s="207"/>
      <c r="H203" s="209"/>
      <c r="I203" s="208"/>
      <c r="J203" s="208"/>
      <c r="K203" s="210"/>
      <c r="L203" s="206"/>
      <c r="M203" s="206"/>
      <c r="N203" s="211"/>
      <c r="O203" s="206"/>
    </row>
    <row r="204" spans="1:45" s="116" customFormat="1" ht="15" customHeight="1" x14ac:dyDescent="0.25">
      <c r="A204" s="205"/>
      <c r="B204" s="209"/>
      <c r="C204" s="209"/>
      <c r="D204" s="209"/>
      <c r="E204" s="207"/>
      <c r="F204" s="270"/>
      <c r="G204" s="207"/>
      <c r="H204" s="209"/>
      <c r="I204" s="208"/>
      <c r="J204" s="228"/>
      <c r="K204" s="229"/>
      <c r="L204" s="206"/>
      <c r="M204" s="211"/>
      <c r="N204" s="211"/>
      <c r="O204" s="20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</row>
    <row r="205" spans="1:45" s="116" customFormat="1" ht="15" customHeight="1" x14ac:dyDescent="0.25">
      <c r="A205" s="205"/>
      <c r="B205" s="209"/>
      <c r="C205" s="209"/>
      <c r="D205" s="209"/>
      <c r="E205" s="207"/>
      <c r="F205" s="270"/>
      <c r="G205" s="207"/>
      <c r="H205" s="209"/>
      <c r="I205" s="208"/>
      <c r="J205" s="228"/>
      <c r="K205" s="229"/>
      <c r="L205" s="206"/>
      <c r="M205" s="211"/>
      <c r="N205" s="211"/>
      <c r="O205" s="20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</row>
    <row r="206" spans="1:45" s="196" customFormat="1" ht="15" customHeight="1" x14ac:dyDescent="0.25">
      <c r="A206" s="205"/>
      <c r="B206" s="209"/>
      <c r="C206" s="209"/>
      <c r="D206" s="209"/>
      <c r="E206" s="207"/>
      <c r="F206" s="270"/>
      <c r="G206" s="207"/>
      <c r="H206" s="209"/>
      <c r="I206" s="208"/>
      <c r="J206" s="243"/>
      <c r="K206" s="229"/>
      <c r="L206" s="206"/>
      <c r="M206" s="3"/>
      <c r="N206" s="211"/>
      <c r="O206" s="206"/>
    </row>
    <row r="207" spans="1:45" s="196" customFormat="1" ht="15" customHeight="1" x14ac:dyDescent="0.25">
      <c r="A207" s="205"/>
      <c r="B207" s="209"/>
      <c r="C207" s="209"/>
      <c r="D207" s="209"/>
      <c r="E207" s="207"/>
      <c r="F207" s="270"/>
      <c r="G207" s="207"/>
      <c r="H207" s="209"/>
      <c r="I207" s="208"/>
      <c r="J207" s="228"/>
      <c r="K207" s="240"/>
      <c r="L207" s="206"/>
      <c r="M207" s="206"/>
      <c r="N207" s="211"/>
      <c r="O207" s="20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</row>
    <row r="208" spans="1:45" s="116" customFormat="1" ht="15" customHeight="1" x14ac:dyDescent="0.25">
      <c r="A208" s="205"/>
      <c r="B208" s="209"/>
      <c r="C208" s="209"/>
      <c r="D208" s="209"/>
      <c r="E208" s="207"/>
      <c r="F208" s="270"/>
      <c r="G208" s="207"/>
      <c r="H208" s="209"/>
      <c r="I208" s="208"/>
      <c r="J208" s="227"/>
      <c r="K208" s="229"/>
      <c r="L208" s="206"/>
      <c r="M208" s="3"/>
      <c r="N208" s="211"/>
      <c r="O208" s="20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</row>
    <row r="209" spans="1:45" s="196" customFormat="1" ht="15" customHeight="1" x14ac:dyDescent="0.25">
      <c r="A209" s="205"/>
      <c r="B209" s="209"/>
      <c r="C209" s="209"/>
      <c r="D209" s="209"/>
      <c r="E209" s="207"/>
      <c r="F209" s="270"/>
      <c r="G209" s="207"/>
      <c r="H209" s="209"/>
      <c r="I209" s="208"/>
      <c r="J209" s="228"/>
      <c r="K209" s="229"/>
      <c r="L209" s="206"/>
      <c r="M209" s="206"/>
      <c r="N209" s="211"/>
      <c r="O209" s="206"/>
    </row>
    <row r="210" spans="1:45" s="196" customFormat="1" ht="15.75" x14ac:dyDescent="0.25">
      <c r="A210" s="205"/>
      <c r="B210" s="210"/>
      <c r="C210" s="209"/>
      <c r="D210" s="210"/>
      <c r="E210" s="207"/>
      <c r="F210" s="270"/>
      <c r="G210" s="215"/>
      <c r="H210" s="209"/>
      <c r="I210" s="208"/>
      <c r="J210" s="228"/>
      <c r="K210" s="229"/>
      <c r="L210" s="206"/>
      <c r="M210" s="206"/>
      <c r="N210" s="211"/>
      <c r="O210" s="20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</row>
    <row r="211" spans="1:45" s="116" customFormat="1" ht="16.5" x14ac:dyDescent="0.25">
      <c r="A211" s="205"/>
      <c r="B211" s="210"/>
      <c r="C211" s="209"/>
      <c r="D211" s="210"/>
      <c r="E211" s="207"/>
      <c r="F211" s="270"/>
      <c r="G211" s="215"/>
      <c r="H211" s="209"/>
      <c r="I211" s="208"/>
      <c r="J211" s="244"/>
      <c r="K211" s="229"/>
      <c r="L211" s="206"/>
      <c r="M211" s="211"/>
      <c r="N211" s="211"/>
      <c r="O211" s="206"/>
    </row>
    <row r="212" spans="1:45" s="196" customFormat="1" ht="15.75" x14ac:dyDescent="0.25">
      <c r="A212" s="205"/>
      <c r="B212" s="210"/>
      <c r="C212" s="209"/>
      <c r="D212" s="213"/>
      <c r="E212" s="207"/>
      <c r="F212" s="270"/>
      <c r="G212" s="207"/>
      <c r="H212" s="209"/>
      <c r="I212" s="208"/>
      <c r="J212" s="228"/>
      <c r="K212" s="229"/>
      <c r="L212" s="206"/>
      <c r="M212" s="211"/>
      <c r="N212" s="211"/>
      <c r="O212" s="20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</row>
    <row r="213" spans="1:45" s="196" customFormat="1" ht="16.5" customHeight="1" x14ac:dyDescent="0.25">
      <c r="A213" s="205"/>
      <c r="B213" s="210"/>
      <c r="C213" s="209"/>
      <c r="D213" s="206"/>
      <c r="E213" s="207"/>
      <c r="F213" s="270"/>
      <c r="G213" s="207"/>
      <c r="H213" s="210"/>
      <c r="I213" s="208"/>
      <c r="J213" s="228"/>
      <c r="K213" s="229"/>
      <c r="L213" s="206"/>
      <c r="M213" s="206"/>
      <c r="N213" s="211"/>
      <c r="O213" s="20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</row>
    <row r="214" spans="1:45" s="116" customFormat="1" ht="15.75" x14ac:dyDescent="0.25">
      <c r="A214" s="205"/>
      <c r="B214" s="210"/>
      <c r="C214" s="209"/>
      <c r="D214" s="206"/>
      <c r="E214" s="207"/>
      <c r="F214" s="270"/>
      <c r="G214" s="207"/>
      <c r="H214" s="210"/>
      <c r="I214" s="208"/>
      <c r="J214" s="228"/>
      <c r="K214" s="229"/>
      <c r="L214" s="206"/>
      <c r="M214" s="211"/>
      <c r="N214" s="211"/>
      <c r="O214" s="206"/>
    </row>
    <row r="215" spans="1:45" s="116" customFormat="1" ht="15.75" x14ac:dyDescent="0.25">
      <c r="A215" s="205"/>
      <c r="B215" s="212"/>
      <c r="C215" s="209"/>
      <c r="D215" s="209"/>
      <c r="E215" s="207"/>
      <c r="F215" s="270"/>
      <c r="G215" s="207"/>
      <c r="H215" s="210"/>
      <c r="I215" s="208"/>
      <c r="J215" s="227"/>
      <c r="K215" s="229"/>
      <c r="L215" s="206"/>
      <c r="M215" s="3"/>
      <c r="N215" s="211"/>
      <c r="O215" s="206"/>
    </row>
    <row r="216" spans="1:45" s="116" customFormat="1" ht="15" customHeight="1" x14ac:dyDescent="0.25">
      <c r="A216" s="205"/>
      <c r="B216" s="209"/>
      <c r="C216" s="209"/>
      <c r="D216" s="209"/>
      <c r="E216" s="207"/>
      <c r="F216" s="270"/>
      <c r="G216" s="207"/>
      <c r="H216" s="209"/>
      <c r="I216" s="208"/>
      <c r="J216" s="243"/>
      <c r="K216" s="229"/>
      <c r="L216" s="206"/>
      <c r="M216" s="206"/>
      <c r="N216" s="211"/>
      <c r="O216" s="20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</row>
    <row r="217" spans="1:45" s="196" customFormat="1" ht="15" customHeight="1" x14ac:dyDescent="0.25">
      <c r="A217" s="205"/>
      <c r="B217" s="209"/>
      <c r="C217" s="209"/>
      <c r="D217" s="209"/>
      <c r="E217" s="207"/>
      <c r="F217" s="270"/>
      <c r="G217" s="207"/>
      <c r="H217" s="209"/>
      <c r="I217" s="208"/>
      <c r="J217" s="243"/>
      <c r="K217" s="229"/>
      <c r="L217" s="206"/>
      <c r="M217" s="3"/>
      <c r="N217" s="211"/>
      <c r="O217" s="206"/>
    </row>
    <row r="218" spans="1:45" s="116" customFormat="1" ht="15" customHeight="1" x14ac:dyDescent="0.25">
      <c r="A218" s="205"/>
      <c r="B218" s="209"/>
      <c r="C218" s="209"/>
      <c r="D218" s="209"/>
      <c r="E218" s="207"/>
      <c r="F218" s="270"/>
      <c r="G218" s="207"/>
      <c r="H218" s="209"/>
      <c r="I218" s="208"/>
      <c r="J218" s="228"/>
      <c r="K218" s="240"/>
      <c r="L218" s="206"/>
      <c r="M218" s="211"/>
      <c r="N218" s="211"/>
      <c r="O218" s="20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</row>
    <row r="219" spans="1:45" s="196" customFormat="1" ht="15" customHeight="1" x14ac:dyDescent="0.25">
      <c r="A219" s="205"/>
      <c r="B219" s="209"/>
      <c r="C219" s="209"/>
      <c r="D219" s="209"/>
      <c r="E219" s="207"/>
      <c r="F219" s="270"/>
      <c r="G219" s="207"/>
      <c r="H219" s="209"/>
      <c r="I219" s="208"/>
      <c r="J219" s="228"/>
      <c r="K219" s="229"/>
      <c r="L219" s="206"/>
      <c r="M219" s="211"/>
      <c r="N219" s="211"/>
      <c r="O219" s="206"/>
    </row>
    <row r="220" spans="1:45" s="116" customFormat="1" ht="15" customHeight="1" x14ac:dyDescent="0.25">
      <c r="A220" s="205"/>
      <c r="B220" s="209"/>
      <c r="C220" s="209"/>
      <c r="D220" s="209"/>
      <c r="E220" s="207"/>
      <c r="F220" s="270"/>
      <c r="G220" s="207"/>
      <c r="H220" s="209"/>
      <c r="I220" s="208"/>
      <c r="J220" s="228"/>
      <c r="K220" s="229"/>
      <c r="L220" s="206"/>
      <c r="M220" s="206"/>
      <c r="N220" s="211"/>
      <c r="O220" s="20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</row>
    <row r="221" spans="1:45" s="116" customFormat="1" ht="15" customHeight="1" x14ac:dyDescent="0.25">
      <c r="A221" s="205"/>
      <c r="B221" s="209"/>
      <c r="C221" s="209"/>
      <c r="D221" s="209"/>
      <c r="E221" s="207"/>
      <c r="F221" s="270"/>
      <c r="G221" s="207"/>
      <c r="H221" s="209"/>
      <c r="I221" s="208"/>
      <c r="J221" s="228"/>
      <c r="K221" s="229"/>
      <c r="L221" s="206"/>
      <c r="M221" s="211"/>
      <c r="N221" s="211"/>
      <c r="O221" s="20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</row>
    <row r="222" spans="1:45" s="196" customFormat="1" ht="15" customHeight="1" x14ac:dyDescent="0.25">
      <c r="A222" s="205"/>
      <c r="B222" s="212"/>
      <c r="C222" s="218"/>
      <c r="D222" s="216"/>
      <c r="E222" s="207"/>
      <c r="F222" s="270"/>
      <c r="G222" s="207"/>
      <c r="H222" s="210"/>
      <c r="I222" s="208"/>
      <c r="J222" s="228"/>
      <c r="K222" s="229"/>
      <c r="L222" s="206"/>
      <c r="M222" s="3"/>
      <c r="N222" s="211"/>
      <c r="O222" s="206"/>
    </row>
    <row r="223" spans="1:45" s="196" customFormat="1" ht="15" customHeight="1" x14ac:dyDescent="0.25">
      <c r="A223" s="205"/>
      <c r="B223" s="212"/>
      <c r="C223" s="209"/>
      <c r="D223" s="216"/>
      <c r="E223" s="207"/>
      <c r="F223" s="270"/>
      <c r="G223" s="207"/>
      <c r="H223" s="210"/>
      <c r="I223" s="208"/>
      <c r="J223" s="228"/>
      <c r="K223" s="229"/>
      <c r="L223" s="206"/>
      <c r="M223" s="3"/>
      <c r="N223" s="211"/>
      <c r="O223" s="20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</row>
    <row r="224" spans="1:45" s="116" customFormat="1" ht="15" customHeight="1" x14ac:dyDescent="0.25">
      <c r="A224" s="205"/>
      <c r="B224" s="209"/>
      <c r="C224" s="209"/>
      <c r="D224" s="209"/>
      <c r="E224" s="207"/>
      <c r="F224" s="270"/>
      <c r="G224" s="207"/>
      <c r="H224" s="209"/>
      <c r="I224" s="208"/>
      <c r="J224" s="228"/>
      <c r="K224" s="229"/>
      <c r="L224" s="206"/>
      <c r="M224" s="3"/>
      <c r="N224" s="211"/>
      <c r="O224" s="206"/>
    </row>
    <row r="225" spans="1:45" s="116" customFormat="1" ht="15" customHeight="1" x14ac:dyDescent="0.25">
      <c r="A225" s="205"/>
      <c r="B225" s="209"/>
      <c r="C225" s="209"/>
      <c r="D225" s="209"/>
      <c r="E225" s="207"/>
      <c r="F225" s="270"/>
      <c r="G225" s="207"/>
      <c r="H225" s="209"/>
      <c r="I225" s="208"/>
      <c r="J225" s="228"/>
      <c r="K225" s="229"/>
      <c r="L225" s="206"/>
      <c r="M225" s="206"/>
      <c r="N225" s="211"/>
      <c r="O225" s="206"/>
    </row>
    <row r="226" spans="1:45" s="196" customFormat="1" ht="15" customHeight="1" x14ac:dyDescent="0.25">
      <c r="A226" s="205"/>
      <c r="B226" s="209"/>
      <c r="C226" s="209"/>
      <c r="D226" s="209"/>
      <c r="E226" s="207"/>
      <c r="F226" s="270"/>
      <c r="G226" s="207"/>
      <c r="H226" s="209"/>
      <c r="I226" s="208"/>
      <c r="J226" s="228"/>
      <c r="K226" s="229"/>
      <c r="L226" s="206"/>
      <c r="M226" s="206"/>
      <c r="N226" s="211"/>
      <c r="O226" s="20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</row>
    <row r="227" spans="1:45" s="116" customFormat="1" ht="15" customHeight="1" x14ac:dyDescent="0.25">
      <c r="A227" s="205"/>
      <c r="B227" s="209"/>
      <c r="C227" s="209"/>
      <c r="D227" s="213"/>
      <c r="E227" s="207"/>
      <c r="F227" s="270"/>
      <c r="G227" s="207"/>
      <c r="H227" s="209"/>
      <c r="I227" s="208"/>
      <c r="J227" s="228"/>
      <c r="K227" s="229"/>
      <c r="L227" s="206"/>
      <c r="M227" s="206"/>
      <c r="N227" s="211"/>
      <c r="O227" s="206"/>
    </row>
    <row r="228" spans="1:45" s="196" customFormat="1" ht="15" customHeight="1" x14ac:dyDescent="0.25">
      <c r="A228" s="205"/>
      <c r="B228" s="209"/>
      <c r="C228" s="209"/>
      <c r="D228" s="209"/>
      <c r="E228" s="207"/>
      <c r="F228" s="270"/>
      <c r="G228" s="207"/>
      <c r="H228" s="209"/>
      <c r="I228" s="208"/>
      <c r="J228" s="227"/>
      <c r="K228" s="229"/>
      <c r="L228" s="206"/>
      <c r="M228" s="206"/>
      <c r="N228" s="211"/>
      <c r="O228" s="20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</row>
    <row r="229" spans="1:45" s="116" customFormat="1" ht="15" customHeight="1" x14ac:dyDescent="0.25">
      <c r="A229" s="205"/>
      <c r="B229" s="209"/>
      <c r="C229" s="209"/>
      <c r="D229" s="209"/>
      <c r="E229" s="207"/>
      <c r="F229" s="270"/>
      <c r="G229" s="207"/>
      <c r="H229" s="210"/>
      <c r="I229" s="208"/>
      <c r="J229" s="228"/>
      <c r="K229" s="229"/>
      <c r="L229" s="206"/>
      <c r="M229" s="206"/>
      <c r="N229" s="211"/>
      <c r="O229" s="206"/>
    </row>
    <row r="230" spans="1:45" s="116" customFormat="1" ht="15" customHeight="1" x14ac:dyDescent="0.25">
      <c r="A230" s="205"/>
      <c r="B230" s="210"/>
      <c r="C230" s="210"/>
      <c r="D230" s="213"/>
      <c r="E230" s="207"/>
      <c r="F230" s="270"/>
      <c r="G230" s="207"/>
      <c r="H230" s="210"/>
      <c r="I230" s="208"/>
      <c r="J230" s="228"/>
      <c r="K230" s="229"/>
      <c r="L230" s="206"/>
      <c r="M230" s="3"/>
      <c r="N230" s="211"/>
      <c r="O230" s="206"/>
    </row>
    <row r="231" spans="1:45" s="116" customFormat="1" ht="15" customHeight="1" x14ac:dyDescent="0.25">
      <c r="A231" s="205"/>
      <c r="B231" s="210"/>
      <c r="C231" s="210"/>
      <c r="D231" s="213"/>
      <c r="E231" s="207"/>
      <c r="F231" s="270"/>
      <c r="G231" s="207"/>
      <c r="H231" s="210"/>
      <c r="I231" s="208"/>
      <c r="J231" s="228"/>
      <c r="K231" s="229"/>
      <c r="L231" s="206"/>
      <c r="M231" s="3"/>
      <c r="N231" s="211"/>
      <c r="O231" s="206"/>
    </row>
    <row r="232" spans="1:45" s="116" customFormat="1" ht="15" customHeight="1" x14ac:dyDescent="0.25">
      <c r="A232" s="205"/>
      <c r="B232" s="212"/>
      <c r="C232" s="218"/>
      <c r="D232" s="209"/>
      <c r="E232" s="207"/>
      <c r="F232" s="270"/>
      <c r="G232" s="207"/>
      <c r="H232" s="210"/>
      <c r="I232" s="208"/>
      <c r="J232" s="228"/>
      <c r="K232" s="229"/>
      <c r="L232" s="206"/>
      <c r="M232" s="3"/>
      <c r="N232" s="211"/>
      <c r="O232" s="20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6"/>
      <c r="AS232" s="196"/>
    </row>
    <row r="233" spans="1:45" s="116" customFormat="1" ht="15" customHeight="1" x14ac:dyDescent="0.25">
      <c r="A233" s="205"/>
      <c r="B233" s="212"/>
      <c r="C233" s="218"/>
      <c r="D233" s="209"/>
      <c r="E233" s="207"/>
      <c r="F233" s="270"/>
      <c r="G233" s="207"/>
      <c r="H233" s="210"/>
      <c r="I233" s="208"/>
      <c r="J233" s="228"/>
      <c r="K233" s="229"/>
      <c r="L233" s="206"/>
      <c r="M233" s="3"/>
      <c r="N233" s="211"/>
      <c r="O233" s="20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  <c r="AN233" s="196"/>
      <c r="AO233" s="196"/>
      <c r="AP233" s="196"/>
      <c r="AQ233" s="196"/>
      <c r="AR233" s="196"/>
      <c r="AS233" s="196"/>
    </row>
    <row r="234" spans="1:45" s="116" customFormat="1" ht="15" customHeight="1" x14ac:dyDescent="0.25">
      <c r="A234" s="205"/>
      <c r="B234" s="212"/>
      <c r="C234" s="218"/>
      <c r="D234" s="209"/>
      <c r="E234" s="207"/>
      <c r="F234" s="270"/>
      <c r="G234" s="207"/>
      <c r="H234" s="210"/>
      <c r="I234" s="208"/>
      <c r="J234" s="228"/>
      <c r="K234" s="229"/>
      <c r="L234" s="206"/>
      <c r="M234" s="3"/>
      <c r="N234" s="211"/>
      <c r="O234" s="20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196"/>
    </row>
    <row r="235" spans="1:45" s="116" customFormat="1" ht="15" customHeight="1" x14ac:dyDescent="0.25">
      <c r="A235" s="205"/>
      <c r="B235" s="212"/>
      <c r="C235" s="218"/>
      <c r="D235" s="213"/>
      <c r="E235" s="207"/>
      <c r="F235" s="270"/>
      <c r="G235" s="207"/>
      <c r="H235" s="210"/>
      <c r="I235" s="208"/>
      <c r="J235" s="228"/>
      <c r="K235" s="229"/>
      <c r="L235" s="206"/>
      <c r="M235" s="3"/>
      <c r="N235" s="211"/>
      <c r="O235" s="206"/>
    </row>
    <row r="236" spans="1:45" s="116" customFormat="1" ht="15" customHeight="1" x14ac:dyDescent="0.25">
      <c r="A236" s="205"/>
      <c r="B236" s="212"/>
      <c r="C236" s="209"/>
      <c r="D236" s="213"/>
      <c r="E236" s="207"/>
      <c r="F236" s="270"/>
      <c r="G236" s="207"/>
      <c r="H236" s="210"/>
      <c r="I236" s="208"/>
      <c r="J236" s="228"/>
      <c r="K236" s="229"/>
      <c r="L236" s="206"/>
      <c r="M236" s="3"/>
      <c r="N236" s="211"/>
      <c r="O236" s="206"/>
    </row>
    <row r="237" spans="1:45" s="116" customFormat="1" ht="16.5" customHeight="1" x14ac:dyDescent="0.25">
      <c r="A237" s="205"/>
      <c r="B237" s="212"/>
      <c r="C237" s="209"/>
      <c r="D237" s="216"/>
      <c r="E237" s="207"/>
      <c r="F237" s="270"/>
      <c r="G237" s="207"/>
      <c r="H237" s="210"/>
      <c r="I237" s="208"/>
      <c r="J237" s="228"/>
      <c r="K237" s="229"/>
      <c r="L237" s="206"/>
      <c r="M237" s="3"/>
      <c r="N237" s="211"/>
      <c r="O237" s="20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196"/>
    </row>
    <row r="238" spans="1:45" s="116" customFormat="1" ht="15" customHeight="1" x14ac:dyDescent="0.25">
      <c r="A238" s="205"/>
      <c r="B238" s="212"/>
      <c r="C238" s="209"/>
      <c r="D238" s="216"/>
      <c r="E238" s="207"/>
      <c r="F238" s="270"/>
      <c r="G238" s="207"/>
      <c r="H238" s="210"/>
      <c r="I238" s="208"/>
      <c r="J238" s="228"/>
      <c r="K238" s="229"/>
      <c r="L238" s="206"/>
      <c r="M238" s="3"/>
      <c r="N238" s="211"/>
      <c r="O238" s="206"/>
    </row>
    <row r="239" spans="1:45" s="116" customFormat="1" ht="15" customHeight="1" x14ac:dyDescent="0.25">
      <c r="A239" s="205"/>
      <c r="B239" s="212"/>
      <c r="C239" s="209"/>
      <c r="D239" s="209"/>
      <c r="E239" s="207"/>
      <c r="F239" s="270"/>
      <c r="G239" s="207"/>
      <c r="H239" s="210"/>
      <c r="I239" s="208"/>
      <c r="J239" s="228"/>
      <c r="K239" s="229"/>
      <c r="L239" s="206"/>
      <c r="M239" s="3"/>
      <c r="N239" s="211"/>
      <c r="O239" s="206"/>
    </row>
    <row r="240" spans="1:45" s="196" customFormat="1" ht="15" customHeight="1" x14ac:dyDescent="0.25">
      <c r="A240" s="205"/>
      <c r="B240" s="209"/>
      <c r="C240" s="209"/>
      <c r="D240" s="209"/>
      <c r="E240" s="207"/>
      <c r="F240" s="270"/>
      <c r="G240" s="207"/>
      <c r="H240" s="209"/>
      <c r="I240" s="208"/>
      <c r="J240" s="228"/>
      <c r="K240" s="229"/>
      <c r="L240" s="206"/>
      <c r="M240" s="211"/>
      <c r="N240" s="211"/>
      <c r="O240" s="206"/>
    </row>
    <row r="241" spans="1:45" s="196" customFormat="1" ht="15" customHeight="1" x14ac:dyDescent="0.25">
      <c r="A241" s="205"/>
      <c r="B241" s="209"/>
      <c r="C241" s="209"/>
      <c r="D241" s="209"/>
      <c r="E241" s="207"/>
      <c r="F241" s="270"/>
      <c r="G241" s="207"/>
      <c r="H241" s="209"/>
      <c r="I241" s="208"/>
      <c r="J241" s="228"/>
      <c r="K241" s="229"/>
      <c r="L241" s="206"/>
      <c r="M241" s="206"/>
      <c r="N241" s="211"/>
      <c r="O241" s="20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</row>
    <row r="242" spans="1:45" s="196" customFormat="1" ht="15" customHeight="1" x14ac:dyDescent="0.25">
      <c r="A242" s="205"/>
      <c r="B242" s="209"/>
      <c r="C242" s="209"/>
      <c r="D242" s="209"/>
      <c r="E242" s="207"/>
      <c r="F242" s="270"/>
      <c r="G242" s="207"/>
      <c r="H242" s="209"/>
      <c r="I242" s="208"/>
      <c r="J242" s="228"/>
      <c r="K242" s="229"/>
      <c r="L242" s="206"/>
      <c r="M242" s="206"/>
      <c r="N242" s="211"/>
      <c r="O242" s="20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</row>
    <row r="243" spans="1:45" s="116" customFormat="1" ht="15" customHeight="1" x14ac:dyDescent="0.25">
      <c r="A243" s="205"/>
      <c r="B243" s="209"/>
      <c r="C243" s="209"/>
      <c r="D243" s="209"/>
      <c r="E243" s="207"/>
      <c r="F243" s="270"/>
      <c r="G243" s="207"/>
      <c r="H243" s="209"/>
      <c r="I243" s="208"/>
      <c r="J243" s="228"/>
      <c r="K243" s="229"/>
      <c r="L243" s="206"/>
      <c r="M243" s="206"/>
      <c r="N243" s="211"/>
      <c r="O243" s="206"/>
    </row>
    <row r="244" spans="1:45" s="116" customFormat="1" ht="15" customHeight="1" x14ac:dyDescent="0.25">
      <c r="A244" s="205"/>
      <c r="B244" s="210"/>
      <c r="C244" s="210"/>
      <c r="D244" s="213"/>
      <c r="E244" s="207"/>
      <c r="F244" s="270"/>
      <c r="G244" s="207"/>
      <c r="H244" s="209"/>
      <c r="I244" s="208"/>
      <c r="J244" s="228"/>
      <c r="K244" s="229"/>
      <c r="L244" s="206"/>
      <c r="M244" s="211"/>
      <c r="N244" s="211"/>
      <c r="O244" s="211"/>
    </row>
    <row r="245" spans="1:45" s="116" customFormat="1" ht="15" customHeight="1" x14ac:dyDescent="0.25">
      <c r="A245" s="205"/>
      <c r="B245" s="209"/>
      <c r="C245" s="209"/>
      <c r="D245" s="209"/>
      <c r="E245" s="207"/>
      <c r="F245" s="270"/>
      <c r="G245" s="207"/>
      <c r="H245" s="209"/>
      <c r="I245" s="208"/>
      <c r="J245" s="228"/>
      <c r="K245" s="229"/>
      <c r="L245" s="206"/>
      <c r="M245" s="3"/>
      <c r="N245" s="211"/>
      <c r="O245" s="20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6"/>
    </row>
    <row r="246" spans="1:45" s="196" customFormat="1" ht="15" customHeight="1" x14ac:dyDescent="0.25">
      <c r="A246" s="205"/>
      <c r="B246" s="209"/>
      <c r="C246" s="209"/>
      <c r="D246" s="209"/>
      <c r="E246" s="207"/>
      <c r="F246" s="270"/>
      <c r="G246" s="207"/>
      <c r="H246" s="209"/>
      <c r="I246" s="208"/>
      <c r="J246" s="243"/>
      <c r="K246" s="229"/>
      <c r="L246" s="206"/>
      <c r="M246" s="211"/>
      <c r="N246" s="211"/>
      <c r="O246" s="20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</row>
    <row r="247" spans="1:45" s="196" customFormat="1" ht="15" customHeight="1" x14ac:dyDescent="0.25">
      <c r="A247" s="205"/>
      <c r="B247" s="209"/>
      <c r="C247" s="209"/>
      <c r="D247" s="209"/>
      <c r="E247" s="207"/>
      <c r="F247" s="270"/>
      <c r="G247" s="207"/>
      <c r="H247" s="209"/>
      <c r="I247" s="208"/>
      <c r="J247" s="228"/>
      <c r="K247" s="229"/>
      <c r="L247" s="206"/>
      <c r="M247" s="206"/>
      <c r="N247" s="211"/>
      <c r="O247" s="20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</row>
    <row r="248" spans="1:45" s="196" customFormat="1" ht="15" customHeight="1" x14ac:dyDescent="0.25">
      <c r="A248" s="205"/>
      <c r="B248" s="209"/>
      <c r="C248" s="209"/>
      <c r="D248" s="209"/>
      <c r="E248" s="207"/>
      <c r="F248" s="270"/>
      <c r="G248" s="207"/>
      <c r="H248" s="209"/>
      <c r="I248" s="208"/>
      <c r="J248" s="228"/>
      <c r="K248" s="229"/>
      <c r="L248" s="206"/>
      <c r="M248" s="206"/>
      <c r="N248" s="211"/>
      <c r="O248" s="20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</row>
    <row r="249" spans="1:45" s="116" customFormat="1" ht="15" customHeight="1" x14ac:dyDescent="0.25">
      <c r="A249" s="205"/>
      <c r="B249" s="209"/>
      <c r="C249" s="209"/>
      <c r="D249" s="209"/>
      <c r="E249" s="207"/>
      <c r="F249" s="270"/>
      <c r="G249" s="207"/>
      <c r="H249" s="209"/>
      <c r="I249" s="208"/>
      <c r="J249" s="243"/>
      <c r="K249" s="229"/>
      <c r="L249" s="206"/>
      <c r="M249" s="3"/>
      <c r="N249" s="211"/>
      <c r="O249" s="206"/>
    </row>
    <row r="250" spans="1:45" s="116" customFormat="1" ht="15" customHeight="1" x14ac:dyDescent="0.25">
      <c r="A250" s="205"/>
      <c r="B250" s="209"/>
      <c r="C250" s="209"/>
      <c r="D250" s="209"/>
      <c r="E250" s="207"/>
      <c r="F250" s="270"/>
      <c r="G250" s="207"/>
      <c r="H250" s="209"/>
      <c r="I250" s="208"/>
      <c r="J250" s="228"/>
      <c r="K250" s="229"/>
      <c r="L250" s="206"/>
      <c r="M250" s="206"/>
      <c r="N250" s="211"/>
      <c r="O250" s="206"/>
    </row>
    <row r="251" spans="1:45" s="196" customFormat="1" ht="15" customHeight="1" x14ac:dyDescent="0.25">
      <c r="A251" s="205"/>
      <c r="B251" s="209"/>
      <c r="C251" s="209"/>
      <c r="D251" s="209"/>
      <c r="E251" s="207"/>
      <c r="F251" s="270"/>
      <c r="G251" s="207"/>
      <c r="H251" s="209"/>
      <c r="I251" s="208"/>
      <c r="J251" s="228"/>
      <c r="K251" s="229"/>
      <c r="L251" s="206"/>
      <c r="M251" s="211"/>
      <c r="N251" s="211"/>
      <c r="O251" s="20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</row>
    <row r="252" spans="1:45" s="196" customFormat="1" ht="15" customHeight="1" x14ac:dyDescent="0.25">
      <c r="A252" s="205"/>
      <c r="B252" s="209"/>
      <c r="C252" s="209"/>
      <c r="D252" s="209"/>
      <c r="E252" s="207"/>
      <c r="F252" s="270"/>
      <c r="G252" s="207"/>
      <c r="H252" s="209"/>
      <c r="I252" s="208"/>
      <c r="J252" s="228"/>
      <c r="K252" s="229"/>
      <c r="L252" s="206"/>
      <c r="M252" s="211"/>
      <c r="N252" s="211"/>
      <c r="O252" s="206"/>
    </row>
    <row r="253" spans="1:45" s="116" customFormat="1" ht="15" customHeight="1" x14ac:dyDescent="0.25">
      <c r="A253" s="205"/>
      <c r="B253" s="209"/>
      <c r="C253" s="209"/>
      <c r="D253" s="209"/>
      <c r="E253" s="207"/>
      <c r="F253" s="270"/>
      <c r="G253" s="207"/>
      <c r="H253" s="209"/>
      <c r="I253" s="208"/>
      <c r="J253" s="228"/>
      <c r="K253" s="229"/>
      <c r="L253" s="206"/>
      <c r="M253" s="206"/>
      <c r="N253" s="211"/>
      <c r="O253" s="20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</row>
    <row r="254" spans="1:45" s="116" customFormat="1" ht="15" customHeight="1" x14ac:dyDescent="0.25">
      <c r="A254" s="205"/>
      <c r="B254" s="209"/>
      <c r="C254" s="209"/>
      <c r="D254" s="209"/>
      <c r="E254" s="207"/>
      <c r="F254" s="270"/>
      <c r="G254" s="207"/>
      <c r="H254" s="209"/>
      <c r="I254" s="208"/>
      <c r="J254" s="228"/>
      <c r="K254" s="229"/>
      <c r="L254" s="206"/>
      <c r="M254" s="206"/>
      <c r="N254" s="211"/>
      <c r="O254" s="20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</row>
    <row r="255" spans="1:45" s="116" customFormat="1" ht="15" customHeight="1" x14ac:dyDescent="0.25">
      <c r="A255" s="205"/>
      <c r="B255" s="209"/>
      <c r="C255" s="209"/>
      <c r="D255" s="209"/>
      <c r="E255" s="207"/>
      <c r="F255" s="270"/>
      <c r="G255" s="207"/>
      <c r="H255" s="209"/>
      <c r="I255" s="208"/>
      <c r="J255" s="228"/>
      <c r="K255" s="229"/>
      <c r="L255" s="206"/>
      <c r="M255" s="206"/>
      <c r="N255" s="211"/>
      <c r="O255" s="20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</row>
    <row r="256" spans="1:45" s="116" customFormat="1" ht="15" customHeight="1" x14ac:dyDescent="0.25">
      <c r="A256" s="205"/>
      <c r="B256" s="209"/>
      <c r="C256" s="209"/>
      <c r="D256" s="209"/>
      <c r="E256" s="207"/>
      <c r="F256" s="270"/>
      <c r="G256" s="207"/>
      <c r="H256" s="209"/>
      <c r="I256" s="208"/>
      <c r="J256" s="228"/>
      <c r="K256" s="229"/>
      <c r="L256" s="206"/>
      <c r="M256" s="3"/>
      <c r="N256" s="211"/>
      <c r="O256" s="206"/>
    </row>
    <row r="257" spans="1:45" s="116" customFormat="1" ht="15" customHeight="1" x14ac:dyDescent="0.25">
      <c r="A257" s="205"/>
      <c r="B257" s="209"/>
      <c r="C257" s="209"/>
      <c r="D257" s="209"/>
      <c r="E257" s="207"/>
      <c r="F257" s="270"/>
      <c r="G257" s="207"/>
      <c r="H257" s="209"/>
      <c r="I257" s="208"/>
      <c r="J257" s="228"/>
      <c r="K257" s="229"/>
      <c r="L257" s="206"/>
      <c r="M257" s="3"/>
      <c r="N257" s="211"/>
      <c r="O257" s="206"/>
    </row>
    <row r="258" spans="1:45" s="116" customFormat="1" ht="15" customHeight="1" x14ac:dyDescent="0.25">
      <c r="A258" s="205"/>
      <c r="B258" s="209"/>
      <c r="C258" s="209"/>
      <c r="D258" s="209"/>
      <c r="E258" s="207"/>
      <c r="F258" s="270"/>
      <c r="G258" s="207"/>
      <c r="H258" s="209"/>
      <c r="I258" s="208"/>
      <c r="J258" s="228"/>
      <c r="K258" s="229"/>
      <c r="L258" s="206"/>
      <c r="M258" s="3"/>
      <c r="N258" s="211"/>
      <c r="O258" s="206"/>
    </row>
    <row r="259" spans="1:45" s="116" customFormat="1" ht="15" customHeight="1" x14ac:dyDescent="0.25">
      <c r="A259" s="205"/>
      <c r="B259" s="209"/>
      <c r="C259" s="209"/>
      <c r="D259" s="209"/>
      <c r="E259" s="207"/>
      <c r="F259" s="270"/>
      <c r="G259" s="207"/>
      <c r="H259" s="209"/>
      <c r="I259" s="208"/>
      <c r="J259" s="228"/>
      <c r="K259" s="229"/>
      <c r="L259" s="206"/>
      <c r="M259" s="3"/>
      <c r="N259" s="211"/>
      <c r="O259" s="206"/>
    </row>
    <row r="260" spans="1:45" s="196" customFormat="1" ht="15" customHeight="1" x14ac:dyDescent="0.25">
      <c r="A260" s="205"/>
      <c r="B260" s="209"/>
      <c r="C260" s="209"/>
      <c r="D260" s="209"/>
      <c r="E260" s="207"/>
      <c r="F260" s="270"/>
      <c r="G260" s="207"/>
      <c r="H260" s="209"/>
      <c r="I260" s="208"/>
      <c r="J260" s="228"/>
      <c r="K260" s="229"/>
      <c r="L260" s="206"/>
      <c r="M260" s="3"/>
      <c r="N260" s="211"/>
      <c r="O260" s="206"/>
    </row>
    <row r="261" spans="1:45" s="116" customFormat="1" ht="15" customHeight="1" x14ac:dyDescent="0.25">
      <c r="A261" s="205"/>
      <c r="B261" s="209"/>
      <c r="C261" s="209"/>
      <c r="D261" s="209"/>
      <c r="E261" s="207"/>
      <c r="F261" s="270"/>
      <c r="G261" s="207"/>
      <c r="H261" s="209"/>
      <c r="I261" s="208"/>
      <c r="J261" s="228"/>
      <c r="K261" s="229"/>
      <c r="L261" s="206"/>
      <c r="M261" s="211"/>
      <c r="N261" s="211"/>
      <c r="O261" s="206"/>
    </row>
    <row r="262" spans="1:45" s="116" customFormat="1" ht="15" customHeight="1" x14ac:dyDescent="0.25">
      <c r="A262" s="205"/>
      <c r="B262" s="209"/>
      <c r="C262" s="209"/>
      <c r="D262" s="209"/>
      <c r="E262" s="207"/>
      <c r="F262" s="270"/>
      <c r="G262" s="207"/>
      <c r="H262" s="209"/>
      <c r="I262" s="208"/>
      <c r="J262" s="228"/>
      <c r="K262" s="229"/>
      <c r="L262" s="206"/>
      <c r="M262" s="3"/>
      <c r="N262" s="211"/>
      <c r="O262" s="206"/>
    </row>
    <row r="263" spans="1:45" s="116" customFormat="1" ht="15" customHeight="1" x14ac:dyDescent="0.25">
      <c r="A263" s="205"/>
      <c r="B263" s="209"/>
      <c r="C263" s="209"/>
      <c r="D263" s="209"/>
      <c r="E263" s="207"/>
      <c r="F263" s="270"/>
      <c r="G263" s="207"/>
      <c r="H263" s="209"/>
      <c r="I263" s="208"/>
      <c r="J263" s="228"/>
      <c r="K263" s="229"/>
      <c r="L263" s="206"/>
      <c r="M263" s="3"/>
      <c r="N263" s="211"/>
      <c r="O263" s="206"/>
    </row>
    <row r="264" spans="1:45" s="116" customFormat="1" ht="15" customHeight="1" x14ac:dyDescent="0.25">
      <c r="A264" s="205"/>
      <c r="B264" s="209"/>
      <c r="C264" s="209"/>
      <c r="D264" s="209"/>
      <c r="E264" s="207"/>
      <c r="F264" s="270"/>
      <c r="G264" s="207"/>
      <c r="H264" s="209"/>
      <c r="I264" s="208"/>
      <c r="J264" s="228"/>
      <c r="K264" s="229"/>
      <c r="L264" s="206"/>
      <c r="M264" s="211"/>
      <c r="N264" s="211"/>
      <c r="O264" s="20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</row>
    <row r="265" spans="1:45" s="116" customFormat="1" ht="15" customHeight="1" x14ac:dyDescent="0.25">
      <c r="A265" s="205"/>
      <c r="B265" s="210"/>
      <c r="C265" s="210"/>
      <c r="D265" s="210"/>
      <c r="E265" s="207"/>
      <c r="F265" s="270"/>
      <c r="G265" s="207"/>
      <c r="H265" s="209"/>
      <c r="I265" s="208"/>
      <c r="J265" s="228"/>
      <c r="K265" s="229"/>
      <c r="L265" s="206"/>
      <c r="M265" s="206"/>
      <c r="N265" s="211"/>
      <c r="O265" s="206"/>
    </row>
    <row r="266" spans="1:45" s="116" customFormat="1" ht="15" customHeight="1" x14ac:dyDescent="0.25">
      <c r="A266" s="205"/>
      <c r="B266" s="210"/>
      <c r="C266" s="209"/>
      <c r="D266" s="213"/>
      <c r="E266" s="207"/>
      <c r="F266" s="270"/>
      <c r="G266" s="207"/>
      <c r="H266" s="209"/>
      <c r="I266" s="208"/>
      <c r="J266" s="228"/>
      <c r="K266" s="229"/>
      <c r="L266" s="206"/>
      <c r="M266" s="211"/>
      <c r="N266" s="211"/>
      <c r="O266" s="206"/>
    </row>
    <row r="267" spans="1:45" s="116" customFormat="1" ht="15" customHeight="1" x14ac:dyDescent="0.25">
      <c r="A267" s="205"/>
      <c r="B267" s="210"/>
      <c r="C267" s="209"/>
      <c r="D267" s="213"/>
      <c r="E267" s="207"/>
      <c r="F267" s="270"/>
      <c r="G267" s="207"/>
      <c r="H267" s="209"/>
      <c r="I267" s="208"/>
      <c r="J267" s="228"/>
      <c r="K267" s="229"/>
      <c r="L267" s="206"/>
      <c r="M267" s="211"/>
      <c r="N267" s="211"/>
      <c r="O267" s="20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</row>
    <row r="268" spans="1:45" s="196" customFormat="1" ht="15" customHeight="1" x14ac:dyDescent="0.25">
      <c r="A268" s="205"/>
      <c r="B268" s="209"/>
      <c r="C268" s="209"/>
      <c r="D268" s="209"/>
      <c r="E268" s="207"/>
      <c r="F268" s="270"/>
      <c r="G268" s="207"/>
      <c r="H268" s="210"/>
      <c r="I268" s="208"/>
      <c r="J268" s="228"/>
      <c r="K268" s="229"/>
      <c r="L268" s="206"/>
      <c r="M268" s="3"/>
      <c r="N268" s="211"/>
      <c r="O268" s="20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</row>
    <row r="269" spans="1:45" s="196" customFormat="1" ht="15" customHeight="1" x14ac:dyDescent="0.25">
      <c r="A269" s="205"/>
      <c r="B269" s="210"/>
      <c r="C269" s="209"/>
      <c r="D269" s="206"/>
      <c r="E269" s="207"/>
      <c r="F269" s="270"/>
      <c r="G269" s="207"/>
      <c r="H269" s="210"/>
      <c r="I269" s="208"/>
      <c r="J269" s="228"/>
      <c r="K269" s="229"/>
      <c r="L269" s="206"/>
      <c r="M269" s="211"/>
      <c r="N269" s="211"/>
      <c r="O269" s="206"/>
    </row>
    <row r="270" spans="1:45" s="196" customFormat="1" ht="15" customHeight="1" x14ac:dyDescent="0.25">
      <c r="A270" s="205"/>
      <c r="B270" s="209"/>
      <c r="C270" s="209"/>
      <c r="D270" s="209"/>
      <c r="E270" s="207"/>
      <c r="F270" s="270"/>
      <c r="G270" s="207"/>
      <c r="H270" s="209"/>
      <c r="I270" s="208"/>
      <c r="J270" s="228"/>
      <c r="K270" s="229"/>
      <c r="L270" s="206"/>
      <c r="M270" s="211"/>
      <c r="N270" s="211"/>
      <c r="O270" s="206"/>
    </row>
    <row r="271" spans="1:45" s="196" customFormat="1" ht="15" customHeight="1" x14ac:dyDescent="0.25">
      <c r="A271" s="205"/>
      <c r="B271" s="209"/>
      <c r="C271" s="209"/>
      <c r="D271" s="209"/>
      <c r="E271" s="207"/>
      <c r="F271" s="270"/>
      <c r="G271" s="207"/>
      <c r="H271" s="209"/>
      <c r="I271" s="208"/>
      <c r="J271" s="228"/>
      <c r="K271" s="229"/>
      <c r="L271" s="206"/>
      <c r="M271" s="211"/>
      <c r="N271" s="211"/>
      <c r="O271" s="206"/>
    </row>
    <row r="272" spans="1:45" s="116" customFormat="1" ht="15" customHeight="1" x14ac:dyDescent="0.25">
      <c r="A272" s="205"/>
      <c r="B272" s="209"/>
      <c r="C272" s="209"/>
      <c r="D272" s="209"/>
      <c r="E272" s="207"/>
      <c r="F272" s="270"/>
      <c r="G272" s="207"/>
      <c r="H272" s="209"/>
      <c r="I272" s="208"/>
      <c r="J272" s="228"/>
      <c r="K272" s="229"/>
      <c r="L272" s="206"/>
      <c r="M272" s="211"/>
      <c r="N272" s="211"/>
      <c r="O272" s="20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</row>
    <row r="273" spans="1:45" s="116" customFormat="1" ht="15" customHeight="1" x14ac:dyDescent="0.25">
      <c r="A273" s="205"/>
      <c r="B273" s="209"/>
      <c r="C273" s="209"/>
      <c r="D273" s="209"/>
      <c r="E273" s="207"/>
      <c r="F273" s="270"/>
      <c r="G273" s="207"/>
      <c r="H273" s="209"/>
      <c r="I273" s="208"/>
      <c r="J273" s="243"/>
      <c r="K273" s="229"/>
      <c r="L273" s="206"/>
      <c r="M273" s="3"/>
      <c r="N273" s="211"/>
      <c r="O273" s="20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</row>
    <row r="274" spans="1:45" s="196" customFormat="1" ht="15" customHeight="1" x14ac:dyDescent="0.25">
      <c r="A274" s="205"/>
      <c r="B274" s="209"/>
      <c r="C274" s="209"/>
      <c r="D274" s="209"/>
      <c r="E274" s="207"/>
      <c r="F274" s="270"/>
      <c r="G274" s="207"/>
      <c r="H274" s="209"/>
      <c r="I274" s="208"/>
      <c r="J274" s="228"/>
      <c r="K274" s="229"/>
      <c r="L274" s="206"/>
      <c r="M274" s="211"/>
      <c r="N274" s="211"/>
      <c r="O274" s="206"/>
    </row>
    <row r="275" spans="1:45" s="116" customFormat="1" ht="15" customHeight="1" x14ac:dyDescent="0.25">
      <c r="A275" s="205"/>
      <c r="B275" s="209"/>
      <c r="C275" s="209"/>
      <c r="D275" s="209"/>
      <c r="E275" s="207"/>
      <c r="F275" s="270"/>
      <c r="G275" s="207"/>
      <c r="H275" s="209"/>
      <c r="I275" s="208"/>
      <c r="J275" s="228"/>
      <c r="K275" s="229"/>
      <c r="L275" s="206"/>
      <c r="M275" s="211"/>
      <c r="N275" s="211"/>
      <c r="O275" s="20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</row>
    <row r="276" spans="1:45" s="116" customFormat="1" ht="15" customHeight="1" x14ac:dyDescent="0.25">
      <c r="A276" s="205"/>
      <c r="B276" s="209"/>
      <c r="C276" s="209"/>
      <c r="D276" s="209"/>
      <c r="E276" s="207"/>
      <c r="F276" s="270"/>
      <c r="G276" s="207"/>
      <c r="H276" s="209"/>
      <c r="I276" s="208"/>
      <c r="J276" s="228"/>
      <c r="K276" s="229"/>
      <c r="L276" s="206"/>
      <c r="M276" s="206"/>
      <c r="N276" s="211"/>
      <c r="O276" s="206"/>
    </row>
    <row r="277" spans="1:45" s="116" customFormat="1" ht="15" customHeight="1" x14ac:dyDescent="0.25">
      <c r="A277" s="205"/>
      <c r="B277" s="209"/>
      <c r="C277" s="209"/>
      <c r="D277" s="209"/>
      <c r="E277" s="207"/>
      <c r="F277" s="270"/>
      <c r="G277" s="207"/>
      <c r="H277" s="209"/>
      <c r="I277" s="208"/>
      <c r="J277" s="228"/>
      <c r="K277" s="229"/>
      <c r="L277" s="206"/>
      <c r="M277" s="211"/>
      <c r="N277" s="211"/>
      <c r="O277" s="20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</row>
    <row r="278" spans="1:45" s="116" customFormat="1" ht="15" customHeight="1" x14ac:dyDescent="0.25">
      <c r="A278" s="205"/>
      <c r="B278" s="210"/>
      <c r="C278" s="209"/>
      <c r="D278" s="210"/>
      <c r="E278" s="207"/>
      <c r="F278" s="270"/>
      <c r="G278" s="215"/>
      <c r="H278" s="209"/>
      <c r="I278" s="208"/>
      <c r="J278" s="228"/>
      <c r="K278" s="240"/>
      <c r="L278" s="206"/>
      <c r="M278" s="211"/>
      <c r="N278" s="211"/>
      <c r="O278" s="206"/>
    </row>
    <row r="279" spans="1:45" s="116" customFormat="1" ht="15" customHeight="1" x14ac:dyDescent="0.25">
      <c r="A279" s="205"/>
      <c r="B279" s="210"/>
      <c r="C279" s="210"/>
      <c r="D279" s="213"/>
      <c r="E279" s="207"/>
      <c r="F279" s="270"/>
      <c r="G279" s="207"/>
      <c r="H279" s="210"/>
      <c r="I279" s="208"/>
      <c r="J279" s="228"/>
      <c r="K279" s="229"/>
      <c r="L279" s="206"/>
      <c r="M279" s="3"/>
      <c r="N279" s="211"/>
      <c r="O279" s="206"/>
    </row>
    <row r="280" spans="1:45" s="116" customFormat="1" ht="15" customHeight="1" x14ac:dyDescent="0.25">
      <c r="A280" s="205"/>
      <c r="B280" s="210"/>
      <c r="C280" s="210"/>
      <c r="D280" s="213"/>
      <c r="E280" s="207"/>
      <c r="F280" s="270"/>
      <c r="G280" s="207"/>
      <c r="H280" s="210"/>
      <c r="I280" s="208"/>
      <c r="J280" s="228"/>
      <c r="K280" s="229"/>
      <c r="L280" s="206"/>
      <c r="M280" s="211"/>
      <c r="N280" s="211"/>
      <c r="O280" s="206"/>
    </row>
    <row r="281" spans="1:45" s="116" customFormat="1" ht="15" customHeight="1" x14ac:dyDescent="0.25">
      <c r="A281" s="205"/>
      <c r="B281" s="212"/>
      <c r="C281" s="209"/>
      <c r="D281" s="216"/>
      <c r="E281" s="207"/>
      <c r="F281" s="270"/>
      <c r="G281" s="207"/>
      <c r="H281" s="210"/>
      <c r="I281" s="208"/>
      <c r="J281" s="228"/>
      <c r="K281" s="229"/>
      <c r="L281" s="206"/>
      <c r="M281" s="206"/>
      <c r="N281" s="211"/>
      <c r="O281" s="20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</row>
    <row r="282" spans="1:45" s="116" customFormat="1" ht="15" customHeight="1" x14ac:dyDescent="0.25">
      <c r="A282" s="205"/>
      <c r="B282" s="209"/>
      <c r="C282" s="209"/>
      <c r="D282" s="209"/>
      <c r="E282" s="207"/>
      <c r="F282" s="270"/>
      <c r="G282" s="207"/>
      <c r="H282" s="209"/>
      <c r="I282" s="208"/>
      <c r="J282" s="228"/>
      <c r="K282" s="229"/>
      <c r="L282" s="206"/>
      <c r="M282" s="3"/>
      <c r="N282" s="211"/>
      <c r="O282" s="20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</row>
    <row r="283" spans="1:45" s="196" customFormat="1" ht="15" customHeight="1" x14ac:dyDescent="0.25">
      <c r="A283" s="205"/>
      <c r="B283" s="209"/>
      <c r="C283" s="209"/>
      <c r="D283" s="209"/>
      <c r="E283" s="207"/>
      <c r="F283" s="270"/>
      <c r="G283" s="207"/>
      <c r="H283" s="209"/>
      <c r="I283" s="208"/>
      <c r="J283" s="228"/>
      <c r="K283" s="229"/>
      <c r="L283" s="206"/>
      <c r="M283" s="206"/>
      <c r="N283" s="211"/>
      <c r="O283" s="20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  <c r="AS283" s="116"/>
    </row>
    <row r="284" spans="1:45" s="196" customFormat="1" ht="15" customHeight="1" x14ac:dyDescent="0.25">
      <c r="A284" s="205"/>
      <c r="B284" s="209"/>
      <c r="C284" s="209"/>
      <c r="D284" s="209"/>
      <c r="E284" s="207"/>
      <c r="F284" s="270"/>
      <c r="G284" s="207"/>
      <c r="H284" s="209"/>
      <c r="I284" s="208"/>
      <c r="J284" s="228"/>
      <c r="K284" s="229"/>
      <c r="L284" s="206"/>
      <c r="M284" s="206"/>
      <c r="N284" s="211"/>
      <c r="O284" s="211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</row>
    <row r="285" spans="1:45" s="196" customFormat="1" ht="15" customHeight="1" x14ac:dyDescent="0.25">
      <c r="A285" s="205"/>
      <c r="B285" s="209"/>
      <c r="C285" s="209"/>
      <c r="D285" s="209"/>
      <c r="E285" s="207"/>
      <c r="F285" s="270"/>
      <c r="G285" s="207"/>
      <c r="H285" s="209"/>
      <c r="I285" s="208"/>
      <c r="J285" s="228"/>
      <c r="K285" s="229"/>
      <c r="L285" s="206"/>
      <c r="M285" s="206"/>
      <c r="N285" s="211"/>
      <c r="O285" s="20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</row>
    <row r="286" spans="1:45" s="196" customFormat="1" ht="15" customHeight="1" x14ac:dyDescent="0.25">
      <c r="A286" s="205"/>
      <c r="B286" s="209"/>
      <c r="C286" s="209"/>
      <c r="D286" s="209"/>
      <c r="E286" s="207"/>
      <c r="F286" s="270"/>
      <c r="G286" s="207"/>
      <c r="H286" s="209"/>
      <c r="I286" s="208"/>
      <c r="J286" s="228"/>
      <c r="K286" s="229"/>
      <c r="L286" s="206"/>
      <c r="M286" s="3"/>
      <c r="N286" s="211"/>
      <c r="O286" s="223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</row>
    <row r="287" spans="1:45" s="196" customFormat="1" ht="15" customHeight="1" x14ac:dyDescent="0.25">
      <c r="A287" s="205"/>
      <c r="B287" s="209"/>
      <c r="C287" s="209"/>
      <c r="D287" s="209"/>
      <c r="E287" s="207"/>
      <c r="F287" s="270"/>
      <c r="G287" s="207"/>
      <c r="H287" s="209"/>
      <c r="I287" s="208"/>
      <c r="J287" s="228"/>
      <c r="K287" s="229"/>
      <c r="L287" s="206"/>
      <c r="M287" s="211"/>
      <c r="N287" s="211"/>
      <c r="O287" s="206"/>
    </row>
    <row r="288" spans="1:45" s="116" customFormat="1" ht="15" customHeight="1" x14ac:dyDescent="0.25">
      <c r="A288" s="205"/>
      <c r="B288" s="209"/>
      <c r="C288" s="210"/>
      <c r="D288" s="209"/>
      <c r="E288" s="207"/>
      <c r="F288" s="270"/>
      <c r="G288" s="207"/>
      <c r="H288" s="209"/>
      <c r="I288" s="208"/>
      <c r="J288" s="228"/>
      <c r="K288" s="229"/>
      <c r="L288" s="206"/>
      <c r="M288" s="211"/>
      <c r="N288" s="211"/>
      <c r="O288" s="210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</row>
    <row r="289" spans="1:45" s="196" customFormat="1" ht="15" customHeight="1" x14ac:dyDescent="0.25">
      <c r="A289" s="205"/>
      <c r="B289" s="210"/>
      <c r="C289" s="210"/>
      <c r="D289" s="210"/>
      <c r="E289" s="207"/>
      <c r="F289" s="270"/>
      <c r="G289" s="207"/>
      <c r="H289" s="209"/>
      <c r="I289" s="208"/>
      <c r="J289" s="228"/>
      <c r="K289" s="240"/>
      <c r="L289" s="206"/>
      <c r="M289" s="3"/>
      <c r="N289" s="211"/>
      <c r="O289" s="206"/>
    </row>
    <row r="290" spans="1:45" s="116" customFormat="1" ht="15" customHeight="1" x14ac:dyDescent="0.25">
      <c r="A290" s="205"/>
      <c r="B290" s="210"/>
      <c r="C290" s="209"/>
      <c r="D290" s="210"/>
      <c r="E290" s="207"/>
      <c r="F290" s="270"/>
      <c r="G290" s="215"/>
      <c r="H290" s="209"/>
      <c r="I290" s="208"/>
      <c r="J290" s="228"/>
      <c r="K290" s="240"/>
      <c r="L290" s="206"/>
      <c r="M290" s="206"/>
      <c r="N290" s="211"/>
      <c r="O290" s="206"/>
    </row>
    <row r="291" spans="1:45" s="196" customFormat="1" ht="15" customHeight="1" x14ac:dyDescent="0.25">
      <c r="A291" s="205"/>
      <c r="B291" s="217"/>
      <c r="C291" s="217"/>
      <c r="D291" s="217"/>
      <c r="E291" s="207"/>
      <c r="F291" s="270"/>
      <c r="G291" s="207"/>
      <c r="H291" s="209"/>
      <c r="I291" s="208"/>
      <c r="J291" s="228"/>
      <c r="K291" s="240"/>
      <c r="L291" s="206"/>
      <c r="M291" s="3"/>
      <c r="N291" s="211"/>
      <c r="O291" s="20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</row>
    <row r="292" spans="1:45" s="116" customFormat="1" ht="15" customHeight="1" x14ac:dyDescent="0.25">
      <c r="A292" s="205"/>
      <c r="B292" s="209"/>
      <c r="C292" s="209"/>
      <c r="D292" s="209"/>
      <c r="E292" s="207"/>
      <c r="F292" s="270"/>
      <c r="G292" s="207"/>
      <c r="H292" s="209"/>
      <c r="I292" s="208"/>
      <c r="J292" s="228"/>
      <c r="K292" s="229"/>
      <c r="L292" s="206"/>
      <c r="M292" s="206"/>
      <c r="N292" s="211"/>
      <c r="O292" s="20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</row>
    <row r="293" spans="1:45" s="196" customFormat="1" ht="15" customHeight="1" x14ac:dyDescent="0.25">
      <c r="A293" s="205"/>
      <c r="B293" s="209"/>
      <c r="C293" s="209"/>
      <c r="D293" s="209"/>
      <c r="E293" s="207"/>
      <c r="F293" s="270"/>
      <c r="G293" s="207"/>
      <c r="H293" s="209"/>
      <c r="I293" s="208"/>
      <c r="J293" s="228"/>
      <c r="K293" s="240"/>
      <c r="L293" s="206"/>
      <c r="M293" s="3"/>
      <c r="N293" s="211"/>
      <c r="O293" s="20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  <c r="AR293" s="116"/>
      <c r="AS293" s="116"/>
    </row>
    <row r="294" spans="1:45" s="116" customFormat="1" ht="15" customHeight="1" x14ac:dyDescent="0.25">
      <c r="A294" s="205"/>
      <c r="B294" s="210"/>
      <c r="C294" s="210"/>
      <c r="D294" s="213"/>
      <c r="E294" s="207"/>
      <c r="F294" s="270"/>
      <c r="G294" s="207"/>
      <c r="H294" s="210"/>
      <c r="I294" s="208"/>
      <c r="J294" s="228"/>
      <c r="K294" s="229"/>
      <c r="L294" s="206"/>
      <c r="M294" s="206"/>
      <c r="N294" s="211"/>
      <c r="O294" s="206"/>
    </row>
    <row r="295" spans="1:45" s="196" customFormat="1" ht="15" customHeight="1" x14ac:dyDescent="0.25">
      <c r="A295" s="205"/>
      <c r="B295" s="209"/>
      <c r="C295" s="209"/>
      <c r="D295" s="209"/>
      <c r="E295" s="207"/>
      <c r="F295" s="270"/>
      <c r="G295" s="207"/>
      <c r="H295" s="209"/>
      <c r="I295" s="208"/>
      <c r="J295" s="228"/>
      <c r="K295" s="229"/>
      <c r="L295" s="206"/>
      <c r="M295" s="211"/>
      <c r="N295" s="211"/>
      <c r="O295" s="206"/>
    </row>
    <row r="296" spans="1:45" s="196" customFormat="1" ht="15" customHeight="1" x14ac:dyDescent="0.25">
      <c r="A296" s="205"/>
      <c r="B296" s="209"/>
      <c r="C296" s="209"/>
      <c r="D296" s="209"/>
      <c r="E296" s="207"/>
      <c r="F296" s="270"/>
      <c r="G296" s="207"/>
      <c r="H296" s="210"/>
      <c r="I296" s="208"/>
      <c r="J296" s="228"/>
      <c r="K296" s="229"/>
      <c r="L296" s="206"/>
      <c r="M296" s="206"/>
      <c r="N296" s="211"/>
      <c r="O296" s="211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</row>
    <row r="297" spans="1:45" s="196" customFormat="1" ht="15" customHeight="1" x14ac:dyDescent="0.25">
      <c r="A297" s="205"/>
      <c r="B297" s="209"/>
      <c r="C297" s="209"/>
      <c r="D297" s="209"/>
      <c r="E297" s="207"/>
      <c r="F297" s="270"/>
      <c r="G297" s="207"/>
      <c r="H297" s="209"/>
      <c r="I297" s="208"/>
      <c r="J297" s="228"/>
      <c r="K297" s="229"/>
      <c r="L297" s="206"/>
      <c r="M297" s="3"/>
      <c r="N297" s="211"/>
      <c r="O297" s="20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</row>
    <row r="298" spans="1:45" s="116" customFormat="1" ht="15" customHeight="1" x14ac:dyDescent="0.25">
      <c r="A298" s="205"/>
      <c r="B298" s="209"/>
      <c r="C298" s="209"/>
      <c r="D298" s="209"/>
      <c r="E298" s="207"/>
      <c r="F298" s="270"/>
      <c r="G298" s="207"/>
      <c r="H298" s="209"/>
      <c r="I298" s="208"/>
      <c r="J298" s="228"/>
      <c r="K298" s="240"/>
      <c r="L298" s="206"/>
      <c r="M298" s="3"/>
      <c r="N298" s="211"/>
      <c r="O298" s="210"/>
    </row>
    <row r="299" spans="1:45" s="116" customFormat="1" ht="15" customHeight="1" x14ac:dyDescent="0.25">
      <c r="A299" s="205"/>
      <c r="B299" s="210"/>
      <c r="C299" s="210"/>
      <c r="D299" s="213"/>
      <c r="E299" s="207"/>
      <c r="F299" s="270"/>
      <c r="G299" s="207"/>
      <c r="H299" s="209"/>
      <c r="I299" s="208"/>
      <c r="J299" s="228"/>
      <c r="K299" s="229"/>
      <c r="L299" s="206"/>
      <c r="M299" s="206"/>
      <c r="N299" s="211"/>
      <c r="O299" s="206"/>
    </row>
    <row r="300" spans="1:45" s="196" customFormat="1" ht="15" customHeight="1" x14ac:dyDescent="0.25">
      <c r="A300" s="205"/>
      <c r="B300" s="210"/>
      <c r="C300" s="210"/>
      <c r="D300" s="213"/>
      <c r="E300" s="207"/>
      <c r="F300" s="270"/>
      <c r="G300" s="207"/>
      <c r="H300" s="209"/>
      <c r="I300" s="208"/>
      <c r="J300" s="228"/>
      <c r="K300" s="240"/>
      <c r="L300" s="206"/>
      <c r="M300" s="3"/>
      <c r="N300" s="211"/>
      <c r="O300" s="206"/>
    </row>
    <row r="301" spans="1:45" s="116" customFormat="1" ht="15" customHeight="1" x14ac:dyDescent="0.25">
      <c r="A301" s="205"/>
      <c r="B301" s="210"/>
      <c r="C301" s="210"/>
      <c r="D301" s="213"/>
      <c r="E301" s="207"/>
      <c r="F301" s="270"/>
      <c r="G301" s="207"/>
      <c r="H301" s="210"/>
      <c r="I301" s="208"/>
      <c r="J301" s="228"/>
      <c r="K301" s="229"/>
      <c r="L301" s="206"/>
      <c r="M301" s="3"/>
      <c r="N301" s="211"/>
      <c r="O301" s="206"/>
    </row>
    <row r="302" spans="1:45" s="116" customFormat="1" ht="15" customHeight="1" x14ac:dyDescent="0.25">
      <c r="A302" s="205"/>
      <c r="B302" s="210"/>
      <c r="C302" s="210"/>
      <c r="D302" s="213"/>
      <c r="E302" s="207"/>
      <c r="F302" s="270"/>
      <c r="G302" s="207"/>
      <c r="H302" s="210"/>
      <c r="I302" s="208"/>
      <c r="J302" s="228"/>
      <c r="K302" s="240"/>
      <c r="L302" s="206"/>
      <c r="M302" s="3"/>
      <c r="N302" s="211"/>
      <c r="O302" s="206"/>
    </row>
    <row r="303" spans="1:45" s="196" customFormat="1" ht="15" customHeight="1" x14ac:dyDescent="0.25">
      <c r="A303" s="205"/>
      <c r="B303" s="210"/>
      <c r="C303" s="210"/>
      <c r="D303" s="213"/>
      <c r="E303" s="207"/>
      <c r="F303" s="270"/>
      <c r="G303" s="207"/>
      <c r="H303" s="210"/>
      <c r="I303" s="208"/>
      <c r="J303" s="228"/>
      <c r="K303" s="240"/>
      <c r="L303" s="206"/>
      <c r="M303" s="3"/>
      <c r="N303" s="211"/>
      <c r="O303" s="210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</row>
    <row r="304" spans="1:45" s="116" customFormat="1" ht="15" customHeight="1" x14ac:dyDescent="0.25">
      <c r="A304" s="219"/>
      <c r="B304" s="209"/>
      <c r="C304" s="209"/>
      <c r="D304" s="209"/>
      <c r="E304" s="207"/>
      <c r="F304" s="270"/>
      <c r="G304" s="207"/>
      <c r="H304" s="220"/>
      <c r="I304" s="211"/>
      <c r="J304" s="228"/>
      <c r="K304" s="229"/>
      <c r="L304" s="206"/>
      <c r="M304" s="206"/>
      <c r="N304" s="211"/>
      <c r="O304" s="206"/>
    </row>
    <row r="305" spans="1:15" s="116" customFormat="1" ht="15" customHeight="1" x14ac:dyDescent="0.25">
      <c r="A305" s="219"/>
      <c r="B305" s="209"/>
      <c r="C305" s="209"/>
      <c r="D305" s="209"/>
      <c r="E305" s="207"/>
      <c r="F305" s="270"/>
      <c r="G305" s="207"/>
      <c r="H305" s="209"/>
      <c r="I305" s="211"/>
      <c r="J305" s="228"/>
      <c r="K305" s="229"/>
      <c r="L305" s="206"/>
      <c r="M305" s="206"/>
      <c r="N305" s="211"/>
      <c r="O305" s="206"/>
    </row>
    <row r="306" spans="1:15" s="116" customFormat="1" ht="15" customHeight="1" x14ac:dyDescent="0.25">
      <c r="A306" s="205"/>
      <c r="B306" s="209"/>
      <c r="C306" s="209"/>
      <c r="D306" s="221"/>
      <c r="E306" s="207"/>
      <c r="F306" s="271"/>
      <c r="G306" s="207"/>
      <c r="H306" s="210"/>
      <c r="I306" s="211"/>
      <c r="J306" s="228"/>
      <c r="K306" s="229"/>
      <c r="L306" s="206"/>
      <c r="M306" s="211"/>
      <c r="N306" s="211"/>
      <c r="O306" s="206"/>
    </row>
    <row r="307" spans="1:15" s="116" customFormat="1" ht="15" customHeight="1" x14ac:dyDescent="0.25">
      <c r="A307" s="205"/>
      <c r="B307" s="209"/>
      <c r="C307" s="209"/>
      <c r="D307" s="221"/>
      <c r="E307" s="207"/>
      <c r="F307" s="271"/>
      <c r="G307" s="207"/>
      <c r="H307" s="210"/>
      <c r="I307" s="211"/>
      <c r="J307" s="228"/>
      <c r="K307" s="229"/>
      <c r="L307" s="206"/>
      <c r="M307" s="211"/>
      <c r="N307" s="211"/>
      <c r="O307" s="206"/>
    </row>
    <row r="308" spans="1:15" s="116" customFormat="1" ht="15" customHeight="1" x14ac:dyDescent="0.25">
      <c r="A308" s="224"/>
      <c r="B308" s="225"/>
      <c r="C308" s="225"/>
      <c r="D308" s="225"/>
      <c r="E308" s="226"/>
      <c r="F308" s="272"/>
      <c r="G308" s="226"/>
      <c r="H308" s="225"/>
      <c r="I308" s="227"/>
      <c r="J308" s="228"/>
      <c r="K308" s="229"/>
      <c r="L308" s="223"/>
      <c r="M308" s="223"/>
      <c r="N308" s="227"/>
      <c r="O308" s="223"/>
    </row>
    <row r="309" spans="1:15" s="196" customFormat="1" ht="15" customHeight="1" x14ac:dyDescent="0.25">
      <c r="A309" s="224"/>
      <c r="B309" s="225"/>
      <c r="C309" s="230"/>
      <c r="D309" s="230"/>
      <c r="E309" s="226"/>
      <c r="F309" s="272"/>
      <c r="G309" s="226"/>
      <c r="H309" s="225"/>
      <c r="I309" s="227"/>
      <c r="J309" s="228"/>
      <c r="K309" s="229"/>
      <c r="L309" s="223"/>
      <c r="M309" s="223"/>
      <c r="N309" s="227"/>
      <c r="O309" s="223"/>
    </row>
    <row r="310" spans="1:15" s="196" customFormat="1" ht="15" customHeight="1" x14ac:dyDescent="0.25">
      <c r="A310" s="224"/>
      <c r="B310" s="225"/>
      <c r="C310" s="225"/>
      <c r="D310" s="230"/>
      <c r="E310" s="226"/>
      <c r="F310" s="272"/>
      <c r="G310" s="226"/>
      <c r="H310" s="225"/>
      <c r="I310" s="227"/>
      <c r="J310" s="228"/>
      <c r="K310" s="229"/>
      <c r="L310" s="223"/>
      <c r="M310" s="227"/>
      <c r="N310" s="227"/>
      <c r="O310" s="223"/>
    </row>
    <row r="311" spans="1:15" s="116" customFormat="1" ht="15" customHeight="1" x14ac:dyDescent="0.25">
      <c r="A311" s="224"/>
      <c r="B311" s="225"/>
      <c r="C311" s="225"/>
      <c r="D311" s="225"/>
      <c r="E311" s="226"/>
      <c r="F311" s="272"/>
      <c r="G311" s="226"/>
      <c r="H311" s="229"/>
      <c r="I311" s="227"/>
      <c r="J311" s="228"/>
      <c r="K311" s="229"/>
      <c r="L311" s="223"/>
      <c r="M311" s="223"/>
      <c r="N311" s="227"/>
      <c r="O311" s="223"/>
    </row>
    <row r="312" spans="1:15" s="124" customFormat="1" ht="22.5" customHeight="1" x14ac:dyDescent="0.3">
      <c r="A312" s="125"/>
      <c r="B312" s="125"/>
      <c r="C312" s="125"/>
      <c r="D312" s="125"/>
      <c r="E312" s="129"/>
      <c r="F312" s="273"/>
      <c r="G312" s="126"/>
      <c r="H312" s="126"/>
      <c r="I312" s="133"/>
      <c r="J312" s="245"/>
      <c r="K312" s="241"/>
      <c r="L312" s="125"/>
      <c r="M312" s="125"/>
      <c r="N312" s="125"/>
      <c r="O312" s="125"/>
    </row>
  </sheetData>
  <autoFilter ref="A11:O203" xr:uid="{00000000-0009-0000-0000-000003000000}">
    <sortState xmlns:xlrd2="http://schemas.microsoft.com/office/spreadsheetml/2017/richdata2" ref="A12:O203">
      <sortCondition ref="A11:A203"/>
    </sortState>
  </autoFilter>
  <sortState xmlns:xlrd2="http://schemas.microsoft.com/office/spreadsheetml/2017/richdata2" ref="A12:P196">
    <sortCondition ref="M18"/>
  </sortState>
  <mergeCells count="1">
    <mergeCell ref="A1:O1"/>
  </mergeCells>
  <dataValidations count="6">
    <dataValidation type="list" allowBlank="1" showInputMessage="1" showErrorMessage="1" sqref="C309" xr:uid="{00000000-0002-0000-0300-000000000000}">
      <formula1>$M$9:$M$13</formula1>
    </dataValidation>
    <dataValidation type="list" allowBlank="1" showInputMessage="1" showErrorMessage="1" sqref="C207 C195:C198" xr:uid="{00000000-0002-0000-0300-000001000000}">
      <formula1>$N$3911:$N$3931</formula1>
    </dataValidation>
    <dataValidation type="list" allowBlank="1" showInputMessage="1" showErrorMessage="1" sqref="C276 C279:C280 C274" xr:uid="{00000000-0002-0000-0300-000002000000}">
      <formula1>$N$3779:$N$3799</formula1>
    </dataValidation>
    <dataValidation type="list" allowBlank="1" showInputMessage="1" showErrorMessage="1" sqref="C285 C291 C289" xr:uid="{00000000-0002-0000-0300-000003000000}">
      <formula1>$N$26:$N$574</formula1>
    </dataValidation>
    <dataValidation type="list" allowBlank="1" showInputMessage="1" showErrorMessage="1" sqref="C262:C263 C193:C194 C241:C242 C245 C247 C235 C250:C252 C237:C238" xr:uid="{00000000-0002-0000-0300-000004000000}">
      <formula1>$N$21:$N$1082</formula1>
    </dataValidation>
    <dataValidation type="list" allowBlank="1" showInputMessage="1" showErrorMessage="1" sqref="C145:C148" xr:uid="{00000000-0002-0000-0300-000005000000}">
      <formula1>$N$11:$N$17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6000000}">
          <x14:formula1>
            <xm:f>'C:\RALFF\COMPTA AOÜT\compta ok\[Compta_21_08_20_ Herick _Harmonisée(3).xlsx]Feuil1'!#REF!</xm:f>
          </x14:formula1>
          <xm:sqref>C135 C24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Donateurs</vt:lpstr>
      <vt:lpstr>Feuil3</vt:lpstr>
      <vt:lpstr>DATA  Sept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Tiffany Handford</cp:lastModifiedBy>
  <cp:lastPrinted>2021-06-11T09:45:49Z</cp:lastPrinted>
  <dcterms:created xsi:type="dcterms:W3CDTF">2020-09-02T13:35:58Z</dcterms:created>
  <dcterms:modified xsi:type="dcterms:W3CDTF">2021-11-22T09:18:58Z</dcterms:modified>
</cp:coreProperties>
</file>