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9425" windowHeight="10425" tabRatio="553" activeTab="3"/>
  </bookViews>
  <sheets>
    <sheet name="Récapitulatif" sheetId="16" r:id="rId1"/>
    <sheet name="Donateurs" sheetId="116" r:id="rId2"/>
    <sheet name="Feuil5" sheetId="118" r:id="rId3"/>
    <sheet name="DATA  Octobre 2021" sheetId="9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3" hidden="1">'DATA  Octobre 2021'!$A$11:$O$259</definedName>
    <definedName name="Départements">[1]Feuil6!$G$6:$G$14</definedName>
    <definedName name="Dépenses">[1]Feuil6!$A$6:$A$25</definedName>
  </definedNames>
  <calcPr calcId="124519"/>
  <pivotCaches>
    <pivotCache cacheId="7" r:id="rId17"/>
  </pivotCache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6"/>
  <c r="E65"/>
  <c r="H18"/>
  <c r="D3"/>
  <c r="D4"/>
  <c r="D5"/>
  <c r="D6"/>
  <c r="D7"/>
  <c r="D8"/>
  <c r="D9"/>
  <c r="D10"/>
  <c r="D11"/>
  <c r="D12"/>
  <c r="D13"/>
  <c r="D14"/>
  <c r="D15"/>
  <c r="D16"/>
  <c r="E29" l="1"/>
  <c r="G16" l="1"/>
  <c r="G15"/>
  <c r="F15"/>
  <c r="E3" l="1"/>
  <c r="F3"/>
  <c r="G3"/>
  <c r="G4"/>
  <c r="D44" s="1"/>
  <c r="G5"/>
  <c r="D45" s="1"/>
  <c r="A14"/>
  <c r="A15"/>
  <c r="A3"/>
  <c r="E15"/>
  <c r="E38"/>
  <c r="H38"/>
  <c r="C38"/>
  <c r="I38" l="1"/>
  <c r="J38" s="1"/>
  <c r="K38" s="1"/>
  <c r="I15"/>
  <c r="J15" s="1"/>
  <c r="I29"/>
  <c r="I3"/>
  <c r="H29"/>
  <c r="J29" s="1"/>
  <c r="J3" l="1"/>
  <c r="K29"/>
  <c r="AQ9" i="118"/>
  <c r="AR9" s="1"/>
  <c r="AR18"/>
  <c r="AQ7"/>
  <c r="AR7" s="1"/>
  <c r="AQ8"/>
  <c r="AR8" s="1"/>
  <c r="AQ10"/>
  <c r="AR10" s="1"/>
  <c r="AQ11"/>
  <c r="AR11" s="1"/>
  <c r="AQ12"/>
  <c r="AR12" s="1"/>
  <c r="AQ13"/>
  <c r="AR13" s="1"/>
  <c r="AQ14"/>
  <c r="AR14" s="1"/>
  <c r="AQ15"/>
  <c r="AR15" s="1"/>
  <c r="AQ16"/>
  <c r="AR16" s="1"/>
  <c r="AQ17"/>
  <c r="AR17" s="1"/>
  <c r="AP7"/>
  <c r="AP8"/>
  <c r="AP9"/>
  <c r="AP10"/>
  <c r="AP11"/>
  <c r="AP12"/>
  <c r="AP13"/>
  <c r="AP14"/>
  <c r="AP15"/>
  <c r="AP16"/>
  <c r="AP17"/>
  <c r="AP18"/>
  <c r="AQ6"/>
  <c r="AR6" s="1"/>
  <c r="AP6"/>
  <c r="AO7"/>
  <c r="AO8"/>
  <c r="AO9"/>
  <c r="AO10"/>
  <c r="AO11"/>
  <c r="AO12"/>
  <c r="AO13"/>
  <c r="AO14"/>
  <c r="AO15"/>
  <c r="AO16"/>
  <c r="AO17"/>
  <c r="AO18"/>
  <c r="AO6"/>
  <c r="AS9"/>
  <c r="AS10"/>
  <c r="AS11"/>
  <c r="AS12"/>
  <c r="AS13"/>
  <c r="AS14"/>
  <c r="AS15"/>
  <c r="AS16"/>
  <c r="AS18"/>
  <c r="AS6"/>
  <c r="AS8"/>
  <c r="AS7"/>
  <c r="AP19" l="1"/>
  <c r="AS19"/>
  <c r="AQ19"/>
  <c r="AR19"/>
  <c r="AQ21" l="1"/>
  <c r="F77" i="95" l="1"/>
  <c r="C45" i="16" l="1"/>
  <c r="C44"/>
  <c r="C42"/>
  <c r="C40"/>
  <c r="C39"/>
  <c r="C37"/>
  <c r="C36"/>
  <c r="C35"/>
  <c r="C34"/>
  <c r="C33"/>
  <c r="C32"/>
  <c r="C31"/>
  <c r="A31"/>
  <c r="A32" s="1"/>
  <c r="A33" s="1"/>
  <c r="A34" s="1"/>
  <c r="A35" s="1"/>
  <c r="A36" s="1"/>
  <c r="C30"/>
  <c r="C18"/>
  <c r="A21" s="1"/>
  <c r="G17"/>
  <c r="F17"/>
  <c r="H40" s="1"/>
  <c r="E17"/>
  <c r="I40" s="1"/>
  <c r="D17"/>
  <c r="A17"/>
  <c r="F16"/>
  <c r="H39" s="1"/>
  <c r="E16"/>
  <c r="I39" s="1"/>
  <c r="E39"/>
  <c r="G14"/>
  <c r="F14"/>
  <c r="H37" s="1"/>
  <c r="E14"/>
  <c r="I37" s="1"/>
  <c r="G13"/>
  <c r="F13"/>
  <c r="H36" s="1"/>
  <c r="E13"/>
  <c r="I36" s="1"/>
  <c r="A13"/>
  <c r="G12"/>
  <c r="F12"/>
  <c r="H35" s="1"/>
  <c r="E12"/>
  <c r="I35" s="1"/>
  <c r="E35"/>
  <c r="A12"/>
  <c r="G11"/>
  <c r="F11"/>
  <c r="H34" s="1"/>
  <c r="E11"/>
  <c r="I34" s="1"/>
  <c r="E34"/>
  <c r="A11"/>
  <c r="G10"/>
  <c r="F10"/>
  <c r="H33" s="1"/>
  <c r="E10"/>
  <c r="I33" s="1"/>
  <c r="E33"/>
  <c r="A10"/>
  <c r="G9"/>
  <c r="F9"/>
  <c r="H32" s="1"/>
  <c r="E9"/>
  <c r="I32" s="1"/>
  <c r="A9"/>
  <c r="G8"/>
  <c r="F8"/>
  <c r="H31" s="1"/>
  <c r="E8"/>
  <c r="I31" s="1"/>
  <c r="E31"/>
  <c r="A8"/>
  <c r="G7"/>
  <c r="F7"/>
  <c r="H30" s="1"/>
  <c r="E7"/>
  <c r="I30" s="1"/>
  <c r="E30"/>
  <c r="A7"/>
  <c r="G6"/>
  <c r="F6"/>
  <c r="H42" s="1"/>
  <c r="E6"/>
  <c r="A6"/>
  <c r="F5"/>
  <c r="H45" s="1"/>
  <c r="E5"/>
  <c r="I45" s="1"/>
  <c r="A5"/>
  <c r="F4"/>
  <c r="E4"/>
  <c r="A4"/>
  <c r="A37" l="1"/>
  <c r="A39" s="1"/>
  <c r="A40" s="1"/>
  <c r="A42" s="1"/>
  <c r="A44" s="1"/>
  <c r="A45" s="1"/>
  <c r="A38"/>
  <c r="J45"/>
  <c r="I42"/>
  <c r="I6"/>
  <c r="E40"/>
  <c r="D18"/>
  <c r="F18"/>
  <c r="I44"/>
  <c r="E18"/>
  <c r="C21" s="1"/>
  <c r="G18"/>
  <c r="J33"/>
  <c r="E42"/>
  <c r="J42" s="1"/>
  <c r="B21"/>
  <c r="C46"/>
  <c r="J39"/>
  <c r="I46"/>
  <c r="J40"/>
  <c r="I4"/>
  <c r="I5"/>
  <c r="J5" s="1"/>
  <c r="I9"/>
  <c r="J9" s="1"/>
  <c r="I13"/>
  <c r="J13" s="1"/>
  <c r="I14"/>
  <c r="J14" s="1"/>
  <c r="I16"/>
  <c r="J16" s="1"/>
  <c r="J31"/>
  <c r="J35"/>
  <c r="J34"/>
  <c r="J30"/>
  <c r="I7"/>
  <c r="J7" s="1"/>
  <c r="I11"/>
  <c r="J11" s="1"/>
  <c r="G20"/>
  <c r="J6"/>
  <c r="I10"/>
  <c r="J10" s="1"/>
  <c r="I17"/>
  <c r="J17" s="1"/>
  <c r="E32"/>
  <c r="J32" s="1"/>
  <c r="E36"/>
  <c r="J36" s="1"/>
  <c r="E37"/>
  <c r="J37" s="1"/>
  <c r="H44"/>
  <c r="J44" s="1"/>
  <c r="K44" s="1"/>
  <c r="I12"/>
  <c r="J12" s="1"/>
  <c r="I8"/>
  <c r="J8" s="1"/>
  <c r="C65"/>
  <c r="D21" l="1"/>
  <c r="J46"/>
  <c r="K45"/>
  <c r="J4"/>
  <c r="I18"/>
  <c r="K32"/>
  <c r="K35"/>
  <c r="K39"/>
  <c r="K36"/>
  <c r="K37"/>
  <c r="K42"/>
  <c r="K34"/>
  <c r="K33"/>
  <c r="K30"/>
  <c r="K31"/>
  <c r="K40"/>
  <c r="E56"/>
  <c r="E55"/>
  <c r="E54"/>
  <c r="K46" l="1"/>
  <c r="E21"/>
  <c r="I19"/>
  <c r="J18"/>
  <c r="A55" l="1"/>
  <c r="A56" s="1"/>
  <c r="A57" s="1"/>
  <c r="A58" s="1"/>
  <c r="A59" s="1"/>
  <c r="A60" s="1"/>
  <c r="A61" s="1"/>
  <c r="A62" s="1"/>
  <c r="C68"/>
  <c r="C67"/>
  <c r="C63"/>
  <c r="C62"/>
  <c r="C61"/>
  <c r="C60"/>
  <c r="C59"/>
  <c r="C58"/>
  <c r="C57"/>
  <c r="C56"/>
  <c r="C55"/>
  <c r="C54"/>
  <c r="H63"/>
  <c r="I63"/>
  <c r="E63"/>
  <c r="H62"/>
  <c r="I62"/>
  <c r="H61"/>
  <c r="I61"/>
  <c r="E61"/>
  <c r="H60"/>
  <c r="I60"/>
  <c r="E60"/>
  <c r="H59"/>
  <c r="I59"/>
  <c r="H58"/>
  <c r="I58"/>
  <c r="E58"/>
  <c r="H57"/>
  <c r="I57"/>
  <c r="E57"/>
  <c r="H56"/>
  <c r="I56"/>
  <c r="H55"/>
  <c r="I55"/>
  <c r="H54"/>
  <c r="I54"/>
  <c r="H65"/>
  <c r="I65"/>
  <c r="H68"/>
  <c r="I68"/>
  <c r="I67"/>
  <c r="C5" i="95"/>
  <c r="A63" i="16" l="1"/>
  <c r="A65" s="1"/>
  <c r="A67" s="1"/>
  <c r="A68" s="1"/>
  <c r="J68"/>
  <c r="J60"/>
  <c r="J63"/>
  <c r="C69"/>
  <c r="J56"/>
  <c r="J54"/>
  <c r="J69" s="1"/>
  <c r="K69" s="1"/>
  <c r="J65"/>
  <c r="I69"/>
  <c r="J57"/>
  <c r="J61"/>
  <c r="J58"/>
  <c r="J55"/>
  <c r="E62"/>
  <c r="J62" s="1"/>
  <c r="E59"/>
  <c r="J59" s="1"/>
  <c r="H67"/>
  <c r="J67" s="1"/>
  <c r="C6" i="95"/>
  <c r="C7" s="1"/>
  <c r="D7" l="1"/>
  <c r="E6"/>
  <c r="K59" i="16"/>
  <c r="K62"/>
  <c r="K67"/>
  <c r="K63"/>
  <c r="K55"/>
  <c r="K65"/>
  <c r="K61"/>
  <c r="K56"/>
  <c r="K68"/>
  <c r="K58"/>
  <c r="K60"/>
  <c r="K54"/>
  <c r="K57"/>
  <c r="G12" i="95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C91" i="16" l="1"/>
  <c r="C77"/>
  <c r="C86"/>
  <c r="I82" l="1"/>
  <c r="I83"/>
  <c r="I84"/>
  <c r="I85"/>
  <c r="I86"/>
  <c r="I87"/>
  <c r="I81"/>
  <c r="I80"/>
  <c r="I91"/>
  <c r="H86"/>
  <c r="E86"/>
  <c r="J86" l="1"/>
  <c r="K86" l="1"/>
  <c r="C92" l="1"/>
  <c r="C89"/>
  <c r="C87"/>
  <c r="C85"/>
  <c r="C84"/>
  <c r="C83"/>
  <c r="C82"/>
  <c r="C81"/>
  <c r="C80"/>
  <c r="C79"/>
  <c r="C78"/>
  <c r="H91"/>
  <c r="J91" s="1"/>
  <c r="C112"/>
  <c r="K91" l="1"/>
  <c r="C93"/>
  <c r="C115"/>
  <c r="J115" s="1"/>
  <c r="K115" s="1"/>
  <c r="C114"/>
  <c r="J114" s="1"/>
  <c r="K114" s="1"/>
  <c r="J112"/>
  <c r="C102"/>
  <c r="J102" s="1"/>
  <c r="C103"/>
  <c r="J103" s="1"/>
  <c r="C104"/>
  <c r="C105"/>
  <c r="J105" s="1"/>
  <c r="C106"/>
  <c r="J106" s="1"/>
  <c r="C107"/>
  <c r="C108"/>
  <c r="C109"/>
  <c r="C110"/>
  <c r="J110" s="1"/>
  <c r="C101"/>
  <c r="J101" s="1"/>
  <c r="I116"/>
  <c r="J109"/>
  <c r="J108"/>
  <c r="J107"/>
  <c r="J104"/>
  <c r="C116" l="1"/>
  <c r="J116"/>
  <c r="G117" s="1"/>
  <c r="K107" l="1"/>
  <c r="K103"/>
  <c r="K112"/>
  <c r="K110" l="1"/>
  <c r="K102"/>
  <c r="K101"/>
  <c r="K108"/>
  <c r="K104"/>
  <c r="K105"/>
  <c r="K106"/>
  <c r="K109"/>
  <c r="K116" l="1"/>
  <c r="F128" l="1"/>
  <c r="H127"/>
  <c r="F126"/>
  <c r="C136" l="1"/>
  <c r="J136" s="1"/>
  <c r="C135"/>
  <c r="J135" s="1"/>
  <c r="C134"/>
  <c r="J134" s="1"/>
  <c r="C133"/>
  <c r="J133" s="1"/>
  <c r="C132"/>
  <c r="J132" s="1"/>
  <c r="C131"/>
  <c r="J131" s="1"/>
  <c r="C130"/>
  <c r="J130" s="1"/>
  <c r="C129"/>
  <c r="J129" s="1"/>
  <c r="C128"/>
  <c r="J128" s="1"/>
  <c r="C127"/>
  <c r="J127" s="1"/>
  <c r="C126"/>
  <c r="J126" s="1"/>
  <c r="C125"/>
  <c r="J125" s="1"/>
  <c r="C138"/>
  <c r="J138" s="1"/>
  <c r="C141"/>
  <c r="J141" s="1"/>
  <c r="I142"/>
  <c r="C168"/>
  <c r="C140" l="1"/>
  <c r="J140" s="1"/>
  <c r="J142" s="1"/>
  <c r="C142" l="1"/>
  <c r="I168" l="1"/>
  <c r="J167" l="1"/>
  <c r="J166"/>
  <c r="J164"/>
  <c r="J162"/>
  <c r="J161"/>
  <c r="J160"/>
  <c r="J159"/>
  <c r="J158"/>
  <c r="J157"/>
  <c r="J156"/>
  <c r="J155"/>
  <c r="J154"/>
  <c r="J153"/>
  <c r="J152"/>
  <c r="J151"/>
  <c r="J150"/>
  <c r="J168" l="1"/>
  <c r="J187" l="1"/>
  <c r="J186"/>
  <c r="J185"/>
  <c r="J184"/>
  <c r="J183"/>
  <c r="J182"/>
  <c r="J181"/>
  <c r="J179"/>
  <c r="J176"/>
  <c r="J190"/>
  <c r="J193"/>
  <c r="J192"/>
  <c r="I194"/>
  <c r="J180"/>
  <c r="C194" l="1"/>
  <c r="J178"/>
  <c r="J177"/>
  <c r="J188"/>
  <c r="J194" l="1"/>
  <c r="F214" l="1"/>
  <c r="H214"/>
  <c r="F205"/>
  <c r="H204"/>
  <c r="F203"/>
  <c r="I220"/>
  <c r="J214" l="1"/>
  <c r="J213"/>
  <c r="J212"/>
  <c r="J211"/>
  <c r="J210"/>
  <c r="J209"/>
  <c r="J208"/>
  <c r="J207"/>
  <c r="J206"/>
  <c r="J205"/>
  <c r="J204"/>
  <c r="J203"/>
  <c r="J216"/>
  <c r="J219"/>
  <c r="J218"/>
  <c r="J202" l="1"/>
  <c r="J220" s="1"/>
  <c r="C220"/>
  <c r="I249" l="1"/>
  <c r="J243"/>
  <c r="J229" l="1"/>
  <c r="J242" l="1"/>
  <c r="J241"/>
  <c r="J240"/>
  <c r="J239"/>
  <c r="J238"/>
  <c r="J237"/>
  <c r="J236"/>
  <c r="J235"/>
  <c r="J234"/>
  <c r="J233"/>
  <c r="J232"/>
  <c r="J231"/>
  <c r="C245"/>
  <c r="J245" s="1"/>
  <c r="C248"/>
  <c r="J248" s="1"/>
  <c r="C247"/>
  <c r="J247" s="1"/>
  <c r="C276"/>
  <c r="J230" l="1"/>
  <c r="J249" s="1"/>
  <c r="C249"/>
  <c r="J289" l="1"/>
  <c r="J270" l="1"/>
  <c r="J269"/>
  <c r="J268"/>
  <c r="J267"/>
  <c r="J266"/>
  <c r="J265"/>
  <c r="J264"/>
  <c r="J263"/>
  <c r="J262"/>
  <c r="J261"/>
  <c r="J260"/>
  <c r="J259"/>
  <c r="J258"/>
  <c r="J272"/>
  <c r="J275"/>
  <c r="J274"/>
  <c r="I276"/>
  <c r="J257" l="1"/>
  <c r="J276" s="1"/>
  <c r="I304" l="1"/>
  <c r="J297" l="1"/>
  <c r="J294" l="1"/>
  <c r="J290"/>
  <c r="J286"/>
  <c r="J300"/>
  <c r="J302"/>
  <c r="J303"/>
  <c r="J296"/>
  <c r="J295"/>
  <c r="J293"/>
  <c r="J292"/>
  <c r="J291"/>
  <c r="J288"/>
  <c r="J287"/>
  <c r="J285"/>
  <c r="J298" l="1"/>
  <c r="J304" s="1"/>
  <c r="K304" s="1"/>
  <c r="C221" l="1"/>
  <c r="C195"/>
  <c r="J321"/>
  <c r="J322" l="1"/>
  <c r="J320"/>
  <c r="J319"/>
  <c r="J318"/>
  <c r="J317"/>
  <c r="J316"/>
  <c r="J315"/>
  <c r="J314"/>
  <c r="J313"/>
  <c r="J312"/>
  <c r="J326"/>
  <c r="J329"/>
  <c r="J328"/>
  <c r="J324" l="1"/>
  <c r="J323"/>
  <c r="J330" l="1"/>
  <c r="J348" l="1"/>
  <c r="F338" l="1"/>
  <c r="J372"/>
  <c r="J375"/>
  <c r="J356"/>
  <c r="J355"/>
  <c r="J354"/>
  <c r="C347" l="1"/>
  <c r="J347" s="1"/>
  <c r="C346"/>
  <c r="J346" s="1"/>
  <c r="C345"/>
  <c r="J345" s="1"/>
  <c r="C344"/>
  <c r="J344" s="1"/>
  <c r="C343"/>
  <c r="J343" s="1"/>
  <c r="J342"/>
  <c r="C341"/>
  <c r="J341" s="1"/>
  <c r="C340"/>
  <c r="J340" s="1"/>
  <c r="C339"/>
  <c r="J339" s="1"/>
  <c r="C338"/>
  <c r="J338" s="1"/>
  <c r="C350"/>
  <c r="J350" s="1"/>
  <c r="C353"/>
  <c r="J353" s="1"/>
  <c r="C352" l="1"/>
  <c r="J352" s="1"/>
  <c r="J357" s="1"/>
  <c r="J383" l="1"/>
  <c r="J382"/>
  <c r="J381"/>
  <c r="J434"/>
  <c r="J407"/>
  <c r="J406"/>
  <c r="J404"/>
  <c r="E402"/>
  <c r="J402" s="1"/>
  <c r="E401"/>
  <c r="J401" s="1"/>
  <c r="E399"/>
  <c r="J399" s="1"/>
  <c r="H398"/>
  <c r="E398"/>
  <c r="F397"/>
  <c r="E397"/>
  <c r="E396"/>
  <c r="J396" s="1"/>
  <c r="I395"/>
  <c r="H395"/>
  <c r="E395"/>
  <c r="I394"/>
  <c r="E394"/>
  <c r="H393"/>
  <c r="E393"/>
  <c r="I392"/>
  <c r="J384"/>
  <c r="J368"/>
  <c r="J380"/>
  <c r="B368" l="1"/>
  <c r="B372"/>
  <c r="B373"/>
  <c r="B366"/>
  <c r="B369"/>
  <c r="B370"/>
  <c r="B367"/>
  <c r="B371"/>
  <c r="J367"/>
  <c r="I409"/>
  <c r="J394"/>
  <c r="J377"/>
  <c r="J393"/>
  <c r="J365"/>
  <c r="J371"/>
  <c r="J366"/>
  <c r="J379"/>
  <c r="J374"/>
  <c r="J397"/>
  <c r="J395"/>
  <c r="J398"/>
  <c r="J392"/>
  <c r="J370" l="1"/>
  <c r="J369"/>
  <c r="J373"/>
  <c r="C400"/>
  <c r="J385" l="1"/>
  <c r="C409"/>
  <c r="J400"/>
  <c r="J409" s="1"/>
  <c r="K138" l="1"/>
  <c r="K125"/>
  <c r="K141"/>
  <c r="K131"/>
  <c r="K136"/>
  <c r="K135"/>
  <c r="K207" l="1"/>
  <c r="K129"/>
  <c r="K158"/>
  <c r="K132"/>
  <c r="K127"/>
  <c r="K159"/>
  <c r="K133"/>
  <c r="K128"/>
  <c r="K126"/>
  <c r="K156"/>
  <c r="K130"/>
  <c r="K160"/>
  <c r="K155"/>
  <c r="K208"/>
  <c r="K204"/>
  <c r="K219"/>
  <c r="K167"/>
  <c r="K154"/>
  <c r="K206"/>
  <c r="K161"/>
  <c r="K213"/>
  <c r="K162"/>
  <c r="K214"/>
  <c r="K209"/>
  <c r="K157"/>
  <c r="K216"/>
  <c r="K164"/>
  <c r="K140"/>
  <c r="K203"/>
  <c r="K211"/>
  <c r="K202"/>
  <c r="K210"/>
  <c r="K153"/>
  <c r="K151"/>
  <c r="K152"/>
  <c r="K205"/>
  <c r="K150"/>
  <c r="K212" l="1"/>
  <c r="K134"/>
  <c r="K218"/>
  <c r="K166"/>
  <c r="K142" l="1"/>
  <c r="K220"/>
  <c r="K357"/>
  <c r="K168"/>
  <c r="H77" l="1"/>
  <c r="H78"/>
  <c r="H89"/>
  <c r="H79"/>
  <c r="I89"/>
  <c r="H92"/>
  <c r="H83"/>
  <c r="H82"/>
  <c r="H80"/>
  <c r="H84"/>
  <c r="J84" s="1"/>
  <c r="I77"/>
  <c r="H81"/>
  <c r="I92"/>
  <c r="H85"/>
  <c r="H87"/>
  <c r="I79"/>
  <c r="E83"/>
  <c r="E82"/>
  <c r="E81"/>
  <c r="I78"/>
  <c r="E85"/>
  <c r="K84" l="1"/>
  <c r="J92"/>
  <c r="K92" s="1"/>
  <c r="J79"/>
  <c r="E80"/>
  <c r="J80" s="1"/>
  <c r="K80" s="1"/>
  <c r="E78"/>
  <c r="J78" s="1"/>
  <c r="E87"/>
  <c r="J87" s="1"/>
  <c r="K87" s="1"/>
  <c r="I93"/>
  <c r="J82"/>
  <c r="J85"/>
  <c r="J81"/>
  <c r="E77"/>
  <c r="J77" s="1"/>
  <c r="J83"/>
  <c r="J89"/>
  <c r="K79"/>
  <c r="K82" l="1"/>
  <c r="K89"/>
  <c r="K78"/>
  <c r="K77"/>
  <c r="J93"/>
  <c r="K81"/>
  <c r="K83"/>
  <c r="K85"/>
  <c r="G94" l="1"/>
  <c r="K93"/>
  <c r="G40" i="95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l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s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  <c r="G256" s="1"/>
  <c r="G257" s="1"/>
  <c r="G258" s="1"/>
  <c r="G259" s="1"/>
</calcChain>
</file>

<file path=xl/sharedStrings.xml><?xml version="1.0" encoding="utf-8"?>
<sst xmlns="http://schemas.openxmlformats.org/spreadsheetml/2006/main" count="2454" uniqueCount="458">
  <si>
    <t>Date</t>
  </si>
  <si>
    <t>Département</t>
  </si>
  <si>
    <t>Personnel</t>
  </si>
  <si>
    <t>Rent &amp; Utilities</t>
  </si>
  <si>
    <t>Management</t>
  </si>
  <si>
    <t>Services</t>
  </si>
  <si>
    <t>Investigation</t>
  </si>
  <si>
    <t>Perrine ODIER</t>
  </si>
  <si>
    <t>Rubriques</t>
  </si>
  <si>
    <t xml:space="preserve">Montant en FCFA </t>
  </si>
  <si>
    <t>Total montant reçu</t>
  </si>
  <si>
    <t>Total montant dépensé</t>
  </si>
  <si>
    <t>Solde</t>
  </si>
  <si>
    <t>Details</t>
  </si>
  <si>
    <t>Type de dépenses</t>
  </si>
  <si>
    <t>Departement</t>
  </si>
  <si>
    <t>Received</t>
  </si>
  <si>
    <t>Spent</t>
  </si>
  <si>
    <t>Balance</t>
  </si>
  <si>
    <t>Name</t>
  </si>
  <si>
    <t>Receipt</t>
  </si>
  <si>
    <t>Donor</t>
  </si>
  <si>
    <t>Project</t>
  </si>
  <si>
    <t>Country</t>
  </si>
  <si>
    <t>Contrôle</t>
  </si>
  <si>
    <t>Code budgetaire</t>
  </si>
  <si>
    <t>BCI</t>
  </si>
  <si>
    <t>Caisse</t>
  </si>
  <si>
    <t>Herick</t>
  </si>
  <si>
    <t>Jospin</t>
  </si>
  <si>
    <t>Dalia</t>
  </si>
  <si>
    <t>P29</t>
  </si>
  <si>
    <t>I23C</t>
  </si>
  <si>
    <t>Evariste</t>
  </si>
  <si>
    <t>Ted</t>
  </si>
  <si>
    <t>Shely</t>
  </si>
  <si>
    <t>Transport</t>
  </si>
  <si>
    <t>Office Materials</t>
  </si>
  <si>
    <t>Jack-Bénisson</t>
  </si>
  <si>
    <t>Noms &amp; Prénoms</t>
  </si>
  <si>
    <t>Total reçu</t>
  </si>
  <si>
    <t>Total Dépenses</t>
  </si>
  <si>
    <t>Total versement</t>
  </si>
  <si>
    <t>Fonds Exterieur pour le projet</t>
  </si>
  <si>
    <t>Balance calculée</t>
  </si>
  <si>
    <t>Versement reçu</t>
  </si>
  <si>
    <t>Versements faits</t>
  </si>
  <si>
    <t>Dépenses</t>
  </si>
  <si>
    <t>Donations</t>
  </si>
  <si>
    <t>Banque</t>
  </si>
  <si>
    <t xml:space="preserve">BCI </t>
  </si>
  <si>
    <t>BCI  sous-compte</t>
  </si>
  <si>
    <t>Crépin</t>
  </si>
  <si>
    <t>i23c</t>
  </si>
  <si>
    <t>Perrine Odier</t>
  </si>
  <si>
    <t>TOTAL</t>
  </si>
  <si>
    <t>DIFFERENCE</t>
  </si>
  <si>
    <r>
      <t xml:space="preserve">Monnaie de tenue de compte: </t>
    </r>
    <r>
      <rPr>
        <b/>
        <sz val="10"/>
        <color theme="5"/>
        <rFont val="Arial Narrow"/>
        <family val="2"/>
      </rPr>
      <t>XAF</t>
    </r>
  </si>
  <si>
    <t>Mois</t>
  </si>
  <si>
    <t>Noms &amp; prénoms</t>
  </si>
  <si>
    <t>MONTANT RECU DE</t>
  </si>
  <si>
    <t>Transféré</t>
  </si>
  <si>
    <t>Dépensé</t>
  </si>
  <si>
    <t xml:space="preserve">Remboursement </t>
  </si>
  <si>
    <t>Caisses</t>
  </si>
  <si>
    <t>CAISSE</t>
  </si>
  <si>
    <t>CAISSE PALF</t>
  </si>
  <si>
    <t>BANQUES</t>
  </si>
  <si>
    <t>BCI-Compte principal</t>
  </si>
  <si>
    <t>BCI-sous compte</t>
  </si>
  <si>
    <t>BALANCE CAISSES ET BANQUE AU 31 AOÜT 2020</t>
  </si>
  <si>
    <t>AOÜT</t>
  </si>
  <si>
    <t>Balance au          01 AOÜT 2020</t>
  </si>
  <si>
    <t>Balance au 31 AOÜT  2020</t>
  </si>
  <si>
    <t>Hérick</t>
  </si>
  <si>
    <t>Monnaie de tenue de compte: XAF</t>
  </si>
  <si>
    <t>BALANCE CAISSES ET BANQUE AU 31 JUILLET 2020</t>
  </si>
  <si>
    <t>JUILLET</t>
  </si>
  <si>
    <t>Balance au 01
 JUILLET 2020</t>
  </si>
  <si>
    <t>Balance au 31
 JUILLET 2020</t>
  </si>
  <si>
    <t>Versement</t>
  </si>
  <si>
    <t>Christian</t>
  </si>
  <si>
    <t>Geisner</t>
  </si>
  <si>
    <t>BALANCE CAISSES ET BANQUE AU 30 Septembre  2020</t>
  </si>
  <si>
    <t>SEPTEMBRE</t>
  </si>
  <si>
    <t>Balance au          01 Septembre 2020</t>
  </si>
  <si>
    <t>N°Pièce</t>
  </si>
  <si>
    <t>Naftalie</t>
  </si>
  <si>
    <t>I73X</t>
  </si>
  <si>
    <t>I55S</t>
  </si>
  <si>
    <t>Ecart à régulariser</t>
  </si>
  <si>
    <t>Balance au 30 Septembre 2020</t>
  </si>
  <si>
    <t>BALANCE CAISSES ET BANQUE AU 31 Octobre 2020</t>
  </si>
  <si>
    <t>Balance au          01 Octobre 2020</t>
  </si>
  <si>
    <t>Balance au 31 Octobre 2020</t>
  </si>
  <si>
    <t>OCTOBRE</t>
  </si>
  <si>
    <t>Jack/Crépin</t>
  </si>
  <si>
    <t>Naftali</t>
  </si>
  <si>
    <t>Merveille</t>
  </si>
  <si>
    <t>Perrine</t>
  </si>
  <si>
    <t>BALANCE CAISSES ET BANQUE AU 30 Novembre 2020</t>
  </si>
  <si>
    <t>Balance au          01 Novembre 2020</t>
  </si>
  <si>
    <t>Balance au 30 Novembre 2020</t>
  </si>
  <si>
    <t>NOVEMBRE</t>
  </si>
  <si>
    <t>Hérick/Christian</t>
  </si>
  <si>
    <t xml:space="preserve">Ecart </t>
  </si>
  <si>
    <t>T44</t>
  </si>
  <si>
    <t>UE</t>
  </si>
  <si>
    <t>DECEMBRE</t>
  </si>
  <si>
    <t>Balance au          01 Décembre 2020</t>
  </si>
  <si>
    <t>Balance au 31 Décembre 2020</t>
  </si>
  <si>
    <t>BALANCE CAISSES ET BANQUE AU 31 Décembre 2020</t>
  </si>
  <si>
    <t>Hérick/Geisner</t>
  </si>
  <si>
    <t>JANVIER</t>
  </si>
  <si>
    <t>BALANCE CAISSES ET BANQUE AU 31 JANVIER 2021</t>
  </si>
  <si>
    <t>Balance au          01 Janvier 2021</t>
  </si>
  <si>
    <t>Balance au 31 Janvier 2021</t>
  </si>
  <si>
    <t>Hérick/Crépin</t>
  </si>
  <si>
    <t>Tiffany</t>
  </si>
  <si>
    <t>BALANCE CAISSES ET BANQUE AU 28 FEVRIER  2021</t>
  </si>
  <si>
    <t>FEVRIER</t>
  </si>
  <si>
    <t>Balance au          01 Février  2021</t>
  </si>
  <si>
    <t>Balance au 28 Février 2021</t>
  </si>
  <si>
    <t>Hérick/Geis</t>
  </si>
  <si>
    <t>BALANCE CAISSES ET BANQUE AU 31 Mars  2021</t>
  </si>
  <si>
    <t>MARS</t>
  </si>
  <si>
    <t>Balance au          01 Mars  2021</t>
  </si>
  <si>
    <t>Balance au 31 Mars 2021</t>
  </si>
  <si>
    <t>Activiste</t>
  </si>
  <si>
    <t>BALANCE CAISSES ET BANQUE AU 30 AVRIL  2021</t>
  </si>
  <si>
    <t>Balance au          01 Avril  2021</t>
  </si>
  <si>
    <t>Balance au 30 Avril 2021</t>
  </si>
  <si>
    <t>AVRIL</t>
  </si>
  <si>
    <t>Étiquettes de lignes</t>
  </si>
  <si>
    <t>Total général</t>
  </si>
  <si>
    <t>Étiquettes de colonnes</t>
  </si>
  <si>
    <t>BALANCE CAISSES ET BANQUE AU 30  Mai  2021</t>
  </si>
  <si>
    <t>Balance au          01 Mai  2021</t>
  </si>
  <si>
    <t>Balance au 30 Mai 2021</t>
  </si>
  <si>
    <t>MAI</t>
  </si>
  <si>
    <t>Somme de Spent</t>
  </si>
  <si>
    <t>Total Somme de Received</t>
  </si>
  <si>
    <t>Somme de Received</t>
  </si>
  <si>
    <t>Total Somme de Spent</t>
  </si>
  <si>
    <t>Internet</t>
  </si>
  <si>
    <t>BALANCE CAISSES ET BANQUE AU 30  Juin  2021</t>
  </si>
  <si>
    <t>Balance au 30 Juin  2021</t>
  </si>
  <si>
    <t>Balance au          01 Juin  2021</t>
  </si>
  <si>
    <t>JUIN</t>
  </si>
  <si>
    <t>Solde au 01/07/2021</t>
  </si>
  <si>
    <t>Bank Fees</t>
  </si>
  <si>
    <t>Transfer Fees</t>
  </si>
  <si>
    <t>Lawyer Fees</t>
  </si>
  <si>
    <t>Jail Visits</t>
  </si>
  <si>
    <t>BALANCE CAISSES ET BANQUE AU 31 Juillet  2021</t>
  </si>
  <si>
    <t>Balance au          01 Juillet  2021</t>
  </si>
  <si>
    <t>Balance au 31 Juillet  2021</t>
  </si>
  <si>
    <t>AOUT</t>
  </si>
  <si>
    <t>Balance au          01 Août 2021</t>
  </si>
  <si>
    <t>BALANCE CAISSES ET BANQUE AU 31 Août  2021</t>
  </si>
  <si>
    <t>Balance au 31 Août 2021</t>
  </si>
  <si>
    <t>CONGO</t>
  </si>
  <si>
    <t>Grace</t>
  </si>
  <si>
    <t>Godfré</t>
  </si>
  <si>
    <t>Equipement</t>
  </si>
  <si>
    <t>TOTAL RECU EN Septembre</t>
  </si>
  <si>
    <t>BALANCE CAISSES ET BANQUE AU 30 Septembre 2021</t>
  </si>
  <si>
    <t>Balance a   01 Septembre 2021</t>
  </si>
  <si>
    <t>Serdroque</t>
  </si>
  <si>
    <t>Travel Subsistence</t>
  </si>
  <si>
    <t>BCI-Sous Compte</t>
  </si>
  <si>
    <t>Solde au 01/10/2021</t>
  </si>
  <si>
    <t>BALANCE 01 Octobre 2021</t>
  </si>
  <si>
    <t>TOTAL DEPENSE EN OCTOBRE</t>
  </si>
  <si>
    <t>BALANCE 31 OCTOBRE 2021</t>
  </si>
  <si>
    <t>Balance a   01 Octobre 2021</t>
  </si>
  <si>
    <t>Balance au 31 Octobre 2021</t>
  </si>
  <si>
    <t>Balance au 31 Septembre 2021</t>
  </si>
  <si>
    <t>BALANCE CAISSES ET BANQUE AU 31 Octobre 2021</t>
  </si>
  <si>
    <t>Axel</t>
  </si>
  <si>
    <t>Godfre</t>
  </si>
  <si>
    <t>Achat credit  teléphonique MTN/staff PALF/Première partie Octobre  2021/Investingation</t>
  </si>
  <si>
    <t>Legal</t>
  </si>
  <si>
    <t>Reglement loyer Tiffany mois d'Octobre 2021/400USD</t>
  </si>
  <si>
    <t>I23c</t>
  </si>
  <si>
    <t>Bonus Media (Portant sur la Journée mondiale des Animaux)/diffusion</t>
  </si>
  <si>
    <t>Bonus</t>
  </si>
  <si>
    <t>Frais de Transfert /Charden Farell/Maouene Expresse/I23C/P29</t>
  </si>
  <si>
    <t>Office</t>
  </si>
  <si>
    <t>Reglèment facture d'Eau de Septembre - Octobre 2021</t>
  </si>
  <si>
    <t>Achat Carte Crédit Téléphoniue Luc/PALF</t>
  </si>
  <si>
    <t>CCU</t>
  </si>
  <si>
    <t>Décharge</t>
  </si>
  <si>
    <t>Main d'œuvre Reinitialisation du système memory et code sc 542/imprimante bureau</t>
  </si>
  <si>
    <t>Frais de Transfert /Maouene Expresse/P29</t>
  </si>
  <si>
    <t>Achat Eau /03 bonbonnes</t>
  </si>
  <si>
    <t>Frais de mission à Madingou maitre Séverin du 14 au 16/10/2021</t>
  </si>
  <si>
    <t>Frais de traitement de dossier pour validation contrat à l'ACPE/Grace</t>
  </si>
  <si>
    <t>Entretien géneral jardin bureau</t>
  </si>
  <si>
    <t xml:space="preserve">Achat credit  teléphonique MTN/staff PALF/2ème  partie Octobre  2021/Legal </t>
  </si>
  <si>
    <t>Achat credit  teléphonique MTN/staff PALF/2ème  partie Octobre  2021/Legal Volontaire</t>
  </si>
  <si>
    <t>Achat credit  teléphonique MTN/staff PALF/2ème  partie Octobre  2021/Investigation</t>
  </si>
  <si>
    <t>Achat credit  teléphonique MTN/staff PALF/2ème  partie Octobre  2021/Média</t>
  </si>
  <si>
    <t>Achat credit  teléphonique MTN/staff PALF/2ème  partie Octobre  2021/Management</t>
  </si>
  <si>
    <t>Achat credit  teléphonique Airtel/staff PALF/2ème partie Octobre  2021/Legal</t>
  </si>
  <si>
    <t>Achat credit  teléphonique Airtel/staff PALF/2ème partie Octobre  2021/Investigation</t>
  </si>
  <si>
    <t>Achat credit  teléphonique Airtel/staff PALF/2ème partie Octobre  2021/Management</t>
  </si>
  <si>
    <t>Oui</t>
  </si>
  <si>
    <t>Impression des photos 10x15 des animaux protegés par la loi</t>
  </si>
  <si>
    <t>BCI-3643541</t>
  </si>
  <si>
    <t>Bonus Media (Portant sur l'audience du 18 Octobre 2021)/diffusion</t>
  </si>
  <si>
    <t>Achat fournitures de bureau/classeurs,chemises cartonnées,marqueurs,enveloppes,surligneur</t>
  </si>
  <si>
    <t>Bonus Media (Portant sur l'audience du 22 Octobre 2021 à Dolisie)/diffusion</t>
  </si>
  <si>
    <t>Bonus média/Télé Congo/Diffusion</t>
  </si>
  <si>
    <t>BCI sous Compte-3643545</t>
  </si>
  <si>
    <t>BCI Compte Principale -3643559</t>
  </si>
  <si>
    <t>Retour caisse/Serdroque</t>
  </si>
  <si>
    <t>Reglement Facture Internet /CONGO TELCOM</t>
  </si>
  <si>
    <t>Achat crédit MTN pour crépin</t>
  </si>
  <si>
    <t>Achat gel hydroalcoolique/bactigel</t>
  </si>
  <si>
    <t>Bonus Média/portant sur interpellation d'un présumé trafiquant d'ivoir et queues d'elephants</t>
  </si>
  <si>
    <t>Reglement prestation Technicienne de Surface mois de Octobre 2021/MFIELO</t>
  </si>
  <si>
    <t>Bonus mois d'octobre 2021/Evariste</t>
  </si>
  <si>
    <t>Bonus mois d'octobre 2021/Crépin</t>
  </si>
  <si>
    <t>Reglement gardiennage mois de Septembre 2021</t>
  </si>
  <si>
    <t>Cotisation Web bank</t>
  </si>
  <si>
    <t>Grant</t>
  </si>
  <si>
    <t>Retrait especes/appro caisse/bord n°3654459</t>
  </si>
  <si>
    <t>Reglement gardiennage mois de Octobre 2021</t>
  </si>
  <si>
    <t>Relevé</t>
  </si>
  <si>
    <t>Frais bancaire/commission de mouvement</t>
  </si>
  <si>
    <t>Achat 10 telephone de services pour le PALF</t>
  </si>
  <si>
    <t>Paiement salaire du mois de Septembre 2021 2021/IBOUILI CREPIN/chq n°3643517</t>
  </si>
  <si>
    <t>Paiemet CNSS Troixième trimestre 2021/ Juillet 2021,Ted</t>
  </si>
  <si>
    <t>Paiemet CNSS Troixième trimestre 2021/Juillet et Aout 2021,Jack-Bénisson</t>
  </si>
  <si>
    <t>Paiemet CNSS Troixième trimestre 2021/Juillet, Aout et Septembre 2021/Merveille</t>
  </si>
  <si>
    <t>Paiemet CNSS Troixième trimestre 2021/Juillet, Aout et Septembre 2021/Crépin</t>
  </si>
  <si>
    <t>Paiemet CNSS Troixième trimestre 2021/Juillet, Aout et Septembre 2021/Evariste</t>
  </si>
  <si>
    <t>Paiemet CNSS Troixième trimestre 2021/Juillet et Aout 2021/P29</t>
  </si>
  <si>
    <t>Paiemet CNSS Troixième trimestre 2021/Juillet, Aout et Septembre 2021/Grace</t>
  </si>
  <si>
    <t>Reglement loyer mois de Octobre 2021/Bureau PALF</t>
  </si>
  <si>
    <t>Fond Reçu de UE</t>
  </si>
  <si>
    <t>Retrait especes/appro caisse/bord n°3643541</t>
  </si>
  <si>
    <t>Frais de consultation avocat Mois de Octobre 2021/LOCKO Christian/3643542</t>
  </si>
  <si>
    <t>Acompte  honoraires contrat n°38/Brazzaville/maitre Séverin cas NGOMBELE /3643544</t>
  </si>
  <si>
    <t>Retrait especes/appro caisse/bord n°3643545</t>
  </si>
  <si>
    <t>Paiment Salaire Mois d'Octobre 2021/Crépin</t>
  </si>
  <si>
    <t>Paiment Salaire Mois d'Octobre 2021/Merveille</t>
  </si>
  <si>
    <t>Paiment Salaire Mois d'Octobre 2021/Grace</t>
  </si>
  <si>
    <t>Paiment Salaire Mois d'Octobre 2021/Evariste</t>
  </si>
  <si>
    <t>Media</t>
  </si>
  <si>
    <t>Paiment Salaire Mois d'Octobre 2021/Tiffany</t>
  </si>
  <si>
    <t>Reglement facture honoraire du mois d'Octobre 2021/I23C/chq n°3643555</t>
  </si>
  <si>
    <t>Reglement facture honoraire du mois d'Octobre 2021/P29/chq n°3643556</t>
  </si>
  <si>
    <t>Reglement loyer mois de Novembre 2021/Bureau PALF</t>
  </si>
  <si>
    <t>Reçu Caisse</t>
  </si>
  <si>
    <t>Cumul Frais de Transport Mois d'Octobre 2021/Grace</t>
  </si>
  <si>
    <t>Reçu Banque Compte 56 (Acquisition téléphone achété le 04/10/2021)</t>
  </si>
  <si>
    <t>Reçu caisse</t>
  </si>
  <si>
    <t>Cumul frais de transport local mois de d'octobre 2021/Merveille</t>
  </si>
  <si>
    <t>Cumul frais transport local mois d'Octobre 2021/Tiffany</t>
  </si>
  <si>
    <t>Reçu de la caisse</t>
  </si>
  <si>
    <t xml:space="preserve">Reçu de la caisse </t>
  </si>
  <si>
    <t>Cumul Frais de Transport Local du Mois d'octobre 2021/Evariste</t>
  </si>
  <si>
    <t>Reçu de caisse</t>
  </si>
  <si>
    <t>Réçu caisse</t>
  </si>
  <si>
    <t>I23C - CONGO Paiement Hôtel 2 nuitées du 10 au 12 octobre 2021</t>
  </si>
  <si>
    <t>I23C - CONGO Food allowance mission Makoua-Etoumbi du 21 au 27 octobre 2021</t>
  </si>
  <si>
    <t>I23C - CONGO Paiement hôtel du 21 au 24 octobre 2021</t>
  </si>
  <si>
    <t>I23C - CONGO Paiement Hôtel 2 nuitées du 24 au 26 octobre 2021</t>
  </si>
  <si>
    <t>Taxi : Etoumbi-Makoua (départ pour Makoua)</t>
  </si>
  <si>
    <t>Achat billet Oyo-Brazzaville (retour à Brazzaville)</t>
  </si>
  <si>
    <t>I23C - CONGO Paiement Hôtel Une nuitée du 26 au 27 Octobre 2021</t>
  </si>
  <si>
    <t>Cumul Frais de Transport Local du Mois d'Octobre 2021/I23C</t>
  </si>
  <si>
    <t>Cumul Frais Trust Building du Mois d'Octobre 2021/I23C</t>
  </si>
  <si>
    <t>Trust Bulding</t>
  </si>
  <si>
    <t>Recu de caisse</t>
  </si>
  <si>
    <t>P29 - CONGO Paiement une nuitée du 07 au 08/10 (jour panne vehicule e route au village niaga)</t>
  </si>
  <si>
    <t>P29 - CONGO Paiement 5 nuitées du 08 au 13/10/21  à Divinié</t>
  </si>
  <si>
    <t>P29 - CONGO Paiement 1 nuitée du 06 au 07/10/21 à Dolisie</t>
  </si>
  <si>
    <t>P29 - CONGO Paiement 2 nuitées du 13 au 15/10/21 à Dolisie</t>
  </si>
  <si>
    <t>P29 - CONGO Paiement une nuitée du 24 au 25/10/21</t>
  </si>
  <si>
    <t>Cumul Frais de Transport Local du Mois d'Octobre 2021/P29</t>
  </si>
  <si>
    <t>Cumul Frais de Trust Building du Mois d'Octobre 2021/P29</t>
  </si>
  <si>
    <t>Saisie Impression et Scannage</t>
  </si>
  <si>
    <t>Raçu Caisse</t>
  </si>
  <si>
    <t>Cumul Frais de Transport Local Mois d'Octobre 2021/Godfré</t>
  </si>
  <si>
    <t>Cumul Frais de Jail Visit du Mois d'Octobre 2021/Godfré</t>
  </si>
  <si>
    <t>Cumul Frais de Ration du Mois d'Octobre 2021/Godfré</t>
  </si>
  <si>
    <t>reçu caisse</t>
  </si>
  <si>
    <t xml:space="preserve">Frais ordonnance </t>
  </si>
  <si>
    <t>SERDROQUE - CONGO Food Allowance de la Mission du 14 au 16/10/2021</t>
  </si>
  <si>
    <t>SERDROQUE - CONGO Frais d'hotel, 2 nuités du 14 au 16/10/2021</t>
  </si>
  <si>
    <t>Cumul Frais de Jail Visits Mois d'Octobre 2021/SERDROQUE</t>
  </si>
  <si>
    <t>Cumul Frais de Ration Journalière Mois d'Octobre 2021/SERDROQUE</t>
  </si>
  <si>
    <t>Cumul Frais de Transport Local du Mois d'Octobre 2021/SERDROQUE</t>
  </si>
  <si>
    <t>Retour Caisse /SERDROQUE</t>
  </si>
  <si>
    <t>Travel subsistence</t>
  </si>
  <si>
    <t>Achat médicaments détenu MANGUILA</t>
  </si>
  <si>
    <t>Cumul Frais de Transport Local du Mois d'Octobre 2021/Axel</t>
  </si>
  <si>
    <t>Cumul Frais de Ration Journalière du Mois d'Octobre 2021/Axel</t>
  </si>
  <si>
    <t>Cumul Frais de Jail Visit du Mois d'Octobre 2021/Axel</t>
  </si>
  <si>
    <t>PALF</t>
  </si>
  <si>
    <t>RALFF</t>
  </si>
  <si>
    <t>5.6</t>
  </si>
  <si>
    <t>Commissions de mouvement /Frais Fixe</t>
  </si>
  <si>
    <t>Court Fees</t>
  </si>
  <si>
    <t>3.2</t>
  </si>
  <si>
    <t>Fonds Reçu de EAGLE</t>
  </si>
  <si>
    <t>4.5</t>
  </si>
  <si>
    <t>5.2.2</t>
  </si>
  <si>
    <t>4.3</t>
  </si>
  <si>
    <t>RAPPORT FINANCIER OCTOBRE 2021</t>
  </si>
  <si>
    <t>Wildcat</t>
  </si>
  <si>
    <t>1.1.1.7</t>
  </si>
  <si>
    <t>1.1.2.1</t>
  </si>
  <si>
    <t>1.1.1.4</t>
  </si>
  <si>
    <t>1.1.1.9</t>
  </si>
  <si>
    <t>1.1.1.1</t>
  </si>
  <si>
    <t>4.2</t>
  </si>
  <si>
    <t>4.4</t>
  </si>
  <si>
    <t xml:space="preserve">Telephone </t>
  </si>
  <si>
    <t>4.6</t>
  </si>
  <si>
    <t>Frais de Transfert Charden Farell/I23C</t>
  </si>
  <si>
    <t>2.2</t>
  </si>
  <si>
    <t>I23C - CONGO Food allowance mission Pointe Noire -Nkayi du 6 au 12 octobre 2021</t>
  </si>
  <si>
    <t>GODFRE- CONGO Frais d'hotel, mission du 28 au 30 Novembre 2021</t>
  </si>
  <si>
    <t>AXEL - CONGO Food allowance du 21 au 23-oct-2021/Dolisie</t>
  </si>
  <si>
    <t>AXEL- CONGO  Frais d'hebergement 2 nuitée du 21 au 23-oct-2021/Dolisie</t>
  </si>
  <si>
    <t>1.3.2</t>
  </si>
  <si>
    <t>Grace (Acquisition 01 téléphone achété le 04/10/2021)</t>
  </si>
  <si>
    <t>Achat 02 cartouches SP311/Bureau</t>
  </si>
  <si>
    <t>BCI-</t>
  </si>
  <si>
    <t>Achat credit  teléphonique MTN/staff PALF/Première partie Octobre  2021/Legal Volontaire</t>
  </si>
  <si>
    <t>P29 - CONGO Food allowance mission du 06 au 15/10/21</t>
  </si>
  <si>
    <t>5.2.1</t>
  </si>
  <si>
    <t>P29 - CONGO Food allowance mission du 21 au 25/10/21</t>
  </si>
  <si>
    <t>P29 - CONGO Paiement Hotel 03 nuitées du 21 au 24/10/21</t>
  </si>
  <si>
    <t>ECF</t>
  </si>
  <si>
    <t>Frais de visite des appartements /</t>
  </si>
  <si>
    <t>Frais de visite des résidences /</t>
  </si>
  <si>
    <t xml:space="preserve">Frais de visite des résidences / </t>
  </si>
  <si>
    <t>Cumul Frais de Transport Local du Mois d'Octobre 2021/Crépin</t>
  </si>
  <si>
    <t>Frais des visites des appartements/</t>
  </si>
  <si>
    <t>Operation</t>
  </si>
  <si>
    <t xml:space="preserve">Frais de visite de Appartements </t>
  </si>
  <si>
    <t xml:space="preserve">Frais de visite des appartements </t>
  </si>
  <si>
    <t>Frais de visite des appartements</t>
  </si>
  <si>
    <t>Achat credit  teléphonique MTN / Investigation</t>
  </si>
  <si>
    <t>Frais de mission du 21 au 23/10/2021 à Dolisie Maitre Scrutin/suivi audience  cas NZIHOU Arly</t>
  </si>
  <si>
    <t>Frais de mission du 28 au 30/10/2021 à Dolisie Maitre Scrutin/suivi audience  cas NZIHOU Arly</t>
  </si>
  <si>
    <t>RALFF-CO2612</t>
  </si>
  <si>
    <t>RALFF-CO2613</t>
  </si>
  <si>
    <t>RALFF-CO2614</t>
  </si>
  <si>
    <t>RALFF-CO2615</t>
  </si>
  <si>
    <t>RALFF-CO2616</t>
  </si>
  <si>
    <t>RALFF-CO2617</t>
  </si>
  <si>
    <t>RALFF-CO2618</t>
  </si>
  <si>
    <t>RALFF-CO2619</t>
  </si>
  <si>
    <t>RALFF-CO2620</t>
  </si>
  <si>
    <t>RALFF-CO2621</t>
  </si>
  <si>
    <t>RALFF-CO2622</t>
  </si>
  <si>
    <t>RALFF-CO2623</t>
  </si>
  <si>
    <t>RALFF-CO2624</t>
  </si>
  <si>
    <t>RALFF-CO2625</t>
  </si>
  <si>
    <t>RALFF-CO2626</t>
  </si>
  <si>
    <t>RALFF-CO2627</t>
  </si>
  <si>
    <t>RALFF-CO2628</t>
  </si>
  <si>
    <t>RALFF-CO2629</t>
  </si>
  <si>
    <t>RALFF-CO2630</t>
  </si>
  <si>
    <t>RALFF-CO2631</t>
  </si>
  <si>
    <t>RALFF-CO2632</t>
  </si>
  <si>
    <t>RALFF-CO2633</t>
  </si>
  <si>
    <t>RALFF-CO2634</t>
  </si>
  <si>
    <t>RALFF-CO2635</t>
  </si>
  <si>
    <t>RALFF-CO2636</t>
  </si>
  <si>
    <t>RALFF-CO2637</t>
  </si>
  <si>
    <t>RALFF-CO2638</t>
  </si>
  <si>
    <t>RALFF-CO2639</t>
  </si>
  <si>
    <t>RALFF-CO2641</t>
  </si>
  <si>
    <t>RALFF-CO2642</t>
  </si>
  <si>
    <t>RALFF-CO2643</t>
  </si>
  <si>
    <t>RALFF-CO2644</t>
  </si>
  <si>
    <t>RALFF-CO2645</t>
  </si>
  <si>
    <t>RALFF-CO2646</t>
  </si>
  <si>
    <t>RALFF-CO2647</t>
  </si>
  <si>
    <t>RALFF-CO2648</t>
  </si>
  <si>
    <t>RALFF-CO2649</t>
  </si>
  <si>
    <t>RALFF-CO2650</t>
  </si>
  <si>
    <t>RALFF-CO2651</t>
  </si>
  <si>
    <t>RALFF-CO2652</t>
  </si>
  <si>
    <t>RALFF-CO2653</t>
  </si>
  <si>
    <t>RALFF-CO2654</t>
  </si>
  <si>
    <t>RALFF-CO2655</t>
  </si>
  <si>
    <t>RALFF-CO2656</t>
  </si>
  <si>
    <t>RALFF-CO2657</t>
  </si>
  <si>
    <t>RALFF-CO2658</t>
  </si>
  <si>
    <t>RALFF-CO2659</t>
  </si>
  <si>
    <t>RALFF-CO2660</t>
  </si>
  <si>
    <t>RALFF-CO2661</t>
  </si>
  <si>
    <t>RALFF-CO2662</t>
  </si>
  <si>
    <t>RALFF-CO2663</t>
  </si>
  <si>
    <t>RALFF-CO2664</t>
  </si>
  <si>
    <t>RALFF-CO2665</t>
  </si>
  <si>
    <t>RALFF-CO2666</t>
  </si>
  <si>
    <t>RALFF-CO2667</t>
  </si>
  <si>
    <t>RALFF-CO2668</t>
  </si>
  <si>
    <t>RALFF-CO2669</t>
  </si>
  <si>
    <t>RALFF-CO2670</t>
  </si>
  <si>
    <t>RALFF-CO2671</t>
  </si>
  <si>
    <t>RALFF-CO2672</t>
  </si>
  <si>
    <t>RALFF-CO2673</t>
  </si>
  <si>
    <t>RALFF-CO2674</t>
  </si>
  <si>
    <t>RALFF-CO2675</t>
  </si>
  <si>
    <t>RALFF-CO2676</t>
  </si>
  <si>
    <t>RALFF-CO2677</t>
  </si>
  <si>
    <t>RALFF-CO2678</t>
  </si>
  <si>
    <t>RALFF-CO2679</t>
  </si>
  <si>
    <t>RALFF-CO2680</t>
  </si>
  <si>
    <t>RALFF-CO2681</t>
  </si>
  <si>
    <t>RALFF-CO2682</t>
  </si>
  <si>
    <t>RALFF-CO2683</t>
  </si>
  <si>
    <t>RALFF-CO2684</t>
  </si>
  <si>
    <t>RALFF-CO2685</t>
  </si>
  <si>
    <t>RALFF-CO2686</t>
  </si>
  <si>
    <t>RALFF-CO2687</t>
  </si>
  <si>
    <t>RALFF-CO2688</t>
  </si>
  <si>
    <t>RALFF-CO2689</t>
  </si>
  <si>
    <t>RALFF-CO2690</t>
  </si>
  <si>
    <t>RALFF-CO2691</t>
  </si>
  <si>
    <t>RALFF-CO2640</t>
  </si>
  <si>
    <t>Achat credit  teléphonique Airtel/staff PALF/Première partie Octobre  2021/Investigation/P29</t>
  </si>
  <si>
    <t>Billet Brazzaville-Dolisie/Axel</t>
  </si>
  <si>
    <t>Billet Dolisie-Brazzaville/Axel</t>
  </si>
  <si>
    <t>Achat billet aller (Brazzaville-Dolisie)/Godfré</t>
  </si>
  <si>
    <t>Achat billet retour(Dolisie- Brazzaville)/Godfré</t>
  </si>
  <si>
    <t>Achat Billet Dolisie - Brazzaville/Godfré</t>
  </si>
  <si>
    <t>Achat billet Brazzaville-Dolisie/Godfré</t>
  </si>
  <si>
    <t>GODFRE - CONGO Food Allowance mission Dolisie du 07 au 09 Octobre2021</t>
  </si>
  <si>
    <t>GODFRE - CONGO Frais d' Hotêl de la mission Dolisie du 07 au 09 Octobre2021</t>
  </si>
  <si>
    <t>GODFRE - CONGO Food allowance mission Dolisie du 28 au 30 Novembre 2021</t>
  </si>
  <si>
    <t>Achat billet Brazzaville-Pointe Noire/I23C</t>
  </si>
  <si>
    <t>I23C - CONGO Paiement Hôtel Pointe Noire 4 nuitées du 6 au 10/10/2021</t>
  </si>
  <si>
    <t>Achat billet Pointe Noire-Nkayi/I23C</t>
  </si>
  <si>
    <t>Achat billet Billet Nkayi-Brazzaville / I23C</t>
  </si>
  <si>
    <t>Achat billet Brazzaville-Makoua / I23C</t>
  </si>
  <si>
    <t>Taxi : Makoua-Etoumbi (départ pour Etoumbi) / I23C</t>
  </si>
  <si>
    <t>Taxi : Makoua-Oyo (départ pour Oyo) / I23C</t>
  </si>
  <si>
    <t>Achat billet Brazzaville-Dolisie/P29</t>
  </si>
  <si>
    <t>Achat billet dolisie-divinie/P29</t>
  </si>
  <si>
    <t>Achat billet,divinie-dolisie,retour sur dolisie /P29</t>
  </si>
  <si>
    <t>Achat billet dolisie-brazzaville/P29</t>
  </si>
  <si>
    <t>Achat billet Brazzaville-Loudima,depart mission/P29</t>
  </si>
  <si>
    <t>Achat billet loudima- sibiti/ P29</t>
  </si>
  <si>
    <t>Achat billet sibiti-dolisie / P29</t>
  </si>
  <si>
    <t>Achat billet dolisie-brazza,retour mission / P29</t>
  </si>
  <si>
    <t>Achat billet Brazzaville- Madingou / Serdroque</t>
  </si>
  <si>
    <t>Achat billet pour Brazzaville-Madingou/ Serdroque</t>
  </si>
</sst>
</file>

<file path=xl/styles.xml><?xml version="1.0" encoding="utf-8"?>
<styleSheet xmlns="http://schemas.openxmlformats.org/spreadsheetml/2006/main">
  <numFmts count="6">
    <numFmt numFmtId="41" formatCode="_-* #,##0\ _F_C_F_A_-;\-* #,##0\ _F_C_F_A_-;_-* &quot;-&quot;\ _F_C_F_A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\ _€_-;\-* #,##0\ _€_-;_-* &quot;-&quot;??\ _€_-;_-@"/>
    <numFmt numFmtId="167" formatCode="[$-409]d\-mmm\-yy;@"/>
    <numFmt numFmtId="168" formatCode="[$-40C]0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color rgb="FFFF0000"/>
      <name val="Calibri"/>
      <family val="2"/>
      <scheme val="minor"/>
    </font>
    <font>
      <sz val="10"/>
      <color rgb="FFFF0000"/>
      <name val="Arial Narrow"/>
      <family val="2"/>
    </font>
    <font>
      <sz val="9"/>
      <color theme="1"/>
      <name val="Arial Narrow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Arial Narrow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theme="5"/>
      <name val="Arial Narrow"/>
      <family val="2"/>
    </font>
    <font>
      <b/>
      <sz val="10"/>
      <color theme="5"/>
      <name val="Arial Narrow"/>
      <family val="2"/>
    </font>
    <font>
      <b/>
      <i/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rgb="FFFF0000"/>
      <name val="Calibri"/>
      <family val="2"/>
      <scheme val="minor"/>
    </font>
    <font>
      <sz val="10"/>
      <color rgb="FF000000"/>
      <name val="Arial Narrow"/>
      <family val="2"/>
    </font>
    <font>
      <sz val="10"/>
      <color rgb="FF000000"/>
      <name val="Arial"/>
      <family val="2"/>
    </font>
    <font>
      <sz val="9"/>
      <color rgb="FF000000"/>
      <name val="Arial Narrow"/>
      <family val="2"/>
    </font>
    <font>
      <sz val="10"/>
      <color rgb="FFED7D31"/>
      <name val="Arial Narrow"/>
      <family val="2"/>
    </font>
    <font>
      <b/>
      <sz val="12"/>
      <color theme="1"/>
      <name val="Calibri"/>
      <family val="2"/>
      <scheme val="minor"/>
    </font>
    <font>
      <sz val="18"/>
      <color theme="0"/>
      <name val="Arial Narrow"/>
      <family val="2"/>
    </font>
    <font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FF0000"/>
      <name val="Arial Narrow"/>
      <family val="2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</font>
    <font>
      <sz val="18"/>
      <color theme="1"/>
      <name val="Arial Narrow"/>
      <family val="2"/>
    </font>
    <font>
      <sz val="12"/>
      <color theme="1"/>
      <name val="Arial Narrow"/>
      <family val="2"/>
    </font>
    <font>
      <sz val="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Calibri"/>
      <family val="2"/>
      <scheme val="minor"/>
    </font>
    <font>
      <b/>
      <sz val="12"/>
      <color theme="1"/>
      <name val="Arial Narrow"/>
      <family val="2"/>
    </font>
  </fonts>
  <fills count="2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BC2E6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AEAAA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lightGray">
        <bgColor theme="5" tint="0.3999755851924192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0" fillId="0" borderId="0"/>
    <xf numFmtId="41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23" fillId="0" borderId="0" applyBorder="0" applyProtection="0"/>
  </cellStyleXfs>
  <cellXfs count="301">
    <xf numFmtId="0" fontId="0" fillId="0" borderId="0" xfId="0"/>
    <xf numFmtId="0" fontId="0" fillId="0" borderId="0" xfId="0" applyFill="1" applyAlignment="1"/>
    <xf numFmtId="165" fontId="0" fillId="0" borderId="0" xfId="1" applyNumberFormat="1" applyFont="1" applyFill="1" applyProtection="1"/>
    <xf numFmtId="0" fontId="0" fillId="0" borderId="1" xfId="0" applyFill="1" applyBorder="1" applyAlignment="1"/>
    <xf numFmtId="165" fontId="0" fillId="0" borderId="1" xfId="0" applyNumberFormat="1" applyFill="1" applyBorder="1" applyAlignment="1"/>
    <xf numFmtId="165" fontId="0" fillId="0" borderId="0" xfId="0" applyNumberFormat="1" applyFill="1" applyAlignmen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1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11" fillId="6" borderId="1" xfId="3" applyNumberFormat="1" applyFont="1" applyFill="1" applyBorder="1"/>
    <xf numFmtId="0" fontId="11" fillId="6" borderId="1" xfId="3" applyFont="1" applyFill="1" applyBorder="1"/>
    <xf numFmtId="0" fontId="12" fillId="0" borderId="1" xfId="0" applyFont="1" applyFill="1" applyBorder="1" applyAlignment="1"/>
    <xf numFmtId="165" fontId="0" fillId="0" borderId="0" xfId="0" applyNumberFormat="1" applyAlignment="1">
      <alignment vertical="center"/>
    </xf>
    <xf numFmtId="0" fontId="12" fillId="0" borderId="0" xfId="0" applyFont="1" applyFill="1" applyBorder="1" applyAlignment="1"/>
    <xf numFmtId="0" fontId="13" fillId="0" borderId="0" xfId="0" applyFont="1" applyBorder="1" applyAlignment="1">
      <alignment vertical="center"/>
    </xf>
    <xf numFmtId="165" fontId="14" fillId="0" borderId="0" xfId="1" applyNumberFormat="1" applyFont="1" applyBorder="1" applyProtection="1">
      <protection locked="0"/>
    </xf>
    <xf numFmtId="165" fontId="15" fillId="0" borderId="0" xfId="1" applyNumberFormat="1" applyFont="1" applyBorder="1" applyProtection="1">
      <protection locked="0"/>
    </xf>
    <xf numFmtId="165" fontId="12" fillId="0" borderId="0" xfId="0" applyNumberFormat="1" applyFont="1" applyFill="1" applyBorder="1" applyAlignment="1"/>
    <xf numFmtId="165" fontId="13" fillId="0" borderId="0" xfId="0" applyNumberFormat="1" applyFont="1" applyBorder="1" applyAlignment="1">
      <alignment vertical="center"/>
    </xf>
    <xf numFmtId="0" fontId="16" fillId="0" borderId="0" xfId="0" applyFont="1" applyAlignment="1"/>
    <xf numFmtId="0" fontId="4" fillId="0" borderId="0" xfId="0" applyFont="1" applyAlignment="1"/>
    <xf numFmtId="0" fontId="5" fillId="7" borderId="0" xfId="0" applyFont="1" applyFill="1" applyAlignment="1">
      <alignment horizontal="center"/>
    </xf>
    <xf numFmtId="0" fontId="5" fillId="0" borderId="0" xfId="0" applyFont="1" applyFill="1" applyAlignment="1"/>
    <xf numFmtId="0" fontId="4" fillId="0" borderId="0" xfId="0" applyFont="1" applyFill="1" applyAlignment="1"/>
    <xf numFmtId="165" fontId="4" fillId="0" borderId="0" xfId="1" applyNumberFormat="1" applyFont="1" applyFill="1" applyProtection="1"/>
    <xf numFmtId="165" fontId="5" fillId="0" borderId="3" xfId="1" applyNumberFormat="1" applyFont="1" applyFill="1" applyBorder="1" applyAlignment="1" applyProtection="1">
      <alignment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4" fillId="10" borderId="4" xfId="1" applyNumberFormat="1" applyFont="1" applyFill="1" applyBorder="1" applyAlignment="1" applyProtection="1">
      <alignment horizontal="center" vertical="center"/>
    </xf>
    <xf numFmtId="0" fontId="18" fillId="10" borderId="5" xfId="0" applyFont="1" applyFill="1" applyBorder="1" applyAlignment="1"/>
    <xf numFmtId="165" fontId="4" fillId="10" borderId="5" xfId="1" applyNumberFormat="1" applyFont="1" applyFill="1" applyBorder="1" applyProtection="1"/>
    <xf numFmtId="165" fontId="4" fillId="10" borderId="5" xfId="0" applyNumberFormat="1" applyFont="1" applyFill="1" applyBorder="1" applyAlignment="1"/>
    <xf numFmtId="165" fontId="4" fillId="0" borderId="3" xfId="1" applyNumberFormat="1" applyFont="1" applyBorder="1" applyProtection="1"/>
    <xf numFmtId="165" fontId="0" fillId="0" borderId="1" xfId="1" applyNumberFormat="1" applyFont="1" applyFill="1" applyBorder="1" applyProtection="1"/>
    <xf numFmtId="165" fontId="4" fillId="0" borderId="6" xfId="1" applyNumberFormat="1" applyFont="1" applyFill="1" applyBorder="1" applyProtection="1"/>
    <xf numFmtId="165" fontId="4" fillId="0" borderId="1" xfId="0" applyNumberFormat="1" applyFont="1" applyFill="1" applyBorder="1" applyAlignment="1"/>
    <xf numFmtId="165" fontId="4" fillId="0" borderId="1" xfId="1" applyNumberFormat="1" applyFont="1" applyFill="1" applyBorder="1" applyProtection="1"/>
    <xf numFmtId="165" fontId="19" fillId="0" borderId="1" xfId="1" applyNumberFormat="1" applyFont="1" applyFill="1" applyBorder="1" applyProtection="1"/>
    <xf numFmtId="165" fontId="1" fillId="0" borderId="1" xfId="1" applyNumberFormat="1" applyFont="1" applyFill="1" applyBorder="1" applyProtection="1"/>
    <xf numFmtId="165" fontId="5" fillId="10" borderId="4" xfId="1" applyNumberFormat="1" applyFont="1" applyFill="1" applyBorder="1" applyAlignment="1" applyProtection="1">
      <alignment horizontal="left"/>
    </xf>
    <xf numFmtId="165" fontId="5" fillId="10" borderId="5" xfId="1" applyNumberFormat="1" applyFont="1" applyFill="1" applyBorder="1" applyAlignment="1" applyProtection="1">
      <alignment horizontal="left"/>
    </xf>
    <xf numFmtId="165" fontId="4" fillId="10" borderId="1" xfId="0" applyNumberFormat="1" applyFont="1" applyFill="1" applyBorder="1" applyAlignment="1"/>
    <xf numFmtId="0" fontId="5" fillId="0" borderId="4" xfId="0" applyFont="1" applyFill="1" applyBorder="1" applyAlignment="1"/>
    <xf numFmtId="165" fontId="4" fillId="0" borderId="1" xfId="1" applyNumberFormat="1" applyFont="1" applyFill="1" applyBorder="1" applyAlignment="1" applyProtection="1"/>
    <xf numFmtId="165" fontId="4" fillId="0" borderId="6" xfId="1" applyNumberFormat="1" applyFont="1" applyBorder="1" applyProtection="1"/>
    <xf numFmtId="165" fontId="20" fillId="0" borderId="1" xfId="1" applyNumberFormat="1" applyFont="1" applyBorder="1" applyProtection="1"/>
    <xf numFmtId="165" fontId="20" fillId="0" borderId="0" xfId="1" applyNumberFormat="1" applyFont="1" applyProtection="1"/>
    <xf numFmtId="165" fontId="10" fillId="0" borderId="1" xfId="0" applyNumberFormat="1" applyFont="1" applyBorder="1" applyAlignment="1"/>
    <xf numFmtId="0" fontId="18" fillId="10" borderId="4" xfId="0" applyFont="1" applyFill="1" applyBorder="1" applyAlignment="1"/>
    <xf numFmtId="165" fontId="0" fillId="0" borderId="1" xfId="1" applyNumberFormat="1" applyFont="1" applyBorder="1" applyProtection="1"/>
    <xf numFmtId="165" fontId="4" fillId="0" borderId="1" xfId="0" applyNumberFormat="1" applyFont="1" applyBorder="1" applyAlignment="1"/>
    <xf numFmtId="0" fontId="0" fillId="0" borderId="1" xfId="0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" xfId="0" applyNumberFormat="1" applyBorder="1" applyAlignment="1">
      <alignment vertical="center"/>
    </xf>
    <xf numFmtId="165" fontId="16" fillId="0" borderId="6" xfId="1" applyNumberFormat="1" applyFont="1" applyBorder="1" applyProtection="1"/>
    <xf numFmtId="165" fontId="19" fillId="0" borderId="6" xfId="1" applyNumberFormat="1" applyFont="1" applyBorder="1" applyProtection="1"/>
    <xf numFmtId="165" fontId="19" fillId="0" borderId="1" xfId="1" applyNumberFormat="1" applyFont="1" applyBorder="1" applyAlignment="1" applyProtection="1">
      <alignment vertical="center"/>
    </xf>
    <xf numFmtId="165" fontId="19" fillId="5" borderId="1" xfId="1" applyNumberFormat="1" applyFont="1" applyFill="1" applyBorder="1" applyProtection="1"/>
    <xf numFmtId="165" fontId="9" fillId="0" borderId="3" xfId="1" applyNumberFormat="1" applyFont="1" applyFill="1" applyBorder="1" applyProtection="1"/>
    <xf numFmtId="165" fontId="19" fillId="5" borderId="1" xfId="1" applyNumberFormat="1" applyFont="1" applyFill="1" applyBorder="1" applyAlignment="1" applyProtection="1">
      <alignment vertical="center"/>
    </xf>
    <xf numFmtId="165" fontId="1" fillId="0" borderId="0" xfId="1" applyNumberFormat="1" applyFont="1" applyFill="1" applyProtection="1"/>
    <xf numFmtId="165" fontId="19" fillId="0" borderId="1" xfId="1" applyNumberFormat="1" applyFont="1" applyFill="1" applyBorder="1" applyAlignment="1" applyProtection="1">
      <alignment horizontal="center" vertical="center"/>
    </xf>
    <xf numFmtId="165" fontId="8" fillId="0" borderId="6" xfId="1" applyNumberFormat="1" applyFont="1" applyFill="1" applyBorder="1" applyProtection="1"/>
    <xf numFmtId="165" fontId="21" fillId="0" borderId="0" xfId="1" applyNumberFormat="1" applyFont="1" applyBorder="1" applyProtection="1">
      <protection locked="0"/>
    </xf>
    <xf numFmtId="0" fontId="6" fillId="0" borderId="1" xfId="0" applyFont="1" applyFill="1" applyBorder="1" applyAlignment="1"/>
    <xf numFmtId="0" fontId="22" fillId="0" borderId="1" xfId="0" applyFont="1" applyBorder="1" applyAlignment="1">
      <alignment vertical="center"/>
    </xf>
    <xf numFmtId="165" fontId="23" fillId="0" borderId="1" xfId="1" applyNumberFormat="1" applyFont="1" applyBorder="1" applyProtection="1">
      <protection locked="0"/>
    </xf>
    <xf numFmtId="165" fontId="24" fillId="0" borderId="1" xfId="1" applyNumberFormat="1" applyFont="1" applyBorder="1" applyProtection="1">
      <protection locked="0"/>
    </xf>
    <xf numFmtId="0" fontId="7" fillId="0" borderId="0" xfId="0" applyFont="1" applyAlignment="1">
      <alignment vertical="center"/>
    </xf>
    <xf numFmtId="0" fontId="2" fillId="7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0" fillId="10" borderId="1" xfId="0" applyFill="1" applyBorder="1" applyAlignment="1">
      <alignment vertical="center"/>
    </xf>
    <xf numFmtId="3" fontId="0" fillId="10" borderId="1" xfId="0" applyNumberForma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5" fillId="0" borderId="0" xfId="0" applyFont="1" applyFill="1" applyBorder="1" applyAlignment="1"/>
    <xf numFmtId="0" fontId="27" fillId="0" borderId="0" xfId="0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4" fontId="25" fillId="0" borderId="0" xfId="0" applyNumberFormat="1" applyFont="1" applyFill="1" applyBorder="1"/>
    <xf numFmtId="0" fontId="5" fillId="13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24" fillId="0" borderId="0" xfId="0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165" fontId="4" fillId="0" borderId="0" xfId="1" applyNumberFormat="1" applyFont="1" applyFill="1" applyBorder="1" applyProtection="1"/>
    <xf numFmtId="165" fontId="4" fillId="17" borderId="4" xfId="1" applyNumberFormat="1" applyFont="1" applyFill="1" applyBorder="1" applyAlignment="1" applyProtection="1">
      <alignment horizontal="center" vertical="center"/>
    </xf>
    <xf numFmtId="0" fontId="18" fillId="17" borderId="5" xfId="0" applyFont="1" applyFill="1" applyBorder="1" applyAlignment="1"/>
    <xf numFmtId="165" fontId="4" fillId="17" borderId="5" xfId="1" applyNumberFormat="1" applyFont="1" applyFill="1" applyBorder="1" applyProtection="1"/>
    <xf numFmtId="165" fontId="4" fillId="17" borderId="5" xfId="0" applyNumberFormat="1" applyFont="1" applyFill="1" applyBorder="1" applyAlignment="1"/>
    <xf numFmtId="165" fontId="4" fillId="0" borderId="3" xfId="1" applyNumberFormat="1" applyFont="1" applyFill="1" applyBorder="1" applyProtection="1"/>
    <xf numFmtId="165" fontId="24" fillId="0" borderId="1" xfId="1" applyNumberFormat="1" applyFont="1" applyFill="1" applyBorder="1" applyProtection="1"/>
    <xf numFmtId="165" fontId="28" fillId="0" borderId="1" xfId="1" applyNumberFormat="1" applyFont="1" applyFill="1" applyBorder="1" applyAlignment="1" applyProtection="1">
      <alignment horizontal="center" vertical="center"/>
    </xf>
    <xf numFmtId="165" fontId="23" fillId="0" borderId="1" xfId="1" applyNumberFormat="1" applyFont="1" applyFill="1" applyBorder="1" applyProtection="1"/>
    <xf numFmtId="165" fontId="28" fillId="0" borderId="1" xfId="1" applyNumberFormat="1" applyFont="1" applyFill="1" applyBorder="1" applyProtection="1"/>
    <xf numFmtId="165" fontId="23" fillId="0" borderId="0" xfId="1" applyNumberFormat="1" applyFont="1" applyFill="1" applyBorder="1" applyProtection="1"/>
    <xf numFmtId="165" fontId="5" fillId="17" borderId="4" xfId="1" applyNumberFormat="1" applyFont="1" applyFill="1" applyBorder="1" applyAlignment="1" applyProtection="1">
      <alignment horizontal="left"/>
    </xf>
    <xf numFmtId="165" fontId="5" fillId="17" borderId="5" xfId="1" applyNumberFormat="1" applyFont="1" applyFill="1" applyBorder="1" applyAlignment="1" applyProtection="1">
      <alignment horizontal="left"/>
    </xf>
    <xf numFmtId="165" fontId="4" fillId="17" borderId="1" xfId="0" applyNumberFormat="1" applyFont="1" applyFill="1" applyBorder="1" applyAlignment="1"/>
    <xf numFmtId="165" fontId="29" fillId="0" borderId="1" xfId="1" applyNumberFormat="1" applyFont="1" applyFill="1" applyBorder="1" applyProtection="1"/>
    <xf numFmtId="3" fontId="24" fillId="0" borderId="1" xfId="0" applyNumberFormat="1" applyFont="1" applyFill="1" applyBorder="1" applyAlignment="1">
      <alignment vertical="center"/>
    </xf>
    <xf numFmtId="165" fontId="29" fillId="0" borderId="0" xfId="1" applyNumberFormat="1" applyFont="1" applyFill="1" applyBorder="1" applyProtection="1"/>
    <xf numFmtId="165" fontId="10" fillId="0" borderId="1" xfId="0" applyNumberFormat="1" applyFont="1" applyFill="1" applyBorder="1" applyAlignment="1"/>
    <xf numFmtId="0" fontId="18" fillId="17" borderId="4" xfId="0" applyFont="1" applyFill="1" applyBorder="1" applyAlignment="1"/>
    <xf numFmtId="165" fontId="30" fillId="0" borderId="3" xfId="1" applyNumberFormat="1" applyFont="1" applyFill="1" applyBorder="1" applyProtection="1"/>
    <xf numFmtId="165" fontId="28" fillId="0" borderId="6" xfId="1" applyNumberFormat="1" applyFont="1" applyFill="1" applyBorder="1" applyProtection="1"/>
    <xf numFmtId="165" fontId="28" fillId="18" borderId="1" xfId="1" applyNumberFormat="1" applyFont="1" applyFill="1" applyBorder="1" applyProtection="1"/>
    <xf numFmtId="165" fontId="28" fillId="18" borderId="1" xfId="1" applyNumberFormat="1" applyFont="1" applyFill="1" applyBorder="1" applyAlignment="1" applyProtection="1">
      <alignment vertical="center"/>
    </xf>
    <xf numFmtId="165" fontId="31" fillId="0" borderId="6" xfId="1" applyNumberFormat="1" applyFont="1" applyFill="1" applyBorder="1" applyProtection="1"/>
    <xf numFmtId="165" fontId="31" fillId="0" borderId="1" xfId="1" applyNumberFormat="1" applyFont="1" applyFill="1" applyBorder="1" applyProtection="1"/>
    <xf numFmtId="165" fontId="28" fillId="0" borderId="1" xfId="1" applyNumberFormat="1" applyFont="1" applyFill="1" applyBorder="1" applyAlignment="1" applyProtection="1">
      <alignment vertical="center"/>
    </xf>
    <xf numFmtId="165" fontId="24" fillId="0" borderId="0" xfId="0" applyNumberFormat="1" applyFont="1" applyFill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26" fillId="0" borderId="1" xfId="0" applyFont="1" applyFill="1" applyBorder="1" applyAlignment="1"/>
    <xf numFmtId="165" fontId="19" fillId="0" borderId="6" xfId="1" applyNumberFormat="1" applyFont="1" applyFill="1" applyBorder="1" applyProtection="1"/>
    <xf numFmtId="165" fontId="19" fillId="0" borderId="1" xfId="0" applyNumberFormat="1" applyFont="1" applyFill="1" applyBorder="1" applyAlignment="1"/>
    <xf numFmtId="165" fontId="7" fillId="0" borderId="0" xfId="0" applyNumberFormat="1" applyFont="1" applyAlignment="1">
      <alignment vertical="center"/>
    </xf>
    <xf numFmtId="0" fontId="0" fillId="0" borderId="0" xfId="0" applyFont="1" applyFill="1" applyAlignment="1"/>
    <xf numFmtId="165" fontId="8" fillId="0" borderId="6" xfId="1" applyNumberFormat="1" applyFont="1" applyBorder="1" applyProtection="1"/>
    <xf numFmtId="165" fontId="8" fillId="0" borderId="1" xfId="1" applyNumberFormat="1" applyFont="1" applyFill="1" applyBorder="1" applyProtection="1"/>
    <xf numFmtId="165" fontId="32" fillId="0" borderId="0" xfId="0" applyNumberFormat="1" applyFont="1" applyAlignment="1">
      <alignment vertical="center"/>
    </xf>
    <xf numFmtId="14" fontId="32" fillId="12" borderId="1" xfId="0" applyNumberFormat="1" applyFont="1" applyFill="1" applyBorder="1" applyAlignment="1"/>
    <xf numFmtId="0" fontId="32" fillId="12" borderId="1" xfId="0" applyFont="1" applyFill="1" applyBorder="1" applyAlignment="1"/>
    <xf numFmtId="165" fontId="32" fillId="12" borderId="1" xfId="1" applyNumberFormat="1" applyFont="1" applyFill="1" applyBorder="1" applyProtection="1"/>
    <xf numFmtId="0" fontId="0" fillId="19" borderId="0" xfId="0" applyFill="1" applyAlignment="1"/>
    <xf numFmtId="0" fontId="0" fillId="5" borderId="0" xfId="0" applyFill="1" applyAlignment="1"/>
    <xf numFmtId="0" fontId="6" fillId="20" borderId="0" xfId="0" applyFont="1" applyFill="1"/>
    <xf numFmtId="165" fontId="6" fillId="20" borderId="0" xfId="1" applyNumberFormat="1" applyFont="1" applyFill="1"/>
    <xf numFmtId="0" fontId="34" fillId="21" borderId="1" xfId="0" applyFont="1" applyFill="1" applyBorder="1" applyAlignment="1"/>
    <xf numFmtId="3" fontId="0" fillId="0" borderId="0" xfId="1" applyNumberFormat="1" applyFont="1" applyFill="1" applyAlignment="1" applyProtection="1">
      <alignment horizontal="right"/>
    </xf>
    <xf numFmtId="3" fontId="6" fillId="20" borderId="0" xfId="1" applyNumberFormat="1" applyFont="1" applyFill="1" applyAlignment="1">
      <alignment horizontal="right"/>
    </xf>
    <xf numFmtId="3" fontId="32" fillId="12" borderId="1" xfId="1" applyNumberFormat="1" applyFont="1" applyFill="1" applyBorder="1" applyAlignment="1" applyProtection="1">
      <alignment horizont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7" fillId="22" borderId="0" xfId="0" applyNumberFormat="1" applyFont="1" applyFill="1" applyAlignment="1">
      <alignment vertical="center"/>
    </xf>
    <xf numFmtId="165" fontId="4" fillId="3" borderId="3" xfId="1" applyNumberFormat="1" applyFont="1" applyFill="1" applyBorder="1" applyProtection="1"/>
    <xf numFmtId="0" fontId="12" fillId="3" borderId="1" xfId="0" applyFont="1" applyFill="1" applyBorder="1" applyAlignment="1"/>
    <xf numFmtId="165" fontId="0" fillId="3" borderId="1" xfId="1" applyNumberFormat="1" applyFont="1" applyFill="1" applyBorder="1" applyProtection="1"/>
    <xf numFmtId="165" fontId="4" fillId="3" borderId="1" xfId="1" applyNumberFormat="1" applyFont="1" applyFill="1" applyBorder="1" applyProtection="1"/>
    <xf numFmtId="165" fontId="4" fillId="3" borderId="6" xfId="1" applyNumberFormat="1" applyFont="1" applyFill="1" applyBorder="1" applyProtection="1"/>
    <xf numFmtId="0" fontId="0" fillId="3" borderId="0" xfId="0" applyFill="1" applyAlignment="1">
      <alignment vertical="center"/>
    </xf>
    <xf numFmtId="165" fontId="1" fillId="3" borderId="1" xfId="1" applyNumberFormat="1" applyFont="1" applyFill="1" applyBorder="1" applyProtection="1"/>
    <xf numFmtId="165" fontId="4" fillId="3" borderId="1" xfId="0" applyNumberFormat="1" applyFont="1" applyFill="1" applyBorder="1" applyAlignment="1"/>
    <xf numFmtId="0" fontId="0" fillId="23" borderId="1" xfId="0" applyFill="1" applyBorder="1" applyAlignment="1"/>
    <xf numFmtId="41" fontId="0" fillId="23" borderId="1" xfId="4" applyFont="1" applyFill="1" applyBorder="1" applyAlignment="1"/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6" fillId="21" borderId="1" xfId="0" applyFont="1" applyFill="1" applyBorder="1" applyAlignment="1"/>
    <xf numFmtId="0" fontId="22" fillId="21" borderId="1" xfId="0" applyFont="1" applyFill="1" applyBorder="1" applyAlignment="1">
      <alignment vertical="center"/>
    </xf>
    <xf numFmtId="165" fontId="23" fillId="21" borderId="1" xfId="1" applyNumberFormat="1" applyFont="1" applyFill="1" applyBorder="1" applyProtection="1">
      <protection locked="0"/>
    </xf>
    <xf numFmtId="165" fontId="24" fillId="21" borderId="1" xfId="1" applyNumberFormat="1" applyFont="1" applyFill="1" applyBorder="1" applyProtection="1">
      <protection locked="0"/>
    </xf>
    <xf numFmtId="165" fontId="4" fillId="5" borderId="1" xfId="1" applyNumberFormat="1" applyFont="1" applyFill="1" applyBorder="1" applyProtection="1"/>
    <xf numFmtId="165" fontId="19" fillId="21" borderId="1" xfId="1" applyNumberFormat="1" applyFont="1" applyFill="1" applyBorder="1" applyProtection="1"/>
    <xf numFmtId="165" fontId="4" fillId="21" borderId="1" xfId="0" applyNumberFormat="1" applyFont="1" applyFill="1" applyBorder="1" applyAlignment="1"/>
    <xf numFmtId="165" fontId="4" fillId="0" borderId="1" xfId="1" applyNumberFormat="1" applyFont="1" applyBorder="1" applyProtection="1"/>
    <xf numFmtId="165" fontId="4" fillId="21" borderId="1" xfId="1" applyNumberFormat="1" applyFont="1" applyFill="1" applyBorder="1" applyProtection="1"/>
    <xf numFmtId="165" fontId="19" fillId="5" borderId="1" xfId="0" applyNumberFormat="1" applyFont="1" applyFill="1" applyBorder="1" applyAlignment="1"/>
    <xf numFmtId="165" fontId="19" fillId="0" borderId="1" xfId="1" applyNumberFormat="1" applyFont="1" applyBorder="1" applyProtection="1"/>
    <xf numFmtId="165" fontId="19" fillId="0" borderId="0" xfId="1" applyNumberFormat="1" applyFont="1" applyProtection="1"/>
    <xf numFmtId="0" fontId="5" fillId="0" borderId="1" xfId="0" applyFont="1" applyFill="1" applyBorder="1" applyAlignment="1"/>
    <xf numFmtId="0" fontId="5" fillId="5" borderId="1" xfId="0" applyFont="1" applyFill="1" applyBorder="1" applyAlignment="1"/>
    <xf numFmtId="0" fontId="5" fillId="21" borderId="1" xfId="0" applyFont="1" applyFill="1" applyBorder="1" applyAlignment="1"/>
    <xf numFmtId="0" fontId="19" fillId="5" borderId="1" xfId="0" applyFont="1" applyFill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165" fontId="19" fillId="0" borderId="3" xfId="1" applyNumberFormat="1" applyFont="1" applyFill="1" applyBorder="1" applyProtection="1"/>
    <xf numFmtId="0" fontId="35" fillId="0" borderId="0" xfId="0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38" fillId="0" borderId="0" xfId="1" applyNumberFormat="1" applyFont="1" applyBorder="1" applyProtection="1">
      <protection locked="0"/>
    </xf>
    <xf numFmtId="165" fontId="8" fillId="0" borderId="1" xfId="1" applyNumberFormat="1" applyFont="1" applyFill="1" applyBorder="1" applyAlignment="1" applyProtection="1">
      <alignment horizontal="center" vertical="center"/>
    </xf>
    <xf numFmtId="165" fontId="8" fillId="5" borderId="1" xfId="1" applyNumberFormat="1" applyFont="1" applyFill="1" applyBorder="1" applyProtection="1"/>
    <xf numFmtId="165" fontId="8" fillId="21" borderId="1" xfId="1" applyNumberFormat="1" applyFont="1" applyFill="1" applyBorder="1" applyProtection="1"/>
    <xf numFmtId="0" fontId="8" fillId="5" borderId="1" xfId="0" applyFont="1" applyFill="1" applyBorder="1" applyAlignment="1">
      <alignment vertical="center"/>
    </xf>
    <xf numFmtId="165" fontId="8" fillId="0" borderId="1" xfId="1" applyNumberFormat="1" applyFont="1" applyBorder="1" applyProtection="1"/>
    <xf numFmtId="0" fontId="9" fillId="5" borderId="0" xfId="0" applyFont="1" applyFill="1" applyBorder="1" applyAlignment="1">
      <alignment vertical="center"/>
    </xf>
    <xf numFmtId="165" fontId="37" fillId="0" borderId="0" xfId="0" applyNumberFormat="1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41" fillId="0" borderId="0" xfId="0" applyFont="1" applyAlignment="1">
      <alignment vertical="center"/>
    </xf>
    <xf numFmtId="3" fontId="0" fillId="0" borderId="0" xfId="1" applyNumberFormat="1" applyFont="1" applyFill="1" applyAlignment="1" applyProtection="1"/>
    <xf numFmtId="3" fontId="32" fillId="12" borderId="1" xfId="1" applyNumberFormat="1" applyFont="1" applyFill="1" applyBorder="1" applyAlignment="1" applyProtection="1"/>
    <xf numFmtId="165" fontId="7" fillId="0" borderId="0" xfId="0" applyNumberFormat="1" applyFont="1" applyFill="1" applyAlignment="1"/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44" fillId="0" borderId="4" xfId="0" applyFont="1" applyFill="1" applyBorder="1" applyAlignment="1"/>
    <xf numFmtId="165" fontId="19" fillId="0" borderId="1" xfId="0" applyNumberFormat="1" applyFont="1" applyBorder="1" applyAlignment="1"/>
    <xf numFmtId="0" fontId="44" fillId="0" borderId="0" xfId="0" applyFont="1" applyFill="1" applyBorder="1" applyAlignment="1"/>
    <xf numFmtId="0" fontId="44" fillId="0" borderId="1" xfId="0" applyFont="1" applyFill="1" applyBorder="1" applyAlignment="1"/>
    <xf numFmtId="165" fontId="19" fillId="0" borderId="3" xfId="1" applyNumberFormat="1" applyFont="1" applyBorder="1" applyProtection="1"/>
    <xf numFmtId="165" fontId="1" fillId="0" borderId="1" xfId="1" applyNumberFormat="1" applyFont="1" applyBorder="1" applyProtection="1"/>
    <xf numFmtId="165" fontId="19" fillId="22" borderId="1" xfId="0" applyNumberFormat="1" applyFont="1" applyFill="1" applyBorder="1" applyAlignment="1"/>
    <xf numFmtId="0" fontId="1" fillId="0" borderId="1" xfId="0" applyFont="1" applyBorder="1" applyAlignment="1">
      <alignment vertical="center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/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0" fillId="0" borderId="0" xfId="0" applyNumberFormat="1"/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65" fontId="15" fillId="0" borderId="0" xfId="1" applyNumberFormat="1" applyFont="1" applyFill="1" applyBorder="1" applyProtection="1">
      <protection locked="0"/>
    </xf>
    <xf numFmtId="165" fontId="14" fillId="0" borderId="0" xfId="1" applyNumberFormat="1" applyFont="1" applyFill="1" applyBorder="1" applyProtection="1">
      <protection locked="0"/>
    </xf>
    <xf numFmtId="165" fontId="13" fillId="0" borderId="0" xfId="0" applyNumberFormat="1" applyFont="1" applyFill="1" applyBorder="1" applyAlignment="1">
      <alignment vertical="center"/>
    </xf>
    <xf numFmtId="15" fontId="45" fillId="0" borderId="1" xfId="0" applyNumberFormat="1" applyFont="1" applyFill="1" applyBorder="1" applyAlignment="1"/>
    <xf numFmtId="0" fontId="45" fillId="0" borderId="1" xfId="0" applyFont="1" applyFill="1" applyBorder="1" applyAlignment="1"/>
    <xf numFmtId="165" fontId="45" fillId="0" borderId="1" xfId="1" applyNumberFormat="1" applyFont="1" applyFill="1" applyBorder="1"/>
    <xf numFmtId="3" fontId="45" fillId="0" borderId="1" xfId="1" applyNumberFormat="1" applyFont="1" applyFill="1" applyBorder="1" applyAlignment="1" applyProtection="1"/>
    <xf numFmtId="165" fontId="45" fillId="0" borderId="1" xfId="1" applyNumberFormat="1" applyFont="1" applyFill="1" applyBorder="1" applyProtection="1"/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Fill="1" applyBorder="1"/>
    <xf numFmtId="0" fontId="45" fillId="0" borderId="1" xfId="0" applyFont="1" applyFill="1" applyBorder="1" applyAlignment="1">
      <alignment vertical="center"/>
    </xf>
    <xf numFmtId="0" fontId="45" fillId="0" borderId="1" xfId="0" applyFont="1" applyFill="1" applyBorder="1" applyAlignment="1">
      <alignment horizontal="center"/>
    </xf>
    <xf numFmtId="0" fontId="45" fillId="0" borderId="1" xfId="0" applyFont="1" applyFill="1" applyBorder="1" applyAlignment="1">
      <alignment horizontal="left"/>
    </xf>
    <xf numFmtId="0" fontId="45" fillId="0" borderId="1" xfId="2" applyFont="1" applyFill="1" applyBorder="1" applyAlignment="1" applyProtection="1"/>
    <xf numFmtId="165" fontId="45" fillId="0" borderId="1" xfId="1" applyNumberFormat="1" applyFont="1" applyFill="1" applyBorder="1" applyAlignment="1" applyProtection="1"/>
    <xf numFmtId="165" fontId="45" fillId="0" borderId="1" xfId="0" applyNumberFormat="1" applyFont="1" applyFill="1" applyBorder="1" applyAlignment="1">
      <alignment vertical="center"/>
    </xf>
    <xf numFmtId="168" fontId="45" fillId="0" borderId="1" xfId="2" applyNumberFormat="1" applyFont="1" applyFill="1" applyBorder="1" applyAlignment="1">
      <alignment vertical="top"/>
    </xf>
    <xf numFmtId="166" fontId="45" fillId="0" borderId="1" xfId="0" applyNumberFormat="1" applyFont="1" applyFill="1" applyBorder="1"/>
    <xf numFmtId="14" fontId="46" fillId="0" borderId="1" xfId="0" applyNumberFormat="1" applyFont="1" applyFill="1" applyBorder="1"/>
    <xf numFmtId="168" fontId="45" fillId="0" borderId="1" xfId="2" applyNumberFormat="1" applyFont="1" applyFill="1" applyBorder="1" applyAlignment="1">
      <alignment vertical="top" wrapText="1"/>
    </xf>
    <xf numFmtId="14" fontId="45" fillId="0" borderId="1" xfId="0" applyNumberFormat="1" applyFont="1" applyFill="1" applyBorder="1" applyAlignment="1"/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40" fillId="0" borderId="1" xfId="0" applyFont="1" applyFill="1" applyBorder="1" applyAlignment="1"/>
    <xf numFmtId="15" fontId="40" fillId="0" borderId="1" xfId="0" applyNumberFormat="1" applyFont="1" applyFill="1" applyBorder="1" applyAlignment="1"/>
    <xf numFmtId="0" fontId="40" fillId="0" borderId="1" xfId="0" applyFont="1" applyFill="1" applyBorder="1"/>
    <xf numFmtId="165" fontId="40" fillId="0" borderId="1" xfId="1" applyNumberFormat="1" applyFont="1" applyFill="1" applyBorder="1"/>
    <xf numFmtId="3" fontId="40" fillId="0" borderId="1" xfId="1" applyNumberFormat="1" applyFont="1" applyFill="1" applyBorder="1"/>
    <xf numFmtId="0" fontId="40" fillId="0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vertical="center"/>
    </xf>
    <xf numFmtId="14" fontId="40" fillId="0" borderId="1" xfId="0" applyNumberFormat="1" applyFont="1" applyFill="1" applyBorder="1" applyAlignment="1"/>
    <xf numFmtId="0" fontId="0" fillId="0" borderId="1" xfId="0" applyFont="1" applyFill="1" applyBorder="1" applyAlignment="1"/>
    <xf numFmtId="0" fontId="0" fillId="5" borderId="0" xfId="0" applyFill="1" applyBorder="1" applyAlignment="1">
      <alignment vertical="center"/>
    </xf>
    <xf numFmtId="165" fontId="24" fillId="0" borderId="1" xfId="1" applyNumberFormat="1" applyFont="1" applyFill="1" applyBorder="1" applyProtection="1">
      <protection locked="0"/>
    </xf>
    <xf numFmtId="165" fontId="19" fillId="21" borderId="1" xfId="1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40" fillId="0" borderId="1" xfId="2" applyFont="1" applyFill="1" applyBorder="1" applyAlignment="1" applyProtection="1"/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40" fillId="0" borderId="1" xfId="0" applyFont="1" applyFill="1" applyBorder="1" applyAlignment="1">
      <alignment horizontal="left" vertical="center"/>
    </xf>
    <xf numFmtId="0" fontId="25" fillId="20" borderId="0" xfId="0" applyFont="1" applyFill="1"/>
    <xf numFmtId="165" fontId="0" fillId="0" borderId="0" xfId="0" applyNumberFormat="1" applyFont="1" applyFill="1" applyAlignment="1"/>
    <xf numFmtId="165" fontId="40" fillId="0" borderId="1" xfId="1" applyNumberFormat="1" applyFont="1" applyFill="1" applyBorder="1" applyAlignment="1">
      <alignment horizontal="center" vertical="center" wrapText="1"/>
    </xf>
    <xf numFmtId="0" fontId="25" fillId="20" borderId="0" xfId="0" applyFont="1" applyFill="1" applyAlignment="1">
      <alignment horizontal="left"/>
    </xf>
    <xf numFmtId="0" fontId="0" fillId="0" borderId="0" xfId="0" applyFont="1" applyFill="1" applyBorder="1" applyAlignment="1"/>
    <xf numFmtId="0" fontId="0" fillId="0" borderId="0" xfId="0" applyFill="1" applyBorder="1" applyAlignment="1"/>
    <xf numFmtId="0" fontId="40" fillId="0" borderId="1" xfId="0" applyFont="1" applyFill="1" applyBorder="1" applyAlignment="1">
      <alignment horizontal="left"/>
    </xf>
    <xf numFmtId="168" fontId="40" fillId="0" borderId="1" xfId="2" applyNumberFormat="1" applyFont="1" applyFill="1" applyBorder="1" applyAlignment="1">
      <alignment vertical="center"/>
    </xf>
    <xf numFmtId="0" fontId="25" fillId="0" borderId="1" xfId="0" applyFont="1" applyFill="1" applyBorder="1" applyAlignment="1"/>
    <xf numFmtId="0" fontId="25" fillId="0" borderId="0" xfId="0" applyFont="1" applyFill="1" applyAlignment="1">
      <alignment horizontal="left"/>
    </xf>
    <xf numFmtId="0" fontId="36" fillId="0" borderId="0" xfId="0" applyFont="1" applyFill="1" applyBorder="1" applyAlignment="1">
      <alignment horizontal="left"/>
    </xf>
    <xf numFmtId="0" fontId="48" fillId="12" borderId="1" xfId="0" applyFont="1" applyFill="1" applyBorder="1" applyAlignment="1">
      <alignment horizontal="left"/>
    </xf>
    <xf numFmtId="0" fontId="45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/>
    </xf>
    <xf numFmtId="0" fontId="6" fillId="20" borderId="0" xfId="0" applyFont="1" applyFill="1" applyAlignment="1">
      <alignment horizontal="left"/>
    </xf>
    <xf numFmtId="0" fontId="48" fillId="0" borderId="1" xfId="0" applyFont="1" applyFill="1" applyBorder="1" applyAlignment="1">
      <alignment vertical="center"/>
    </xf>
    <xf numFmtId="0" fontId="48" fillId="0" borderId="1" xfId="0" applyFont="1" applyFill="1" applyBorder="1"/>
    <xf numFmtId="0" fontId="47" fillId="0" borderId="0" xfId="0" applyFont="1" applyFill="1" applyBorder="1" applyAlignment="1"/>
    <xf numFmtId="0" fontId="25" fillId="0" borderId="0" xfId="0" applyFont="1" applyFill="1" applyAlignment="1">
      <alignment vertical="center"/>
    </xf>
    <xf numFmtId="0" fontId="25" fillId="0" borderId="1" xfId="0" applyFont="1" applyFill="1" applyBorder="1" applyAlignment="1">
      <alignment vertical="center"/>
    </xf>
    <xf numFmtId="14" fontId="45" fillId="0" borderId="1" xfId="3" applyNumberFormat="1" applyFont="1" applyFill="1" applyBorder="1"/>
    <xf numFmtId="0" fontId="0" fillId="0" borderId="0" xfId="0" applyFont="1" applyAlignment="1">
      <alignment vertical="center"/>
    </xf>
    <xf numFmtId="3" fontId="25" fillId="20" borderId="0" xfId="1" applyNumberFormat="1" applyFont="1" applyFill="1" applyAlignment="1"/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7" fontId="5" fillId="0" borderId="11" xfId="0" applyNumberFormat="1" applyFont="1" applyFill="1" applyBorder="1" applyAlignment="1">
      <alignment horizontal="center" vertical="center"/>
    </xf>
    <xf numFmtId="167" fontId="5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horizontal="center" vertical="center"/>
    </xf>
    <xf numFmtId="0" fontId="5" fillId="14" borderId="7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/>
    </xf>
    <xf numFmtId="0" fontId="5" fillId="15" borderId="3" xfId="0" applyFont="1" applyFill="1" applyBorder="1" applyAlignment="1">
      <alignment horizontal="center" vertical="center"/>
    </xf>
    <xf numFmtId="0" fontId="5" fillId="16" borderId="11" xfId="0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3" fillId="20" borderId="0" xfId="0" applyFont="1" applyFill="1" applyAlignment="1">
      <alignment horizontal="center"/>
    </xf>
    <xf numFmtId="0" fontId="39" fillId="20" borderId="0" xfId="0" applyFont="1" applyFill="1" applyAlignment="1">
      <alignment horizontal="center"/>
    </xf>
    <xf numFmtId="3" fontId="37" fillId="24" borderId="0" xfId="1" applyNumberFormat="1" applyFont="1" applyFill="1" applyAlignment="1" applyProtection="1">
      <alignment horizontal="right"/>
    </xf>
    <xf numFmtId="165" fontId="45" fillId="0" borderId="1" xfId="1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/>
  </cellXfs>
  <cellStyles count="7">
    <cellStyle name="Excel Built-in Comma" xfId="6"/>
    <cellStyle name="Excel Built-in Normal" xfId="2"/>
    <cellStyle name="Milliers" xfId="1" builtinId="3"/>
    <cellStyle name="Milliers [0]" xfId="4" builtinId="6"/>
    <cellStyle name="Milliers 3" xfId="5"/>
    <cellStyle name="Normal" xfId="0" builtinId="0"/>
    <cellStyle name="Normal_Total expenses by date" xfId="3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10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1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12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2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3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4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5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6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7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8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9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SALAIRE FCFA "/>
      <sheetName val="Commentaires"/>
      <sheetName val="Feuil2"/>
      <sheetName val="Feuil3"/>
      <sheetName val="Feuil4"/>
      <sheetName val="Feuil5"/>
      <sheetName val="Feuil6"/>
      <sheetName val="Feuil1 (2)"/>
      <sheetName val="Feuil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A6" t="str">
            <v xml:space="preserve">Transfert </v>
          </cell>
          <cell r="G6" t="str">
            <v>Investigations</v>
          </cell>
        </row>
        <row r="7">
          <cell r="A7" t="str">
            <v>Transport</v>
          </cell>
          <cell r="G7" t="str">
            <v>Legal</v>
          </cell>
        </row>
        <row r="8">
          <cell r="A8" t="str">
            <v>Flight</v>
          </cell>
          <cell r="G8" t="str">
            <v>Operations</v>
          </cell>
        </row>
        <row r="9">
          <cell r="A9" t="str">
            <v>Travel Expenses</v>
          </cell>
          <cell r="G9" t="str">
            <v>Media</v>
          </cell>
        </row>
        <row r="10">
          <cell r="A10" t="str">
            <v>Travel Subsistence</v>
          </cell>
          <cell r="G10" t="str">
            <v xml:space="preserve">Management </v>
          </cell>
        </row>
        <row r="11">
          <cell r="A11" t="str">
            <v>Office Materials</v>
          </cell>
          <cell r="G11" t="str">
            <v>CCU</v>
          </cell>
        </row>
        <row r="12">
          <cell r="A12" t="str">
            <v>Trust building</v>
          </cell>
          <cell r="G12" t="str">
            <v>EAGLE Family</v>
          </cell>
        </row>
        <row r="13">
          <cell r="A13" t="str">
            <v>Jail visits</v>
          </cell>
          <cell r="G13" t="str">
            <v>Policy</v>
          </cell>
        </row>
        <row r="14">
          <cell r="A14" t="str">
            <v>Transfer fees</v>
          </cell>
          <cell r="G14" t="str">
            <v>External relations</v>
          </cell>
        </row>
        <row r="15">
          <cell r="A15" t="str">
            <v>Bank fees</v>
          </cell>
        </row>
        <row r="16">
          <cell r="A16" t="str">
            <v>Services</v>
          </cell>
        </row>
        <row r="17">
          <cell r="A17" t="str">
            <v>Telephone</v>
          </cell>
        </row>
        <row r="18">
          <cell r="A18" t="str">
            <v>Rent &amp; Utilities</v>
          </cell>
        </row>
        <row r="19">
          <cell r="A19" t="str">
            <v>Internet</v>
          </cell>
        </row>
        <row r="20">
          <cell r="A20" t="str">
            <v>Editing costs</v>
          </cell>
        </row>
        <row r="21">
          <cell r="A21" t="str">
            <v>Equipment</v>
          </cell>
        </row>
        <row r="22">
          <cell r="A22" t="str">
            <v>Publications</v>
          </cell>
        </row>
        <row r="23">
          <cell r="A23" t="str">
            <v>Court fees</v>
          </cell>
        </row>
        <row r="24">
          <cell r="A24" t="str">
            <v>Lawyer fees</v>
          </cell>
        </row>
        <row r="25">
          <cell r="A25" t="str">
            <v>Bonus/lawyer bonus</v>
          </cell>
        </row>
      </sheetData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ompta shely"/>
      <sheetName val="Feuil3"/>
    </sheetNames>
    <sheetDataSet>
      <sheetData sheetId="0" refreshError="1"/>
      <sheetData sheetId="1" refreshError="1">
        <row r="90">
          <cell r="E90">
            <v>10000</v>
          </cell>
        </row>
        <row r="97">
          <cell r="E97">
            <v>5000</v>
          </cell>
        </row>
        <row r="100">
          <cell r="E100">
            <v>10000</v>
          </cell>
        </row>
      </sheetData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ompta ted"/>
    </sheetNames>
    <sheetDataSet>
      <sheetData sheetId="0" refreshError="1"/>
      <sheetData sheetId="1" refreshError="1">
        <row r="11">
          <cell r="E11">
            <v>10000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ONOR"/>
      <sheetName val="Feuil31"/>
      <sheetName val="DATAS"/>
      <sheetName val="COMPTE  PRINCIPAL"/>
      <sheetName val="RAPPROCHEMENT CP"/>
      <sheetName val="SOUS -COMPTE"/>
      <sheetName val="RAPPROCHEMENT SC"/>
      <sheetName val="CAISSE"/>
      <sheetName val="POURCENTAGE PROJECT"/>
      <sheetName val="TABLEA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I3">
            <v>705838</v>
          </cell>
        </row>
        <row r="16">
          <cell r="I16">
            <v>17673343.99927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TA_CREPIN"/>
      <sheetName val="Type de dépenses"/>
      <sheetName val="Liste1"/>
      <sheetName val="COMPTA_CREPIN (2)"/>
      <sheetName val="Feuil2"/>
    </sheetNames>
    <sheetDataSet>
      <sheetData sheetId="0" refreshError="1">
        <row r="3050">
          <cell r="F3050">
            <v>1500</v>
          </cell>
        </row>
        <row r="3051">
          <cell r="F3051">
            <v>1500</v>
          </cell>
        </row>
        <row r="3052">
          <cell r="F3052">
            <v>1000</v>
          </cell>
        </row>
        <row r="3053">
          <cell r="F3053">
            <v>1000</v>
          </cell>
        </row>
        <row r="3054">
          <cell r="F3054">
            <v>1000</v>
          </cell>
        </row>
        <row r="3055">
          <cell r="F3055">
            <v>1500</v>
          </cell>
        </row>
        <row r="3056">
          <cell r="F3056">
            <v>1500</v>
          </cell>
        </row>
        <row r="3057">
          <cell r="F3057">
            <v>1000</v>
          </cell>
        </row>
        <row r="3058">
          <cell r="F3058">
            <v>1000</v>
          </cell>
        </row>
        <row r="3059">
          <cell r="F3059">
            <v>2000</v>
          </cell>
        </row>
        <row r="3060">
          <cell r="F3060">
            <v>1000</v>
          </cell>
        </row>
        <row r="3061">
          <cell r="F3061">
            <v>1000</v>
          </cell>
        </row>
        <row r="3062">
          <cell r="F3062">
            <v>1500</v>
          </cell>
        </row>
        <row r="3063">
          <cell r="F3063">
            <v>1500</v>
          </cell>
        </row>
        <row r="3064">
          <cell r="F3064">
            <v>1000</v>
          </cell>
        </row>
        <row r="3065">
          <cell r="F3065">
            <v>1000</v>
          </cell>
        </row>
        <row r="3066">
          <cell r="F3066">
            <v>1500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ta Dalia"/>
      <sheetName val="Type de dépenses"/>
      <sheetName val="Feuil3"/>
      <sheetName val="Compta Dalia (2)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1905">
          <cell r="F1905">
            <v>15000</v>
          </cell>
        </row>
        <row r="1908">
          <cell r="E1908">
            <v>15000</v>
          </cell>
        </row>
        <row r="1909">
          <cell r="E1909">
            <v>50000</v>
          </cell>
        </row>
        <row r="1911">
          <cell r="E1911">
            <v>44600</v>
          </cell>
        </row>
        <row r="1917">
          <cell r="E1917">
            <v>10000</v>
          </cell>
        </row>
        <row r="1919">
          <cell r="F1919">
            <v>1635</v>
          </cell>
        </row>
      </sheetData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ta"/>
      <sheetName val="Feuil2"/>
      <sheetName val="Type de dépenses"/>
      <sheetName val="compta (2)"/>
      <sheetName val="Feuil1"/>
      <sheetName val="compta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556">
          <cell r="E2556">
            <v>10000</v>
          </cell>
        </row>
        <row r="2557">
          <cell r="E2557">
            <v>10000</v>
          </cell>
        </row>
        <row r="2558">
          <cell r="E2558">
            <v>10000</v>
          </cell>
        </row>
        <row r="2559">
          <cell r="F2559">
            <v>21000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ompta"/>
      <sheetName val="Feuil2"/>
      <sheetName val="Feuil3"/>
      <sheetName val="compta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OMPTA_I23C"/>
      <sheetName val="Feuil2"/>
      <sheetName val="Feuil1"/>
      <sheetName val="COMPTA_I23C (2)"/>
      <sheetName val="Cumul transport"/>
      <sheetName val="ACHAT BOISSON"/>
      <sheetName val="Cumul transport (2)"/>
      <sheetName val="Cumul transport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171">
          <cell r="E4171">
            <v>90000</v>
          </cell>
        </row>
        <row r="4172">
          <cell r="E4172">
            <v>100000</v>
          </cell>
        </row>
        <row r="4174">
          <cell r="E4174">
            <v>100000</v>
          </cell>
        </row>
        <row r="4178">
          <cell r="E4178">
            <v>20000</v>
          </cell>
        </row>
        <row r="4180">
          <cell r="E4180">
            <v>150000</v>
          </cell>
        </row>
        <row r="4181">
          <cell r="E4181">
            <v>235000</v>
          </cell>
        </row>
      </sheetData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1 (2)"/>
      <sheetName val="cumul transport local"/>
      <sheetName val="Feuil2"/>
      <sheetName val="Feuil3"/>
    </sheetNames>
    <sheetDataSet>
      <sheetData sheetId="0" refreshError="1"/>
      <sheetData sheetId="1" refreshError="1">
        <row r="2684">
          <cell r="E2684">
            <v>110000</v>
          </cell>
        </row>
        <row r="2689">
          <cell r="E2689">
            <v>40000</v>
          </cell>
        </row>
        <row r="2691">
          <cell r="E2691">
            <v>125000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mpta Jospin"/>
      <sheetName val="Feuil1"/>
      <sheetName val="Compta Jospin (2)"/>
      <sheetName val="Feuil4"/>
    </sheetNames>
    <sheetDataSet>
      <sheetData sheetId="0" refreshError="1"/>
      <sheetData sheetId="1" refreshError="1"/>
      <sheetData sheetId="2" refreshError="1">
        <row r="1583">
          <cell r="E1583">
            <v>15000</v>
          </cell>
        </row>
        <row r="1584">
          <cell r="E1584">
            <v>40000</v>
          </cell>
        </row>
        <row r="1587">
          <cell r="E1587">
            <v>41400</v>
          </cell>
        </row>
        <row r="1592">
          <cell r="F1592">
            <v>950</v>
          </cell>
        </row>
      </sheetData>
      <sheetData sheetId="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OMPT-P29"/>
      <sheetName val="Feuil2"/>
      <sheetName val="Feuil1"/>
      <sheetName val="COMPT-P29 (2)"/>
      <sheetName val="cumul transport local"/>
      <sheetName val="Cumul achat bois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0">
          <cell r="E190">
            <v>40000</v>
          </cell>
        </row>
        <row r="191">
          <cell r="E191">
            <v>110000</v>
          </cell>
        </row>
        <row r="196">
          <cell r="E196">
            <v>116600</v>
          </cell>
        </row>
        <row r="201">
          <cell r="E201">
            <v>25000</v>
          </cell>
        </row>
        <row r="202">
          <cell r="E202">
            <v>150000</v>
          </cell>
        </row>
        <row r="204">
          <cell r="E204">
            <v>214000</v>
          </cell>
        </row>
        <row r="207">
          <cell r="E207">
            <v>100000</v>
          </cell>
        </row>
        <row r="215">
          <cell r="E215">
            <v>100000</v>
          </cell>
        </row>
      </sheetData>
      <sheetData sheetId="5" refreshError="1"/>
      <sheetData sheetId="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J2018-3" refreshedDate="44509.467192129632" createdVersion="3" refreshedVersion="3" minRefreshableVersion="3" recordCount="248">
  <cacheSource type="worksheet">
    <worksheetSource ref="A11:O259" sheet="DATA  Octobre 2021"/>
  </cacheSource>
  <cacheFields count="15">
    <cacheField name="Date" numFmtId="15">
      <sharedItems containsSemiMixedTypes="0" containsNonDate="0" containsDate="1" containsString="0" minDate="2021-10-01T00:00:00" maxDate="2021-10-31T00:00:00"/>
    </cacheField>
    <cacheField name="Details" numFmtId="0">
      <sharedItems/>
    </cacheField>
    <cacheField name="Type de dépenses" numFmtId="0">
      <sharedItems containsBlank="1" count="19">
        <m/>
        <s v="Versement"/>
        <s v="Bank Fees"/>
        <s v="Telephone "/>
        <s v="Personnel"/>
        <s v="Services"/>
        <s v="Equipement"/>
        <s v="Bonus"/>
        <s v="Transport"/>
        <s v="Travel Subsistence"/>
        <s v="Office Materials"/>
        <s v="Transfer Fees"/>
        <s v="Rent &amp; Utilities"/>
        <s v="Lawyer Fees"/>
        <s v="Grant"/>
        <s v="Court Fees"/>
        <s v="Jail Visits"/>
        <s v="Internet"/>
        <s v="Trust Bulding"/>
      </sharedItems>
    </cacheField>
    <cacheField name="Departement" numFmtId="0">
      <sharedItems containsBlank="1"/>
    </cacheField>
    <cacheField name="Received" numFmtId="0">
      <sharedItems containsString="0" containsBlank="1" containsNumber="1" containsInteger="1" minValue="5000" maxValue="17232646"/>
    </cacheField>
    <cacheField name="Spent" numFmtId="0">
      <sharedItems containsString="0" containsBlank="1" containsNumber="1" containsInteger="1" minValue="1000" maxValue="1311914"/>
    </cacheField>
    <cacheField name="Balance" numFmtId="165">
      <sharedItems containsSemiMixedTypes="0" containsString="0" containsNumber="1" containsInteger="1" minValue="15950840" maxValue="39252821"/>
    </cacheField>
    <cacheField name="Name" numFmtId="0">
      <sharedItems containsBlank="1" count="14">
        <m/>
        <s v="Caisse"/>
        <s v="BCI"/>
        <s v="BCI-Sous Compte"/>
        <s v="Evariste"/>
        <s v="Axel"/>
        <s v="Grace"/>
        <s v="P29"/>
        <s v="Godfré"/>
        <s v="i23c"/>
        <s v="Merveille"/>
        <s v="Serdroque"/>
        <s v="Crépin"/>
        <s v="Tiffany"/>
      </sharedItems>
    </cacheField>
    <cacheField name="Receipt" numFmtId="0">
      <sharedItems containsBlank="1" containsMixedTypes="1" containsNumber="1" containsInteger="1" minValue="3643536" maxValue="3654461"/>
    </cacheField>
    <cacheField name="Donor" numFmtId="0">
      <sharedItems containsBlank="1" count="4">
        <m/>
        <s v="ECF"/>
        <s v="UE"/>
        <s v="Wildcat"/>
      </sharedItems>
    </cacheField>
    <cacheField name="Project" numFmtId="0">
      <sharedItems containsBlank="1"/>
    </cacheField>
    <cacheField name="Country" numFmtId="0">
      <sharedItems containsBlank="1"/>
    </cacheField>
    <cacheField name="N°Pièce" numFmtId="0">
      <sharedItems containsNonDate="0" containsString="0" containsBlank="1"/>
    </cacheField>
    <cacheField name="Code budgetaire" numFmtId="0">
      <sharedItems containsBlank="1"/>
    </cacheField>
    <cacheField name="Contrôle" numFmtId="0">
      <sharedItems containsNonDate="0" containsString="0"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8">
  <r>
    <d v="2021-10-01T00:00:00"/>
    <s v="Solde au 01/10/2021"/>
    <x v="0"/>
    <m/>
    <m/>
    <m/>
    <n v="19409438"/>
    <x v="0"/>
    <m/>
    <x v="0"/>
    <m/>
    <s v="CONGO"/>
    <m/>
    <m/>
    <m/>
  </r>
  <r>
    <d v="2021-10-01T00:00:00"/>
    <s v="Evariste"/>
    <x v="1"/>
    <m/>
    <m/>
    <n v="10000"/>
    <n v="19399438"/>
    <x v="1"/>
    <m/>
    <x v="0"/>
    <m/>
    <m/>
    <m/>
    <m/>
    <m/>
  </r>
  <r>
    <d v="2021-10-01T00:00:00"/>
    <s v="Axel"/>
    <x v="1"/>
    <m/>
    <m/>
    <n v="10000"/>
    <n v="19389438"/>
    <x v="1"/>
    <m/>
    <x v="0"/>
    <m/>
    <m/>
    <m/>
    <m/>
    <m/>
  </r>
  <r>
    <d v="2021-10-01T00:00:00"/>
    <s v="Commissions de mouvement /Frais Fixe"/>
    <x v="2"/>
    <s v="Office"/>
    <m/>
    <n v="14701"/>
    <n v="19374737"/>
    <x v="2"/>
    <s v="Relevé"/>
    <x v="1"/>
    <s v="PALF"/>
    <s v="CONGO"/>
    <m/>
    <m/>
    <m/>
  </r>
  <r>
    <d v="2021-10-01T00:00:00"/>
    <s v="Frais bancaire/commission de mouvement"/>
    <x v="2"/>
    <s v="Office"/>
    <m/>
    <n v="14952"/>
    <n v="19359785"/>
    <x v="3"/>
    <s v="Relevé"/>
    <x v="2"/>
    <s v="RALFF"/>
    <s v="CONGO"/>
    <m/>
    <s v="5.6"/>
    <m/>
  </r>
  <r>
    <d v="2021-10-01T00:00:00"/>
    <s v="Reçu de la caisse"/>
    <x v="1"/>
    <m/>
    <n v="10000"/>
    <m/>
    <n v="19369785"/>
    <x v="4"/>
    <m/>
    <x v="0"/>
    <m/>
    <m/>
    <m/>
    <m/>
    <m/>
  </r>
  <r>
    <d v="2021-10-01T00:00:00"/>
    <s v="Reçu Caisse"/>
    <x v="1"/>
    <m/>
    <n v="10000"/>
    <m/>
    <n v="19379785"/>
    <x v="5"/>
    <m/>
    <x v="0"/>
    <m/>
    <m/>
    <m/>
    <m/>
    <m/>
  </r>
  <r>
    <d v="2021-10-04T00:00:00"/>
    <s v="P29"/>
    <x v="1"/>
    <m/>
    <m/>
    <n v="10000"/>
    <n v="19369785"/>
    <x v="1"/>
    <m/>
    <x v="0"/>
    <m/>
    <m/>
    <m/>
    <m/>
    <m/>
  </r>
  <r>
    <d v="2021-10-04T00:00:00"/>
    <s v="Godfre"/>
    <x v="1"/>
    <m/>
    <m/>
    <n v="10000"/>
    <n v="19359785"/>
    <x v="1"/>
    <m/>
    <x v="0"/>
    <m/>
    <m/>
    <m/>
    <m/>
    <m/>
  </r>
  <r>
    <d v="2021-10-04T00:00:00"/>
    <s v="Achat credit  teléphonique MTN/staff PALF/Première partie Octobre  2021/Investingation"/>
    <x v="3"/>
    <s v="Investigation"/>
    <m/>
    <n v="10000"/>
    <n v="19349785"/>
    <x v="1"/>
    <s v="Oui"/>
    <x v="2"/>
    <s v="RALFF"/>
    <s v="CONGO"/>
    <m/>
    <s v="4.6"/>
    <m/>
  </r>
  <r>
    <d v="2021-10-04T00:00:00"/>
    <s v="Achat credit  teléphonique MTN/staff PALF/Première partie Octobre  2021/Legal Volontaire"/>
    <x v="3"/>
    <s v="Legal"/>
    <m/>
    <n v="21000"/>
    <n v="19328785"/>
    <x v="1"/>
    <s v="Oui"/>
    <x v="1"/>
    <s v="PALF"/>
    <s v="CONGO"/>
    <m/>
    <m/>
    <m/>
  </r>
  <r>
    <d v="2021-10-04T00:00:00"/>
    <s v="Achat credit  teléphonique Airtel/staff PALF/Première partie Octobre  2021/Investigation"/>
    <x v="3"/>
    <s v="Investigation"/>
    <m/>
    <n v="16000"/>
    <n v="19312785"/>
    <x v="1"/>
    <s v="Oui"/>
    <x v="2"/>
    <s v="RALFF"/>
    <s v="CONGO"/>
    <m/>
    <s v="4.6"/>
    <m/>
  </r>
  <r>
    <d v="2021-10-04T00:00:00"/>
    <s v="Reglement loyer Tiffany mois d'Octobre 2021/400USD"/>
    <x v="4"/>
    <s v="Management"/>
    <m/>
    <n v="225144"/>
    <n v="19087641"/>
    <x v="1"/>
    <s v="Oui"/>
    <x v="1"/>
    <s v="PALF"/>
    <s v="CONGO"/>
    <m/>
    <m/>
    <m/>
  </r>
  <r>
    <d v="2021-10-04T00:00:00"/>
    <s v="Reglement gardiennage mois de Septembre 2021"/>
    <x v="5"/>
    <s v="Office"/>
    <m/>
    <n v="260000"/>
    <n v="18827641"/>
    <x v="2"/>
    <n v="3654454"/>
    <x v="1"/>
    <s v="PALF"/>
    <s v="CONGO"/>
    <m/>
    <m/>
    <m/>
  </r>
  <r>
    <d v="2021-10-04T00:00:00"/>
    <s v="Achat 10 telephone de services pour le PALF"/>
    <x v="6"/>
    <s v="Office"/>
    <m/>
    <n v="495000"/>
    <n v="18332641"/>
    <x v="3"/>
    <n v="3643536"/>
    <x v="2"/>
    <s v="RALFF"/>
    <s v="CONGO"/>
    <m/>
    <s v="3.2"/>
    <m/>
  </r>
  <r>
    <d v="2021-10-04T00:00:00"/>
    <s v="Grace (Acquisition 01 téléphone achété le 04/10/2021)"/>
    <x v="1"/>
    <m/>
    <m/>
    <n v="55000"/>
    <n v="18277641"/>
    <x v="3"/>
    <n v="3643536"/>
    <x v="0"/>
    <m/>
    <m/>
    <m/>
    <m/>
    <m/>
  </r>
  <r>
    <d v="2021-10-04T00:00:00"/>
    <s v="Reçu Banque Compte 56 (Acquisition téléphone achété le 04/10/2021)"/>
    <x v="1"/>
    <m/>
    <n v="55000"/>
    <m/>
    <n v="18332641"/>
    <x v="6"/>
    <m/>
    <x v="0"/>
    <m/>
    <m/>
    <m/>
    <m/>
    <m/>
  </r>
  <r>
    <d v="2021-10-04T00:00:00"/>
    <s v="Paiement salaire du mois de Septembre 2021 2021/IBOUILI CREPIN/chq n°3643517"/>
    <x v="4"/>
    <s v="Legal"/>
    <m/>
    <n v="178235"/>
    <n v="18154406"/>
    <x v="3"/>
    <n v="3643537"/>
    <x v="2"/>
    <s v="RALFF"/>
    <s v="CONGO"/>
    <m/>
    <s v="1.1.1.7"/>
    <m/>
  </r>
  <r>
    <d v="2021-10-04T00:00:00"/>
    <s v="Recu de caisse"/>
    <x v="1"/>
    <m/>
    <n v="10000"/>
    <m/>
    <n v="18164406"/>
    <x v="7"/>
    <m/>
    <x v="0"/>
    <m/>
    <m/>
    <m/>
    <m/>
    <m/>
  </r>
  <r>
    <d v="2021-10-04T00:00:00"/>
    <s v="Reçu Caisse"/>
    <x v="1"/>
    <m/>
    <n v="10000"/>
    <m/>
    <n v="18174406"/>
    <x v="8"/>
    <m/>
    <x v="0"/>
    <m/>
    <m/>
    <m/>
    <m/>
    <m/>
  </r>
  <r>
    <d v="2021-10-05T00:00:00"/>
    <s v="I23c"/>
    <x v="1"/>
    <m/>
    <m/>
    <n v="5000"/>
    <n v="18169406"/>
    <x v="1"/>
    <m/>
    <x v="0"/>
    <m/>
    <m/>
    <m/>
    <m/>
    <m/>
  </r>
  <r>
    <d v="2021-10-05T00:00:00"/>
    <s v="I23c"/>
    <x v="1"/>
    <m/>
    <m/>
    <n v="115000"/>
    <n v="18054406"/>
    <x v="1"/>
    <m/>
    <x v="0"/>
    <m/>
    <m/>
    <m/>
    <m/>
    <m/>
  </r>
  <r>
    <d v="2021-10-05T00:00:00"/>
    <s v="P29"/>
    <x v="1"/>
    <m/>
    <m/>
    <n v="115000"/>
    <n v="17939406"/>
    <x v="1"/>
    <m/>
    <x v="0"/>
    <m/>
    <m/>
    <m/>
    <m/>
    <m/>
  </r>
  <r>
    <d v="2021-10-05T00:00:00"/>
    <s v="Bonus Media (Portant sur la Journée mondiale des Animaux)/diffusion"/>
    <x v="7"/>
    <s v="Media"/>
    <m/>
    <n v="23000"/>
    <n v="17916406"/>
    <x v="1"/>
    <s v="Décharge"/>
    <x v="1"/>
    <s v="PALF"/>
    <s v="CONGO"/>
    <m/>
    <m/>
    <m/>
  </r>
  <r>
    <d v="2021-10-05T00:00:00"/>
    <s v="Reçu Caisse"/>
    <x v="1"/>
    <m/>
    <n v="5000"/>
    <m/>
    <n v="17921406"/>
    <x v="9"/>
    <m/>
    <x v="0"/>
    <m/>
    <m/>
    <m/>
    <m/>
    <m/>
  </r>
  <r>
    <d v="2021-10-05T00:00:00"/>
    <s v="Réçu caisse"/>
    <x v="1"/>
    <m/>
    <n v="115000"/>
    <m/>
    <n v="18036406"/>
    <x v="9"/>
    <m/>
    <x v="0"/>
    <m/>
    <m/>
    <m/>
    <m/>
    <m/>
  </r>
  <r>
    <d v="2021-10-05T00:00:00"/>
    <s v="Achat billet Brazzaville-Pointe Noire"/>
    <x v="8"/>
    <s v="Investigation"/>
    <m/>
    <n v="15000"/>
    <n v="18021406"/>
    <x v="9"/>
    <s v="Oui"/>
    <x v="2"/>
    <s v="RALFF"/>
    <s v="CONGO"/>
    <m/>
    <s v="2.2"/>
    <m/>
  </r>
  <r>
    <d v="2021-10-05T00:00:00"/>
    <s v="Recu de caisse"/>
    <x v="1"/>
    <m/>
    <n v="115000"/>
    <m/>
    <n v="18136406"/>
    <x v="7"/>
    <m/>
    <x v="0"/>
    <m/>
    <m/>
    <m/>
    <m/>
    <m/>
  </r>
  <r>
    <d v="2021-10-05T00:00:00"/>
    <s v="Achat billet Brazzaville-Dolisie"/>
    <x v="8"/>
    <s v="Investigation"/>
    <m/>
    <n v="10000"/>
    <n v="18126406"/>
    <x v="7"/>
    <s v="Oui"/>
    <x v="2"/>
    <s v="RALFF"/>
    <s v="CONGO"/>
    <m/>
    <s v="2.2"/>
    <m/>
  </r>
  <r>
    <d v="2021-10-06T00:00:00"/>
    <s v="P29 - CONGO Food allowance mission du 06 au 15/10/21"/>
    <x v="9"/>
    <s v="Investigation"/>
    <m/>
    <n v="90000"/>
    <n v="18036406"/>
    <x v="7"/>
    <s v="Décharge"/>
    <x v="2"/>
    <s v="RALFF"/>
    <s v="CONGO"/>
    <m/>
    <s v="1.3.2"/>
    <m/>
  </r>
  <r>
    <d v="2021-10-06T00:00:00"/>
    <s v="Axel"/>
    <x v="1"/>
    <m/>
    <m/>
    <n v="10000"/>
    <n v="18026406"/>
    <x v="1"/>
    <m/>
    <x v="0"/>
    <m/>
    <m/>
    <m/>
    <m/>
    <m/>
  </r>
  <r>
    <d v="2021-10-06T00:00:00"/>
    <s v="Godfre"/>
    <x v="1"/>
    <m/>
    <m/>
    <n v="88000"/>
    <n v="17938406"/>
    <x v="1"/>
    <m/>
    <x v="0"/>
    <m/>
    <m/>
    <m/>
    <m/>
    <m/>
  </r>
  <r>
    <d v="2021-10-06T00:00:00"/>
    <s v="Cotisation Web bank"/>
    <x v="2"/>
    <s v="Office"/>
    <m/>
    <n v="8644"/>
    <n v="17929762"/>
    <x v="2"/>
    <s v="Relevé"/>
    <x v="1"/>
    <s v="PALF"/>
    <s v="CONGO"/>
    <m/>
    <m/>
    <m/>
  </r>
  <r>
    <d v="2021-10-06T00:00:00"/>
    <s v="I23C - CONGO Food allowance mission Pointe Noire -Nkayi du 6 au 12 octobre 2021"/>
    <x v="9"/>
    <s v="Investigation"/>
    <m/>
    <n v="60000"/>
    <n v="17869762"/>
    <x v="9"/>
    <s v="Décharge"/>
    <x v="2"/>
    <s v="RALFF"/>
    <s v="CONGO"/>
    <m/>
    <s v="1.3.2"/>
    <m/>
  </r>
  <r>
    <d v="2021-10-06T00:00:00"/>
    <s v="Reçu Caisse"/>
    <x v="1"/>
    <m/>
    <n v="88000"/>
    <m/>
    <n v="17957762"/>
    <x v="8"/>
    <m/>
    <x v="0"/>
    <m/>
    <m/>
    <m/>
    <m/>
    <m/>
  </r>
  <r>
    <d v="2021-10-06T00:00:00"/>
    <s v="Achat billet aller (Brazzaville-Dolisie)"/>
    <x v="8"/>
    <s v="Legal"/>
    <m/>
    <n v="10000"/>
    <n v="17947762"/>
    <x v="8"/>
    <s v="Oui"/>
    <x v="1"/>
    <s v="PALF"/>
    <s v="CONGO"/>
    <m/>
    <m/>
    <m/>
  </r>
  <r>
    <d v="2021-10-06T00:00:00"/>
    <s v="Reçu Caisse"/>
    <x v="1"/>
    <m/>
    <n v="10000"/>
    <m/>
    <n v="17957762"/>
    <x v="5"/>
    <m/>
    <x v="0"/>
    <m/>
    <m/>
    <m/>
    <m/>
    <m/>
  </r>
  <r>
    <d v="2021-10-07T00:00:00"/>
    <s v="Achat billet dolisie-divinie"/>
    <x v="8"/>
    <s v="Investigation"/>
    <m/>
    <n v="10000"/>
    <n v="17947762"/>
    <x v="7"/>
    <s v="Oui"/>
    <x v="2"/>
    <s v="RALFF"/>
    <s v="CONGO"/>
    <m/>
    <s v="2.2"/>
    <m/>
  </r>
  <r>
    <d v="2021-10-07T00:00:00"/>
    <s v="P29 - CONGO Paiement une nuitée du 07 au 08/10 (jour panne vehicule e route au village niaga)"/>
    <x v="9"/>
    <s v="Investigation"/>
    <m/>
    <n v="5000"/>
    <n v="17942762"/>
    <x v="7"/>
    <s v="Oui"/>
    <x v="2"/>
    <s v="RALFF"/>
    <s v="CONGO"/>
    <m/>
    <s v="1.3.2"/>
    <m/>
  </r>
  <r>
    <d v="2021-10-07T00:00:00"/>
    <s v="P29 - CONGO Paiement 1 nuitée du 06 au 07/10/21 à Dolisie"/>
    <x v="9"/>
    <s v="Investigation"/>
    <m/>
    <n v="15000"/>
    <n v="17927762"/>
    <x v="7"/>
    <s v="Oui"/>
    <x v="2"/>
    <s v="RALFF"/>
    <s v="CONGO"/>
    <m/>
    <s v="1.3.2"/>
    <m/>
  </r>
  <r>
    <d v="2021-10-07T00:00:00"/>
    <s v="GODFRE - CONGO Food Allowance mission du 07 au 09 Octobre2021"/>
    <x v="9"/>
    <s v="Legal"/>
    <m/>
    <n v="20000"/>
    <n v="17907762"/>
    <x v="8"/>
    <s v="Décharge"/>
    <x v="1"/>
    <s v="PALF"/>
    <s v="CONGO"/>
    <m/>
    <m/>
    <m/>
  </r>
  <r>
    <d v="2021-10-08T00:00:00"/>
    <s v="Saisie Impression et Scannage"/>
    <x v="10"/>
    <s v="Legal"/>
    <m/>
    <n v="1000"/>
    <n v="17906762"/>
    <x v="8"/>
    <s v="Oui"/>
    <x v="1"/>
    <s v="PALF"/>
    <s v="CONGO"/>
    <m/>
    <m/>
    <m/>
  </r>
  <r>
    <d v="2021-10-08T00:00:00"/>
    <s v="I23c"/>
    <x v="1"/>
    <m/>
    <m/>
    <n v="100000"/>
    <n v="17806762"/>
    <x v="1"/>
    <m/>
    <x v="0"/>
    <m/>
    <m/>
    <m/>
    <m/>
    <m/>
  </r>
  <r>
    <d v="2021-10-08T00:00:00"/>
    <s v="P29"/>
    <x v="1"/>
    <m/>
    <m/>
    <n v="103000"/>
    <n v="17703762"/>
    <x v="1"/>
    <m/>
    <x v="0"/>
    <m/>
    <m/>
    <m/>
    <m/>
    <m/>
  </r>
  <r>
    <d v="2021-10-08T00:00:00"/>
    <s v="Frais de Transfert /Charden Farell/Maouene Expresse/I23C/P29"/>
    <x v="11"/>
    <s v="Office"/>
    <m/>
    <n v="5575"/>
    <n v="17698187"/>
    <x v="1"/>
    <s v="Oui"/>
    <x v="2"/>
    <s v="RALFF"/>
    <s v="CONGO"/>
    <m/>
    <s v="5.6"/>
    <m/>
  </r>
  <r>
    <d v="2021-10-08T00:00:00"/>
    <s v="Reglèment facture d'Eau de Septembre - Octobre 2021"/>
    <x v="12"/>
    <s v="Office"/>
    <m/>
    <n v="12750"/>
    <n v="17685437"/>
    <x v="1"/>
    <s v="Oui"/>
    <x v="2"/>
    <s v="RALFF"/>
    <s v="CONGO"/>
    <m/>
    <s v="4.4"/>
    <m/>
  </r>
  <r>
    <d v="2021-10-08T00:00:00"/>
    <s v="Achat Carte Crédit Téléphoniue Luc/PALF"/>
    <x v="3"/>
    <s v="CCU"/>
    <m/>
    <n v="5000"/>
    <n v="17680437"/>
    <x v="1"/>
    <s v="Décharge"/>
    <x v="2"/>
    <s v="RALFF"/>
    <s v="CONGO"/>
    <m/>
    <s v="4.6"/>
    <m/>
  </r>
  <r>
    <d v="2021-10-08T00:00:00"/>
    <s v="Reçu caisse"/>
    <x v="1"/>
    <m/>
    <n v="100000"/>
    <m/>
    <n v="17780437"/>
    <x v="9"/>
    <m/>
    <x v="0"/>
    <m/>
    <m/>
    <m/>
    <m/>
    <m/>
  </r>
  <r>
    <d v="2021-10-08T00:00:00"/>
    <s v="GODFRE - CONGO Frais d' Hotêl de la mission du 07 au 09 Octobre2021"/>
    <x v="9"/>
    <s v="Legal"/>
    <m/>
    <n v="30000"/>
    <n v="17750437"/>
    <x v="8"/>
    <s v="Oui"/>
    <x v="1"/>
    <s v="PALF"/>
    <s v="CONGO"/>
    <m/>
    <m/>
    <m/>
  </r>
  <r>
    <d v="2021-10-08T00:00:00"/>
    <s v="Recu de caisse"/>
    <x v="1"/>
    <m/>
    <n v="103000"/>
    <m/>
    <n v="17853437"/>
    <x v="7"/>
    <m/>
    <x v="0"/>
    <m/>
    <m/>
    <m/>
    <m/>
    <m/>
  </r>
  <r>
    <d v="2021-10-09T00:00:00"/>
    <s v="Achat billet retour(Dolisie- Brazzaville)"/>
    <x v="8"/>
    <s v="Legal"/>
    <m/>
    <n v="10000"/>
    <n v="17843437"/>
    <x v="8"/>
    <s v="Oui"/>
    <x v="1"/>
    <s v="PALF"/>
    <s v="CONGO"/>
    <m/>
    <m/>
    <m/>
  </r>
  <r>
    <d v="2021-10-10T00:00:00"/>
    <s v="I23C - CONGO Paiement Hôtel 4 nuitées du 6 au 10/10/2021"/>
    <x v="9"/>
    <s v="Investigation"/>
    <m/>
    <n v="60000"/>
    <n v="17783437"/>
    <x v="9"/>
    <s v="Décharge"/>
    <x v="2"/>
    <s v="RALFF"/>
    <s v="CONGO"/>
    <m/>
    <s v="1.3.2"/>
    <m/>
  </r>
  <r>
    <d v="2021-10-10T00:00:00"/>
    <s v="Achat billet Pointe Noire-Nkayi"/>
    <x v="8"/>
    <s v="Investigation"/>
    <m/>
    <n v="8000"/>
    <n v="17775437"/>
    <x v="9"/>
    <s v="Oui"/>
    <x v="2"/>
    <s v="RALFF"/>
    <s v="CONGO"/>
    <m/>
    <s v="2.2"/>
    <m/>
  </r>
  <r>
    <d v="2021-10-11T00:00:00"/>
    <s v="Achat billet Billet Nkayi-Brazzaville"/>
    <x v="8"/>
    <s v="Investigation"/>
    <m/>
    <n v="8000"/>
    <n v="17767437"/>
    <x v="9"/>
    <s v="Oui"/>
    <x v="2"/>
    <s v="RALFF"/>
    <s v="CONGO"/>
    <m/>
    <s v="2.2"/>
    <m/>
  </r>
  <r>
    <d v="2021-10-12T00:00:00"/>
    <s v="Axel"/>
    <x v="1"/>
    <m/>
    <m/>
    <n v="5000"/>
    <n v="17762437"/>
    <x v="1"/>
    <m/>
    <x v="0"/>
    <m/>
    <m/>
    <m/>
    <m/>
    <m/>
  </r>
  <r>
    <d v="2021-10-12T00:00:00"/>
    <s v="Axel"/>
    <x v="1"/>
    <m/>
    <m/>
    <n v="10000"/>
    <n v="17752437"/>
    <x v="1"/>
    <m/>
    <x v="0"/>
    <m/>
    <m/>
    <m/>
    <m/>
    <m/>
  </r>
  <r>
    <d v="2021-10-12T00:00:00"/>
    <s v="Serdroque"/>
    <x v="1"/>
    <m/>
    <m/>
    <n v="10000"/>
    <n v="17742437"/>
    <x v="1"/>
    <m/>
    <x v="0"/>
    <m/>
    <m/>
    <m/>
    <m/>
    <m/>
  </r>
  <r>
    <d v="2021-10-12T00:00:00"/>
    <s v="Merveille"/>
    <x v="1"/>
    <m/>
    <m/>
    <n v="10000"/>
    <n v="17732437"/>
    <x v="1"/>
    <m/>
    <x v="0"/>
    <m/>
    <m/>
    <m/>
    <m/>
    <m/>
  </r>
  <r>
    <d v="2021-10-12T00:00:00"/>
    <s v="Evariste"/>
    <x v="1"/>
    <m/>
    <m/>
    <n v="10000"/>
    <n v="17722437"/>
    <x v="1"/>
    <m/>
    <x v="0"/>
    <m/>
    <m/>
    <m/>
    <m/>
    <m/>
  </r>
  <r>
    <d v="2021-10-12T00:00:00"/>
    <s v="Main d'œuvre Reinitialisation du système memory et code sc 542/imprimante bureau"/>
    <x v="5"/>
    <s v="Office"/>
    <m/>
    <n v="18000"/>
    <n v="17704437"/>
    <x v="1"/>
    <m/>
    <x v="1"/>
    <s v="PALF"/>
    <s v="CONGO"/>
    <m/>
    <m/>
    <m/>
  </r>
  <r>
    <d v="2021-10-12T00:00:00"/>
    <s v="P29"/>
    <x v="1"/>
    <m/>
    <m/>
    <n v="86000"/>
    <n v="17618437"/>
    <x v="1"/>
    <m/>
    <x v="0"/>
    <m/>
    <m/>
    <m/>
    <m/>
    <m/>
  </r>
  <r>
    <d v="2021-10-12T00:00:00"/>
    <s v="Frais de Transfert /Maouene Expresse/P29"/>
    <x v="11"/>
    <s v="Office"/>
    <m/>
    <n v="2150"/>
    <n v="17616287"/>
    <x v="1"/>
    <s v="Oui"/>
    <x v="2"/>
    <s v="RALFF"/>
    <s v="CONGO"/>
    <m/>
    <s v="5.6"/>
    <m/>
  </r>
  <r>
    <d v="2021-10-12T00:00:00"/>
    <s v="Godfre"/>
    <x v="1"/>
    <m/>
    <m/>
    <n v="10000"/>
    <n v="17606287"/>
    <x v="1"/>
    <m/>
    <x v="0"/>
    <m/>
    <m/>
    <m/>
    <m/>
    <m/>
  </r>
  <r>
    <d v="2021-10-12T00:00:00"/>
    <s v="Paiemet CNSS Troixième trimestre 2021/ Juillet 2021,Ted"/>
    <x v="4"/>
    <s v="Management"/>
    <m/>
    <n v="185954"/>
    <n v="17420333"/>
    <x v="3"/>
    <n v="3643539"/>
    <x v="2"/>
    <s v="RALFF"/>
    <s v="CONGO"/>
    <m/>
    <s v="1.1.2.1"/>
    <m/>
  </r>
  <r>
    <d v="2021-10-12T00:00:00"/>
    <s v="Paiemet CNSS Troixième trimestre 2021/Juillet et Aout 2021,Jack-Bénisson"/>
    <x v="4"/>
    <s v="Legal"/>
    <m/>
    <n v="181665"/>
    <n v="17238668"/>
    <x v="3"/>
    <n v="3643539"/>
    <x v="2"/>
    <s v="RALFF"/>
    <s v="CONGO"/>
    <m/>
    <s v="1.1.1.7"/>
    <m/>
  </r>
  <r>
    <d v="2021-10-12T00:00:00"/>
    <s v="Paiemet CNSS Troixième trimestre 2021/Juillet, Aout et Septembre 2021/Merveille"/>
    <x v="4"/>
    <s v="Management"/>
    <m/>
    <n v="158580"/>
    <n v="17080088"/>
    <x v="3"/>
    <n v="3643539"/>
    <x v="2"/>
    <s v="RALFF"/>
    <s v="CONGO"/>
    <m/>
    <s v="1.1.2.1"/>
    <m/>
  </r>
  <r>
    <d v="2021-10-12T00:00:00"/>
    <s v="Paiemet CNSS Troixième trimestre 2021/Juillet, Aout et Septembre 2021/Crépin"/>
    <x v="4"/>
    <s v="Legal"/>
    <m/>
    <n v="217121"/>
    <n v="16862967"/>
    <x v="3"/>
    <n v="3643539"/>
    <x v="2"/>
    <s v="RALFF"/>
    <s v="CONGO"/>
    <m/>
    <s v="1.1.1.7"/>
    <m/>
  </r>
  <r>
    <d v="2021-10-12T00:00:00"/>
    <s v="Paiemet CNSS Troixième trimestre 2021/Juillet, Aout et Septembre 2021/Evariste"/>
    <x v="4"/>
    <s v="Media"/>
    <m/>
    <n v="131527"/>
    <n v="16731440"/>
    <x v="3"/>
    <n v="3643539"/>
    <x v="2"/>
    <s v="RALFF"/>
    <s v="CONGO"/>
    <m/>
    <s v="1.1.1.4"/>
    <m/>
  </r>
  <r>
    <d v="2021-10-12T00:00:00"/>
    <s v="Paiemet CNSS Troixième trimestre 2021/Juillet et Aout 2021/P29"/>
    <x v="4"/>
    <s v="Investigation"/>
    <m/>
    <n v="77350"/>
    <n v="16654090"/>
    <x v="3"/>
    <n v="3643539"/>
    <x v="2"/>
    <s v="RALFF"/>
    <s v="CONGO"/>
    <m/>
    <s v="1.1.1.9"/>
    <m/>
  </r>
  <r>
    <d v="2021-10-12T00:00:00"/>
    <s v="Paiemet CNSS Troixième trimestre 2021/Juillet, Aout et Septembre 2021/Grace"/>
    <x v="4"/>
    <s v="Management"/>
    <m/>
    <n v="11250"/>
    <n v="16642840"/>
    <x v="3"/>
    <n v="3643539"/>
    <x v="1"/>
    <s v="PALF"/>
    <s v="CONGO"/>
    <m/>
    <m/>
    <m/>
  </r>
  <r>
    <d v="2021-10-12T00:00:00"/>
    <s v="Reglement loyer mois de Octobre 2021/Bureau PALF"/>
    <x v="12"/>
    <s v="Office"/>
    <m/>
    <n v="500000"/>
    <n v="16142840"/>
    <x v="3"/>
    <n v="3643540"/>
    <x v="2"/>
    <s v="RALFF"/>
    <s v="CONGO"/>
    <m/>
    <s v="4.2"/>
    <m/>
  </r>
  <r>
    <d v="2021-10-12T00:00:00"/>
    <s v="Reçu caisse"/>
    <x v="1"/>
    <m/>
    <n v="10000"/>
    <m/>
    <n v="16152840"/>
    <x v="10"/>
    <m/>
    <x v="0"/>
    <m/>
    <m/>
    <m/>
    <m/>
    <m/>
  </r>
  <r>
    <d v="2021-10-12T00:00:00"/>
    <s v="Reçu de la caisse"/>
    <x v="1"/>
    <m/>
    <n v="10000"/>
    <m/>
    <n v="16162840"/>
    <x v="4"/>
    <m/>
    <x v="0"/>
    <m/>
    <m/>
    <m/>
    <m/>
    <m/>
  </r>
  <r>
    <d v="2021-10-12T00:00:00"/>
    <s v="I23C - CONGO Paiement Hôtel 2 nuitées du 10 au 12 octobre 2021"/>
    <x v="9"/>
    <s v="Investigation"/>
    <m/>
    <n v="30000"/>
    <n v="16132840"/>
    <x v="9"/>
    <s v="Oui"/>
    <x v="2"/>
    <s v="RALFF"/>
    <s v="CONGO"/>
    <m/>
    <s v="1.3.2"/>
    <m/>
  </r>
  <r>
    <d v="2021-10-12T00:00:00"/>
    <s v="Recu de caisse"/>
    <x v="1"/>
    <m/>
    <n v="86000"/>
    <m/>
    <n v="16218840"/>
    <x v="7"/>
    <m/>
    <x v="0"/>
    <m/>
    <m/>
    <m/>
    <m/>
    <m/>
  </r>
  <r>
    <d v="2021-10-12T00:00:00"/>
    <s v="Raçu Caisse"/>
    <x v="1"/>
    <m/>
    <n v="10000"/>
    <m/>
    <n v="16228840"/>
    <x v="8"/>
    <m/>
    <x v="0"/>
    <m/>
    <m/>
    <m/>
    <m/>
    <m/>
  </r>
  <r>
    <d v="2021-10-12T00:00:00"/>
    <s v="reçu caisse"/>
    <x v="1"/>
    <m/>
    <n v="10000"/>
    <m/>
    <n v="16238840"/>
    <x v="11"/>
    <m/>
    <x v="0"/>
    <m/>
    <m/>
    <m/>
    <m/>
    <m/>
  </r>
  <r>
    <d v="2021-10-12T00:00:00"/>
    <s v="Reçu Caisse"/>
    <x v="1"/>
    <m/>
    <n v="10000"/>
    <m/>
    <n v="16248840"/>
    <x v="5"/>
    <m/>
    <x v="0"/>
    <m/>
    <m/>
    <m/>
    <m/>
    <m/>
  </r>
  <r>
    <d v="2021-10-12T00:00:00"/>
    <s v="Reçu Caisse"/>
    <x v="1"/>
    <m/>
    <n v="5000"/>
    <m/>
    <n v="16253840"/>
    <x v="5"/>
    <m/>
    <x v="0"/>
    <m/>
    <m/>
    <m/>
    <m/>
    <m/>
  </r>
  <r>
    <d v="2021-10-13T00:00:00"/>
    <s v="Achat Eau /03 bonbonnes"/>
    <x v="10"/>
    <s v="Office"/>
    <m/>
    <n v="18000"/>
    <n v="16235840"/>
    <x v="1"/>
    <s v="Oui"/>
    <x v="1"/>
    <s v="PALF"/>
    <s v="CONGO"/>
    <m/>
    <m/>
    <m/>
  </r>
  <r>
    <d v="2021-10-13T00:00:00"/>
    <s v="Serdroque"/>
    <x v="1"/>
    <m/>
    <m/>
    <n v="128000"/>
    <n v="16107840"/>
    <x v="1"/>
    <m/>
    <x v="0"/>
    <m/>
    <m/>
    <m/>
    <m/>
    <m/>
  </r>
  <r>
    <d v="2021-10-13T00:00:00"/>
    <s v="Frais de mission à Madingou maitre Séverin du 14 au 16/10/2021"/>
    <x v="13"/>
    <s v="Legal"/>
    <m/>
    <n v="72000"/>
    <n v="16035840"/>
    <x v="1"/>
    <s v="Oui"/>
    <x v="2"/>
    <s v="RALFF"/>
    <s v="CONGO"/>
    <m/>
    <s v="5.2.2"/>
    <m/>
  </r>
  <r>
    <d v="2021-10-13T00:00:00"/>
    <s v="Achat billet,divinie-dolisie,retour sur dolisie"/>
    <x v="8"/>
    <s v="Investigation"/>
    <m/>
    <n v="10000"/>
    <n v="16025840"/>
    <x v="7"/>
    <s v="Oui"/>
    <x v="2"/>
    <s v="RALFF"/>
    <s v="CONGO"/>
    <m/>
    <s v="2.2"/>
    <m/>
  </r>
  <r>
    <d v="2021-10-13T00:00:00"/>
    <s v="P29 - CONGO Paiement 5 nuitées du 08 au 13/10/21  à Divinié"/>
    <x v="9"/>
    <s v="Investigation"/>
    <m/>
    <n v="75000"/>
    <n v="15950840"/>
    <x v="7"/>
    <s v="Oui"/>
    <x v="2"/>
    <s v="RALFF"/>
    <s v="CONGO"/>
    <m/>
    <s v="1.3.2"/>
    <m/>
  </r>
  <r>
    <d v="2021-10-13T00:00:00"/>
    <s v="Reçu caisse"/>
    <x v="1"/>
    <m/>
    <n v="128000"/>
    <m/>
    <n v="16078840"/>
    <x v="11"/>
    <m/>
    <x v="0"/>
    <m/>
    <m/>
    <m/>
    <m/>
    <m/>
  </r>
  <r>
    <d v="2021-10-13T00:00:00"/>
    <s v="Achat billet Brazzaville- Madingou"/>
    <x v="8"/>
    <s v="Legal"/>
    <m/>
    <n v="8000"/>
    <n v="16070840"/>
    <x v="11"/>
    <s v="Oui"/>
    <x v="1"/>
    <s v="PALF"/>
    <s v="CONGO"/>
    <m/>
    <m/>
    <m/>
  </r>
  <r>
    <d v="2021-10-14T00:00:00"/>
    <s v="Frais de traitement de dossier pour validation contrat à l'ACPE/Grace"/>
    <x v="4"/>
    <s v="Management"/>
    <m/>
    <n v="10500"/>
    <n v="16060340"/>
    <x v="1"/>
    <s v="Oui"/>
    <x v="1"/>
    <s v="PALF"/>
    <s v="CONGO"/>
    <m/>
    <m/>
    <m/>
  </r>
  <r>
    <d v="2021-10-14T00:00:00"/>
    <s v="Entretien géneral jardin bureau"/>
    <x v="5"/>
    <s v="Office"/>
    <m/>
    <n v="12000"/>
    <n v="16048340"/>
    <x v="1"/>
    <s v="Oui"/>
    <x v="1"/>
    <s v="PALF"/>
    <s v="CONGO"/>
    <m/>
    <m/>
    <m/>
  </r>
  <r>
    <d v="2021-10-14T00:00:00"/>
    <s v="Fonds Reçu de EAGLE"/>
    <x v="14"/>
    <m/>
    <n v="5404478"/>
    <m/>
    <n v="21452818"/>
    <x v="2"/>
    <s v="Relevé"/>
    <x v="3"/>
    <m/>
    <m/>
    <m/>
    <m/>
    <m/>
  </r>
  <r>
    <d v="2021-10-14T00:00:00"/>
    <s v="Achat billet dolisie-brazzaville"/>
    <x v="8"/>
    <s v="Investigation"/>
    <m/>
    <n v="10000"/>
    <n v="21442818"/>
    <x v="7"/>
    <s v="Oui"/>
    <x v="2"/>
    <s v="RALFF"/>
    <s v="CONGO"/>
    <m/>
    <s v="2.2"/>
    <m/>
  </r>
  <r>
    <d v="2021-10-14T00:00:00"/>
    <s v="SERDROQUE - CONGO Food Allowance de la Mission du 14 au 16/10/2021"/>
    <x v="9"/>
    <s v="Legal"/>
    <m/>
    <n v="20000"/>
    <n v="21422818"/>
    <x v="11"/>
    <s v="Décharge"/>
    <x v="1"/>
    <s v="PALF"/>
    <s v="CONGO"/>
    <m/>
    <m/>
    <m/>
  </r>
  <r>
    <d v="2021-10-15T00:00:00"/>
    <s v="Axel"/>
    <x v="1"/>
    <m/>
    <m/>
    <n v="10000"/>
    <n v="21412818"/>
    <x v="1"/>
    <m/>
    <x v="0"/>
    <m/>
    <m/>
    <m/>
    <m/>
    <m/>
  </r>
  <r>
    <d v="2021-10-15T00:00:00"/>
    <s v="Godfre"/>
    <x v="1"/>
    <m/>
    <m/>
    <n v="10000"/>
    <n v="21402818"/>
    <x v="1"/>
    <m/>
    <x v="0"/>
    <m/>
    <m/>
    <m/>
    <m/>
    <m/>
  </r>
  <r>
    <d v="2021-10-15T00:00:00"/>
    <s v="I23c"/>
    <x v="1"/>
    <m/>
    <m/>
    <n v="10000"/>
    <n v="21392818"/>
    <x v="1"/>
    <m/>
    <x v="0"/>
    <m/>
    <m/>
    <m/>
    <m/>
    <m/>
  </r>
  <r>
    <d v="2021-10-15T00:00:00"/>
    <s v="Reçu caisse"/>
    <x v="1"/>
    <m/>
    <n v="10000"/>
    <m/>
    <n v="21402818"/>
    <x v="9"/>
    <m/>
    <x v="0"/>
    <m/>
    <m/>
    <m/>
    <m/>
    <m/>
  </r>
  <r>
    <d v="2021-10-15T00:00:00"/>
    <s v="Reçu Caisse"/>
    <x v="1"/>
    <m/>
    <n v="10000"/>
    <m/>
    <n v="21412818"/>
    <x v="8"/>
    <m/>
    <x v="0"/>
    <m/>
    <m/>
    <m/>
    <m/>
    <m/>
  </r>
  <r>
    <d v="2021-10-15T00:00:00"/>
    <s v="P29 - CONGO Paiement 2 nuitées du 13 au 15/10/21 à Dolisie"/>
    <x v="9"/>
    <s v="Investigation"/>
    <m/>
    <n v="30000"/>
    <n v="21382818"/>
    <x v="7"/>
    <s v="Oui"/>
    <x v="2"/>
    <s v="RALFF"/>
    <s v="CONGO"/>
    <m/>
    <s v="1.3.2"/>
    <m/>
  </r>
  <r>
    <d v="2021-10-15T00:00:00"/>
    <s v="Frais ordonnance "/>
    <x v="15"/>
    <s v="Legal"/>
    <m/>
    <n v="25000"/>
    <n v="21357818"/>
    <x v="11"/>
    <s v="Oui"/>
    <x v="1"/>
    <s v="PALF"/>
    <s v="CONGO"/>
    <m/>
    <m/>
    <m/>
  </r>
  <r>
    <d v="2021-10-15T00:00:00"/>
    <s v="Achat billet pour Brazzaville-Madingou"/>
    <x v="8"/>
    <s v="Legal"/>
    <m/>
    <n v="8000"/>
    <n v="21349818"/>
    <x v="11"/>
    <s v="Oui"/>
    <x v="1"/>
    <s v="PALF"/>
    <s v="CONGO"/>
    <m/>
    <m/>
    <m/>
  </r>
  <r>
    <d v="2021-10-15T00:00:00"/>
    <s v="Cumul Frais de Ration Journalière Mois d'Octobre 2021/SERDROQUE"/>
    <x v="9"/>
    <s v="Legal"/>
    <m/>
    <n v="13000"/>
    <n v="21336818"/>
    <x v="11"/>
    <s v="Oui"/>
    <x v="1"/>
    <s v="PALF"/>
    <s v="CONGO"/>
    <m/>
    <m/>
    <m/>
  </r>
  <r>
    <d v="2021-10-15T00:00:00"/>
    <s v="Cumul Frais de Transport Local du Mois d'Octobre 2021/SERDROQUE"/>
    <x v="8"/>
    <s v="Legal"/>
    <m/>
    <n v="40800"/>
    <n v="21296018"/>
    <x v="11"/>
    <s v="Décharge"/>
    <x v="1"/>
    <s v="PALF"/>
    <s v="CONGO"/>
    <m/>
    <m/>
    <m/>
  </r>
  <r>
    <d v="2021-10-15T00:00:00"/>
    <s v="Reçu Caisse"/>
    <x v="1"/>
    <m/>
    <n v="10000"/>
    <m/>
    <n v="21306018"/>
    <x v="5"/>
    <m/>
    <x v="0"/>
    <m/>
    <m/>
    <m/>
    <m/>
    <m/>
  </r>
  <r>
    <d v="2021-10-16T00:00:00"/>
    <s v="SERDROQUE - CONGO Frais d'hotel, 2 nuités du 14 au 16/10/2021"/>
    <x v="9"/>
    <s v="Legal"/>
    <m/>
    <n v="30000"/>
    <n v="21276018"/>
    <x v="11"/>
    <s v="Oui"/>
    <x v="1"/>
    <s v="PALF"/>
    <s v="CONGO"/>
    <m/>
    <m/>
    <m/>
  </r>
  <r>
    <d v="2021-10-18T00:00:00"/>
    <s v="Achat credit  teléphonique MTN/staff PALF/2ème  partie Octobre  2021/Legal "/>
    <x v="3"/>
    <s v="Legal"/>
    <m/>
    <n v="5000"/>
    <n v="21271018"/>
    <x v="1"/>
    <s v="Oui"/>
    <x v="2"/>
    <s v="RALFF"/>
    <s v="CONGO"/>
    <m/>
    <s v="4.6"/>
    <m/>
  </r>
  <r>
    <d v="2021-10-18T00:00:00"/>
    <s v="Achat credit  teléphonique MTN/staff PALF/2ème  partie Octobre  2021/Legal Volontaire"/>
    <x v="3"/>
    <s v="Legal"/>
    <m/>
    <n v="30000"/>
    <n v="21241018"/>
    <x v="1"/>
    <s v="Oui"/>
    <x v="1"/>
    <s v="PALF"/>
    <s v="CONGO"/>
    <m/>
    <m/>
    <m/>
  </r>
  <r>
    <d v="2021-10-18T00:00:00"/>
    <s v="Achat credit  teléphonique MTN/staff PALF/2ème  partie Octobre  2021/Investigation"/>
    <x v="3"/>
    <s v="Investigation"/>
    <m/>
    <n v="25000"/>
    <n v="21216018"/>
    <x v="1"/>
    <s v="Oui"/>
    <x v="2"/>
    <s v="RALFF"/>
    <s v="CONGO"/>
    <m/>
    <s v="4.6"/>
    <m/>
  </r>
  <r>
    <d v="2021-10-18T00:00:00"/>
    <s v="Achat credit  teléphonique MTN/staff PALF/2ème  partie Octobre  2021/Média"/>
    <x v="3"/>
    <s v="Media"/>
    <m/>
    <n v="10000"/>
    <n v="21206018"/>
    <x v="1"/>
    <s v="Oui"/>
    <x v="2"/>
    <s v="RALFF"/>
    <s v="CONGO"/>
    <m/>
    <s v="4.6"/>
    <m/>
  </r>
  <r>
    <d v="2021-10-18T00:00:00"/>
    <s v="Achat credit  teléphonique MTN/staff PALF/2ème  partie Octobre  2021/Management"/>
    <x v="3"/>
    <s v="Management"/>
    <m/>
    <n v="15000"/>
    <n v="21191018"/>
    <x v="1"/>
    <s v="Oui"/>
    <x v="2"/>
    <s v="RALFF"/>
    <s v="CONGO"/>
    <m/>
    <s v="4.6"/>
    <m/>
  </r>
  <r>
    <d v="2021-10-18T00:00:00"/>
    <s v="Achat credit  teléphonique Airtel/staff PALF/2ème partie Octobre  2021/Legal"/>
    <x v="3"/>
    <s v="Legal"/>
    <m/>
    <n v="5000"/>
    <n v="21186018"/>
    <x v="1"/>
    <s v="Oui"/>
    <x v="2"/>
    <s v="RALFF"/>
    <s v="CONGO"/>
    <m/>
    <s v="4.6"/>
    <m/>
  </r>
  <r>
    <d v="2021-10-18T00:00:00"/>
    <s v="Achat credit  teléphonique Airtel/staff PALF/2ème partie Octobre  2021/Investigation"/>
    <x v="3"/>
    <s v="Investigation"/>
    <m/>
    <n v="5000"/>
    <n v="21181018"/>
    <x v="1"/>
    <s v="Oui"/>
    <x v="2"/>
    <s v="RALFF"/>
    <s v="CONGO"/>
    <m/>
    <s v="4.6"/>
    <m/>
  </r>
  <r>
    <d v="2021-10-18T00:00:00"/>
    <s v="Achat credit  teléphonique Airtel/staff PALF/2ème partie Octobre  2021/Management"/>
    <x v="3"/>
    <s v="Management"/>
    <m/>
    <n v="5000"/>
    <n v="21176018"/>
    <x v="1"/>
    <s v="Oui"/>
    <x v="2"/>
    <s v="RALFF"/>
    <s v="CONGO"/>
    <m/>
    <s v="4.6"/>
    <m/>
  </r>
  <r>
    <d v="2021-10-18T00:00:00"/>
    <s v="Fond Reçu de UE"/>
    <x v="14"/>
    <m/>
    <n v="17232646"/>
    <m/>
    <n v="38408664"/>
    <x v="3"/>
    <s v="Relevé"/>
    <x v="2"/>
    <m/>
    <m/>
    <m/>
    <m/>
    <m/>
  </r>
  <r>
    <d v="2021-10-18T00:00:00"/>
    <s v="Retrait especes/appro caisse/bord n°3643541"/>
    <x v="1"/>
    <m/>
    <m/>
    <n v="1000000"/>
    <n v="37408664"/>
    <x v="3"/>
    <n v="3643541"/>
    <x v="0"/>
    <m/>
    <m/>
    <m/>
    <m/>
    <m/>
  </r>
  <r>
    <d v="2021-10-19T00:00:00"/>
    <s v="Achat credit  teléphonique MTN/ Pour Appel vers le cameroun/Investigation"/>
    <x v="3"/>
    <s v="Investigation"/>
    <m/>
    <n v="10000"/>
    <n v="37398664"/>
    <x v="1"/>
    <s v="Oui"/>
    <x v="2"/>
    <s v="RALFF"/>
    <s v="CONGO"/>
    <m/>
    <s v="4.6"/>
    <m/>
  </r>
  <r>
    <d v="2021-10-19T00:00:00"/>
    <s v="P29"/>
    <x v="1"/>
    <m/>
    <m/>
    <n v="10000"/>
    <n v="37388664"/>
    <x v="1"/>
    <m/>
    <x v="0"/>
    <m/>
    <m/>
    <m/>
    <m/>
    <m/>
  </r>
  <r>
    <d v="2021-10-19T00:00:00"/>
    <s v="Achat 02 cartouches SP311/Bureau"/>
    <x v="10"/>
    <s v="Office"/>
    <m/>
    <n v="120000"/>
    <n v="37268664"/>
    <x v="1"/>
    <s v="Oui"/>
    <x v="2"/>
    <s v="RALFF"/>
    <s v="CONGO"/>
    <m/>
    <s v="4.3"/>
    <m/>
  </r>
  <r>
    <d v="2021-10-19T00:00:00"/>
    <s v="Impression des photos 10x15 des animaux protegés par la loi"/>
    <x v="10"/>
    <s v="Office"/>
    <m/>
    <n v="16250"/>
    <n v="37252414"/>
    <x v="1"/>
    <s v="Oui"/>
    <x v="1"/>
    <s v="PALF"/>
    <s v="CONGO"/>
    <m/>
    <m/>
    <m/>
  </r>
  <r>
    <d v="2021-10-19T00:00:00"/>
    <s v="Recu de caisse"/>
    <x v="1"/>
    <m/>
    <n v="10000"/>
    <m/>
    <n v="37262414"/>
    <x v="7"/>
    <m/>
    <x v="0"/>
    <m/>
    <m/>
    <m/>
    <m/>
    <m/>
  </r>
  <r>
    <d v="2021-10-20T00:00:00"/>
    <s v="BCI-3643541"/>
    <x v="1"/>
    <m/>
    <n v="1000000"/>
    <m/>
    <n v="38262414"/>
    <x v="1"/>
    <m/>
    <x v="0"/>
    <m/>
    <m/>
    <m/>
    <m/>
    <m/>
  </r>
  <r>
    <d v="2021-10-20T00:00:00"/>
    <s v="Axel"/>
    <x v="1"/>
    <m/>
    <m/>
    <n v="15000"/>
    <n v="38247414"/>
    <x v="1"/>
    <m/>
    <x v="0"/>
    <m/>
    <m/>
    <m/>
    <m/>
    <m/>
  </r>
  <r>
    <d v="2021-10-20T00:00:00"/>
    <s v="Axel"/>
    <x v="1"/>
    <m/>
    <m/>
    <n v="85000"/>
    <n v="38162414"/>
    <x v="1"/>
    <m/>
    <x v="0"/>
    <m/>
    <m/>
    <m/>
    <m/>
    <m/>
  </r>
  <r>
    <d v="2021-10-20T00:00:00"/>
    <s v="Frais de mission à Dolisie Maitre Scrutin/suivi audience  cas NZIHOU Arly"/>
    <x v="13"/>
    <s v="Legal"/>
    <m/>
    <n v="76000"/>
    <n v="38086414"/>
    <x v="1"/>
    <s v="Oui"/>
    <x v="2"/>
    <s v="RALFF"/>
    <s v="CONGO"/>
    <m/>
    <s v="5.2.2"/>
    <m/>
  </r>
  <r>
    <d v="2021-10-20T00:00:00"/>
    <s v="I23c"/>
    <x v="1"/>
    <m/>
    <m/>
    <n v="10000"/>
    <n v="38076414"/>
    <x v="1"/>
    <m/>
    <x v="0"/>
    <m/>
    <m/>
    <m/>
    <m/>
    <m/>
  </r>
  <r>
    <d v="2021-10-20T00:00:00"/>
    <s v="I23c"/>
    <x v="1"/>
    <m/>
    <m/>
    <n v="150000"/>
    <n v="37926414"/>
    <x v="1"/>
    <m/>
    <x v="0"/>
    <m/>
    <m/>
    <m/>
    <m/>
    <m/>
  </r>
  <r>
    <d v="2021-10-20T00:00:00"/>
    <s v="P29"/>
    <x v="1"/>
    <m/>
    <m/>
    <n v="150000"/>
    <n v="37776414"/>
    <x v="1"/>
    <m/>
    <x v="0"/>
    <m/>
    <m/>
    <m/>
    <m/>
    <m/>
  </r>
  <r>
    <d v="2021-10-20T00:00:00"/>
    <s v="Merveille"/>
    <x v="1"/>
    <m/>
    <m/>
    <n v="15000"/>
    <n v="37761414"/>
    <x v="1"/>
    <m/>
    <x v="0"/>
    <m/>
    <m/>
    <m/>
    <m/>
    <m/>
  </r>
  <r>
    <d v="2021-10-20T00:00:00"/>
    <s v="Frais de consultation avocat Mois de Octobre 2021/LOCKO Christian/3643542"/>
    <x v="13"/>
    <s v="Legal"/>
    <m/>
    <n v="150000"/>
    <n v="37611414"/>
    <x v="3"/>
    <n v="3643542"/>
    <x v="2"/>
    <s v="RALFF"/>
    <s v="CONGO"/>
    <m/>
    <s v="5.2.1"/>
    <m/>
  </r>
  <r>
    <d v="2021-10-20T00:00:00"/>
    <s v="Réçu caisse"/>
    <x v="1"/>
    <m/>
    <n v="10000"/>
    <m/>
    <n v="37621414"/>
    <x v="9"/>
    <m/>
    <x v="0"/>
    <m/>
    <m/>
    <m/>
    <m/>
    <m/>
  </r>
  <r>
    <d v="2021-10-20T00:00:00"/>
    <s v="Réçu caisse"/>
    <x v="1"/>
    <m/>
    <n v="150000"/>
    <m/>
    <n v="37771414"/>
    <x v="9"/>
    <m/>
    <x v="0"/>
    <m/>
    <m/>
    <m/>
    <m/>
    <m/>
  </r>
  <r>
    <d v="2021-10-20T00:00:00"/>
    <s v="Recu de caisse"/>
    <x v="1"/>
    <m/>
    <n v="150000"/>
    <m/>
    <n v="37921414"/>
    <x v="7"/>
    <m/>
    <x v="0"/>
    <m/>
    <m/>
    <m/>
    <m/>
    <m/>
  </r>
  <r>
    <d v="2021-10-21T00:00:00"/>
    <s v="P29 - CONGO Food allowance mission du 21 au 25/10/21"/>
    <x v="9"/>
    <s v="Investigation"/>
    <m/>
    <n v="40000"/>
    <n v="37881414"/>
    <x v="7"/>
    <s v="Décharge"/>
    <x v="2"/>
    <s v="RALFF"/>
    <s v="CONGO"/>
    <m/>
    <s v="1.3.2"/>
    <m/>
  </r>
  <r>
    <d v="2021-10-20T00:00:00"/>
    <s v="Achat billet Brazzaville-Loudima,depart mission"/>
    <x v="8"/>
    <s v="Investigation"/>
    <m/>
    <n v="10000"/>
    <n v="37871414"/>
    <x v="7"/>
    <s v="Oui"/>
    <x v="2"/>
    <s v="RALFF"/>
    <s v="CONGO"/>
    <m/>
    <s v="2.2"/>
    <m/>
  </r>
  <r>
    <d v="2021-10-20T00:00:00"/>
    <s v="Reçu Caisse"/>
    <x v="1"/>
    <m/>
    <n v="15000"/>
    <m/>
    <n v="37886414"/>
    <x v="5"/>
    <m/>
    <x v="0"/>
    <m/>
    <m/>
    <m/>
    <m/>
    <m/>
  </r>
  <r>
    <d v="2021-10-20T00:00:00"/>
    <s v="Reçu Caisse"/>
    <x v="1"/>
    <m/>
    <n v="85000"/>
    <m/>
    <n v="37971414"/>
    <x v="5"/>
    <m/>
    <x v="0"/>
    <m/>
    <m/>
    <m/>
    <m/>
    <m/>
  </r>
  <r>
    <d v="2021-10-20T00:00:00"/>
    <s v="Billet Brazzaville-Dolisie "/>
    <x v="8"/>
    <s v="Legal"/>
    <m/>
    <n v="10000"/>
    <n v="37961414"/>
    <x v="5"/>
    <s v="Oui"/>
    <x v="1"/>
    <s v="PALF"/>
    <s v="CONGO"/>
    <m/>
    <m/>
    <m/>
  </r>
  <r>
    <d v="2021-10-21T00:00:00"/>
    <s v="Godfre"/>
    <x v="1"/>
    <m/>
    <m/>
    <n v="10000"/>
    <n v="37951414"/>
    <x v="1"/>
    <m/>
    <x v="0"/>
    <m/>
    <m/>
    <m/>
    <m/>
    <m/>
  </r>
  <r>
    <d v="2021-10-21T00:00:00"/>
    <s v="Evariste"/>
    <x v="1"/>
    <m/>
    <m/>
    <n v="10000"/>
    <n v="37941414"/>
    <x v="1"/>
    <m/>
    <x v="0"/>
    <m/>
    <m/>
    <m/>
    <m/>
    <m/>
  </r>
  <r>
    <d v="2021-10-21T00:00:00"/>
    <s v="Bonus Media (Portant sur l'audience du 18 Octobre 2021)/diffusion"/>
    <x v="7"/>
    <s v="Media"/>
    <m/>
    <n v="23000"/>
    <n v="37918414"/>
    <x v="1"/>
    <s v="Décharge"/>
    <x v="1"/>
    <s v="PALF"/>
    <s v="CONGO"/>
    <m/>
    <m/>
    <m/>
  </r>
  <r>
    <d v="2021-10-21T00:00:00"/>
    <s v="Achat fournitures de bureau/classeurs,chemises cartonnées,marqueurs,enveloppes,surligneur"/>
    <x v="10"/>
    <s v="Office"/>
    <m/>
    <n v="67000"/>
    <n v="37851414"/>
    <x v="1"/>
    <s v="Oui"/>
    <x v="2"/>
    <s v="RALFF"/>
    <s v="CONGO"/>
    <m/>
    <s v="4.3"/>
    <m/>
  </r>
  <r>
    <d v="2021-10-20T00:00:00"/>
    <s v="Reçu caisse"/>
    <x v="1"/>
    <m/>
    <n v="15000"/>
    <m/>
    <n v="37866414"/>
    <x v="10"/>
    <m/>
    <x v="0"/>
    <m/>
    <m/>
    <m/>
    <m/>
    <m/>
  </r>
  <r>
    <d v="2021-10-21T00:00:00"/>
    <s v="Reçu de la caisse"/>
    <x v="1"/>
    <m/>
    <n v="10000"/>
    <m/>
    <n v="37876414"/>
    <x v="4"/>
    <m/>
    <x v="0"/>
    <m/>
    <m/>
    <m/>
    <m/>
    <m/>
  </r>
  <r>
    <d v="2021-10-21T00:00:00"/>
    <s v="Achat billet Brazzaville-Makoua"/>
    <x v="8"/>
    <s v="Investigation"/>
    <m/>
    <n v="15000"/>
    <n v="37861414"/>
    <x v="9"/>
    <s v="Oui"/>
    <x v="2"/>
    <s v="RALFF"/>
    <s v="CONGO"/>
    <m/>
    <s v="2.2"/>
    <m/>
  </r>
  <r>
    <d v="2021-10-21T00:00:00"/>
    <s v="I23C - CONGO Food allowance mission Makoua-Etoumbi du 21 au 27 octobre 2021"/>
    <x v="9"/>
    <s v="Investigation"/>
    <m/>
    <n v="60000"/>
    <n v="37801414"/>
    <x v="9"/>
    <s v="Décharge"/>
    <x v="2"/>
    <s v="RALFF"/>
    <s v="CONGO"/>
    <m/>
    <s v="1.3.2"/>
    <m/>
  </r>
  <r>
    <d v="2021-10-21T00:00:00"/>
    <s v="Achat billet loudima- sibiti"/>
    <x v="8"/>
    <s v="Investigation"/>
    <m/>
    <n v="4000"/>
    <n v="37797414"/>
    <x v="7"/>
    <s v="Oui"/>
    <x v="2"/>
    <s v="RALFF"/>
    <s v="CONGO"/>
    <m/>
    <s v="2.2"/>
    <m/>
  </r>
  <r>
    <d v="2021-10-21T00:00:00"/>
    <s v="Reçu Caisse"/>
    <x v="1"/>
    <m/>
    <n v="10000"/>
    <m/>
    <n v="37807414"/>
    <x v="8"/>
    <m/>
    <x v="0"/>
    <m/>
    <m/>
    <m/>
    <m/>
    <m/>
  </r>
  <r>
    <d v="2021-10-21T00:00:00"/>
    <s v="AXEL - CONGO Food allowance du 21 au 23-oct-2021/Dolisie"/>
    <x v="9"/>
    <s v="Legal"/>
    <m/>
    <n v="20000"/>
    <n v="37787414"/>
    <x v="5"/>
    <s v="Décharge"/>
    <x v="1"/>
    <s v="PALF"/>
    <s v="CONGO"/>
    <m/>
    <m/>
    <m/>
  </r>
  <r>
    <d v="2021-10-22T00:00:00"/>
    <s v="Bonus Media (Portant sur l'audience du 22 Octobre 2021 à Dolisie)/diffusion"/>
    <x v="7"/>
    <s v="Media"/>
    <m/>
    <n v="39000"/>
    <n v="37748414"/>
    <x v="1"/>
    <s v="Décharge"/>
    <x v="1"/>
    <s v="PALF"/>
    <s v="CONGO"/>
    <m/>
    <m/>
    <m/>
  </r>
  <r>
    <d v="2021-10-22T00:00:00"/>
    <s v="Crépin"/>
    <x v="1"/>
    <m/>
    <m/>
    <n v="10000"/>
    <n v="37738414"/>
    <x v="1"/>
    <m/>
    <x v="0"/>
    <m/>
    <m/>
    <m/>
    <m/>
    <m/>
  </r>
  <r>
    <d v="2021-10-22T00:00:00"/>
    <s v="Bonus média/Télé Congo/Diffusion"/>
    <x v="7"/>
    <s v="Media"/>
    <m/>
    <n v="150000"/>
    <n v="37588414"/>
    <x v="1"/>
    <s v="Décharge"/>
    <x v="1"/>
    <s v="PALF"/>
    <s v="CONGO"/>
    <m/>
    <m/>
    <m/>
  </r>
  <r>
    <d v="2021-10-22T00:00:00"/>
    <s v="Grace"/>
    <x v="1"/>
    <m/>
    <m/>
    <n v="10000"/>
    <n v="37578414"/>
    <x v="1"/>
    <m/>
    <x v="0"/>
    <m/>
    <m/>
    <m/>
    <m/>
    <m/>
  </r>
  <r>
    <d v="2021-10-22T00:00:00"/>
    <s v="Acompte  honoraires contrat n°38/Brazzaville/maitre Séverin cas NGOMBELE /3643544"/>
    <x v="13"/>
    <s v="Legal"/>
    <m/>
    <n v="200000"/>
    <n v="37378414"/>
    <x v="3"/>
    <n v="3643544"/>
    <x v="2"/>
    <s v="RALFF"/>
    <s v="CONGO"/>
    <m/>
    <s v="5.2.2"/>
    <m/>
  </r>
  <r>
    <d v="2021-10-22T00:00:00"/>
    <s v="Reçu Caisse"/>
    <x v="1"/>
    <m/>
    <n v="10000"/>
    <m/>
    <n v="37388414"/>
    <x v="6"/>
    <m/>
    <x v="0"/>
    <m/>
    <m/>
    <m/>
    <m/>
    <m/>
  </r>
  <r>
    <d v="2021-10-22T00:00:00"/>
    <s v="Reçu de caisse"/>
    <x v="1"/>
    <m/>
    <n v="10000"/>
    <m/>
    <n v="37398414"/>
    <x v="12"/>
    <m/>
    <x v="0"/>
    <m/>
    <m/>
    <m/>
    <m/>
    <m/>
  </r>
  <r>
    <d v="2021-10-22T00:00:00"/>
    <s v="Achat médicaments détenu MANGUILA"/>
    <x v="16"/>
    <s v="Legal"/>
    <m/>
    <n v="10193"/>
    <n v="37388221"/>
    <x v="5"/>
    <s v="Oui"/>
    <x v="1"/>
    <s v="PALF"/>
    <s v="CONGO"/>
    <m/>
    <m/>
    <m/>
  </r>
  <r>
    <d v="2021-10-22T00:00:00"/>
    <s v="Billet Dolisie-Brazzaville"/>
    <x v="8"/>
    <s v="Legal"/>
    <m/>
    <n v="10000"/>
    <n v="37378221"/>
    <x v="5"/>
    <s v="Oui"/>
    <x v="1"/>
    <s v="PALF"/>
    <s v="CONGO"/>
    <m/>
    <m/>
    <m/>
  </r>
  <r>
    <d v="2021-10-23T00:00:00"/>
    <s v="AXEL- CONGO  Frais d'hebergement 2 nuitée du 21 au 23-oct-2021/Dolisie"/>
    <x v="9"/>
    <s v="Legal"/>
    <m/>
    <n v="30000"/>
    <n v="37348221"/>
    <x v="5"/>
    <s v="Oui"/>
    <x v="1"/>
    <s v="PALF"/>
    <s v="CONGO"/>
    <m/>
    <m/>
    <m/>
  </r>
  <r>
    <d v="2021-10-24T00:00:00"/>
    <s v="I23C - CONGO Paiement hôtel du 21 au 24 octobre 2021"/>
    <x v="9"/>
    <s v="Investigation"/>
    <m/>
    <n v="45000"/>
    <n v="37303221"/>
    <x v="9"/>
    <s v="Oui"/>
    <x v="2"/>
    <s v="RALFF"/>
    <s v="CONGO"/>
    <m/>
    <s v="1.3.2"/>
    <m/>
  </r>
  <r>
    <d v="2021-10-24T00:00:00"/>
    <s v="Taxi : Makoua-Etoumbi (départ pour Etoumbi)"/>
    <x v="8"/>
    <s v="Investigation"/>
    <m/>
    <n v="8000"/>
    <n v="37295221"/>
    <x v="9"/>
    <s v="Décharge"/>
    <x v="2"/>
    <s v="RALFF"/>
    <s v="CONGO"/>
    <m/>
    <s v="2.2"/>
    <m/>
  </r>
  <r>
    <d v="2021-10-24T00:00:00"/>
    <s v="P29 - CONGO Paiement Hotel 03 nuitées du 21 au 24/10/21"/>
    <x v="9"/>
    <s v="Investigation"/>
    <m/>
    <n v="45000"/>
    <n v="37250221"/>
    <x v="7"/>
    <s v="Décharge"/>
    <x v="2"/>
    <s v="RALFF"/>
    <s v="CONGO"/>
    <m/>
    <s v="1.3.2"/>
    <m/>
  </r>
  <r>
    <d v="2021-10-24T00:00:00"/>
    <s v="Achat billet sibiti-dolisie"/>
    <x v="8"/>
    <s v="Investigation"/>
    <m/>
    <n v="5000"/>
    <n v="37245221"/>
    <x v="7"/>
    <s v="Décharge"/>
    <x v="1"/>
    <s v="PALF"/>
    <s v="CONGO"/>
    <m/>
    <m/>
    <m/>
  </r>
  <r>
    <d v="2021-10-25T00:00:00"/>
    <s v="BCI sous Compte-3643545"/>
    <x v="1"/>
    <m/>
    <n v="1000000"/>
    <m/>
    <n v="38245221"/>
    <x v="1"/>
    <m/>
    <x v="0"/>
    <m/>
    <m/>
    <m/>
    <m/>
    <m/>
  </r>
  <r>
    <d v="2021-10-25T00:00:00"/>
    <s v="BCI Compte Principale -3643559"/>
    <x v="1"/>
    <m/>
    <n v="1000000"/>
    <m/>
    <n v="39245221"/>
    <x v="1"/>
    <m/>
    <x v="0"/>
    <m/>
    <m/>
    <m/>
    <m/>
    <m/>
  </r>
  <r>
    <d v="2021-10-25T00:00:00"/>
    <s v="Retour caisse/Serdroque"/>
    <x v="1"/>
    <m/>
    <n v="7600"/>
    <m/>
    <n v="39252821"/>
    <x v="1"/>
    <m/>
    <x v="0"/>
    <m/>
    <m/>
    <m/>
    <m/>
    <m/>
  </r>
  <r>
    <d v="2021-10-25T00:00:00"/>
    <s v="Godfre"/>
    <x v="1"/>
    <m/>
    <m/>
    <n v="10000"/>
    <n v="39242821"/>
    <x v="1"/>
    <m/>
    <x v="0"/>
    <m/>
    <m/>
    <m/>
    <m/>
    <m/>
  </r>
  <r>
    <d v="2021-10-25T00:00:00"/>
    <s v="I23c"/>
    <x v="1"/>
    <m/>
    <m/>
    <n v="76000"/>
    <n v="39166821"/>
    <x v="1"/>
    <m/>
    <x v="0"/>
    <m/>
    <m/>
    <m/>
    <m/>
    <m/>
  </r>
  <r>
    <d v="2021-10-25T00:00:00"/>
    <s v="Axel"/>
    <x v="1"/>
    <m/>
    <m/>
    <n v="10000"/>
    <n v="39156821"/>
    <x v="1"/>
    <m/>
    <x v="0"/>
    <m/>
    <m/>
    <m/>
    <m/>
    <m/>
  </r>
  <r>
    <d v="2021-10-25T00:00:00"/>
    <s v="Frais de Transfert Charden Farell/I23C"/>
    <x v="11"/>
    <s v="Office"/>
    <m/>
    <n v="2280"/>
    <n v="39154541"/>
    <x v="1"/>
    <s v="Oui"/>
    <x v="2"/>
    <s v="RALFF"/>
    <s v="CONGO"/>
    <m/>
    <s v="5.6"/>
    <m/>
  </r>
  <r>
    <d v="2021-10-25T00:00:00"/>
    <s v="Evariste"/>
    <x v="1"/>
    <m/>
    <m/>
    <n v="15000"/>
    <n v="39139541"/>
    <x v="1"/>
    <m/>
    <x v="0"/>
    <m/>
    <m/>
    <m/>
    <m/>
    <m/>
  </r>
  <r>
    <d v="2021-10-25T00:00:00"/>
    <s v="Reglement Facture Internet /CONGO TELCOM"/>
    <x v="17"/>
    <s v="Office"/>
    <m/>
    <n v="89175"/>
    <n v="39050366"/>
    <x v="1"/>
    <s v="Oui"/>
    <x v="2"/>
    <s v="RALFF"/>
    <s v="CONGO"/>
    <m/>
    <s v="4.5"/>
    <m/>
  </r>
  <r>
    <d v="2021-10-25T00:00:00"/>
    <s v="Retrait especes/appro caisse/bord n°3654459"/>
    <x v="1"/>
    <m/>
    <m/>
    <n v="1000000"/>
    <n v="38050366"/>
    <x v="2"/>
    <n v="3654459"/>
    <x v="0"/>
    <m/>
    <m/>
    <m/>
    <m/>
    <m/>
  </r>
  <r>
    <d v="2021-10-25T00:00:00"/>
    <s v="Retrait especes/appro caisse/bord n°3643545"/>
    <x v="1"/>
    <m/>
    <m/>
    <n v="1000000"/>
    <n v="37050366"/>
    <x v="3"/>
    <n v="3643545"/>
    <x v="0"/>
    <m/>
    <m/>
    <m/>
    <m/>
    <m/>
  </r>
  <r>
    <d v="2021-10-25T00:00:00"/>
    <s v="Paiment Salaire Mois d'Octobre 2021/Crépin"/>
    <x v="4"/>
    <s v="Legal"/>
    <m/>
    <n v="356500"/>
    <n v="36693866"/>
    <x v="3"/>
    <n v="3643551"/>
    <x v="2"/>
    <s v="RALFF"/>
    <s v="CONGO"/>
    <m/>
    <s v="1.1.1.7"/>
    <m/>
  </r>
  <r>
    <d v="2021-10-25T00:00:00"/>
    <s v="Paiment Salaire Mois d'Octobre 2021/Merveille"/>
    <x v="4"/>
    <s v="Management"/>
    <m/>
    <n v="275000"/>
    <n v="36418866"/>
    <x v="3"/>
    <n v="3643547"/>
    <x v="2"/>
    <s v="RALFF"/>
    <s v="CONGO"/>
    <m/>
    <s v="1.1.2.1"/>
    <m/>
  </r>
  <r>
    <d v="2021-10-25T00:00:00"/>
    <s v="Paiment Salaire Mois d'Octobre 2021/Grace"/>
    <x v="4"/>
    <s v="Management"/>
    <m/>
    <n v="350000"/>
    <n v="36068866"/>
    <x v="3"/>
    <n v="3643548"/>
    <x v="2"/>
    <s v="RALFF"/>
    <s v="CONGO"/>
    <m/>
    <s v="1.1.2.1"/>
    <m/>
  </r>
  <r>
    <d v="2021-10-25T00:00:00"/>
    <s v="Paiment Salaire Mois d'Octobre 2021/Evariste"/>
    <x v="4"/>
    <s v="Media"/>
    <m/>
    <n v="233039"/>
    <n v="35835827"/>
    <x v="3"/>
    <n v="3643546"/>
    <x v="2"/>
    <s v="RALFF"/>
    <s v="CONGO"/>
    <m/>
    <s v="1.1.1.4"/>
    <m/>
  </r>
  <r>
    <d v="2021-10-25T00:00:00"/>
    <s v="Paiment Salaire Mois d'Octobre 2021/Tiffany"/>
    <x v="4"/>
    <s v="Management"/>
    <m/>
    <n v="1311914"/>
    <n v="34523913"/>
    <x v="3"/>
    <n v="3643550"/>
    <x v="2"/>
    <s v="RALFF"/>
    <s v="CONGO"/>
    <m/>
    <s v="1.1.1.1"/>
    <m/>
  </r>
  <r>
    <d v="2021-10-25T00:00:00"/>
    <s v="Reçu de la caisse "/>
    <x v="1"/>
    <m/>
    <n v="15000"/>
    <m/>
    <n v="34538913"/>
    <x v="4"/>
    <m/>
    <x v="0"/>
    <m/>
    <m/>
    <m/>
    <m/>
    <m/>
  </r>
  <r>
    <d v="2021-10-25T00:00:00"/>
    <s v="Réçu caisse"/>
    <x v="1"/>
    <m/>
    <n v="76000"/>
    <m/>
    <n v="34614913"/>
    <x v="9"/>
    <m/>
    <x v="0"/>
    <m/>
    <m/>
    <m/>
    <m/>
    <m/>
  </r>
  <r>
    <d v="2021-10-25T00:00:00"/>
    <s v="Cumul Frais Trust Building du Mois d'Octobre 2021/I23C"/>
    <x v="18"/>
    <s v="Investigation"/>
    <m/>
    <n v="25000"/>
    <n v="34589913"/>
    <x v="9"/>
    <s v="Décharge"/>
    <x v="1"/>
    <s v="PALF"/>
    <s v="CONGO"/>
    <m/>
    <m/>
    <m/>
  </r>
  <r>
    <d v="2021-10-25T00:00:00"/>
    <s v="P29 - CONGO Paiement une nuitée du 24 au 25/10/21"/>
    <x v="9"/>
    <s v="Investigation"/>
    <m/>
    <n v="15000"/>
    <n v="34574913"/>
    <x v="7"/>
    <s v="Décharge"/>
    <x v="2"/>
    <s v="RALFF"/>
    <s v="CONGO"/>
    <m/>
    <s v="1.3.2"/>
    <m/>
  </r>
  <r>
    <d v="2021-10-25T00:00:00"/>
    <s v="Achat billet dolisie-brazza,retour mission"/>
    <x v="8"/>
    <s v="Investigation"/>
    <m/>
    <n v="10000"/>
    <n v="34564913"/>
    <x v="7"/>
    <s v="Décharge"/>
    <x v="2"/>
    <s v="RALFF"/>
    <s v="CONGO"/>
    <m/>
    <s v="2.2"/>
    <m/>
  </r>
  <r>
    <d v="2021-10-25T00:00:00"/>
    <s v="Reçu Caisse"/>
    <x v="1"/>
    <m/>
    <n v="10000"/>
    <m/>
    <n v="34574913"/>
    <x v="8"/>
    <m/>
    <x v="0"/>
    <m/>
    <m/>
    <m/>
    <m/>
    <m/>
  </r>
  <r>
    <d v="2021-10-25T00:00:00"/>
    <s v="Cumul Frais de Jail Visits Mois d'Octobre 2021/SERDROQUE"/>
    <x v="16"/>
    <s v="Legal"/>
    <m/>
    <n v="2800"/>
    <n v="34572113"/>
    <x v="11"/>
    <s v="Décharge"/>
    <x v="1"/>
    <s v="PALF"/>
    <s v="CONGO"/>
    <m/>
    <m/>
    <m/>
  </r>
  <r>
    <d v="2021-10-25T00:00:00"/>
    <s v="Retour Caisse /SERDROQUE"/>
    <x v="1"/>
    <m/>
    <m/>
    <n v="7600"/>
    <n v="34564513"/>
    <x v="11"/>
    <m/>
    <x v="0"/>
    <m/>
    <m/>
    <m/>
    <m/>
    <m/>
  </r>
  <r>
    <d v="2021-10-25T00:00:00"/>
    <s v="Reçu Caisse"/>
    <x v="1"/>
    <m/>
    <n v="10000"/>
    <m/>
    <n v="34574513"/>
    <x v="5"/>
    <m/>
    <x v="0"/>
    <m/>
    <m/>
    <m/>
    <m/>
    <m/>
  </r>
  <r>
    <d v="2021-10-26T00:00:00"/>
    <s v="Godfre"/>
    <x v="1"/>
    <m/>
    <m/>
    <n v="10000"/>
    <n v="34564513"/>
    <x v="1"/>
    <m/>
    <x v="0"/>
    <m/>
    <m/>
    <m/>
    <m/>
    <m/>
  </r>
  <r>
    <d v="2021-10-26T00:00:00"/>
    <s v="Evariste"/>
    <x v="1"/>
    <m/>
    <m/>
    <n v="5000"/>
    <n v="34559513"/>
    <x v="1"/>
    <m/>
    <x v="0"/>
    <m/>
    <m/>
    <m/>
    <m/>
    <m/>
  </r>
  <r>
    <d v="2021-10-26T00:00:00"/>
    <s v="Axel"/>
    <x v="1"/>
    <m/>
    <m/>
    <n v="10000"/>
    <n v="34549513"/>
    <x v="1"/>
    <m/>
    <x v="0"/>
    <m/>
    <m/>
    <m/>
    <m/>
    <m/>
  </r>
  <r>
    <d v="2021-10-26T00:00:00"/>
    <s v="P29"/>
    <x v="1"/>
    <m/>
    <m/>
    <n v="40000"/>
    <n v="34509513"/>
    <x v="1"/>
    <m/>
    <x v="0"/>
    <m/>
    <m/>
    <m/>
    <m/>
    <m/>
  </r>
  <r>
    <d v="2021-10-26T00:00:00"/>
    <s v="Crépin"/>
    <x v="1"/>
    <m/>
    <m/>
    <n v="10000"/>
    <n v="34499513"/>
    <x v="1"/>
    <m/>
    <x v="0"/>
    <m/>
    <m/>
    <m/>
    <m/>
    <m/>
  </r>
  <r>
    <d v="2021-10-26T00:00:00"/>
    <s v="Reçu de la caisse "/>
    <x v="1"/>
    <m/>
    <n v="5000"/>
    <m/>
    <n v="34504513"/>
    <x v="4"/>
    <m/>
    <x v="0"/>
    <m/>
    <m/>
    <m/>
    <m/>
    <m/>
  </r>
  <r>
    <d v="2021-10-26T00:00:00"/>
    <s v="Frais de visite des appartements/OP"/>
    <x v="8"/>
    <s v="Management"/>
    <m/>
    <n v="5000"/>
    <n v="34499513"/>
    <x v="12"/>
    <s v="Oui"/>
    <x v="1"/>
    <s v="PALF"/>
    <s v="CONGO"/>
    <m/>
    <m/>
    <m/>
  </r>
  <r>
    <d v="2021-10-26T00:00:00"/>
    <s v="Reçu de caisse"/>
    <x v="1"/>
    <m/>
    <n v="10000"/>
    <m/>
    <n v="34509513"/>
    <x v="12"/>
    <m/>
    <x v="0"/>
    <m/>
    <m/>
    <m/>
    <m/>
    <m/>
  </r>
  <r>
    <d v="2021-10-26T00:00:00"/>
    <s v="I23C - CONGO Paiement Hôtel 2 nuitées du 24 au 26 octobre 2021"/>
    <x v="9"/>
    <s v="Investigation"/>
    <m/>
    <n v="30000"/>
    <n v="34479513"/>
    <x v="9"/>
    <s v="Oui"/>
    <x v="2"/>
    <s v="RALFF"/>
    <s v="CONGO"/>
    <m/>
    <s v="1.3.2"/>
    <m/>
  </r>
  <r>
    <d v="2021-10-27T00:00:00"/>
    <s v="Taxi : Etoumbi-Makoua (départ pour Makoua)"/>
    <x v="8"/>
    <s v="Investigation"/>
    <m/>
    <n v="8000"/>
    <n v="34471513"/>
    <x v="9"/>
    <s v="Oui"/>
    <x v="2"/>
    <s v="RALFF"/>
    <s v="CONGO"/>
    <m/>
    <s v="2.2"/>
    <m/>
  </r>
  <r>
    <d v="2021-10-26T00:00:00"/>
    <s v="Taxi : Makoua-Oyo (départ pour Oyo)"/>
    <x v="8"/>
    <s v="Investigation"/>
    <m/>
    <n v="10000"/>
    <n v="34461513"/>
    <x v="9"/>
    <s v="Oui"/>
    <x v="2"/>
    <s v="RALFF"/>
    <s v="CONGO"/>
    <m/>
    <s v="2.2"/>
    <m/>
  </r>
  <r>
    <d v="2021-10-26T00:00:00"/>
    <s v="Achat billet Oyo-Brazzaville (retour à Brazzaville)"/>
    <x v="8"/>
    <s v="Investigation"/>
    <m/>
    <n v="10000"/>
    <n v="34451513"/>
    <x v="9"/>
    <s v="Oui"/>
    <x v="2"/>
    <s v="RALFF"/>
    <s v="CONGO"/>
    <m/>
    <s v="2.2"/>
    <m/>
  </r>
  <r>
    <d v="2021-10-26T00:00:00"/>
    <s v="Recu de caisse"/>
    <x v="1"/>
    <m/>
    <n v="40000"/>
    <m/>
    <n v="34491513"/>
    <x v="7"/>
    <m/>
    <x v="0"/>
    <m/>
    <m/>
    <m/>
    <m/>
    <m/>
  </r>
  <r>
    <d v="2021-10-26T00:00:00"/>
    <s v="Cumul Frais de Trust Building du Mois d'Octobre 2021/P29"/>
    <x v="18"/>
    <s v="Investigation"/>
    <m/>
    <n v="50500"/>
    <n v="34441013"/>
    <x v="7"/>
    <s v="Décharge"/>
    <x v="1"/>
    <s v="PALF"/>
    <s v="CONGO"/>
    <m/>
    <m/>
    <m/>
  </r>
  <r>
    <d v="2021-10-26T00:00:00"/>
    <s v="Reçu Caisse"/>
    <x v="1"/>
    <m/>
    <n v="10000"/>
    <m/>
    <n v="34451013"/>
    <x v="8"/>
    <m/>
    <x v="0"/>
    <m/>
    <m/>
    <m/>
    <m/>
    <m/>
  </r>
  <r>
    <d v="2021-10-26T00:00:00"/>
    <s v="Reçu Caisse"/>
    <x v="1"/>
    <m/>
    <n v="10000"/>
    <m/>
    <n v="34461013"/>
    <x v="5"/>
    <m/>
    <x v="0"/>
    <m/>
    <m/>
    <m/>
    <m/>
    <m/>
  </r>
  <r>
    <d v="2021-10-26T00:00:00"/>
    <s v="Frais de visite des appartements pour les démarcheurs/OP"/>
    <x v="8"/>
    <s v="Legal"/>
    <m/>
    <n v="5000"/>
    <n v="34456013"/>
    <x v="5"/>
    <s v="Oui"/>
    <x v="1"/>
    <s v="PALF"/>
    <s v="CONGO"/>
    <m/>
    <m/>
    <m/>
  </r>
  <r>
    <d v="2021-10-27T00:00:00"/>
    <s v="Achat crédit MTN pour crépin"/>
    <x v="3"/>
    <s v="Legal"/>
    <m/>
    <n v="5000"/>
    <n v="34451013"/>
    <x v="1"/>
    <s v="Oui"/>
    <x v="2"/>
    <s v="RALFF"/>
    <s v="CONGO"/>
    <m/>
    <s v="4.6"/>
    <m/>
  </r>
  <r>
    <d v="2021-10-27T00:00:00"/>
    <s v="Evariste"/>
    <x v="1"/>
    <m/>
    <m/>
    <n v="15000"/>
    <n v="34436013"/>
    <x v="1"/>
    <m/>
    <x v="0"/>
    <m/>
    <m/>
    <m/>
    <m/>
    <m/>
  </r>
  <r>
    <d v="2021-10-27T00:00:00"/>
    <s v="Crépin"/>
    <x v="1"/>
    <m/>
    <m/>
    <n v="15000"/>
    <n v="34421013"/>
    <x v="1"/>
    <m/>
    <x v="0"/>
    <m/>
    <m/>
    <m/>
    <m/>
    <m/>
  </r>
  <r>
    <d v="2021-10-27T00:00:00"/>
    <s v="Axel"/>
    <x v="1"/>
    <m/>
    <m/>
    <n v="15000"/>
    <n v="34406013"/>
    <x v="1"/>
    <m/>
    <x v="0"/>
    <m/>
    <m/>
    <m/>
    <m/>
    <m/>
  </r>
  <r>
    <d v="2021-10-27T00:00:00"/>
    <s v="I23c"/>
    <x v="1"/>
    <m/>
    <m/>
    <n v="15000"/>
    <n v="34391013"/>
    <x v="1"/>
    <m/>
    <x v="0"/>
    <m/>
    <m/>
    <m/>
    <m/>
    <m/>
  </r>
  <r>
    <d v="2021-10-27T00:00:00"/>
    <s v="Godfre"/>
    <x v="1"/>
    <m/>
    <m/>
    <n v="85000"/>
    <n v="34306013"/>
    <x v="1"/>
    <m/>
    <x v="0"/>
    <m/>
    <m/>
    <m/>
    <m/>
    <m/>
  </r>
  <r>
    <d v="2021-10-27T00:00:00"/>
    <s v="Frais de mission à Dolisie Maitre Scrutin/suivi audience  cas NZIHOU Arly"/>
    <x v="13"/>
    <s v="Legal"/>
    <m/>
    <n v="76000"/>
    <n v="34230013"/>
    <x v="1"/>
    <s v="Oui"/>
    <x v="2"/>
    <s v="RALFF"/>
    <s v="CONGO"/>
    <m/>
    <s v="5.2.2"/>
    <m/>
  </r>
  <r>
    <d v="2021-10-27T00:00:00"/>
    <s v="Reçu de la caisse"/>
    <x v="1"/>
    <m/>
    <n v="15000"/>
    <m/>
    <n v="34245013"/>
    <x v="4"/>
    <m/>
    <x v="0"/>
    <m/>
    <m/>
    <m/>
    <m/>
    <m/>
  </r>
  <r>
    <d v="2021-10-27T00:00:00"/>
    <s v="Frais des visites des appartements/OP"/>
    <x v="8"/>
    <s v="Media"/>
    <m/>
    <n v="5000"/>
    <n v="34240013"/>
    <x v="4"/>
    <s v="Oui"/>
    <x v="1"/>
    <s v="PALF"/>
    <s v="CONGO"/>
    <m/>
    <m/>
    <m/>
  </r>
  <r>
    <d v="2021-10-27T00:00:00"/>
    <s v="Reçu de caisse"/>
    <x v="1"/>
    <m/>
    <n v="15000"/>
    <m/>
    <n v="34255013"/>
    <x v="12"/>
    <m/>
    <x v="0"/>
    <m/>
    <m/>
    <m/>
    <m/>
    <m/>
  </r>
  <r>
    <d v="2021-10-27T00:00:00"/>
    <s v="Frais de visite des résidences avec patrick/OP"/>
    <x v="8"/>
    <s v="Management"/>
    <m/>
    <n v="5000"/>
    <n v="34250013"/>
    <x v="12"/>
    <s v="Oui"/>
    <x v="1"/>
    <s v="PALF"/>
    <s v="CONGO"/>
    <m/>
    <m/>
    <m/>
  </r>
  <r>
    <d v="2021-10-27T00:00:00"/>
    <s v="Frais de visite des résidences avec Elvis/OP"/>
    <x v="8"/>
    <s v="Management"/>
    <m/>
    <n v="5000"/>
    <n v="34245013"/>
    <x v="12"/>
    <s v="Oui"/>
    <x v="1"/>
    <s v="PALF"/>
    <s v="CONGO"/>
    <m/>
    <m/>
    <m/>
  </r>
  <r>
    <d v="2021-10-27T00:00:00"/>
    <s v="Cumul Frais de Transport Local du Mois d'Octibre 2021/Crépin"/>
    <x v="8"/>
    <s v="Management"/>
    <m/>
    <n v="25700"/>
    <n v="34219313"/>
    <x v="12"/>
    <s v="Décharge"/>
    <x v="2"/>
    <s v="RALFF"/>
    <s v="CONGO"/>
    <m/>
    <s v="2.2"/>
    <m/>
  </r>
  <r>
    <d v="2021-10-27T00:00:00"/>
    <s v="I23C - CONGO Paiement Hôtel Une nuitée du 26 au 27 Octobre 2021"/>
    <x v="9"/>
    <s v="Investigation"/>
    <m/>
    <n v="15000"/>
    <n v="34204313"/>
    <x v="9"/>
    <s v="Oui"/>
    <x v="2"/>
    <s v="RALFF"/>
    <s v="CONGO"/>
    <m/>
    <s v="1.3.2"/>
    <m/>
  </r>
  <r>
    <d v="2021-10-27T00:00:00"/>
    <s v="Réçu caisse"/>
    <x v="1"/>
    <m/>
    <n v="15000"/>
    <m/>
    <n v="34219313"/>
    <x v="9"/>
    <m/>
    <x v="0"/>
    <m/>
    <m/>
    <m/>
    <m/>
    <m/>
  </r>
  <r>
    <d v="2021-10-27T00:00:00"/>
    <s v="Reçu Caisse"/>
    <x v="1"/>
    <m/>
    <n v="85000"/>
    <m/>
    <n v="34304313"/>
    <x v="8"/>
    <m/>
    <x v="0"/>
    <m/>
    <m/>
    <m/>
    <m/>
    <m/>
  </r>
  <r>
    <d v="2021-10-27T00:00:00"/>
    <s v="Achat billet Brazzaville-Dolisie"/>
    <x v="8"/>
    <s v="Legal"/>
    <m/>
    <n v="10000"/>
    <n v="34294313"/>
    <x v="8"/>
    <s v="Oui"/>
    <x v="1"/>
    <s v="PALF"/>
    <s v="CONGO"/>
    <m/>
    <m/>
    <m/>
  </r>
  <r>
    <d v="2021-10-27T00:00:00"/>
    <s v="Frais de visite de Maisons/OP"/>
    <x v="8"/>
    <s v="Legal"/>
    <m/>
    <n v="2500"/>
    <n v="34291813"/>
    <x v="8"/>
    <s v="Oui"/>
    <x v="1"/>
    <s v="PALF"/>
    <s v="CONGO"/>
    <m/>
    <m/>
    <m/>
  </r>
  <r>
    <d v="2021-10-27T00:00:00"/>
    <s v="Reçu Caisse"/>
    <x v="1"/>
    <m/>
    <n v="15000"/>
    <m/>
    <n v="34306813"/>
    <x v="5"/>
    <m/>
    <x v="0"/>
    <m/>
    <m/>
    <m/>
    <m/>
    <m/>
  </r>
  <r>
    <d v="2021-10-27T00:00:00"/>
    <s v="Frais de visite des appartements pour les démarcheurs/OP"/>
    <x v="8"/>
    <s v="Legal"/>
    <m/>
    <n v="5000"/>
    <n v="34301813"/>
    <x v="5"/>
    <s v="Oui"/>
    <x v="1"/>
    <s v="PALF"/>
    <s v="CONGO"/>
    <m/>
    <m/>
    <m/>
  </r>
  <r>
    <d v="2021-10-28T00:00:00"/>
    <s v="Achat gel hydroalcoolique/bactigel"/>
    <x v="10"/>
    <s v="Office"/>
    <m/>
    <n v="20850"/>
    <n v="34280963"/>
    <x v="1"/>
    <s v="Oui"/>
    <x v="2"/>
    <s v="RALFF"/>
    <s v="CONGO"/>
    <m/>
    <s v="4.3"/>
    <m/>
  </r>
  <r>
    <d v="2021-10-28T00:00:00"/>
    <s v="Bonus Média/portant sur interpellation d'un présumé trafiquant d'ivoir et queues d'elephants"/>
    <x v="7"/>
    <s v="Media"/>
    <m/>
    <n v="39000"/>
    <n v="34241963"/>
    <x v="1"/>
    <s v="Décharge"/>
    <x v="1"/>
    <s v="PALF"/>
    <s v="CONGO"/>
    <m/>
    <m/>
    <m/>
  </r>
  <r>
    <d v="2021-10-28T00:00:00"/>
    <s v="Reglement gardiennage mois de Octobre 2021"/>
    <x v="5"/>
    <s v="Office"/>
    <m/>
    <n v="260000"/>
    <n v="33981963"/>
    <x v="2"/>
    <n v="3654461"/>
    <x v="1"/>
    <s v="PALF"/>
    <s v="CONGO"/>
    <m/>
    <m/>
    <m/>
  </r>
  <r>
    <d v="2021-10-27T00:00:00"/>
    <s v="Cumul Frais de Ration du Mois d'Octobre 2021/Godfré"/>
    <x v="9"/>
    <s v="Legal"/>
    <m/>
    <n v="17000"/>
    <n v="33964963"/>
    <x v="8"/>
    <s v="Décharge"/>
    <x v="1"/>
    <s v="PALF"/>
    <s v="CONGO"/>
    <m/>
    <m/>
    <m/>
  </r>
  <r>
    <d v="2021-10-28T00:00:00"/>
    <s v="Cumul frais de transport local mois de d'octobre 2021/Merveille"/>
    <x v="8"/>
    <s v="Management"/>
    <m/>
    <n v="18500"/>
    <n v="33946463"/>
    <x v="10"/>
    <s v="Décharge"/>
    <x v="2"/>
    <s v="RALFF"/>
    <s v="CONGO"/>
    <m/>
    <s v="2.2"/>
    <m/>
  </r>
  <r>
    <d v="2021-10-28T00:00:00"/>
    <s v="Cumul Frais de Transport Local du Mois d'octobre 2021/Evariste"/>
    <x v="8"/>
    <s v="Media"/>
    <m/>
    <n v="50900"/>
    <n v="33895563"/>
    <x v="4"/>
    <s v="Décharge"/>
    <x v="2"/>
    <s v="RALFF"/>
    <s v="CONGO"/>
    <m/>
    <s v="2.2"/>
    <m/>
  </r>
  <r>
    <d v="2021-10-28T00:00:00"/>
    <s v="Cumul Frais de Transport Local du Mois d'Octobre 2021/I23C"/>
    <x v="8"/>
    <s v="Investigation"/>
    <m/>
    <n v="71000"/>
    <n v="33824563"/>
    <x v="9"/>
    <s v="Décharge"/>
    <x v="2"/>
    <s v="RALFF"/>
    <s v="CONGO"/>
    <m/>
    <s v="2.2"/>
    <m/>
  </r>
  <r>
    <d v="2021-10-28T00:00:00"/>
    <s v="Cumul Frais de Transport Local du Mois d'Octobre 2021/P29"/>
    <x v="8"/>
    <s v="Investigation"/>
    <m/>
    <n v="58300"/>
    <n v="33766263"/>
    <x v="7"/>
    <s v="Décharge"/>
    <x v="2"/>
    <s v="RALFF"/>
    <s v="CONGO"/>
    <m/>
    <s v="2.2"/>
    <m/>
  </r>
  <r>
    <d v="2021-10-28T00:00:00"/>
    <s v="GODFRE - CONGO Food allowance mission du 28 au 30 Novembre 2021"/>
    <x v="9"/>
    <s v="Legal"/>
    <m/>
    <n v="20000"/>
    <n v="33746263"/>
    <x v="8"/>
    <s v="Décharge"/>
    <x v="1"/>
    <s v="PALF"/>
    <s v="CONGO"/>
    <m/>
    <m/>
    <m/>
  </r>
  <r>
    <d v="2021-10-28T00:00:00"/>
    <s v="Cumul Frais de Jail Visit du Mois d'Octobre 2021/Godfré"/>
    <x v="16"/>
    <s v="Legal"/>
    <m/>
    <n v="4000"/>
    <n v="33742263"/>
    <x v="8"/>
    <s v="Décharge"/>
    <x v="1"/>
    <s v="PALF"/>
    <s v="CONGO"/>
    <m/>
    <m/>
    <m/>
  </r>
  <r>
    <d v="2021-10-29T00:00:00"/>
    <s v="Axel"/>
    <x v="1"/>
    <m/>
    <m/>
    <n v="10000"/>
    <n v="33732263"/>
    <x v="1"/>
    <m/>
    <x v="0"/>
    <m/>
    <m/>
    <m/>
    <m/>
    <m/>
  </r>
  <r>
    <d v="2021-10-29T00:00:00"/>
    <s v="Reglement prestation Technicienne de Surface mois de Octobre 2021/MFIELO"/>
    <x v="5"/>
    <s v="Office"/>
    <m/>
    <n v="75625"/>
    <n v="33656638"/>
    <x v="1"/>
    <s v="Oui"/>
    <x v="1"/>
    <s v="PALF"/>
    <s v="CONGO"/>
    <m/>
    <m/>
    <m/>
  </r>
  <r>
    <d v="2021-10-29T00:00:00"/>
    <s v="Bonus mois d'octobre 2021/Evariste"/>
    <x v="7"/>
    <s v="Media"/>
    <m/>
    <n v="20000"/>
    <n v="33636638"/>
    <x v="1"/>
    <s v="Décharge"/>
    <x v="1"/>
    <s v="PALF"/>
    <s v="CONGO"/>
    <m/>
    <m/>
    <m/>
  </r>
  <r>
    <d v="2021-10-29T00:00:00"/>
    <s v="Bonus mois d'octobre 2021/Crépin"/>
    <x v="7"/>
    <s v="Legal"/>
    <m/>
    <n v="40000"/>
    <n v="33596638"/>
    <x v="1"/>
    <s v="Décharge"/>
    <x v="1"/>
    <s v="PALF"/>
    <s v="CONGO"/>
    <m/>
    <m/>
    <m/>
  </r>
  <r>
    <d v="2021-10-29T00:00:00"/>
    <s v="Reglement facture honoraire du mois d'Octobre 2021/I23C/chq n°3643555"/>
    <x v="4"/>
    <s v="Investigation"/>
    <m/>
    <n v="440000"/>
    <n v="33156638"/>
    <x v="3"/>
    <n v="3643555"/>
    <x v="2"/>
    <s v="RALFF"/>
    <s v="CONGO"/>
    <m/>
    <s v="1.1.1.9"/>
    <m/>
  </r>
  <r>
    <d v="2021-10-29T00:00:00"/>
    <s v="Reglement facture honoraire du mois d'Octobre 2021/P29/chq n°3643556"/>
    <x v="4"/>
    <s v="Investigation"/>
    <m/>
    <n v="235000"/>
    <n v="32921638"/>
    <x v="3"/>
    <n v="3643556"/>
    <x v="2"/>
    <s v="RALFF"/>
    <s v="CONGO"/>
    <m/>
    <s v="1.1.1.9"/>
    <m/>
  </r>
  <r>
    <d v="2021-10-29T00:00:00"/>
    <s v="Reglement loyer mois de Novembre 2021/Bureau PALF"/>
    <x v="12"/>
    <s v="Office"/>
    <m/>
    <n v="500000"/>
    <n v="32421638"/>
    <x v="3"/>
    <n v="3643552"/>
    <x v="2"/>
    <s v="RALFF"/>
    <s v="CONGO"/>
    <m/>
    <s v="4.2"/>
    <m/>
  </r>
  <r>
    <d v="2021-10-29T00:00:00"/>
    <s v="Cumul Frais de Transport Mois d'Octobre 2021/Grace"/>
    <x v="8"/>
    <s v="Management"/>
    <m/>
    <n v="8200"/>
    <n v="32413438"/>
    <x v="6"/>
    <s v="Décharge"/>
    <x v="2"/>
    <s v="RALFF"/>
    <s v="CONGO"/>
    <m/>
    <s v="2.2"/>
    <m/>
  </r>
  <r>
    <d v="2021-10-29T00:00:00"/>
    <s v="Cumul frais transport local mois d'Octobre 2021/Tiffany"/>
    <x v="8"/>
    <s v="Management"/>
    <m/>
    <n v="28000"/>
    <n v="32385438"/>
    <x v="13"/>
    <s v="Décharge"/>
    <x v="2"/>
    <s v="RALFF"/>
    <s v="CONGO"/>
    <m/>
    <s v="2.2"/>
    <m/>
  </r>
  <r>
    <d v="2021-10-29T00:00:00"/>
    <s v="GODFRE- CONGO Frais d'hotel, mission du 28 au 30 Novembre 2021"/>
    <x v="9"/>
    <s v="Legal"/>
    <m/>
    <n v="30000"/>
    <n v="32355438"/>
    <x v="8"/>
    <s v="Oui"/>
    <x v="1"/>
    <s v="PALF"/>
    <s v="CONGO"/>
    <m/>
    <m/>
    <m/>
  </r>
  <r>
    <d v="2021-10-29T00:00:00"/>
    <s v="Reçu Caisse"/>
    <x v="1"/>
    <m/>
    <n v="10000"/>
    <m/>
    <n v="32365438"/>
    <x v="5"/>
    <m/>
    <x v="0"/>
    <m/>
    <m/>
    <m/>
    <m/>
    <m/>
  </r>
  <r>
    <d v="2021-10-29T00:00:00"/>
    <s v="Cumul Frais de Transport Local du Mois d'Octobre 2021/Axel"/>
    <x v="8"/>
    <s v="Legal"/>
    <m/>
    <n v="69500"/>
    <n v="32295938"/>
    <x v="5"/>
    <s v="Décharge"/>
    <x v="1"/>
    <s v="PALF"/>
    <s v="CONGO"/>
    <m/>
    <m/>
    <m/>
  </r>
  <r>
    <d v="2021-10-29T00:00:00"/>
    <s v="Cumul Frais de Ration Journalière du Mois d'Octobre 2021/Axel"/>
    <x v="9"/>
    <s v="Legal"/>
    <m/>
    <n v="19000"/>
    <n v="32276938"/>
    <x v="5"/>
    <s v="Décharge"/>
    <x v="1"/>
    <s v="PALF"/>
    <s v="CONGO"/>
    <m/>
    <m/>
    <m/>
  </r>
  <r>
    <d v="2021-10-29T00:00:00"/>
    <s v="Cumul Frais de Jail Visit du Mois d'Octobre 2021/Axel"/>
    <x v="16"/>
    <s v="Legal"/>
    <m/>
    <n v="4550"/>
    <n v="32272388"/>
    <x v="5"/>
    <s v="Décharge"/>
    <x v="1"/>
    <s v="PALF"/>
    <s v="CONGO"/>
    <m/>
    <m/>
    <m/>
  </r>
  <r>
    <d v="2021-10-30T00:00:00"/>
    <s v="Achat Billet Dolisie - Brazzaville"/>
    <x v="8"/>
    <s v="Legal"/>
    <m/>
    <n v="10000"/>
    <n v="32262388"/>
    <x v="8"/>
    <s v="Oui"/>
    <x v="1"/>
    <s v="PALF"/>
    <s v="CONGO"/>
    <m/>
    <m/>
    <m/>
  </r>
  <r>
    <d v="2021-10-30T00:00:00"/>
    <s v="Cumul Frais de Transport Local Mois d'Octobre 2021/Godfré"/>
    <x v="8"/>
    <s v="Legal"/>
    <m/>
    <n v="67400"/>
    <n v="32194988"/>
    <x v="8"/>
    <s v="Décharge"/>
    <x v="1"/>
    <s v="PALF"/>
    <s v="CONGO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7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B6" firstHeaderRow="1" firstDataRow="1" firstDataCol="1"/>
  <pivotFields count="15">
    <pivotField numFmtId="15" showAll="0"/>
    <pivotField showAll="0"/>
    <pivotField showAll="0"/>
    <pivotField showAll="0"/>
    <pivotField showAll="0"/>
    <pivotField dataField="1" showAll="0"/>
    <pivotField numFmtId="165" showAll="0"/>
    <pivotField showAll="0"/>
    <pivotField showAll="0"/>
    <pivotField axis="axisRow" showAll="0">
      <items count="5">
        <item x="2"/>
        <item x="3"/>
        <item h="1" x="0"/>
        <item h="1" x="1"/>
        <item t="default"/>
      </items>
    </pivotField>
    <pivotField showAll="0"/>
    <pivotField showAll="0"/>
    <pivotField showAll="0"/>
    <pivotField showAll="0"/>
    <pivotField showAll="0"/>
  </pivotFields>
  <rowFields count="1">
    <field x="9"/>
  </rowFields>
  <rowItems count="3">
    <i>
      <x/>
    </i>
    <i>
      <x v="1"/>
    </i>
    <i t="grand">
      <x/>
    </i>
  </rowItems>
  <colItems count="1">
    <i/>
  </colItems>
  <dataFields count="1">
    <dataField name="Somme de Spent" fld="5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2" cacheId="7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AM19" firstHeaderRow="1" firstDataRow="3" firstDataCol="1"/>
  <pivotFields count="15">
    <pivotField numFmtId="15" showAll="0"/>
    <pivotField showAll="0"/>
    <pivotField axis="axisCol" showAll="0">
      <items count="20">
        <item x="2"/>
        <item x="7"/>
        <item x="15"/>
        <item x="6"/>
        <item x="14"/>
        <item x="17"/>
        <item x="16"/>
        <item x="13"/>
        <item x="10"/>
        <item x="4"/>
        <item x="12"/>
        <item x="5"/>
        <item x="3"/>
        <item x="11"/>
        <item x="8"/>
        <item x="9"/>
        <item x="18"/>
        <item x="1"/>
        <item x="0"/>
        <item t="default"/>
      </items>
    </pivotField>
    <pivotField showAll="0"/>
    <pivotField dataField="1" showAll="0"/>
    <pivotField dataField="1" showAll="0"/>
    <pivotField numFmtId="165" showAll="0"/>
    <pivotField axis="axisRow" showAll="0">
      <items count="15">
        <item x="5"/>
        <item x="2"/>
        <item x="3"/>
        <item x="1"/>
        <item x="12"/>
        <item x="4"/>
        <item x="8"/>
        <item x="6"/>
        <item x="9"/>
        <item x="10"/>
        <item x="7"/>
        <item x="11"/>
        <item x="13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2">
    <field x="2"/>
    <field x="-2"/>
  </colFields>
  <colItems count="38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>
      <x v="14"/>
      <x/>
    </i>
    <i r="1" i="1">
      <x v="1"/>
    </i>
    <i>
      <x v="15"/>
      <x/>
    </i>
    <i r="1" i="1">
      <x v="1"/>
    </i>
    <i>
      <x v="16"/>
      <x/>
    </i>
    <i r="1" i="1">
      <x v="1"/>
    </i>
    <i>
      <x v="17"/>
      <x/>
    </i>
    <i r="1" i="1">
      <x v="1"/>
    </i>
    <i t="grand">
      <x/>
    </i>
    <i t="grand" i="1">
      <x/>
    </i>
  </colItems>
  <dataFields count="2">
    <dataField name="Somme de Received" fld="4" baseField="0" baseItem="0"/>
    <dataField name="Somme de Spent" fld="5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O434"/>
  <sheetViews>
    <sheetView zoomScale="73" zoomScaleNormal="73" workbookViewId="0">
      <pane xSplit="1" topLeftCell="D1" activePane="topRight" state="frozen"/>
      <selection pane="topRight" activeCell="L25" sqref="L25"/>
    </sheetView>
  </sheetViews>
  <sheetFormatPr baseColWidth="10" defaultColWidth="11.42578125" defaultRowHeight="15"/>
  <cols>
    <col min="1" max="1" width="43.140625" style="10" customWidth="1"/>
    <col min="2" max="2" width="21.42578125" style="10" customWidth="1"/>
    <col min="3" max="3" width="28.28515625" style="10" customWidth="1"/>
    <col min="4" max="4" width="15.28515625" style="10" customWidth="1"/>
    <col min="5" max="5" width="19.5703125" style="10" customWidth="1"/>
    <col min="6" max="6" width="21" style="10" customWidth="1"/>
    <col min="7" max="7" width="17.5703125" style="10" customWidth="1"/>
    <col min="8" max="8" width="20.5703125" style="10" customWidth="1"/>
    <col min="9" max="9" width="19.7109375" style="10" customWidth="1"/>
    <col min="10" max="10" width="16.7109375" style="10" customWidth="1"/>
    <col min="11" max="11" width="18.7109375" style="10" customWidth="1"/>
    <col min="12" max="12" width="16" style="53" customWidth="1"/>
    <col min="13" max="13" width="18.7109375" style="53" customWidth="1"/>
    <col min="14" max="14" width="14.140625" style="53" customWidth="1"/>
    <col min="15" max="15" width="14.85546875" style="53" customWidth="1"/>
    <col min="16" max="16384" width="11.42578125" style="10"/>
  </cols>
  <sheetData>
    <row r="1" spans="1:15">
      <c r="A1" s="9">
        <v>44500</v>
      </c>
    </row>
    <row r="2" spans="1:15" ht="15.75">
      <c r="A2" s="11" t="s">
        <v>39</v>
      </c>
      <c r="B2" s="11" t="s">
        <v>1</v>
      </c>
      <c r="C2" s="11">
        <v>44470</v>
      </c>
      <c r="D2" s="12" t="s">
        <v>40</v>
      </c>
      <c r="E2" s="12" t="s">
        <v>41</v>
      </c>
      <c r="F2" s="12" t="s">
        <v>42</v>
      </c>
      <c r="G2" s="12" t="s">
        <v>43</v>
      </c>
      <c r="H2" s="11">
        <v>44500</v>
      </c>
      <c r="I2" s="12" t="s">
        <v>44</v>
      </c>
      <c r="K2" s="52"/>
      <c r="L2" s="52" t="s">
        <v>45</v>
      </c>
      <c r="M2" s="52" t="s">
        <v>46</v>
      </c>
      <c r="N2" s="52" t="s">
        <v>47</v>
      </c>
      <c r="O2" s="52" t="s">
        <v>48</v>
      </c>
    </row>
    <row r="3" spans="1:15" s="257" customFormat="1" ht="16.5">
      <c r="A3" s="65" t="str">
        <f>+K3</f>
        <v>Axel</v>
      </c>
      <c r="B3" s="259" t="s">
        <v>182</v>
      </c>
      <c r="C3" s="67">
        <v>0</v>
      </c>
      <c r="D3" s="68">
        <f t="shared" ref="D3:D16" si="0">+L3</f>
        <v>190000</v>
      </c>
      <c r="E3" s="68">
        <f>+N3</f>
        <v>183243</v>
      </c>
      <c r="F3" s="68">
        <f>+M3</f>
        <v>0</v>
      </c>
      <c r="G3" s="68">
        <f t="shared" ref="G3:G5" si="1">+O3</f>
        <v>0</v>
      </c>
      <c r="H3" s="68">
        <v>6757</v>
      </c>
      <c r="I3" s="68">
        <f>+C3+D3-E3-F3+G3</f>
        <v>6757</v>
      </c>
      <c r="J3" s="14">
        <f>I3-H3</f>
        <v>0</v>
      </c>
      <c r="K3" s="258" t="s">
        <v>179</v>
      </c>
      <c r="L3" s="258">
        <v>190000</v>
      </c>
      <c r="M3" s="258">
        <v>0</v>
      </c>
      <c r="N3" s="258">
        <v>183243</v>
      </c>
      <c r="O3" s="258"/>
    </row>
    <row r="4" spans="1:15" ht="16.5">
      <c r="A4" s="65" t="str">
        <f>+K4</f>
        <v xml:space="preserve">BCI </v>
      </c>
      <c r="B4" s="66" t="s">
        <v>49</v>
      </c>
      <c r="C4" s="67">
        <v>2900930</v>
      </c>
      <c r="D4" s="68">
        <f t="shared" si="0"/>
        <v>0</v>
      </c>
      <c r="E4" s="68">
        <f>+N4</f>
        <v>543345</v>
      </c>
      <c r="F4" s="68">
        <f>+M4</f>
        <v>1000000</v>
      </c>
      <c r="G4" s="68">
        <f t="shared" si="1"/>
        <v>5404478</v>
      </c>
      <c r="H4" s="68">
        <v>6762063</v>
      </c>
      <c r="I4" s="68">
        <f>+C4+D4-E4-F4+G4</f>
        <v>6762063</v>
      </c>
      <c r="J4" s="14">
        <f>I4-H4</f>
        <v>0</v>
      </c>
      <c r="K4" s="52" t="s">
        <v>50</v>
      </c>
      <c r="L4" s="54">
        <v>0</v>
      </c>
      <c r="M4" s="54">
        <v>1000000</v>
      </c>
      <c r="N4" s="54">
        <v>543345</v>
      </c>
      <c r="O4" s="54">
        <v>5404478</v>
      </c>
    </row>
    <row r="5" spans="1:15" ht="16.5">
      <c r="A5" s="65" t="str">
        <f>+K5</f>
        <v>BCI  sous-compte</v>
      </c>
      <c r="B5" s="66" t="s">
        <v>49</v>
      </c>
      <c r="C5" s="67">
        <v>14133281</v>
      </c>
      <c r="D5" s="68">
        <f t="shared" si="0"/>
        <v>0</v>
      </c>
      <c r="E5" s="68">
        <f>+N5</f>
        <v>6203087</v>
      </c>
      <c r="F5" s="68">
        <f>+M5</f>
        <v>2055000</v>
      </c>
      <c r="G5" s="68">
        <f t="shared" si="1"/>
        <v>17232646</v>
      </c>
      <c r="H5" s="68">
        <v>23107840</v>
      </c>
      <c r="I5" s="68">
        <f>+C5+D5-E5-F5+G5</f>
        <v>23107840</v>
      </c>
      <c r="J5" s="14">
        <f t="shared" ref="J5:J12" si="2">I5-H5</f>
        <v>0</v>
      </c>
      <c r="K5" s="52" t="s">
        <v>51</v>
      </c>
      <c r="L5" s="54">
        <v>0</v>
      </c>
      <c r="M5" s="54">
        <v>2055000</v>
      </c>
      <c r="N5" s="54">
        <v>6203087</v>
      </c>
      <c r="O5" s="54">
        <v>17232646</v>
      </c>
    </row>
    <row r="6" spans="1:15" ht="16.5">
      <c r="A6" s="65" t="str">
        <f t="shared" ref="A6:A8" si="3">+K6</f>
        <v>Caisse</v>
      </c>
      <c r="B6" s="66" t="s">
        <v>27</v>
      </c>
      <c r="C6" s="67">
        <v>1788806</v>
      </c>
      <c r="D6" s="68">
        <f t="shared" si="0"/>
        <v>3007600</v>
      </c>
      <c r="E6" s="68">
        <f>+N6</f>
        <v>1420299</v>
      </c>
      <c r="F6" s="68">
        <f>+M6</f>
        <v>1691000</v>
      </c>
      <c r="G6" s="68">
        <f t="shared" ref="G6:G17" si="4">+O6</f>
        <v>0</v>
      </c>
      <c r="H6" s="68">
        <v>1685107</v>
      </c>
      <c r="I6" s="68">
        <f>+C6+D6-E6-F6+G6</f>
        <v>1685107</v>
      </c>
      <c r="J6" s="115">
        <f t="shared" si="2"/>
        <v>0</v>
      </c>
      <c r="K6" s="52" t="s">
        <v>27</v>
      </c>
      <c r="L6" s="54">
        <v>3007600</v>
      </c>
      <c r="M6" s="54">
        <v>1691000</v>
      </c>
      <c r="N6" s="54">
        <v>1420299</v>
      </c>
      <c r="O6" s="54">
        <v>0</v>
      </c>
    </row>
    <row r="7" spans="1:15" ht="16.5">
      <c r="A7" s="65" t="str">
        <f t="shared" si="3"/>
        <v>Crépin</v>
      </c>
      <c r="B7" s="66" t="s">
        <v>182</v>
      </c>
      <c r="C7" s="67">
        <v>12900</v>
      </c>
      <c r="D7" s="68">
        <f t="shared" si="0"/>
        <v>35000</v>
      </c>
      <c r="E7" s="68">
        <f t="shared" ref="E7" si="5">+N7</f>
        <v>40700</v>
      </c>
      <c r="F7" s="68">
        <f t="shared" ref="F7:F14" si="6">+M7</f>
        <v>0</v>
      </c>
      <c r="G7" s="68">
        <f t="shared" si="4"/>
        <v>0</v>
      </c>
      <c r="H7" s="68">
        <v>7200</v>
      </c>
      <c r="I7" s="68">
        <f t="shared" ref="I7:I8" si="7">+C7+D7-E7-F7+G7</f>
        <v>7200</v>
      </c>
      <c r="J7" s="14">
        <f t="shared" si="2"/>
        <v>0</v>
      </c>
      <c r="K7" s="52" t="s">
        <v>52</v>
      </c>
      <c r="L7" s="54">
        <v>35000</v>
      </c>
      <c r="M7" s="54">
        <v>0</v>
      </c>
      <c r="N7" s="54">
        <v>40700</v>
      </c>
      <c r="O7" s="54">
        <v>0</v>
      </c>
    </row>
    <row r="8" spans="1:15" ht="16.5">
      <c r="A8" s="65" t="str">
        <f t="shared" si="3"/>
        <v>Evariste</v>
      </c>
      <c r="B8" s="66" t="s">
        <v>250</v>
      </c>
      <c r="C8" s="67">
        <v>995</v>
      </c>
      <c r="D8" s="68">
        <f t="shared" si="0"/>
        <v>65000</v>
      </c>
      <c r="E8" s="68">
        <f>+N8</f>
        <v>55900</v>
      </c>
      <c r="F8" s="68">
        <f t="shared" si="6"/>
        <v>0</v>
      </c>
      <c r="G8" s="68">
        <f t="shared" si="4"/>
        <v>0</v>
      </c>
      <c r="H8" s="68">
        <v>10095</v>
      </c>
      <c r="I8" s="68">
        <f t="shared" si="7"/>
        <v>10095</v>
      </c>
      <c r="J8" s="14">
        <f t="shared" si="2"/>
        <v>0</v>
      </c>
      <c r="K8" s="52" t="s">
        <v>33</v>
      </c>
      <c r="L8" s="54">
        <v>65000</v>
      </c>
      <c r="M8" s="54">
        <v>0</v>
      </c>
      <c r="N8" s="54">
        <v>55900</v>
      </c>
      <c r="O8" s="54">
        <v>0</v>
      </c>
    </row>
    <row r="9" spans="1:15" ht="16.5">
      <c r="A9" s="65" t="str">
        <f>K9</f>
        <v>Godfré</v>
      </c>
      <c r="B9" s="66" t="s">
        <v>182</v>
      </c>
      <c r="C9" s="67">
        <v>2450</v>
      </c>
      <c r="D9" s="68">
        <f t="shared" si="0"/>
        <v>233000</v>
      </c>
      <c r="E9" s="68">
        <f t="shared" ref="E9" si="8">+N9</f>
        <v>231900</v>
      </c>
      <c r="F9" s="68">
        <f t="shared" si="6"/>
        <v>0</v>
      </c>
      <c r="G9" s="68">
        <f t="shared" si="4"/>
        <v>0</v>
      </c>
      <c r="H9" s="68">
        <v>3550</v>
      </c>
      <c r="I9" s="68">
        <f>+C9+D9-E9-F9+G9</f>
        <v>3550</v>
      </c>
      <c r="J9" s="14">
        <f t="shared" si="2"/>
        <v>0</v>
      </c>
      <c r="K9" s="52" t="s">
        <v>163</v>
      </c>
      <c r="L9" s="54">
        <v>233000</v>
      </c>
      <c r="M9" s="54">
        <v>0</v>
      </c>
      <c r="N9" s="54">
        <v>231900</v>
      </c>
      <c r="O9" s="54">
        <v>0</v>
      </c>
    </row>
    <row r="10" spans="1:15" ht="16.5">
      <c r="A10" s="144" t="str">
        <f t="shared" ref="A10:A15" si="9">+K10</f>
        <v>I55S</v>
      </c>
      <c r="B10" s="145" t="s">
        <v>6</v>
      </c>
      <c r="C10" s="146">
        <v>233614</v>
      </c>
      <c r="D10" s="147">
        <f t="shared" si="0"/>
        <v>0</v>
      </c>
      <c r="E10" s="147">
        <f>+N10</f>
        <v>0</v>
      </c>
      <c r="F10" s="147">
        <f t="shared" si="6"/>
        <v>0</v>
      </c>
      <c r="G10" s="147">
        <f t="shared" si="4"/>
        <v>0</v>
      </c>
      <c r="H10" s="147">
        <v>233614</v>
      </c>
      <c r="I10" s="147">
        <f>+C10+D10-E10-F10+G10</f>
        <v>233614</v>
      </c>
      <c r="J10" s="14">
        <f t="shared" si="2"/>
        <v>0</v>
      </c>
      <c r="K10" s="52" t="s">
        <v>89</v>
      </c>
      <c r="L10" s="54">
        <v>0</v>
      </c>
      <c r="M10" s="54">
        <v>0</v>
      </c>
      <c r="N10" s="54">
        <v>0</v>
      </c>
      <c r="O10" s="54">
        <v>0</v>
      </c>
    </row>
    <row r="11" spans="1:15" ht="16.5">
      <c r="A11" s="144" t="str">
        <f t="shared" si="9"/>
        <v>I73X</v>
      </c>
      <c r="B11" s="145" t="s">
        <v>6</v>
      </c>
      <c r="C11" s="146">
        <v>249769</v>
      </c>
      <c r="D11" s="147">
        <f t="shared" si="0"/>
        <v>0</v>
      </c>
      <c r="E11" s="147">
        <f>+N11</f>
        <v>0</v>
      </c>
      <c r="F11" s="147">
        <f t="shared" si="6"/>
        <v>0</v>
      </c>
      <c r="G11" s="147">
        <f t="shared" si="4"/>
        <v>0</v>
      </c>
      <c r="H11" s="147">
        <v>249769</v>
      </c>
      <c r="I11" s="147">
        <f t="shared" ref="I11:I14" si="10">+C11+D11-E11-F11+G11</f>
        <v>249769</v>
      </c>
      <c r="J11" s="14">
        <f t="shared" si="2"/>
        <v>0</v>
      </c>
      <c r="K11" s="52" t="s">
        <v>88</v>
      </c>
      <c r="L11" s="54">
        <v>0</v>
      </c>
      <c r="M11" s="54">
        <v>0</v>
      </c>
      <c r="N11" s="54">
        <v>0</v>
      </c>
      <c r="O11" s="54">
        <v>0</v>
      </c>
    </row>
    <row r="12" spans="1:15" ht="16.5">
      <c r="A12" s="65" t="str">
        <f t="shared" si="9"/>
        <v>Grace</v>
      </c>
      <c r="B12" s="111" t="s">
        <v>4</v>
      </c>
      <c r="C12" s="67">
        <v>4500</v>
      </c>
      <c r="D12" s="68">
        <f t="shared" si="0"/>
        <v>65000</v>
      </c>
      <c r="E12" s="232">
        <f t="shared" ref="E12:E17" si="11">+N12</f>
        <v>8200</v>
      </c>
      <c r="F12" s="68">
        <f t="shared" si="6"/>
        <v>0</v>
      </c>
      <c r="G12" s="68">
        <f t="shared" si="4"/>
        <v>0</v>
      </c>
      <c r="H12" s="68">
        <v>61300</v>
      </c>
      <c r="I12" s="68">
        <f t="shared" si="10"/>
        <v>61300</v>
      </c>
      <c r="J12" s="14">
        <f t="shared" si="2"/>
        <v>0</v>
      </c>
      <c r="K12" s="52" t="s">
        <v>162</v>
      </c>
      <c r="L12" s="54">
        <v>65000</v>
      </c>
      <c r="M12" s="54">
        <v>0</v>
      </c>
      <c r="N12" s="54">
        <v>8200</v>
      </c>
      <c r="O12" s="54">
        <v>0</v>
      </c>
    </row>
    <row r="13" spans="1:15" ht="16.5">
      <c r="A13" s="65" t="str">
        <f t="shared" si="9"/>
        <v>I23C</v>
      </c>
      <c r="B13" s="66" t="s">
        <v>6</v>
      </c>
      <c r="C13" s="67">
        <v>7800</v>
      </c>
      <c r="D13" s="68">
        <f t="shared" si="0"/>
        <v>481000</v>
      </c>
      <c r="E13" s="232">
        <f t="shared" si="11"/>
        <v>478000</v>
      </c>
      <c r="F13" s="68">
        <f t="shared" si="6"/>
        <v>0</v>
      </c>
      <c r="G13" s="68">
        <f t="shared" si="4"/>
        <v>0</v>
      </c>
      <c r="H13" s="68">
        <v>10800</v>
      </c>
      <c r="I13" s="68">
        <f t="shared" si="10"/>
        <v>10800</v>
      </c>
      <c r="J13" s="14">
        <f>I13-H13</f>
        <v>0</v>
      </c>
      <c r="K13" s="52" t="s">
        <v>32</v>
      </c>
      <c r="L13" s="54">
        <v>481000</v>
      </c>
      <c r="M13" s="54">
        <v>0</v>
      </c>
      <c r="N13" s="54">
        <v>478000</v>
      </c>
      <c r="O13" s="54">
        <v>0</v>
      </c>
    </row>
    <row r="14" spans="1:15" ht="16.5">
      <c r="A14" s="65" t="str">
        <f t="shared" si="9"/>
        <v>Merveille</v>
      </c>
      <c r="B14" s="111" t="s">
        <v>4</v>
      </c>
      <c r="C14" s="67">
        <v>3000</v>
      </c>
      <c r="D14" s="68">
        <f t="shared" si="0"/>
        <v>25000</v>
      </c>
      <c r="E14" s="232">
        <f t="shared" si="11"/>
        <v>18500</v>
      </c>
      <c r="F14" s="68">
        <f t="shared" si="6"/>
        <v>0</v>
      </c>
      <c r="G14" s="68">
        <f t="shared" si="4"/>
        <v>0</v>
      </c>
      <c r="H14" s="68">
        <v>9500</v>
      </c>
      <c r="I14" s="68">
        <f t="shared" si="10"/>
        <v>9500</v>
      </c>
      <c r="J14" s="14">
        <f t="shared" ref="J14" si="12">I14-H14</f>
        <v>0</v>
      </c>
      <c r="K14" s="52" t="s">
        <v>98</v>
      </c>
      <c r="L14" s="54">
        <v>25000</v>
      </c>
      <c r="M14" s="54">
        <v>0</v>
      </c>
      <c r="N14" s="54">
        <v>18500</v>
      </c>
      <c r="O14" s="54">
        <v>0</v>
      </c>
    </row>
    <row r="15" spans="1:15" ht="16.5">
      <c r="A15" s="65" t="str">
        <f t="shared" si="9"/>
        <v>P29</v>
      </c>
      <c r="B15" s="66" t="s">
        <v>6</v>
      </c>
      <c r="C15" s="67">
        <v>0</v>
      </c>
      <c r="D15" s="68">
        <f t="shared" si="0"/>
        <v>514000</v>
      </c>
      <c r="E15" s="232">
        <f t="shared" si="11"/>
        <v>492800</v>
      </c>
      <c r="F15" s="68">
        <f t="shared" ref="F15" si="13">+M15</f>
        <v>0</v>
      </c>
      <c r="G15" s="68">
        <f t="shared" ref="G15" si="14">+O15</f>
        <v>0</v>
      </c>
      <c r="H15" s="68">
        <v>21200</v>
      </c>
      <c r="I15" s="68">
        <f t="shared" ref="I15" si="15">+C15+D15-E15-F15+G15</f>
        <v>21200</v>
      </c>
      <c r="J15" s="14">
        <f t="shared" ref="J15" si="16">I15-H15</f>
        <v>0</v>
      </c>
      <c r="K15" s="52" t="s">
        <v>31</v>
      </c>
      <c r="L15" s="54">
        <v>514000</v>
      </c>
      <c r="M15" s="54">
        <v>0</v>
      </c>
      <c r="N15" s="54">
        <v>492800</v>
      </c>
      <c r="O15" s="54"/>
    </row>
    <row r="16" spans="1:15" ht="16.5">
      <c r="A16" s="65" t="s">
        <v>168</v>
      </c>
      <c r="B16" s="66" t="s">
        <v>182</v>
      </c>
      <c r="C16" s="67">
        <v>17200</v>
      </c>
      <c r="D16" s="68">
        <f t="shared" si="0"/>
        <v>138000</v>
      </c>
      <c r="E16" s="232">
        <f t="shared" si="11"/>
        <v>147600</v>
      </c>
      <c r="F16" s="68">
        <f>+M16</f>
        <v>7600</v>
      </c>
      <c r="G16" s="68">
        <f>+O16</f>
        <v>0</v>
      </c>
      <c r="H16" s="68">
        <v>0</v>
      </c>
      <c r="I16" s="68">
        <f>+C16+D16-E16-F16+G16</f>
        <v>0</v>
      </c>
      <c r="J16" s="14">
        <f>I16-H16</f>
        <v>0</v>
      </c>
      <c r="K16" s="52" t="s">
        <v>168</v>
      </c>
      <c r="L16" s="54">
        <v>138000</v>
      </c>
      <c r="M16" s="54">
        <v>7600</v>
      </c>
      <c r="N16" s="54">
        <v>147600</v>
      </c>
      <c r="O16" s="54">
        <v>0</v>
      </c>
    </row>
    <row r="17" spans="1:15" ht="16.5">
      <c r="A17" s="65" t="str">
        <f>K17</f>
        <v>Tiffany</v>
      </c>
      <c r="B17" s="66" t="s">
        <v>4</v>
      </c>
      <c r="C17" s="67">
        <v>54193</v>
      </c>
      <c r="D17" s="68">
        <f t="shared" ref="D17" si="17">+L17</f>
        <v>0</v>
      </c>
      <c r="E17" s="232">
        <f t="shared" si="11"/>
        <v>28000</v>
      </c>
      <c r="F17" s="68">
        <f t="shared" ref="F17" si="18">+M17</f>
        <v>0</v>
      </c>
      <c r="G17" s="68">
        <f t="shared" si="4"/>
        <v>0</v>
      </c>
      <c r="H17" s="68">
        <v>26193</v>
      </c>
      <c r="I17" s="68">
        <f t="shared" ref="I17" si="19">+C17+D17-E17-F17+G17</f>
        <v>26193</v>
      </c>
      <c r="J17" s="14">
        <f t="shared" ref="J17" si="20">I17-H17</f>
        <v>0</v>
      </c>
      <c r="K17" s="52" t="s">
        <v>118</v>
      </c>
      <c r="L17" s="54">
        <v>0</v>
      </c>
      <c r="M17" s="54">
        <v>0</v>
      </c>
      <c r="N17" s="54">
        <v>28000</v>
      </c>
      <c r="O17" s="54">
        <v>0</v>
      </c>
    </row>
    <row r="18" spans="1:15" ht="16.5">
      <c r="A18" s="15" t="s">
        <v>55</v>
      </c>
      <c r="B18" s="16"/>
      <c r="C18" s="17">
        <f>SUM(C4:C17)</f>
        <v>19409438</v>
      </c>
      <c r="D18" s="64">
        <f t="shared" ref="D18:G18" si="21">SUM(D3:D17)</f>
        <v>4753600</v>
      </c>
      <c r="E18" s="64">
        <f t="shared" si="21"/>
        <v>9851574</v>
      </c>
      <c r="F18" s="64">
        <f t="shared" si="21"/>
        <v>4753600</v>
      </c>
      <c r="G18" s="64">
        <f t="shared" si="21"/>
        <v>22637124</v>
      </c>
      <c r="H18" s="64">
        <f>SUM(H3:H17)</f>
        <v>32194988</v>
      </c>
      <c r="I18" s="64">
        <f>SUM(I3:I17)</f>
        <v>32194988</v>
      </c>
      <c r="J18" s="14">
        <f>I18-H18</f>
        <v>0</v>
      </c>
      <c r="K18" s="8"/>
      <c r="L18" s="54">
        <v>4753600</v>
      </c>
      <c r="M18" s="54">
        <v>4753600</v>
      </c>
      <c r="N18" s="54">
        <v>9852574</v>
      </c>
      <c r="O18" s="54">
        <v>22637124</v>
      </c>
    </row>
    <row r="19" spans="1:15" ht="16.5">
      <c r="A19" s="15"/>
      <c r="B19" s="16"/>
      <c r="C19" s="17"/>
      <c r="D19" s="18"/>
      <c r="E19" s="17"/>
      <c r="F19" s="18"/>
      <c r="G19" s="17"/>
      <c r="H19" s="17"/>
      <c r="I19" s="164" t="b">
        <f>I18=D21</f>
        <v>1</v>
      </c>
      <c r="L19" s="10"/>
      <c r="M19" s="10"/>
      <c r="N19" s="10"/>
      <c r="O19" s="10"/>
    </row>
    <row r="20" spans="1:15" ht="16.5">
      <c r="A20" s="15" t="s">
        <v>172</v>
      </c>
      <c r="B20" s="16" t="s">
        <v>165</v>
      </c>
      <c r="C20" s="17" t="s">
        <v>173</v>
      </c>
      <c r="D20" s="17" t="s">
        <v>174</v>
      </c>
      <c r="E20" s="17" t="s">
        <v>56</v>
      </c>
      <c r="F20" s="17"/>
      <c r="G20" s="17">
        <f>+D18-F18</f>
        <v>0</v>
      </c>
      <c r="H20" s="17"/>
      <c r="I20" s="17"/>
    </row>
    <row r="21" spans="1:15" ht="16.5">
      <c r="A21" s="19">
        <f>C18</f>
        <v>19409438</v>
      </c>
      <c r="B21" s="20">
        <f>G18</f>
        <v>22637124</v>
      </c>
      <c r="C21" s="17">
        <f>E18</f>
        <v>9851574</v>
      </c>
      <c r="D21" s="17">
        <f>A21+B21-C21</f>
        <v>32194988</v>
      </c>
      <c r="E21" s="18">
        <f>I18-D21</f>
        <v>0</v>
      </c>
      <c r="F21" s="17"/>
      <c r="G21" s="17"/>
      <c r="H21" s="17"/>
      <c r="I21" s="17"/>
    </row>
    <row r="22" spans="1:15">
      <c r="G22" s="14"/>
      <c r="J22" s="260"/>
    </row>
    <row r="23" spans="1:15">
      <c r="A23" s="21" t="s">
        <v>57</v>
      </c>
      <c r="B23" s="21"/>
      <c r="C23" s="21"/>
      <c r="D23" s="22"/>
      <c r="E23" s="22"/>
      <c r="F23" s="22"/>
      <c r="G23" s="22"/>
      <c r="H23" s="22"/>
      <c r="I23" s="22"/>
    </row>
    <row r="24" spans="1:15">
      <c r="A24" s="23" t="s">
        <v>178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5">
      <c r="A25" s="24"/>
      <c r="B25" s="25"/>
      <c r="C25" s="26"/>
      <c r="D25" s="26"/>
      <c r="E25" s="26"/>
      <c r="F25" s="26"/>
      <c r="G25" s="26"/>
      <c r="H25" s="25"/>
      <c r="I25" s="25"/>
    </row>
    <row r="26" spans="1:15">
      <c r="A26" s="266" t="s">
        <v>58</v>
      </c>
      <c r="B26" s="268" t="s">
        <v>59</v>
      </c>
      <c r="C26" s="270" t="s">
        <v>175</v>
      </c>
      <c r="D26" s="272" t="s">
        <v>60</v>
      </c>
      <c r="E26" s="273"/>
      <c r="F26" s="273"/>
      <c r="G26" s="274"/>
      <c r="H26" s="275" t="s">
        <v>61</v>
      </c>
      <c r="I26" s="262" t="s">
        <v>62</v>
      </c>
      <c r="J26" s="25"/>
    </row>
    <row r="27" spans="1:15">
      <c r="A27" s="267"/>
      <c r="B27" s="269"/>
      <c r="C27" s="271"/>
      <c r="D27" s="27" t="s">
        <v>26</v>
      </c>
      <c r="E27" s="27" t="s">
        <v>27</v>
      </c>
      <c r="F27" s="237" t="s">
        <v>128</v>
      </c>
      <c r="G27" s="27" t="s">
        <v>63</v>
      </c>
      <c r="H27" s="276"/>
      <c r="I27" s="263"/>
      <c r="J27" s="264" t="s">
        <v>176</v>
      </c>
      <c r="K27" s="180"/>
    </row>
    <row r="28" spans="1:15">
      <c r="A28" s="29"/>
      <c r="B28" s="30" t="s">
        <v>64</v>
      </c>
      <c r="C28" s="31"/>
      <c r="D28" s="31"/>
      <c r="E28" s="31"/>
      <c r="F28" s="31"/>
      <c r="G28" s="31"/>
      <c r="H28" s="31"/>
      <c r="I28" s="32"/>
      <c r="J28" s="265"/>
      <c r="K28" s="180"/>
    </row>
    <row r="29" spans="1:15">
      <c r="A29" s="151" t="s">
        <v>95</v>
      </c>
      <c r="B29" s="156" t="s">
        <v>179</v>
      </c>
      <c r="C29" s="38">
        <f>+C3</f>
        <v>0</v>
      </c>
      <c r="D29" s="37"/>
      <c r="E29" s="38">
        <f>+D3</f>
        <v>190000</v>
      </c>
      <c r="F29" s="38"/>
      <c r="G29" s="38"/>
      <c r="H29" s="62">
        <f>+F3</f>
        <v>0</v>
      </c>
      <c r="I29" s="38">
        <f>+E3</f>
        <v>183243</v>
      </c>
      <c r="J29" s="36">
        <f>+SUM(C29:G29)-(H29+I29)</f>
        <v>6757</v>
      </c>
      <c r="K29" s="181" t="b">
        <f>J29=I3</f>
        <v>1</v>
      </c>
    </row>
    <row r="30" spans="1:15">
      <c r="A30" s="151" t="s">
        <v>95</v>
      </c>
      <c r="B30" s="156" t="s">
        <v>52</v>
      </c>
      <c r="C30" s="38">
        <f t="shared" ref="C30:C39" si="22">C7</f>
        <v>12900</v>
      </c>
      <c r="D30" s="37"/>
      <c r="E30" s="38">
        <f>+D7</f>
        <v>35000</v>
      </c>
      <c r="F30" s="38"/>
      <c r="G30" s="38"/>
      <c r="H30" s="62">
        <f t="shared" ref="H30:H39" si="23">+F7</f>
        <v>0</v>
      </c>
      <c r="I30" s="38">
        <f t="shared" ref="I30:I39" si="24">+E7</f>
        <v>40700</v>
      </c>
      <c r="J30" s="36">
        <f t="shared" ref="J30:J31" si="25">+SUM(C30:G30)-(H30+I30)</f>
        <v>7200</v>
      </c>
      <c r="K30" s="181" t="b">
        <f t="shared" ref="K30:K39" si="26">J30=I7</f>
        <v>1</v>
      </c>
    </row>
    <row r="31" spans="1:15">
      <c r="A31" s="151" t="str">
        <f>+A30</f>
        <v>OCTOBRE</v>
      </c>
      <c r="B31" s="156" t="s">
        <v>33</v>
      </c>
      <c r="C31" s="38">
        <f t="shared" si="22"/>
        <v>995</v>
      </c>
      <c r="D31" s="37"/>
      <c r="E31" s="38">
        <f>+D8</f>
        <v>65000</v>
      </c>
      <c r="F31" s="38"/>
      <c r="G31" s="38"/>
      <c r="H31" s="62">
        <f t="shared" si="23"/>
        <v>0</v>
      </c>
      <c r="I31" s="38">
        <f t="shared" si="24"/>
        <v>55900</v>
      </c>
      <c r="J31" s="114">
        <f t="shared" si="25"/>
        <v>10095</v>
      </c>
      <c r="K31" s="181" t="b">
        <f t="shared" si="26"/>
        <v>1</v>
      </c>
    </row>
    <row r="32" spans="1:15">
      <c r="A32" s="151" t="str">
        <f t="shared" ref="A32:A40" si="27">+A31</f>
        <v>OCTOBRE</v>
      </c>
      <c r="B32" s="157" t="s">
        <v>163</v>
      </c>
      <c r="C32" s="38">
        <f t="shared" si="22"/>
        <v>2450</v>
      </c>
      <c r="D32" s="148"/>
      <c r="E32" s="38">
        <f>D9</f>
        <v>233000</v>
      </c>
      <c r="F32" s="58"/>
      <c r="G32" s="58"/>
      <c r="H32" s="62">
        <f t="shared" si="23"/>
        <v>0</v>
      </c>
      <c r="I32" s="38">
        <f t="shared" si="24"/>
        <v>231900</v>
      </c>
      <c r="J32" s="153">
        <f>+SUM(C32:G32)-(H32+I32)</f>
        <v>3550</v>
      </c>
      <c r="K32" s="181" t="b">
        <f t="shared" si="26"/>
        <v>1</v>
      </c>
    </row>
    <row r="33" spans="1:11">
      <c r="A33" s="151" t="str">
        <f t="shared" si="27"/>
        <v>OCTOBRE</v>
      </c>
      <c r="B33" s="158" t="s">
        <v>89</v>
      </c>
      <c r="C33" s="149">
        <f t="shared" si="22"/>
        <v>233614</v>
      </c>
      <c r="D33" s="152"/>
      <c r="E33" s="149">
        <f t="shared" ref="E33:E37" si="28">+D10</f>
        <v>0</v>
      </c>
      <c r="F33" s="167"/>
      <c r="G33" s="167"/>
      <c r="H33" s="233">
        <f t="shared" si="23"/>
        <v>0</v>
      </c>
      <c r="I33" s="149">
        <f t="shared" si="24"/>
        <v>0</v>
      </c>
      <c r="J33" s="150">
        <f>+SUM(C33:G33)-(H33+I33)</f>
        <v>233614</v>
      </c>
      <c r="K33" s="181" t="b">
        <f t="shared" si="26"/>
        <v>1</v>
      </c>
    </row>
    <row r="34" spans="1:11">
      <c r="A34" s="151" t="str">
        <f t="shared" si="27"/>
        <v>OCTOBRE</v>
      </c>
      <c r="B34" s="158" t="s">
        <v>88</v>
      </c>
      <c r="C34" s="149">
        <f t="shared" si="22"/>
        <v>249769</v>
      </c>
      <c r="D34" s="152"/>
      <c r="E34" s="149">
        <f t="shared" si="28"/>
        <v>0</v>
      </c>
      <c r="F34" s="167"/>
      <c r="G34" s="167"/>
      <c r="H34" s="233">
        <f t="shared" si="23"/>
        <v>0</v>
      </c>
      <c r="I34" s="149">
        <f t="shared" si="24"/>
        <v>0</v>
      </c>
      <c r="J34" s="150">
        <f t="shared" ref="J34:J40" si="29">+SUM(C34:G34)-(H34+I34)</f>
        <v>249769</v>
      </c>
      <c r="K34" s="181" t="b">
        <f t="shared" si="26"/>
        <v>1</v>
      </c>
    </row>
    <row r="35" spans="1:11">
      <c r="A35" s="151" t="str">
        <f t="shared" si="27"/>
        <v>OCTOBRE</v>
      </c>
      <c r="B35" s="156" t="s">
        <v>162</v>
      </c>
      <c r="C35" s="38">
        <f t="shared" si="22"/>
        <v>4500</v>
      </c>
      <c r="D35" s="37"/>
      <c r="E35" s="38">
        <f t="shared" si="28"/>
        <v>65000</v>
      </c>
      <c r="F35" s="38"/>
      <c r="G35" s="118"/>
      <c r="H35" s="62">
        <f t="shared" si="23"/>
        <v>0</v>
      </c>
      <c r="I35" s="38">
        <f t="shared" si="24"/>
        <v>8200</v>
      </c>
      <c r="J35" s="36">
        <f t="shared" si="29"/>
        <v>61300</v>
      </c>
      <c r="K35" s="181" t="b">
        <f t="shared" si="26"/>
        <v>1</v>
      </c>
    </row>
    <row r="36" spans="1:11">
      <c r="A36" s="151" t="str">
        <f t="shared" si="27"/>
        <v>OCTOBRE</v>
      </c>
      <c r="B36" s="156" t="s">
        <v>32</v>
      </c>
      <c r="C36" s="38">
        <f t="shared" si="22"/>
        <v>7800</v>
      </c>
      <c r="D36" s="37"/>
      <c r="E36" s="38">
        <f t="shared" si="28"/>
        <v>481000</v>
      </c>
      <c r="F36" s="38"/>
      <c r="G36" s="118"/>
      <c r="H36" s="62">
        <f t="shared" si="23"/>
        <v>0</v>
      </c>
      <c r="I36" s="38">
        <f t="shared" si="24"/>
        <v>478000</v>
      </c>
      <c r="J36" s="36">
        <f t="shared" si="29"/>
        <v>10800</v>
      </c>
      <c r="K36" s="181" t="b">
        <f t="shared" si="26"/>
        <v>1</v>
      </c>
    </row>
    <row r="37" spans="1:11">
      <c r="A37" s="151" t="str">
        <f t="shared" si="27"/>
        <v>OCTOBRE</v>
      </c>
      <c r="B37" s="156" t="s">
        <v>98</v>
      </c>
      <c r="C37" s="38">
        <f t="shared" si="22"/>
        <v>3000</v>
      </c>
      <c r="D37" s="37"/>
      <c r="E37" s="38">
        <f t="shared" si="28"/>
        <v>25000</v>
      </c>
      <c r="F37" s="38"/>
      <c r="G37" s="118"/>
      <c r="H37" s="62">
        <f t="shared" si="23"/>
        <v>0</v>
      </c>
      <c r="I37" s="38">
        <f t="shared" si="24"/>
        <v>18500</v>
      </c>
      <c r="J37" s="36">
        <f t="shared" si="29"/>
        <v>9500</v>
      </c>
      <c r="K37" s="181" t="b">
        <f t="shared" si="26"/>
        <v>1</v>
      </c>
    </row>
    <row r="38" spans="1:11">
      <c r="A38" s="151" t="str">
        <f>+A36</f>
        <v>OCTOBRE</v>
      </c>
      <c r="B38" s="156" t="s">
        <v>31</v>
      </c>
      <c r="C38" s="38">
        <f t="shared" si="22"/>
        <v>0</v>
      </c>
      <c r="D38" s="37"/>
      <c r="E38" s="38">
        <f>+D15</f>
        <v>514000</v>
      </c>
      <c r="F38" s="38"/>
      <c r="G38" s="118"/>
      <c r="H38" s="62">
        <f t="shared" si="23"/>
        <v>0</v>
      </c>
      <c r="I38" s="38">
        <f t="shared" si="24"/>
        <v>492800</v>
      </c>
      <c r="J38" s="36">
        <f t="shared" ref="J38" si="30">+SUM(C38:G38)-(H38+I38)</f>
        <v>21200</v>
      </c>
      <c r="K38" s="181" t="b">
        <f t="shared" si="26"/>
        <v>1</v>
      </c>
    </row>
    <row r="39" spans="1:11">
      <c r="A39" s="151" t="str">
        <f>+A37</f>
        <v>OCTOBRE</v>
      </c>
      <c r="B39" s="156" t="s">
        <v>168</v>
      </c>
      <c r="C39" s="38">
        <f t="shared" si="22"/>
        <v>17200</v>
      </c>
      <c r="D39" s="37"/>
      <c r="E39" s="38">
        <f>+D16</f>
        <v>138000</v>
      </c>
      <c r="F39" s="38"/>
      <c r="G39" s="118"/>
      <c r="H39" s="62">
        <f t="shared" si="23"/>
        <v>7600</v>
      </c>
      <c r="I39" s="38">
        <f t="shared" si="24"/>
        <v>147600</v>
      </c>
      <c r="J39" s="36">
        <f t="shared" si="29"/>
        <v>0</v>
      </c>
      <c r="K39" s="181" t="b">
        <f t="shared" si="26"/>
        <v>1</v>
      </c>
    </row>
    <row r="40" spans="1:11">
      <c r="A40" s="151" t="str">
        <f t="shared" si="27"/>
        <v>OCTOBRE</v>
      </c>
      <c r="B40" s="157" t="s">
        <v>118</v>
      </c>
      <c r="C40" s="38">
        <f t="shared" ref="C40" si="31">C17</f>
        <v>54193</v>
      </c>
      <c r="D40" s="148"/>
      <c r="E40" s="38">
        <f t="shared" ref="E40" si="32">+D17</f>
        <v>0</v>
      </c>
      <c r="F40" s="58"/>
      <c r="G40" s="168"/>
      <c r="H40" s="62">
        <f t="shared" ref="H40" si="33">+F17</f>
        <v>0</v>
      </c>
      <c r="I40" s="38">
        <f t="shared" ref="I40" si="34">+E17</f>
        <v>28000</v>
      </c>
      <c r="J40" s="36">
        <f t="shared" si="29"/>
        <v>26193</v>
      </c>
      <c r="K40" s="181" t="b">
        <f t="shared" ref="K40" si="35">J40=I17</f>
        <v>1</v>
      </c>
    </row>
    <row r="41" spans="1:11">
      <c r="A41" s="40" t="s">
        <v>65</v>
      </c>
      <c r="B41" s="41"/>
      <c r="C41" s="41"/>
      <c r="D41" s="41"/>
      <c r="E41" s="41"/>
      <c r="F41" s="41"/>
      <c r="G41" s="41"/>
      <c r="H41" s="41"/>
      <c r="I41" s="41"/>
      <c r="J41" s="42"/>
      <c r="K41" s="180"/>
    </row>
    <row r="42" spans="1:11">
      <c r="A42" s="151" t="str">
        <f>+A40</f>
        <v>OCTOBRE</v>
      </c>
      <c r="B42" s="43" t="s">
        <v>66</v>
      </c>
      <c r="C42" s="44">
        <f>C6</f>
        <v>1788806</v>
      </c>
      <c r="D42" s="56"/>
      <c r="E42" s="56">
        <f>D6</f>
        <v>3007600</v>
      </c>
      <c r="F42" s="56"/>
      <c r="G42" s="154"/>
      <c r="H42" s="58">
        <f>+F6</f>
        <v>1691000</v>
      </c>
      <c r="I42" s="155">
        <f>+E6</f>
        <v>1420299</v>
      </c>
      <c r="J42" s="51">
        <f>+SUM(C42:G42)-(H42+I42)</f>
        <v>1685107</v>
      </c>
      <c r="K42" s="181" t="b">
        <f>J42=I6</f>
        <v>1</v>
      </c>
    </row>
    <row r="43" spans="1:11">
      <c r="A43" s="49" t="s">
        <v>67</v>
      </c>
      <c r="B43" s="30"/>
      <c r="C43" s="41"/>
      <c r="D43" s="30"/>
      <c r="E43" s="30"/>
      <c r="F43" s="30"/>
      <c r="G43" s="30"/>
      <c r="H43" s="30"/>
      <c r="I43" s="30"/>
      <c r="J43" s="42"/>
      <c r="K43" s="180"/>
    </row>
    <row r="44" spans="1:11">
      <c r="A44" s="151" t="str">
        <f>+A42</f>
        <v>OCTOBRE</v>
      </c>
      <c r="B44" s="43" t="s">
        <v>332</v>
      </c>
      <c r="C44" s="154">
        <f>C4</f>
        <v>2900930</v>
      </c>
      <c r="D44" s="161">
        <f>G4</f>
        <v>5404478</v>
      </c>
      <c r="E44" s="56"/>
      <c r="F44" s="56"/>
      <c r="G44" s="56"/>
      <c r="H44" s="58">
        <f>+F4</f>
        <v>1000000</v>
      </c>
      <c r="I44" s="60">
        <f>+E4</f>
        <v>543345</v>
      </c>
      <c r="J44" s="51">
        <f>+SUM(C44:G44)-(H44+I44)</f>
        <v>6762063</v>
      </c>
      <c r="K44" s="181" t="b">
        <f>+J44=I4</f>
        <v>1</v>
      </c>
    </row>
    <row r="45" spans="1:11">
      <c r="A45" s="151" t="str">
        <f t="shared" ref="A45" si="36">+A44</f>
        <v>OCTOBRE</v>
      </c>
      <c r="B45" s="43" t="s">
        <v>69</v>
      </c>
      <c r="C45" s="154">
        <f>C5</f>
        <v>14133281</v>
      </c>
      <c r="D45" s="56">
        <f>G5</f>
        <v>17232646</v>
      </c>
      <c r="E45" s="55"/>
      <c r="F45" s="55"/>
      <c r="G45" s="55"/>
      <c r="H45" s="38">
        <f>+F5</f>
        <v>2055000</v>
      </c>
      <c r="I45" s="57">
        <f>+E5</f>
        <v>6203087</v>
      </c>
      <c r="J45" s="51">
        <f>SUM(C45:G45)-(H45+I45)</f>
        <v>23107840</v>
      </c>
      <c r="K45" s="181" t="b">
        <f>+J45=I5</f>
        <v>1</v>
      </c>
    </row>
    <row r="46" spans="1:11" ht="15.75">
      <c r="C46" s="173">
        <f>SUM(C30:C45)</f>
        <v>19409438</v>
      </c>
      <c r="I46" s="171">
        <f>SUM(I30:I45)</f>
        <v>9668331</v>
      </c>
      <c r="J46" s="119">
        <f>+SUM(J29:J45)</f>
        <v>32194988</v>
      </c>
      <c r="K46" s="10" t="b">
        <f>J46=I18</f>
        <v>1</v>
      </c>
    </row>
    <row r="47" spans="1:11">
      <c r="G47" s="14"/>
    </row>
    <row r="48" spans="1:11">
      <c r="A48" s="21" t="s">
        <v>57</v>
      </c>
      <c r="B48" s="21"/>
      <c r="C48" s="21"/>
      <c r="D48" s="22"/>
      <c r="E48" s="22"/>
      <c r="F48" s="22"/>
      <c r="G48" s="22"/>
      <c r="H48" s="22"/>
      <c r="I48" s="22"/>
    </row>
    <row r="49" spans="1:11">
      <c r="A49" s="23" t="s">
        <v>166</v>
      </c>
      <c r="B49" s="23"/>
      <c r="C49" s="23"/>
      <c r="D49" s="23"/>
      <c r="E49" s="23"/>
      <c r="F49" s="23"/>
      <c r="G49" s="23"/>
      <c r="H49" s="23"/>
      <c r="I49" s="23"/>
      <c r="J49" s="23"/>
    </row>
    <row r="50" spans="1:11">
      <c r="A50" s="24"/>
      <c r="B50" s="25"/>
      <c r="C50" s="26"/>
      <c r="D50" s="26"/>
      <c r="E50" s="26"/>
      <c r="F50" s="26"/>
      <c r="G50" s="26"/>
      <c r="H50" s="25"/>
      <c r="I50" s="25"/>
    </row>
    <row r="51" spans="1:11">
      <c r="A51" s="266" t="s">
        <v>58</v>
      </c>
      <c r="B51" s="268" t="s">
        <v>59</v>
      </c>
      <c r="C51" s="270" t="s">
        <v>167</v>
      </c>
      <c r="D51" s="272" t="s">
        <v>60</v>
      </c>
      <c r="E51" s="273"/>
      <c r="F51" s="273"/>
      <c r="G51" s="274"/>
      <c r="H51" s="275" t="s">
        <v>61</v>
      </c>
      <c r="I51" s="262" t="s">
        <v>62</v>
      </c>
      <c r="J51" s="25"/>
    </row>
    <row r="52" spans="1:11">
      <c r="A52" s="267"/>
      <c r="B52" s="269"/>
      <c r="C52" s="271"/>
      <c r="D52" s="27" t="s">
        <v>26</v>
      </c>
      <c r="E52" s="27" t="s">
        <v>27</v>
      </c>
      <c r="F52" s="236" t="s">
        <v>128</v>
      </c>
      <c r="G52" s="27" t="s">
        <v>63</v>
      </c>
      <c r="H52" s="276"/>
      <c r="I52" s="263"/>
      <c r="J52" s="264" t="s">
        <v>177</v>
      </c>
      <c r="K52" s="180"/>
    </row>
    <row r="53" spans="1:11">
      <c r="A53" s="29"/>
      <c r="B53" s="30" t="s">
        <v>64</v>
      </c>
      <c r="C53" s="31"/>
      <c r="D53" s="31"/>
      <c r="E53" s="31"/>
      <c r="F53" s="31"/>
      <c r="G53" s="31"/>
      <c r="H53" s="31"/>
      <c r="I53" s="32"/>
      <c r="J53" s="265"/>
      <c r="K53" s="180"/>
    </row>
    <row r="54" spans="1:11">
      <c r="A54" s="151" t="s">
        <v>84</v>
      </c>
      <c r="B54" s="156" t="s">
        <v>52</v>
      </c>
      <c r="C54" s="38" t="e">
        <f>#REF!</f>
        <v>#REF!</v>
      </c>
      <c r="D54" s="37"/>
      <c r="E54" s="38" t="e">
        <f>+#REF!</f>
        <v>#REF!</v>
      </c>
      <c r="F54" s="38"/>
      <c r="G54" s="38"/>
      <c r="H54" s="62" t="e">
        <f>+#REF!</f>
        <v>#REF!</v>
      </c>
      <c r="I54" s="38" t="e">
        <f>+#REF!</f>
        <v>#REF!</v>
      </c>
      <c r="J54" s="36" t="e">
        <f t="shared" ref="J54:J55" si="37">+SUM(C54:G54)-(H54+I54)</f>
        <v>#REF!</v>
      </c>
      <c r="K54" s="181" t="e">
        <f>J54=#REF!</f>
        <v>#REF!</v>
      </c>
    </row>
    <row r="55" spans="1:11">
      <c r="A55" s="151" t="str">
        <f>+A54</f>
        <v>SEPTEMBRE</v>
      </c>
      <c r="B55" s="156" t="s">
        <v>33</v>
      </c>
      <c r="C55" s="38" t="e">
        <f>#REF!</f>
        <v>#REF!</v>
      </c>
      <c r="D55" s="37"/>
      <c r="E55" s="38" t="e">
        <f>+#REF!</f>
        <v>#REF!</v>
      </c>
      <c r="F55" s="38"/>
      <c r="G55" s="38"/>
      <c r="H55" s="62" t="e">
        <f>+#REF!</f>
        <v>#REF!</v>
      </c>
      <c r="I55" s="38" t="e">
        <f>+#REF!</f>
        <v>#REF!</v>
      </c>
      <c r="J55" s="114" t="e">
        <f t="shared" si="37"/>
        <v>#REF!</v>
      </c>
      <c r="K55" s="181" t="e">
        <f>J55=#REF!</f>
        <v>#REF!</v>
      </c>
    </row>
    <row r="56" spans="1:11">
      <c r="A56" s="151" t="str">
        <f t="shared" ref="A56:A63" si="38">+A55</f>
        <v>SEPTEMBRE</v>
      </c>
      <c r="B56" s="157" t="s">
        <v>163</v>
      </c>
      <c r="C56" s="38" t="e">
        <f>#REF!</f>
        <v>#REF!</v>
      </c>
      <c r="D56" s="148"/>
      <c r="E56" s="38" t="e">
        <f>#REF!</f>
        <v>#REF!</v>
      </c>
      <c r="F56" s="58"/>
      <c r="G56" s="58"/>
      <c r="H56" s="62" t="e">
        <f>+#REF!</f>
        <v>#REF!</v>
      </c>
      <c r="I56" s="38" t="e">
        <f>+#REF!</f>
        <v>#REF!</v>
      </c>
      <c r="J56" s="153" t="e">
        <f>+SUM(C56:G56)-(H56+I56)</f>
        <v>#REF!</v>
      </c>
      <c r="K56" s="181" t="e">
        <f>J56=#REF!</f>
        <v>#REF!</v>
      </c>
    </row>
    <row r="57" spans="1:11">
      <c r="A57" s="151" t="str">
        <f t="shared" si="38"/>
        <v>SEPTEMBRE</v>
      </c>
      <c r="B57" s="158" t="s">
        <v>89</v>
      </c>
      <c r="C57" s="149" t="e">
        <f>#REF!</f>
        <v>#REF!</v>
      </c>
      <c r="D57" s="152"/>
      <c r="E57" s="149" t="e">
        <f>+#REF!</f>
        <v>#REF!</v>
      </c>
      <c r="F57" s="167"/>
      <c r="G57" s="167"/>
      <c r="H57" s="233" t="e">
        <f>+#REF!</f>
        <v>#REF!</v>
      </c>
      <c r="I57" s="149" t="e">
        <f>+#REF!</f>
        <v>#REF!</v>
      </c>
      <c r="J57" s="150" t="e">
        <f>+SUM(C57:G57)-(H57+I57)</f>
        <v>#REF!</v>
      </c>
      <c r="K57" s="181" t="e">
        <f>J57=#REF!</f>
        <v>#REF!</v>
      </c>
    </row>
    <row r="58" spans="1:11">
      <c r="A58" s="151" t="str">
        <f t="shared" si="38"/>
        <v>SEPTEMBRE</v>
      </c>
      <c r="B58" s="158" t="s">
        <v>88</v>
      </c>
      <c r="C58" s="149" t="e">
        <f>#REF!</f>
        <v>#REF!</v>
      </c>
      <c r="D58" s="152"/>
      <c r="E58" s="149" t="e">
        <f>+#REF!</f>
        <v>#REF!</v>
      </c>
      <c r="F58" s="167"/>
      <c r="G58" s="167"/>
      <c r="H58" s="233" t="e">
        <f>+#REF!</f>
        <v>#REF!</v>
      </c>
      <c r="I58" s="149" t="e">
        <f>+#REF!</f>
        <v>#REF!</v>
      </c>
      <c r="J58" s="150" t="e">
        <f t="shared" ref="J58:J63" si="39">+SUM(C58:G58)-(H58+I58)</f>
        <v>#REF!</v>
      </c>
      <c r="K58" s="181" t="e">
        <f>J58=#REF!</f>
        <v>#REF!</v>
      </c>
    </row>
    <row r="59" spans="1:11">
      <c r="A59" s="151" t="str">
        <f t="shared" si="38"/>
        <v>SEPTEMBRE</v>
      </c>
      <c r="B59" s="156" t="s">
        <v>162</v>
      </c>
      <c r="C59" s="38" t="e">
        <f>#REF!</f>
        <v>#REF!</v>
      </c>
      <c r="D59" s="37"/>
      <c r="E59" s="38" t="e">
        <f>+#REF!</f>
        <v>#REF!</v>
      </c>
      <c r="F59" s="38"/>
      <c r="G59" s="118"/>
      <c r="H59" s="62" t="e">
        <f>+#REF!</f>
        <v>#REF!</v>
      </c>
      <c r="I59" s="38" t="e">
        <f>+#REF!</f>
        <v>#REF!</v>
      </c>
      <c r="J59" s="36" t="e">
        <f t="shared" si="39"/>
        <v>#REF!</v>
      </c>
      <c r="K59" s="181" t="e">
        <f>J59=#REF!</f>
        <v>#REF!</v>
      </c>
    </row>
    <row r="60" spans="1:11">
      <c r="A60" s="151" t="str">
        <f t="shared" si="38"/>
        <v>SEPTEMBRE</v>
      </c>
      <c r="B60" s="156" t="s">
        <v>32</v>
      </c>
      <c r="C60" s="38" t="e">
        <f>#REF!</f>
        <v>#REF!</v>
      </c>
      <c r="D60" s="37"/>
      <c r="E60" s="38" t="e">
        <f>+#REF!</f>
        <v>#REF!</v>
      </c>
      <c r="F60" s="38"/>
      <c r="G60" s="118"/>
      <c r="H60" s="62" t="e">
        <f>+#REF!</f>
        <v>#REF!</v>
      </c>
      <c r="I60" s="38" t="e">
        <f>+#REF!</f>
        <v>#REF!</v>
      </c>
      <c r="J60" s="36" t="e">
        <f t="shared" si="39"/>
        <v>#REF!</v>
      </c>
      <c r="K60" s="181" t="e">
        <f>J60=#REF!</f>
        <v>#REF!</v>
      </c>
    </row>
    <row r="61" spans="1:11">
      <c r="A61" s="151" t="str">
        <f t="shared" si="38"/>
        <v>SEPTEMBRE</v>
      </c>
      <c r="B61" s="156" t="s">
        <v>98</v>
      </c>
      <c r="C61" s="38" t="e">
        <f>#REF!</f>
        <v>#REF!</v>
      </c>
      <c r="D61" s="37"/>
      <c r="E61" s="38" t="e">
        <f>+#REF!</f>
        <v>#REF!</v>
      </c>
      <c r="F61" s="38"/>
      <c r="G61" s="118"/>
      <c r="H61" s="62" t="e">
        <f>+#REF!</f>
        <v>#REF!</v>
      </c>
      <c r="I61" s="38" t="e">
        <f>+#REF!</f>
        <v>#REF!</v>
      </c>
      <c r="J61" s="36" t="e">
        <f t="shared" si="39"/>
        <v>#REF!</v>
      </c>
      <c r="K61" s="181" t="e">
        <f>J61=#REF!</f>
        <v>#REF!</v>
      </c>
    </row>
    <row r="62" spans="1:11">
      <c r="A62" s="151" t="str">
        <f t="shared" si="38"/>
        <v>SEPTEMBRE</v>
      </c>
      <c r="B62" s="156" t="s">
        <v>168</v>
      </c>
      <c r="C62" s="38" t="e">
        <f>#REF!</f>
        <v>#REF!</v>
      </c>
      <c r="D62" s="37"/>
      <c r="E62" s="38" t="e">
        <f>+#REF!</f>
        <v>#REF!</v>
      </c>
      <c r="F62" s="38"/>
      <c r="G62" s="118"/>
      <c r="H62" s="62" t="e">
        <f>+#REF!</f>
        <v>#REF!</v>
      </c>
      <c r="I62" s="38" t="e">
        <f>+#REF!</f>
        <v>#REF!</v>
      </c>
      <c r="J62" s="36" t="e">
        <f t="shared" si="39"/>
        <v>#REF!</v>
      </c>
      <c r="K62" s="181" t="e">
        <f>J62=#REF!</f>
        <v>#REF!</v>
      </c>
    </row>
    <row r="63" spans="1:11">
      <c r="A63" s="151" t="str">
        <f t="shared" si="38"/>
        <v>SEPTEMBRE</v>
      </c>
      <c r="B63" s="157" t="s">
        <v>118</v>
      </c>
      <c r="C63" s="38" t="e">
        <f>#REF!</f>
        <v>#REF!</v>
      </c>
      <c r="D63" s="148"/>
      <c r="E63" s="38" t="e">
        <f>+#REF!</f>
        <v>#REF!</v>
      </c>
      <c r="F63" s="58"/>
      <c r="G63" s="168"/>
      <c r="H63" s="62" t="e">
        <f>+#REF!</f>
        <v>#REF!</v>
      </c>
      <c r="I63" s="38" t="e">
        <f>+#REF!</f>
        <v>#REF!</v>
      </c>
      <c r="J63" s="36" t="e">
        <f t="shared" si="39"/>
        <v>#REF!</v>
      </c>
      <c r="K63" s="181" t="e">
        <f>J63=#REF!</f>
        <v>#REF!</v>
      </c>
    </row>
    <row r="64" spans="1:11">
      <c r="A64" s="40" t="s">
        <v>65</v>
      </c>
      <c r="B64" s="41"/>
      <c r="C64" s="41"/>
      <c r="D64" s="41"/>
      <c r="E64" s="41"/>
      <c r="F64" s="41"/>
      <c r="G64" s="41"/>
      <c r="H64" s="41"/>
      <c r="I64" s="41"/>
      <c r="J64" s="42"/>
      <c r="K64" s="180"/>
    </row>
    <row r="65" spans="1:11">
      <c r="A65" s="151" t="str">
        <f>+A63</f>
        <v>SEPTEMBRE</v>
      </c>
      <c r="B65" s="43" t="s">
        <v>66</v>
      </c>
      <c r="C65" s="44" t="e">
        <f>#REF!</f>
        <v>#REF!</v>
      </c>
      <c r="D65" s="56"/>
      <c r="E65" s="56" t="e">
        <f>#REF!</f>
        <v>#REF!</v>
      </c>
      <c r="F65" s="56"/>
      <c r="G65" s="154"/>
      <c r="H65" s="58" t="e">
        <f>+#REF!</f>
        <v>#REF!</v>
      </c>
      <c r="I65" s="155" t="e">
        <f>+#REF!</f>
        <v>#REF!</v>
      </c>
      <c r="J65" s="51" t="e">
        <f>+SUM(C65:G65)-(H65+I65)</f>
        <v>#REF!</v>
      </c>
      <c r="K65" s="181" t="e">
        <f>J65=#REF!</f>
        <v>#REF!</v>
      </c>
    </row>
    <row r="66" spans="1:11">
      <c r="A66" s="49" t="s">
        <v>67</v>
      </c>
      <c r="B66" s="30"/>
      <c r="C66" s="41"/>
      <c r="D66" s="30"/>
      <c r="E66" s="30"/>
      <c r="F66" s="30"/>
      <c r="G66" s="30"/>
      <c r="H66" s="30"/>
      <c r="I66" s="30"/>
      <c r="J66" s="42"/>
      <c r="K66" s="180"/>
    </row>
    <row r="67" spans="1:11">
      <c r="A67" s="151" t="str">
        <f>+A65</f>
        <v>SEPTEMBRE</v>
      </c>
      <c r="B67" s="43" t="s">
        <v>68</v>
      </c>
      <c r="C67" s="154" t="e">
        <f>#REF!</f>
        <v>#REF!</v>
      </c>
      <c r="D67" s="161"/>
      <c r="E67" s="56"/>
      <c r="F67" s="56"/>
      <c r="G67" s="56"/>
      <c r="H67" s="58" t="e">
        <f>+#REF!</f>
        <v>#REF!</v>
      </c>
      <c r="I67" s="60" t="e">
        <f>+#REF!</f>
        <v>#REF!</v>
      </c>
      <c r="J67" s="51" t="e">
        <f>+SUM(C67:G67)-(H67+I67)</f>
        <v>#REF!</v>
      </c>
      <c r="K67" s="181" t="e">
        <f>+J67=#REF!</f>
        <v>#REF!</v>
      </c>
    </row>
    <row r="68" spans="1:11">
      <c r="A68" s="151" t="str">
        <f t="shared" ref="A68" si="40">+A67</f>
        <v>SEPTEMBRE</v>
      </c>
      <c r="B68" s="43" t="s">
        <v>69</v>
      </c>
      <c r="C68" s="154" t="e">
        <f>#REF!</f>
        <v>#REF!</v>
      </c>
      <c r="D68" s="56"/>
      <c r="E68" s="55"/>
      <c r="F68" s="55"/>
      <c r="G68" s="55"/>
      <c r="H68" s="38" t="e">
        <f>+#REF!</f>
        <v>#REF!</v>
      </c>
      <c r="I68" s="57" t="e">
        <f>+#REF!</f>
        <v>#REF!</v>
      </c>
      <c r="J68" s="51" t="e">
        <f>SUM(C68:G68)-(H68+I68)</f>
        <v>#REF!</v>
      </c>
      <c r="K68" s="181" t="e">
        <f>+J68=#REF!</f>
        <v>#REF!</v>
      </c>
    </row>
    <row r="69" spans="1:11" ht="15.75">
      <c r="C69" s="173" t="e">
        <f>SUM(C54:C68)</f>
        <v>#REF!</v>
      </c>
      <c r="I69" s="171" t="e">
        <f>SUM(I54:I68)</f>
        <v>#REF!</v>
      </c>
      <c r="J69" s="119" t="e">
        <f>+SUM(J54:J68)</f>
        <v>#REF!</v>
      </c>
      <c r="K69" s="10" t="e">
        <f>J69=#REF!</f>
        <v>#REF!</v>
      </c>
    </row>
    <row r="70" spans="1:11">
      <c r="G70" s="14"/>
    </row>
    <row r="71" spans="1:11">
      <c r="A71" s="21" t="s">
        <v>57</v>
      </c>
      <c r="B71" s="21"/>
      <c r="C71" s="21"/>
      <c r="D71" s="22"/>
      <c r="E71" s="22"/>
      <c r="F71" s="22"/>
      <c r="G71" s="22"/>
      <c r="H71" s="22"/>
      <c r="I71" s="22"/>
    </row>
    <row r="72" spans="1:11">
      <c r="A72" s="23" t="s">
        <v>159</v>
      </c>
      <c r="B72" s="23"/>
      <c r="C72" s="23"/>
      <c r="D72" s="23"/>
      <c r="E72" s="23"/>
      <c r="F72" s="23"/>
      <c r="G72" s="23"/>
      <c r="H72" s="23"/>
      <c r="I72" s="23"/>
      <c r="J72" s="22"/>
    </row>
    <row r="73" spans="1:11">
      <c r="A73" s="24"/>
      <c r="B73" s="25"/>
      <c r="C73" s="26"/>
      <c r="D73" s="26"/>
      <c r="E73" s="26"/>
      <c r="F73" s="26"/>
      <c r="G73" s="26"/>
      <c r="H73" s="25"/>
      <c r="I73" s="25"/>
      <c r="J73" s="23"/>
    </row>
    <row r="74" spans="1:11">
      <c r="A74" s="266" t="s">
        <v>58</v>
      </c>
      <c r="B74" s="268" t="s">
        <v>59</v>
      </c>
      <c r="C74" s="270" t="s">
        <v>158</v>
      </c>
      <c r="D74" s="272" t="s">
        <v>60</v>
      </c>
      <c r="E74" s="273"/>
      <c r="F74" s="273"/>
      <c r="G74" s="274"/>
      <c r="H74" s="275" t="s">
        <v>61</v>
      </c>
      <c r="I74" s="262" t="s">
        <v>62</v>
      </c>
      <c r="J74" s="25"/>
    </row>
    <row r="75" spans="1:11">
      <c r="A75" s="267"/>
      <c r="B75" s="269"/>
      <c r="C75" s="271"/>
      <c r="D75" s="27" t="s">
        <v>26</v>
      </c>
      <c r="E75" s="27" t="s">
        <v>27</v>
      </c>
      <c r="F75" s="220" t="s">
        <v>128</v>
      </c>
      <c r="G75" s="27" t="s">
        <v>63</v>
      </c>
      <c r="H75" s="276"/>
      <c r="I75" s="263"/>
      <c r="J75" s="264" t="s">
        <v>160</v>
      </c>
      <c r="K75" s="180"/>
    </row>
    <row r="76" spans="1:11">
      <c r="A76" s="29"/>
      <c r="B76" s="30" t="s">
        <v>64</v>
      </c>
      <c r="C76" s="31"/>
      <c r="D76" s="31"/>
      <c r="E76" s="31"/>
      <c r="F76" s="31"/>
      <c r="G76" s="31"/>
      <c r="H76" s="31"/>
      <c r="I76" s="32"/>
      <c r="J76" s="265"/>
      <c r="K76" s="180"/>
    </row>
    <row r="77" spans="1:11">
      <c r="A77" s="151" t="s">
        <v>157</v>
      </c>
      <c r="B77" s="156" t="s">
        <v>52</v>
      </c>
      <c r="C77" s="38" t="e">
        <f>#REF!</f>
        <v>#REF!</v>
      </c>
      <c r="D77" s="37"/>
      <c r="E77" s="38" t="e">
        <f>+#REF!</f>
        <v>#REF!</v>
      </c>
      <c r="F77" s="38"/>
      <c r="G77" s="38"/>
      <c r="H77" s="62" t="e">
        <f>+#REF!</f>
        <v>#REF!</v>
      </c>
      <c r="I77" s="38" t="e">
        <f>+#REF!</f>
        <v>#REF!</v>
      </c>
      <c r="J77" s="36" t="e">
        <f t="shared" ref="J77:J78" si="41">+SUM(C77:G77)-(H77+I77)</f>
        <v>#REF!</v>
      </c>
      <c r="K77" s="181" t="e">
        <f>J77=#REF!</f>
        <v>#REF!</v>
      </c>
    </row>
    <row r="78" spans="1:11">
      <c r="A78" s="151" t="s">
        <v>157</v>
      </c>
      <c r="B78" s="156" t="s">
        <v>33</v>
      </c>
      <c r="C78" s="38" t="e">
        <f>#REF!</f>
        <v>#REF!</v>
      </c>
      <c r="D78" s="37"/>
      <c r="E78" s="38" t="e">
        <f>+#REF!</f>
        <v>#REF!</v>
      </c>
      <c r="F78" s="38"/>
      <c r="G78" s="38"/>
      <c r="H78" s="62" t="e">
        <f>+#REF!</f>
        <v>#REF!</v>
      </c>
      <c r="I78" s="38" t="e">
        <f>+#REF!</f>
        <v>#REF!</v>
      </c>
      <c r="J78" s="114" t="e">
        <f t="shared" si="41"/>
        <v>#REF!</v>
      </c>
      <c r="K78" s="181" t="e">
        <f>J78=#REF!</f>
        <v>#REF!</v>
      </c>
    </row>
    <row r="79" spans="1:11">
      <c r="A79" s="151" t="s">
        <v>157</v>
      </c>
      <c r="B79" s="157" t="s">
        <v>163</v>
      </c>
      <c r="C79" s="38" t="e">
        <f>#REF!</f>
        <v>#REF!</v>
      </c>
      <c r="D79" s="148"/>
      <c r="E79" s="38">
        <v>30000</v>
      </c>
      <c r="F79" s="58">
        <v>240000</v>
      </c>
      <c r="G79" s="58"/>
      <c r="H79" s="62" t="e">
        <f>+#REF!</f>
        <v>#REF!</v>
      </c>
      <c r="I79" s="38" t="e">
        <f>+#REF!</f>
        <v>#REF!</v>
      </c>
      <c r="J79" s="153" t="e">
        <f>+SUM(C79:G79)-(H79+I79)</f>
        <v>#REF!</v>
      </c>
      <c r="K79" s="181" t="e">
        <f>J79=#REF!</f>
        <v>#REF!</v>
      </c>
    </row>
    <row r="80" spans="1:11">
      <c r="A80" s="151" t="s">
        <v>157</v>
      </c>
      <c r="B80" s="158" t="s">
        <v>89</v>
      </c>
      <c r="C80" s="149" t="e">
        <f>#REF!</f>
        <v>#REF!</v>
      </c>
      <c r="D80" s="152"/>
      <c r="E80" s="149" t="e">
        <f>+#REF!</f>
        <v>#REF!</v>
      </c>
      <c r="F80" s="167"/>
      <c r="G80" s="167"/>
      <c r="H80" s="233" t="e">
        <f>+#REF!</f>
        <v>#REF!</v>
      </c>
      <c r="I80" s="149" t="e">
        <f>+#REF!</f>
        <v>#REF!</v>
      </c>
      <c r="J80" s="150" t="e">
        <f>+SUM(C80:G80)-(H80+I80)</f>
        <v>#REF!</v>
      </c>
      <c r="K80" s="181" t="e">
        <f>J80=#REF!</f>
        <v>#REF!</v>
      </c>
    </row>
    <row r="81" spans="1:15">
      <c r="A81" s="151" t="s">
        <v>157</v>
      </c>
      <c r="B81" s="158" t="s">
        <v>88</v>
      </c>
      <c r="C81" s="149" t="e">
        <f>#REF!</f>
        <v>#REF!</v>
      </c>
      <c r="D81" s="152"/>
      <c r="E81" s="149" t="e">
        <f>+#REF!</f>
        <v>#REF!</v>
      </c>
      <c r="F81" s="167"/>
      <c r="G81" s="167"/>
      <c r="H81" s="233" t="e">
        <f>+#REF!</f>
        <v>#REF!</v>
      </c>
      <c r="I81" s="149" t="e">
        <f>+#REF!</f>
        <v>#REF!</v>
      </c>
      <c r="J81" s="150" t="e">
        <f t="shared" ref="J81:J87" si="42">+SUM(C81:G81)-(H81+I81)</f>
        <v>#REF!</v>
      </c>
      <c r="K81" s="181" t="e">
        <f>J81=#REF!</f>
        <v>#REF!</v>
      </c>
    </row>
    <row r="82" spans="1:15">
      <c r="A82" s="151" t="s">
        <v>157</v>
      </c>
      <c r="B82" s="156" t="s">
        <v>162</v>
      </c>
      <c r="C82" s="38" t="e">
        <f>#REF!</f>
        <v>#REF!</v>
      </c>
      <c r="D82" s="37"/>
      <c r="E82" s="38" t="e">
        <f>+#REF!</f>
        <v>#REF!</v>
      </c>
      <c r="F82" s="38"/>
      <c r="G82" s="118"/>
      <c r="H82" s="62" t="e">
        <f>+#REF!</f>
        <v>#REF!</v>
      </c>
      <c r="I82" s="38" t="e">
        <f>+#REF!</f>
        <v>#REF!</v>
      </c>
      <c r="J82" s="36" t="e">
        <f t="shared" si="42"/>
        <v>#REF!</v>
      </c>
      <c r="K82" s="181" t="e">
        <f>J82=#REF!</f>
        <v>#REF!</v>
      </c>
    </row>
    <row r="83" spans="1:15">
      <c r="A83" s="151" t="s">
        <v>157</v>
      </c>
      <c r="B83" s="156" t="s">
        <v>32</v>
      </c>
      <c r="C83" s="38" t="e">
        <f>#REF!</f>
        <v>#REF!</v>
      </c>
      <c r="D83" s="37"/>
      <c r="E83" s="38" t="e">
        <f>+#REF!</f>
        <v>#REF!</v>
      </c>
      <c r="F83" s="38"/>
      <c r="G83" s="118"/>
      <c r="H83" s="62" t="e">
        <f>+#REF!</f>
        <v>#REF!</v>
      </c>
      <c r="I83" s="38" t="e">
        <f>+#REF!</f>
        <v>#REF!</v>
      </c>
      <c r="J83" s="36" t="e">
        <f t="shared" si="42"/>
        <v>#REF!</v>
      </c>
      <c r="K83" s="181" t="e">
        <f>J83=#REF!</f>
        <v>#REF!</v>
      </c>
    </row>
    <row r="84" spans="1:15">
      <c r="A84" s="151" t="s">
        <v>157</v>
      </c>
      <c r="B84" s="156" t="s">
        <v>38</v>
      </c>
      <c r="C84" s="38" t="e">
        <f>#REF!</f>
        <v>#REF!</v>
      </c>
      <c r="D84" s="37"/>
      <c r="E84" s="38">
        <v>15000</v>
      </c>
      <c r="F84" s="38">
        <v>496625</v>
      </c>
      <c r="G84" s="118"/>
      <c r="H84" s="62" t="e">
        <f>+#REF!</f>
        <v>#REF!</v>
      </c>
      <c r="I84" s="38" t="e">
        <f>+#REF!</f>
        <v>#REF!</v>
      </c>
      <c r="J84" s="36" t="e">
        <f t="shared" si="42"/>
        <v>#REF!</v>
      </c>
      <c r="K84" s="181" t="e">
        <f>J84=#REF!</f>
        <v>#REF!</v>
      </c>
    </row>
    <row r="85" spans="1:15">
      <c r="A85" s="151" t="s">
        <v>157</v>
      </c>
      <c r="B85" s="156" t="s">
        <v>98</v>
      </c>
      <c r="C85" s="38" t="e">
        <f>#REF!</f>
        <v>#REF!</v>
      </c>
      <c r="D85" s="37"/>
      <c r="E85" s="38" t="e">
        <f>+#REF!</f>
        <v>#REF!</v>
      </c>
      <c r="F85" s="38"/>
      <c r="G85" s="118"/>
      <c r="H85" s="62" t="e">
        <f>+#REF!</f>
        <v>#REF!</v>
      </c>
      <c r="I85" s="38" t="e">
        <f>+#REF!</f>
        <v>#REF!</v>
      </c>
      <c r="J85" s="36" t="e">
        <f t="shared" si="42"/>
        <v>#REF!</v>
      </c>
      <c r="K85" s="181" t="e">
        <f>J85=#REF!</f>
        <v>#REF!</v>
      </c>
    </row>
    <row r="86" spans="1:15">
      <c r="A86" s="151" t="s">
        <v>157</v>
      </c>
      <c r="B86" s="156" t="s">
        <v>31</v>
      </c>
      <c r="C86" s="38" t="e">
        <f>#REF!</f>
        <v>#REF!</v>
      </c>
      <c r="D86" s="37"/>
      <c r="E86" s="38" t="e">
        <f>+#REF!</f>
        <v>#REF!</v>
      </c>
      <c r="F86" s="38"/>
      <c r="G86" s="118"/>
      <c r="H86" s="62" t="e">
        <f>+#REF!</f>
        <v>#REF!</v>
      </c>
      <c r="I86" s="38" t="e">
        <f>+#REF!</f>
        <v>#REF!</v>
      </c>
      <c r="J86" s="36" t="e">
        <f t="shared" ref="J86" si="43">+SUM(C86:G86)-(H86+I86)</f>
        <v>#REF!</v>
      </c>
      <c r="K86" s="181" t="e">
        <f>J86=#REF!</f>
        <v>#REF!</v>
      </c>
    </row>
    <row r="87" spans="1:15">
      <c r="A87" s="151" t="s">
        <v>157</v>
      </c>
      <c r="B87" s="157" t="s">
        <v>118</v>
      </c>
      <c r="C87" s="38" t="e">
        <f>#REF!</f>
        <v>#REF!</v>
      </c>
      <c r="D87" s="148"/>
      <c r="E87" s="38" t="e">
        <f>+#REF!</f>
        <v>#REF!</v>
      </c>
      <c r="F87" s="58"/>
      <c r="G87" s="168"/>
      <c r="H87" s="62" t="e">
        <f>+#REF!</f>
        <v>#REF!</v>
      </c>
      <c r="I87" s="38" t="e">
        <f>+#REF!</f>
        <v>#REF!</v>
      </c>
      <c r="J87" s="36" t="e">
        <f t="shared" si="42"/>
        <v>#REF!</v>
      </c>
      <c r="K87" s="181" t="e">
        <f>J87=#REF!</f>
        <v>#REF!</v>
      </c>
    </row>
    <row r="88" spans="1:15">
      <c r="A88" s="40" t="s">
        <v>65</v>
      </c>
      <c r="B88" s="41"/>
      <c r="C88" s="41"/>
      <c r="D88" s="41"/>
      <c r="E88" s="41"/>
      <c r="F88" s="41"/>
      <c r="G88" s="41"/>
      <c r="H88" s="41"/>
      <c r="I88" s="41"/>
      <c r="J88" s="42"/>
      <c r="K88" s="180"/>
    </row>
    <row r="89" spans="1:15">
      <c r="A89" s="151" t="s">
        <v>157</v>
      </c>
      <c r="B89" s="43" t="s">
        <v>66</v>
      </c>
      <c r="C89" s="44" t="e">
        <f>#REF!</f>
        <v>#REF!</v>
      </c>
      <c r="D89" s="56">
        <v>4000000</v>
      </c>
      <c r="E89" s="117"/>
      <c r="F89" s="56"/>
      <c r="G89" s="154">
        <v>15000</v>
      </c>
      <c r="H89" s="58" t="e">
        <f>+#REF!</f>
        <v>#REF!</v>
      </c>
      <c r="I89" s="155" t="e">
        <f>+#REF!</f>
        <v>#REF!</v>
      </c>
      <c r="J89" s="51" t="e">
        <f>+SUM(C89:G89)-(H89+I89)</f>
        <v>#REF!</v>
      </c>
      <c r="K89" s="181" t="e">
        <f>J89=#REF!</f>
        <v>#REF!</v>
      </c>
    </row>
    <row r="90" spans="1:15">
      <c r="A90" s="49" t="s">
        <v>67</v>
      </c>
      <c r="B90" s="30"/>
      <c r="C90" s="41"/>
      <c r="D90" s="30"/>
      <c r="E90" s="30"/>
      <c r="F90" s="30"/>
      <c r="G90" s="30"/>
      <c r="H90" s="30"/>
      <c r="I90" s="30"/>
      <c r="J90" s="42"/>
      <c r="K90" s="180"/>
    </row>
    <row r="91" spans="1:15">
      <c r="A91" s="151" t="s">
        <v>157</v>
      </c>
      <c r="B91" s="43" t="s">
        <v>68</v>
      </c>
      <c r="C91" s="154" t="e">
        <f>#REF!</f>
        <v>#REF!</v>
      </c>
      <c r="D91" s="161"/>
      <c r="E91" s="56"/>
      <c r="F91" s="56"/>
      <c r="G91" s="56"/>
      <c r="H91" s="58" t="e">
        <f>+#REF!</f>
        <v>#REF!</v>
      </c>
      <c r="I91" s="60" t="e">
        <f>+#REF!</f>
        <v>#REF!</v>
      </c>
      <c r="J91" s="51" t="e">
        <f>+SUM(C91:G91)-(H91+I91)</f>
        <v>#REF!</v>
      </c>
      <c r="K91" s="181" t="e">
        <f>+J91=#REF!</f>
        <v>#REF!</v>
      </c>
    </row>
    <row r="92" spans="1:15">
      <c r="A92" s="151" t="s">
        <v>157</v>
      </c>
      <c r="B92" s="43" t="s">
        <v>69</v>
      </c>
      <c r="C92" s="154" t="e">
        <f>#REF!</f>
        <v>#REF!</v>
      </c>
      <c r="D92" s="56"/>
      <c r="E92" s="55"/>
      <c r="F92" s="55"/>
      <c r="G92" s="55"/>
      <c r="H92" s="38" t="e">
        <f>+#REF!</f>
        <v>#REF!</v>
      </c>
      <c r="I92" s="57" t="e">
        <f>+#REF!</f>
        <v>#REF!</v>
      </c>
      <c r="J92" s="51" t="e">
        <f>SUM(C92:G92)-(H92+I92)</f>
        <v>#REF!</v>
      </c>
      <c r="K92" s="181" t="e">
        <f>+J92=#REF!</f>
        <v>#REF!</v>
      </c>
    </row>
    <row r="93" spans="1:15" ht="15.75">
      <c r="C93" s="173" t="e">
        <f>SUM(C77:C92)</f>
        <v>#REF!</v>
      </c>
      <c r="I93" s="171" t="e">
        <f>SUM(I77:I92)</f>
        <v>#REF!</v>
      </c>
      <c r="J93" s="119" t="e">
        <f>+SUM(J77:J92)</f>
        <v>#REF!</v>
      </c>
      <c r="K93" s="10" t="e">
        <f>J93=#REF!</f>
        <v>#REF!</v>
      </c>
    </row>
    <row r="94" spans="1:15" s="197" customFormat="1" ht="16.5">
      <c r="A94" s="19"/>
      <c r="B94" s="201"/>
      <c r="C94" s="200"/>
      <c r="D94" s="200"/>
      <c r="E94" s="199"/>
      <c r="F94" s="200"/>
      <c r="G94" s="200" t="e">
        <f>+#REF!-J93</f>
        <v>#REF!</v>
      </c>
      <c r="H94" s="200"/>
      <c r="I94" s="200"/>
      <c r="L94" s="198"/>
      <c r="M94" s="198"/>
      <c r="N94" s="198"/>
      <c r="O94" s="198"/>
    </row>
    <row r="95" spans="1:15">
      <c r="A95" s="21" t="s">
        <v>57</v>
      </c>
      <c r="B95" s="21"/>
      <c r="C95" s="21"/>
      <c r="D95" s="22"/>
      <c r="E95" s="22"/>
      <c r="F95" s="22"/>
      <c r="G95" s="22"/>
      <c r="H95" s="22"/>
      <c r="I95" s="22"/>
    </row>
    <row r="96" spans="1:15">
      <c r="A96" s="23" t="s">
        <v>154</v>
      </c>
      <c r="B96" s="23"/>
      <c r="C96" s="23"/>
      <c r="D96" s="23"/>
      <c r="E96" s="23"/>
      <c r="F96" s="23"/>
      <c r="G96" s="23"/>
      <c r="H96" s="23"/>
      <c r="I96" s="23"/>
      <c r="J96" s="22"/>
    </row>
    <row r="97" spans="1:11">
      <c r="A97" s="24"/>
      <c r="B97" s="25"/>
      <c r="C97" s="26"/>
      <c r="D97" s="26"/>
      <c r="E97" s="26"/>
      <c r="F97" s="26"/>
      <c r="G97" s="26"/>
      <c r="H97" s="25"/>
      <c r="I97" s="25"/>
      <c r="J97" s="23"/>
    </row>
    <row r="98" spans="1:11">
      <c r="A98" s="266" t="s">
        <v>58</v>
      </c>
      <c r="B98" s="268" t="s">
        <v>59</v>
      </c>
      <c r="C98" s="270" t="s">
        <v>155</v>
      </c>
      <c r="D98" s="272" t="s">
        <v>60</v>
      </c>
      <c r="E98" s="273"/>
      <c r="F98" s="273"/>
      <c r="G98" s="274"/>
      <c r="H98" s="275" t="s">
        <v>61</v>
      </c>
      <c r="I98" s="262" t="s">
        <v>62</v>
      </c>
      <c r="J98" s="25"/>
    </row>
    <row r="99" spans="1:11">
      <c r="A99" s="267"/>
      <c r="B99" s="269"/>
      <c r="C99" s="271"/>
      <c r="D99" s="27" t="s">
        <v>26</v>
      </c>
      <c r="E99" s="27" t="s">
        <v>27</v>
      </c>
      <c r="F99" s="196" t="s">
        <v>128</v>
      </c>
      <c r="G99" s="27" t="s">
        <v>63</v>
      </c>
      <c r="H99" s="276"/>
      <c r="I99" s="263"/>
      <c r="J99" s="264" t="s">
        <v>156</v>
      </c>
      <c r="K99" s="180"/>
    </row>
    <row r="100" spans="1:11">
      <c r="A100" s="29"/>
      <c r="B100" s="30" t="s">
        <v>64</v>
      </c>
      <c r="C100" s="31"/>
      <c r="D100" s="31"/>
      <c r="E100" s="31"/>
      <c r="F100" s="31"/>
      <c r="G100" s="31"/>
      <c r="H100" s="31"/>
      <c r="I100" s="32"/>
      <c r="J100" s="265"/>
      <c r="K100" s="180"/>
    </row>
    <row r="101" spans="1:11">
      <c r="A101" s="151" t="s">
        <v>77</v>
      </c>
      <c r="B101" s="156" t="s">
        <v>52</v>
      </c>
      <c r="C101" s="38" t="e">
        <f>#REF!</f>
        <v>#REF!</v>
      </c>
      <c r="D101" s="37"/>
      <c r="E101" s="38">
        <v>970765</v>
      </c>
      <c r="F101" s="38"/>
      <c r="G101" s="38"/>
      <c r="H101" s="62">
        <v>0</v>
      </c>
      <c r="I101" s="38">
        <v>980165</v>
      </c>
      <c r="J101" s="36" t="e">
        <f t="shared" ref="J101:J102" si="44">+SUM(C101:G101)-(H101+I101)</f>
        <v>#REF!</v>
      </c>
      <c r="K101" s="181" t="e">
        <f>J101=#REF!</f>
        <v>#REF!</v>
      </c>
    </row>
    <row r="102" spans="1:11">
      <c r="A102" s="151" t="s">
        <v>77</v>
      </c>
      <c r="B102" s="156" t="s">
        <v>33</v>
      </c>
      <c r="C102" s="38" t="e">
        <f>#REF!</f>
        <v>#REF!</v>
      </c>
      <c r="D102" s="37"/>
      <c r="E102" s="38">
        <v>58000</v>
      </c>
      <c r="F102" s="38"/>
      <c r="G102" s="38"/>
      <c r="H102" s="38">
        <v>0</v>
      </c>
      <c r="I102" s="38">
        <v>59500</v>
      </c>
      <c r="J102" s="114" t="e">
        <f t="shared" si="44"/>
        <v>#REF!</v>
      </c>
      <c r="K102" s="181" t="e">
        <f>J102=#REF!</f>
        <v>#REF!</v>
      </c>
    </row>
    <row r="103" spans="1:11">
      <c r="A103" s="151" t="s">
        <v>77</v>
      </c>
      <c r="B103" s="157" t="s">
        <v>32</v>
      </c>
      <c r="C103" s="38" t="e">
        <f>#REF!</f>
        <v>#REF!</v>
      </c>
      <c r="D103" s="148"/>
      <c r="E103" s="58">
        <v>557150</v>
      </c>
      <c r="F103" s="58"/>
      <c r="G103" s="58"/>
      <c r="H103" s="58">
        <v>0</v>
      </c>
      <c r="I103" s="58">
        <v>556650</v>
      </c>
      <c r="J103" s="153" t="e">
        <f>+SUM(C103:G103)-(H103+I103)</f>
        <v>#REF!</v>
      </c>
      <c r="K103" s="181" t="e">
        <f>J103=#REF!</f>
        <v>#REF!</v>
      </c>
    </row>
    <row r="104" spans="1:11">
      <c r="A104" s="151" t="s">
        <v>77</v>
      </c>
      <c r="B104" s="158" t="s">
        <v>89</v>
      </c>
      <c r="C104" s="149" t="e">
        <f>#REF!</f>
        <v>#REF!</v>
      </c>
      <c r="D104" s="152"/>
      <c r="E104" s="167"/>
      <c r="F104" s="167"/>
      <c r="G104" s="167"/>
      <c r="H104" s="167">
        <v>0</v>
      </c>
      <c r="I104" s="167">
        <v>0</v>
      </c>
      <c r="J104" s="150" t="e">
        <f>+SUM(C104:G104)-(H104+I104)</f>
        <v>#REF!</v>
      </c>
      <c r="K104" s="181" t="e">
        <f>J104=#REF!</f>
        <v>#REF!</v>
      </c>
    </row>
    <row r="105" spans="1:11">
      <c r="A105" s="151" t="s">
        <v>77</v>
      </c>
      <c r="B105" s="158" t="s">
        <v>88</v>
      </c>
      <c r="C105" s="149" t="e">
        <f>#REF!</f>
        <v>#REF!</v>
      </c>
      <c r="D105" s="152"/>
      <c r="E105" s="167"/>
      <c r="F105" s="167"/>
      <c r="G105" s="167"/>
      <c r="H105" s="167">
        <v>0</v>
      </c>
      <c r="I105" s="167">
        <v>0</v>
      </c>
      <c r="J105" s="150" t="e">
        <f t="shared" ref="J105:J110" si="45">+SUM(C105:G105)-(H105+I105)</f>
        <v>#REF!</v>
      </c>
      <c r="K105" s="181" t="e">
        <f>J105=#REF!</f>
        <v>#REF!</v>
      </c>
    </row>
    <row r="106" spans="1:11">
      <c r="A106" s="151" t="s">
        <v>77</v>
      </c>
      <c r="B106" s="156" t="s">
        <v>38</v>
      </c>
      <c r="C106" s="38" t="e">
        <f>#REF!</f>
        <v>#REF!</v>
      </c>
      <c r="D106" s="37"/>
      <c r="E106" s="38">
        <v>941000</v>
      </c>
      <c r="F106" s="38"/>
      <c r="G106" s="118"/>
      <c r="H106" s="118">
        <v>0</v>
      </c>
      <c r="I106" s="38">
        <v>1084725</v>
      </c>
      <c r="J106" s="36" t="e">
        <f t="shared" si="45"/>
        <v>#REF!</v>
      </c>
      <c r="K106" s="181" t="e">
        <f>J106=#REF!</f>
        <v>#REF!</v>
      </c>
    </row>
    <row r="107" spans="1:11">
      <c r="A107" s="151" t="s">
        <v>77</v>
      </c>
      <c r="B107" s="156" t="s">
        <v>98</v>
      </c>
      <c r="C107" s="38" t="e">
        <f>#REF!</f>
        <v>#REF!</v>
      </c>
      <c r="D107" s="37"/>
      <c r="E107" s="38">
        <v>52000</v>
      </c>
      <c r="F107" s="118"/>
      <c r="G107" s="118"/>
      <c r="H107" s="118">
        <v>0</v>
      </c>
      <c r="I107" s="38">
        <v>67000</v>
      </c>
      <c r="J107" s="36" t="e">
        <f t="shared" si="45"/>
        <v>#REF!</v>
      </c>
      <c r="K107" s="181" t="e">
        <f>J107=#REF!</f>
        <v>#REF!</v>
      </c>
    </row>
    <row r="108" spans="1:11">
      <c r="A108" s="151" t="s">
        <v>77</v>
      </c>
      <c r="B108" s="156" t="s">
        <v>31</v>
      </c>
      <c r="C108" s="38" t="e">
        <f>#REF!</f>
        <v>#REF!</v>
      </c>
      <c r="D108" s="37"/>
      <c r="E108" s="38">
        <v>515000</v>
      </c>
      <c r="F108" s="118"/>
      <c r="G108" s="118"/>
      <c r="H108" s="118">
        <v>0</v>
      </c>
      <c r="I108" s="38">
        <v>655500</v>
      </c>
      <c r="J108" s="36" t="e">
        <f t="shared" si="45"/>
        <v>#REF!</v>
      </c>
      <c r="K108" s="181" t="e">
        <f>J108=#REF!</f>
        <v>#REF!</v>
      </c>
    </row>
    <row r="109" spans="1:11">
      <c r="A109" s="151" t="s">
        <v>77</v>
      </c>
      <c r="B109" s="156" t="s">
        <v>34</v>
      </c>
      <c r="C109" s="38" t="e">
        <f>#REF!</f>
        <v>#REF!</v>
      </c>
      <c r="D109" s="37"/>
      <c r="E109" s="38">
        <v>10000</v>
      </c>
      <c r="F109" s="118"/>
      <c r="G109" s="118"/>
      <c r="H109" s="38">
        <v>500</v>
      </c>
      <c r="I109" s="38">
        <v>15300</v>
      </c>
      <c r="J109" s="36" t="e">
        <f t="shared" si="45"/>
        <v>#REF!</v>
      </c>
      <c r="K109" s="181" t="e">
        <f>J109=#REF!</f>
        <v>#REF!</v>
      </c>
    </row>
    <row r="110" spans="1:11">
      <c r="A110" s="151" t="s">
        <v>77</v>
      </c>
      <c r="B110" s="157" t="s">
        <v>118</v>
      </c>
      <c r="C110" s="38" t="e">
        <f>#REF!</f>
        <v>#REF!</v>
      </c>
      <c r="D110" s="148"/>
      <c r="E110" s="58">
        <v>20000</v>
      </c>
      <c r="F110" s="58"/>
      <c r="G110" s="168"/>
      <c r="H110" s="58">
        <v>0</v>
      </c>
      <c r="I110" s="58">
        <v>28000</v>
      </c>
      <c r="J110" s="36" t="e">
        <f t="shared" si="45"/>
        <v>#REF!</v>
      </c>
      <c r="K110" s="181" t="e">
        <f>J110=#REF!</f>
        <v>#REF!</v>
      </c>
    </row>
    <row r="111" spans="1:11">
      <c r="A111" s="40" t="s">
        <v>65</v>
      </c>
      <c r="B111" s="41"/>
      <c r="C111" s="41"/>
      <c r="D111" s="41"/>
      <c r="E111" s="41"/>
      <c r="F111" s="41"/>
      <c r="G111" s="41"/>
      <c r="H111" s="41"/>
      <c r="I111" s="41"/>
      <c r="J111" s="42"/>
      <c r="K111" s="180"/>
    </row>
    <row r="112" spans="1:11">
      <c r="A112" s="151" t="s">
        <v>77</v>
      </c>
      <c r="B112" s="43" t="s">
        <v>66</v>
      </c>
      <c r="C112" s="44" t="e">
        <f>#REF!</f>
        <v>#REF!</v>
      </c>
      <c r="D112" s="56">
        <v>6000500</v>
      </c>
      <c r="E112" s="117"/>
      <c r="F112" s="56"/>
      <c r="G112" s="169"/>
      <c r="H112" s="58">
        <v>3123915</v>
      </c>
      <c r="I112" s="155">
        <v>3367697</v>
      </c>
      <c r="J112" s="51" t="e">
        <f>+SUM(C112:G112)-(H112+I112)</f>
        <v>#REF!</v>
      </c>
      <c r="K112" s="181" t="e">
        <f>J112=#REF!</f>
        <v>#REF!</v>
      </c>
    </row>
    <row r="113" spans="1:15">
      <c r="A113" s="49" t="s">
        <v>67</v>
      </c>
      <c r="B113" s="30"/>
      <c r="C113" s="41"/>
      <c r="D113" s="30"/>
      <c r="E113" s="30"/>
      <c r="F113" s="30"/>
      <c r="G113" s="30"/>
      <c r="H113" s="30"/>
      <c r="I113" s="30"/>
      <c r="J113" s="42"/>
      <c r="K113" s="180"/>
    </row>
    <row r="114" spans="1:15">
      <c r="A114" s="151" t="s">
        <v>77</v>
      </c>
      <c r="B114" s="43" t="s">
        <v>68</v>
      </c>
      <c r="C114" s="154" t="e">
        <f>#REF!</f>
        <v>#REF!</v>
      </c>
      <c r="D114" s="161"/>
      <c r="E114" s="56"/>
      <c r="F114" s="56"/>
      <c r="G114" s="56"/>
      <c r="H114" s="58">
        <v>2000000</v>
      </c>
      <c r="I114" s="60">
        <v>271244</v>
      </c>
      <c r="J114" s="51" t="e">
        <f>+SUM(C114:G114)-(H114+I114)</f>
        <v>#REF!</v>
      </c>
      <c r="K114" s="181" t="e">
        <f>+J114=#REF!</f>
        <v>#REF!</v>
      </c>
    </row>
    <row r="115" spans="1:15">
      <c r="A115" s="151" t="s">
        <v>77</v>
      </c>
      <c r="B115" s="43" t="s">
        <v>69</v>
      </c>
      <c r="C115" s="154" t="e">
        <f>#REF!</f>
        <v>#REF!</v>
      </c>
      <c r="D115" s="56">
        <v>31201251</v>
      </c>
      <c r="E115" s="55"/>
      <c r="F115" s="55"/>
      <c r="G115" s="55"/>
      <c r="H115" s="38">
        <v>4000000</v>
      </c>
      <c r="I115" s="57">
        <v>6204544</v>
      </c>
      <c r="J115" s="51" t="e">
        <f>SUM(C115:G115)-(H115+I115)</f>
        <v>#REF!</v>
      </c>
      <c r="K115" s="181" t="e">
        <f>+J115=#REF!</f>
        <v>#REF!</v>
      </c>
    </row>
    <row r="116" spans="1:15" ht="15.75">
      <c r="C116" s="173" t="e">
        <f>SUM(C101:C115)</f>
        <v>#REF!</v>
      </c>
      <c r="I116" s="171">
        <f>SUM(I101:I115)</f>
        <v>13290325</v>
      </c>
      <c r="J116" s="119" t="e">
        <f>+SUM(J101:J115)</f>
        <v>#REF!</v>
      </c>
      <c r="K116" s="10" t="e">
        <f>J116=#REF!</f>
        <v>#REF!</v>
      </c>
    </row>
    <row r="117" spans="1:15" s="197" customFormat="1" ht="16.5">
      <c r="A117" s="19"/>
      <c r="B117" s="201"/>
      <c r="C117" s="200"/>
      <c r="D117" s="200"/>
      <c r="E117" s="199"/>
      <c r="F117" s="200"/>
      <c r="G117" s="200" t="e">
        <f>+#REF!-J116</f>
        <v>#REF!</v>
      </c>
      <c r="H117" s="200"/>
      <c r="I117" s="200"/>
      <c r="L117" s="198"/>
      <c r="M117" s="198"/>
      <c r="N117" s="198"/>
      <c r="O117" s="198"/>
    </row>
    <row r="118" spans="1:15" ht="16.5">
      <c r="A118" s="19"/>
      <c r="B118" s="20"/>
      <c r="C118" s="17"/>
      <c r="D118" s="17"/>
      <c r="E118" s="18"/>
      <c r="F118" s="17"/>
      <c r="G118" s="17"/>
      <c r="H118" s="17"/>
      <c r="I118" s="17"/>
    </row>
    <row r="119" spans="1:15">
      <c r="A119" s="21" t="s">
        <v>57</v>
      </c>
      <c r="B119" s="21"/>
      <c r="C119" s="21"/>
      <c r="D119" s="22"/>
      <c r="E119" s="22"/>
      <c r="F119" s="22"/>
      <c r="G119" s="22"/>
      <c r="H119" s="22"/>
      <c r="I119" s="22"/>
    </row>
    <row r="120" spans="1:15">
      <c r="A120" s="23" t="s">
        <v>145</v>
      </c>
      <c r="B120" s="23"/>
      <c r="C120" s="23"/>
      <c r="D120" s="23"/>
      <c r="E120" s="23"/>
      <c r="F120" s="23"/>
      <c r="G120" s="23"/>
      <c r="H120" s="23"/>
      <c r="I120" s="23"/>
      <c r="J120" s="22"/>
    </row>
    <row r="121" spans="1:15">
      <c r="A121" s="24"/>
      <c r="B121" s="25"/>
      <c r="C121" s="26"/>
      <c r="D121" s="26"/>
      <c r="E121" s="26"/>
      <c r="F121" s="26"/>
      <c r="G121" s="26"/>
      <c r="H121" s="25"/>
      <c r="I121" s="25"/>
      <c r="J121" s="23"/>
    </row>
    <row r="122" spans="1:15">
      <c r="A122" s="266" t="s">
        <v>58</v>
      </c>
      <c r="B122" s="268" t="s">
        <v>59</v>
      </c>
      <c r="C122" s="270" t="s">
        <v>147</v>
      </c>
      <c r="D122" s="272" t="s">
        <v>60</v>
      </c>
      <c r="E122" s="273"/>
      <c r="F122" s="273"/>
      <c r="G122" s="274"/>
      <c r="H122" s="275" t="s">
        <v>61</v>
      </c>
      <c r="I122" s="262" t="s">
        <v>62</v>
      </c>
      <c r="J122" s="25"/>
    </row>
    <row r="123" spans="1:15">
      <c r="A123" s="267"/>
      <c r="B123" s="269"/>
      <c r="C123" s="271"/>
      <c r="D123" s="27" t="s">
        <v>26</v>
      </c>
      <c r="E123" s="27" t="s">
        <v>27</v>
      </c>
      <c r="F123" s="194" t="s">
        <v>128</v>
      </c>
      <c r="G123" s="27" t="s">
        <v>63</v>
      </c>
      <c r="H123" s="276"/>
      <c r="I123" s="263"/>
      <c r="J123" s="264" t="s">
        <v>146</v>
      </c>
      <c r="K123" s="180"/>
    </row>
    <row r="124" spans="1:15">
      <c r="A124" s="29"/>
      <c r="B124" s="30" t="s">
        <v>64</v>
      </c>
      <c r="C124" s="31"/>
      <c r="D124" s="31"/>
      <c r="E124" s="31"/>
      <c r="F124" s="31"/>
      <c r="G124" s="31"/>
      <c r="H124" s="31"/>
      <c r="I124" s="32"/>
      <c r="J124" s="265"/>
      <c r="K124" s="180"/>
    </row>
    <row r="125" spans="1:15">
      <c r="A125" s="151" t="s">
        <v>148</v>
      </c>
      <c r="B125" s="156" t="s">
        <v>81</v>
      </c>
      <c r="C125" s="38" t="e">
        <f>+#REF!</f>
        <v>#REF!</v>
      </c>
      <c r="D125" s="37"/>
      <c r="E125" s="38">
        <v>114000</v>
      </c>
      <c r="F125" s="38"/>
      <c r="G125" s="38"/>
      <c r="H125" s="62">
        <v>11050</v>
      </c>
      <c r="I125" s="38">
        <v>112000</v>
      </c>
      <c r="J125" s="36" t="e">
        <f>+SUM(C125:G125)-(H125+I125)</f>
        <v>#REF!</v>
      </c>
      <c r="K125" s="181" t="e">
        <f>J125=#REF!</f>
        <v>#REF!</v>
      </c>
    </row>
    <row r="126" spans="1:15">
      <c r="A126" s="151" t="s">
        <v>148</v>
      </c>
      <c r="B126" s="156" t="s">
        <v>52</v>
      </c>
      <c r="C126" s="38" t="e">
        <f t="shared" ref="C126:C136" si="46">+C103</f>
        <v>#REF!</v>
      </c>
      <c r="D126" s="37"/>
      <c r="E126" s="38">
        <v>87350</v>
      </c>
      <c r="F126" s="38">
        <f>60000+62000</f>
        <v>122000</v>
      </c>
      <c r="G126" s="38"/>
      <c r="H126" s="62">
        <v>161395</v>
      </c>
      <c r="I126" s="38">
        <v>281200</v>
      </c>
      <c r="J126" s="36" t="e">
        <f t="shared" ref="J126:J127" si="47">+SUM(C126:G126)-(H126+I126)</f>
        <v>#REF!</v>
      </c>
      <c r="K126" s="181" t="e">
        <f t="shared" ref="K126:K136" si="48">J126=I103</f>
        <v>#REF!</v>
      </c>
    </row>
    <row r="127" spans="1:15">
      <c r="A127" s="151" t="s">
        <v>148</v>
      </c>
      <c r="B127" s="156" t="s">
        <v>33</v>
      </c>
      <c r="C127" s="38" t="e">
        <f t="shared" si="46"/>
        <v>#REF!</v>
      </c>
      <c r="D127" s="37"/>
      <c r="E127" s="38">
        <v>371500</v>
      </c>
      <c r="F127" s="38"/>
      <c r="G127" s="38"/>
      <c r="H127" s="38">
        <f>62000+81500+137000</f>
        <v>280500</v>
      </c>
      <c r="I127" s="38">
        <v>177000</v>
      </c>
      <c r="J127" s="114" t="e">
        <f t="shared" si="47"/>
        <v>#REF!</v>
      </c>
      <c r="K127" s="181" t="e">
        <f t="shared" si="48"/>
        <v>#REF!</v>
      </c>
    </row>
    <row r="128" spans="1:15">
      <c r="A128" s="151" t="s">
        <v>148</v>
      </c>
      <c r="B128" s="156" t="s">
        <v>82</v>
      </c>
      <c r="C128" s="38" t="e">
        <f t="shared" si="46"/>
        <v>#REF!</v>
      </c>
      <c r="D128" s="118"/>
      <c r="E128" s="38">
        <v>35560</v>
      </c>
      <c r="F128" s="38">
        <f>10000+81500</f>
        <v>91500</v>
      </c>
      <c r="G128" s="38"/>
      <c r="H128" s="38">
        <v>35000</v>
      </c>
      <c r="I128" s="38">
        <v>159750</v>
      </c>
      <c r="J128" s="114" t="e">
        <f>+SUM(C128:G128)-(H128+I128)</f>
        <v>#REF!</v>
      </c>
      <c r="K128" s="181" t="e">
        <f t="shared" si="48"/>
        <v>#REF!</v>
      </c>
    </row>
    <row r="129" spans="1:11">
      <c r="A129" s="151" t="s">
        <v>148</v>
      </c>
      <c r="B129" s="157" t="s">
        <v>32</v>
      </c>
      <c r="C129" s="38" t="e">
        <f t="shared" si="46"/>
        <v>#REF!</v>
      </c>
      <c r="D129" s="148"/>
      <c r="E129" s="58">
        <v>372085</v>
      </c>
      <c r="F129" s="58"/>
      <c r="G129" s="58"/>
      <c r="H129" s="58"/>
      <c r="I129" s="58">
        <v>336400</v>
      </c>
      <c r="J129" s="153" t="e">
        <f>+SUM(C129:G129)-(H129+I129)</f>
        <v>#REF!</v>
      </c>
      <c r="K129" s="181" t="e">
        <f t="shared" si="48"/>
        <v>#REF!</v>
      </c>
    </row>
    <row r="130" spans="1:11">
      <c r="A130" s="151" t="s">
        <v>148</v>
      </c>
      <c r="B130" s="158" t="s">
        <v>89</v>
      </c>
      <c r="C130" s="149" t="e">
        <f t="shared" si="46"/>
        <v>#REF!</v>
      </c>
      <c r="D130" s="152"/>
      <c r="E130" s="167"/>
      <c r="F130" s="167"/>
      <c r="G130" s="167"/>
      <c r="H130" s="167"/>
      <c r="I130" s="167"/>
      <c r="J130" s="150" t="e">
        <f>+SUM(C130:G130)-(H130+I130)</f>
        <v>#REF!</v>
      </c>
      <c r="K130" s="181" t="e">
        <f t="shared" si="48"/>
        <v>#REF!</v>
      </c>
    </row>
    <row r="131" spans="1:11">
      <c r="A131" s="151" t="s">
        <v>148</v>
      </c>
      <c r="B131" s="158" t="s">
        <v>88</v>
      </c>
      <c r="C131" s="149" t="e">
        <f t="shared" si="46"/>
        <v>#REF!</v>
      </c>
      <c r="D131" s="152"/>
      <c r="E131" s="167"/>
      <c r="F131" s="167"/>
      <c r="G131" s="167"/>
      <c r="H131" s="167"/>
      <c r="I131" s="167"/>
      <c r="J131" s="150" t="e">
        <f t="shared" ref="J131:J136" si="49">+SUM(C131:G131)-(H131+I131)</f>
        <v>#REF!</v>
      </c>
      <c r="K131" s="181" t="e">
        <f t="shared" si="48"/>
        <v>#REF!</v>
      </c>
    </row>
    <row r="132" spans="1:11">
      <c r="A132" s="151" t="s">
        <v>148</v>
      </c>
      <c r="B132" s="156" t="s">
        <v>38</v>
      </c>
      <c r="C132" s="38" t="e">
        <f t="shared" si="46"/>
        <v>#REF!</v>
      </c>
      <c r="D132" s="37"/>
      <c r="E132" s="38">
        <v>400000</v>
      </c>
      <c r="F132" s="38">
        <v>137000</v>
      </c>
      <c r="G132" s="118"/>
      <c r="H132" s="118"/>
      <c r="I132" s="38">
        <v>563500</v>
      </c>
      <c r="J132" s="36" t="e">
        <f t="shared" si="49"/>
        <v>#REF!</v>
      </c>
      <c r="K132" s="181" t="e">
        <f t="shared" si="48"/>
        <v>#REF!</v>
      </c>
    </row>
    <row r="133" spans="1:11">
      <c r="A133" s="151" t="s">
        <v>148</v>
      </c>
      <c r="B133" s="156" t="s">
        <v>98</v>
      </c>
      <c r="C133" s="38" t="e">
        <f t="shared" si="46"/>
        <v>#REF!</v>
      </c>
      <c r="D133" s="37"/>
      <c r="E133" s="38">
        <v>35000</v>
      </c>
      <c r="F133" s="118"/>
      <c r="G133" s="118"/>
      <c r="H133" s="118"/>
      <c r="I133" s="38">
        <v>23500</v>
      </c>
      <c r="J133" s="36" t="e">
        <f t="shared" si="49"/>
        <v>#REF!</v>
      </c>
      <c r="K133" s="181" t="e">
        <f t="shared" si="48"/>
        <v>#REF!</v>
      </c>
    </row>
    <row r="134" spans="1:11">
      <c r="A134" s="151" t="s">
        <v>148</v>
      </c>
      <c r="B134" s="156" t="s">
        <v>31</v>
      </c>
      <c r="C134" s="38">
        <f t="shared" si="46"/>
        <v>0</v>
      </c>
      <c r="D134" s="37"/>
      <c r="E134" s="38">
        <v>454000</v>
      </c>
      <c r="F134" s="118"/>
      <c r="G134" s="118"/>
      <c r="H134" s="118"/>
      <c r="I134" s="38">
        <v>329100</v>
      </c>
      <c r="J134" s="36">
        <f t="shared" si="49"/>
        <v>124900</v>
      </c>
      <c r="K134" s="181" t="b">
        <f t="shared" si="48"/>
        <v>0</v>
      </c>
    </row>
    <row r="135" spans="1:11">
      <c r="A135" s="151" t="s">
        <v>148</v>
      </c>
      <c r="B135" s="156" t="s">
        <v>34</v>
      </c>
      <c r="C135" s="38" t="e">
        <f t="shared" si="46"/>
        <v>#REF!</v>
      </c>
      <c r="D135" s="37"/>
      <c r="E135" s="38"/>
      <c r="F135" s="118"/>
      <c r="G135" s="118"/>
      <c r="H135" s="38">
        <v>20000</v>
      </c>
      <c r="I135" s="38">
        <v>5000</v>
      </c>
      <c r="J135" s="36" t="e">
        <f t="shared" si="49"/>
        <v>#REF!</v>
      </c>
      <c r="K135" s="181" t="e">
        <f t="shared" si="48"/>
        <v>#REF!</v>
      </c>
    </row>
    <row r="136" spans="1:11">
      <c r="A136" s="151" t="s">
        <v>148</v>
      </c>
      <c r="B136" s="157" t="s">
        <v>118</v>
      </c>
      <c r="C136" s="38">
        <f t="shared" si="46"/>
        <v>0</v>
      </c>
      <c r="D136" s="148"/>
      <c r="E136" s="58">
        <v>231000</v>
      </c>
      <c r="F136" s="58"/>
      <c r="G136" s="168"/>
      <c r="H136" s="58">
        <v>90000</v>
      </c>
      <c r="I136" s="58">
        <v>180000</v>
      </c>
      <c r="J136" s="36">
        <f t="shared" si="49"/>
        <v>-39000</v>
      </c>
      <c r="K136" s="181" t="b">
        <f t="shared" si="48"/>
        <v>0</v>
      </c>
    </row>
    <row r="137" spans="1:11">
      <c r="A137" s="40" t="s">
        <v>65</v>
      </c>
      <c r="B137" s="41"/>
      <c r="C137" s="41"/>
      <c r="D137" s="41"/>
      <c r="E137" s="41"/>
      <c r="F137" s="41"/>
      <c r="G137" s="41"/>
      <c r="H137" s="41"/>
      <c r="I137" s="41"/>
      <c r="J137" s="42"/>
      <c r="K137" s="180"/>
    </row>
    <row r="138" spans="1:11">
      <c r="A138" s="151" t="s">
        <v>148</v>
      </c>
      <c r="B138" s="43" t="s">
        <v>66</v>
      </c>
      <c r="C138" s="44" t="e">
        <f>+C102</f>
        <v>#REF!</v>
      </c>
      <c r="D138" s="56">
        <v>5000000</v>
      </c>
      <c r="E138" s="117"/>
      <c r="F138" s="56">
        <v>217445</v>
      </c>
      <c r="G138" s="169"/>
      <c r="H138" s="160">
        <v>2070495</v>
      </c>
      <c r="I138" s="155">
        <v>3286349</v>
      </c>
      <c r="J138" s="51" t="e">
        <f>+SUM(C138:G138)-(H138+I138)</f>
        <v>#REF!</v>
      </c>
      <c r="K138" s="181" t="e">
        <f>J138=I102</f>
        <v>#REF!</v>
      </c>
    </row>
    <row r="139" spans="1:11">
      <c r="A139" s="49" t="s">
        <v>67</v>
      </c>
      <c r="B139" s="30"/>
      <c r="C139" s="41"/>
      <c r="D139" s="30"/>
      <c r="E139" s="30"/>
      <c r="F139" s="30"/>
      <c r="G139" s="30"/>
      <c r="H139" s="30"/>
      <c r="I139" s="30"/>
      <c r="J139" s="42"/>
      <c r="K139" s="180"/>
    </row>
    <row r="140" spans="1:11">
      <c r="A140" s="151" t="s">
        <v>148</v>
      </c>
      <c r="B140" s="43" t="s">
        <v>68</v>
      </c>
      <c r="C140" s="154" t="e">
        <f>+#REF!</f>
        <v>#REF!</v>
      </c>
      <c r="D140" s="161">
        <v>7900099</v>
      </c>
      <c r="E140" s="56"/>
      <c r="F140" s="56"/>
      <c r="G140" s="56"/>
      <c r="H140" s="58">
        <v>3000000</v>
      </c>
      <c r="I140" s="60">
        <v>379529</v>
      </c>
      <c r="J140" s="51" t="e">
        <f>+SUM(C140:G140)-(H140+I140)</f>
        <v>#REF!</v>
      </c>
      <c r="K140" s="181" t="e">
        <f>+J140=#REF!</f>
        <v>#REF!</v>
      </c>
    </row>
    <row r="141" spans="1:11">
      <c r="A141" s="151" t="s">
        <v>148</v>
      </c>
      <c r="B141" s="43" t="s">
        <v>69</v>
      </c>
      <c r="C141" s="154" t="e">
        <f>+C101</f>
        <v>#REF!</v>
      </c>
      <c r="D141" s="56"/>
      <c r="E141" s="55"/>
      <c r="F141" s="55"/>
      <c r="G141" s="55"/>
      <c r="H141" s="38">
        <v>2000000</v>
      </c>
      <c r="I141" s="57">
        <v>5392233</v>
      </c>
      <c r="J141" s="51" t="e">
        <f>SUM(C141:G141)-(H141+I141)</f>
        <v>#REF!</v>
      </c>
      <c r="K141" s="181" t="e">
        <f>+J141=I101</f>
        <v>#REF!</v>
      </c>
    </row>
    <row r="142" spans="1:11" ht="15.75">
      <c r="C142" s="173" t="e">
        <f>SUM(C125:C141)</f>
        <v>#REF!</v>
      </c>
      <c r="I142" s="171">
        <f>SUM(I125:I141)</f>
        <v>11225561</v>
      </c>
      <c r="J142" s="119" t="e">
        <f>+SUM(J125:J141)</f>
        <v>#REF!</v>
      </c>
      <c r="K142" s="10" t="e">
        <f>J142=I114</f>
        <v>#REF!</v>
      </c>
    </row>
    <row r="143" spans="1:11" ht="16.5">
      <c r="A143" s="19"/>
      <c r="B143" s="20"/>
      <c r="C143" s="17"/>
      <c r="D143" s="17"/>
      <c r="E143" s="18"/>
      <c r="F143" s="17"/>
      <c r="G143" s="17"/>
      <c r="H143" s="17"/>
      <c r="I143" s="17"/>
    </row>
    <row r="144" spans="1:11">
      <c r="A144" s="21" t="s">
        <v>57</v>
      </c>
      <c r="B144" s="21"/>
      <c r="C144" s="21"/>
      <c r="D144" s="22"/>
      <c r="E144" s="22"/>
      <c r="F144" s="22"/>
      <c r="G144" s="22"/>
      <c r="H144" s="22"/>
      <c r="I144" s="22"/>
    </row>
    <row r="145" spans="1:11">
      <c r="A145" s="23" t="s">
        <v>136</v>
      </c>
      <c r="B145" s="23"/>
      <c r="C145" s="23"/>
      <c r="D145" s="23"/>
      <c r="E145" s="23"/>
      <c r="F145" s="23"/>
      <c r="G145" s="23"/>
      <c r="H145" s="23"/>
      <c r="I145" s="23"/>
      <c r="J145" s="22"/>
    </row>
    <row r="146" spans="1:11">
      <c r="A146" s="24"/>
      <c r="B146" s="25"/>
      <c r="C146" s="26"/>
      <c r="D146" s="26"/>
      <c r="E146" s="26"/>
      <c r="F146" s="26"/>
      <c r="G146" s="26"/>
      <c r="H146" s="25"/>
      <c r="I146" s="25"/>
      <c r="J146" s="23"/>
    </row>
    <row r="147" spans="1:11">
      <c r="A147" s="266" t="s">
        <v>58</v>
      </c>
      <c r="B147" s="268" t="s">
        <v>59</v>
      </c>
      <c r="C147" s="270" t="s">
        <v>137</v>
      </c>
      <c r="D147" s="272" t="s">
        <v>60</v>
      </c>
      <c r="E147" s="273"/>
      <c r="F147" s="273"/>
      <c r="G147" s="274"/>
      <c r="H147" s="275" t="s">
        <v>61</v>
      </c>
      <c r="I147" s="262" t="s">
        <v>62</v>
      </c>
      <c r="J147" s="25"/>
    </row>
    <row r="148" spans="1:11">
      <c r="A148" s="267"/>
      <c r="B148" s="269"/>
      <c r="C148" s="271"/>
      <c r="D148" s="27" t="s">
        <v>26</v>
      </c>
      <c r="E148" s="27" t="s">
        <v>27</v>
      </c>
      <c r="F148" s="192" t="s">
        <v>128</v>
      </c>
      <c r="G148" s="27" t="s">
        <v>63</v>
      </c>
      <c r="H148" s="276"/>
      <c r="I148" s="263"/>
      <c r="J148" s="264" t="s">
        <v>138</v>
      </c>
      <c r="K148" s="180"/>
    </row>
    <row r="149" spans="1:11">
      <c r="A149" s="29"/>
      <c r="B149" s="30" t="s">
        <v>64</v>
      </c>
      <c r="C149" s="31"/>
      <c r="D149" s="31"/>
      <c r="E149" s="31"/>
      <c r="F149" s="31"/>
      <c r="G149" s="31"/>
      <c r="H149" s="31"/>
      <c r="I149" s="32"/>
      <c r="J149" s="265"/>
      <c r="K149" s="180"/>
    </row>
    <row r="150" spans="1:11">
      <c r="A150" s="151" t="s">
        <v>139</v>
      </c>
      <c r="B150" s="156" t="s">
        <v>81</v>
      </c>
      <c r="C150" s="38">
        <v>40050</v>
      </c>
      <c r="D150" s="37"/>
      <c r="E150" s="38">
        <v>104000</v>
      </c>
      <c r="F150" s="38"/>
      <c r="G150" s="38"/>
      <c r="H150" s="62">
        <v>54000</v>
      </c>
      <c r="I150" s="38">
        <v>81000</v>
      </c>
      <c r="J150" s="36">
        <f>+SUM(C150:G150)-(H150+I150)</f>
        <v>9050</v>
      </c>
      <c r="K150" s="181" t="e">
        <f>J150=#REF!</f>
        <v>#REF!</v>
      </c>
    </row>
    <row r="151" spans="1:11">
      <c r="A151" s="151" t="s">
        <v>139</v>
      </c>
      <c r="B151" s="156" t="s">
        <v>52</v>
      </c>
      <c r="C151" s="38">
        <v>38845</v>
      </c>
      <c r="D151" s="37"/>
      <c r="E151" s="38">
        <v>1550000</v>
      </c>
      <c r="F151" s="38"/>
      <c r="G151" s="38"/>
      <c r="H151" s="62">
        <v>311000</v>
      </c>
      <c r="I151" s="38">
        <v>1017400</v>
      </c>
      <c r="J151" s="36">
        <f t="shared" ref="J151:J152" si="50">+SUM(C151:G151)-(H151+I151)</f>
        <v>260445</v>
      </c>
      <c r="K151" s="181" t="b">
        <f>J151=I103</f>
        <v>0</v>
      </c>
    </row>
    <row r="152" spans="1:11">
      <c r="A152" s="151" t="s">
        <v>139</v>
      </c>
      <c r="B152" s="156" t="s">
        <v>33</v>
      </c>
      <c r="C152" s="38">
        <v>6895</v>
      </c>
      <c r="D152" s="37"/>
      <c r="E152" s="38">
        <v>581000</v>
      </c>
      <c r="F152" s="38"/>
      <c r="G152" s="38"/>
      <c r="H152" s="38"/>
      <c r="I152" s="38">
        <v>498900</v>
      </c>
      <c r="J152" s="114">
        <f t="shared" si="50"/>
        <v>88995</v>
      </c>
      <c r="K152" s="181" t="b">
        <f>J152=I104</f>
        <v>0</v>
      </c>
    </row>
    <row r="153" spans="1:11">
      <c r="A153" s="151" t="s">
        <v>139</v>
      </c>
      <c r="B153" s="156" t="s">
        <v>82</v>
      </c>
      <c r="C153" s="38">
        <v>28540</v>
      </c>
      <c r="D153" s="118"/>
      <c r="E153" s="38">
        <v>332000</v>
      </c>
      <c r="F153" s="38">
        <v>10000</v>
      </c>
      <c r="G153" s="38"/>
      <c r="H153" s="38"/>
      <c r="I153" s="38">
        <v>302850</v>
      </c>
      <c r="J153" s="114">
        <f>+SUM(C153:G153)-(H153+I153)</f>
        <v>67690</v>
      </c>
      <c r="K153" s="181" t="b">
        <f>J153=I105</f>
        <v>0</v>
      </c>
    </row>
    <row r="154" spans="1:11">
      <c r="A154" s="151" t="s">
        <v>139</v>
      </c>
      <c r="B154" s="156" t="s">
        <v>74</v>
      </c>
      <c r="C154" s="38">
        <v>184</v>
      </c>
      <c r="D154" s="118"/>
      <c r="E154" s="38"/>
      <c r="F154" s="38"/>
      <c r="G154" s="38"/>
      <c r="H154" s="38">
        <v>184</v>
      </c>
      <c r="I154" s="38"/>
      <c r="J154" s="114">
        <f t="shared" ref="J154" si="51">+SUM(C154:G154)-(H154+I154)</f>
        <v>0</v>
      </c>
      <c r="K154" s="181" t="e">
        <f>J154=#REF!</f>
        <v>#REF!</v>
      </c>
    </row>
    <row r="155" spans="1:11">
      <c r="A155" s="151" t="s">
        <v>139</v>
      </c>
      <c r="B155" s="157" t="s">
        <v>32</v>
      </c>
      <c r="C155" s="38">
        <v>68200</v>
      </c>
      <c r="D155" s="148"/>
      <c r="E155" s="58">
        <v>638000</v>
      </c>
      <c r="F155" s="58">
        <v>45000</v>
      </c>
      <c r="G155" s="58"/>
      <c r="H155" s="58"/>
      <c r="I155" s="58">
        <v>787385</v>
      </c>
      <c r="J155" s="153">
        <f>+SUM(C155:G155)-(H155+I155)</f>
        <v>-36185</v>
      </c>
      <c r="K155" s="181" t="b">
        <f t="shared" ref="K155:K162" si="52">J155=I106</f>
        <v>0</v>
      </c>
    </row>
    <row r="156" spans="1:11">
      <c r="A156" s="151" t="s">
        <v>139</v>
      </c>
      <c r="B156" s="158" t="s">
        <v>89</v>
      </c>
      <c r="C156" s="149">
        <v>233614</v>
      </c>
      <c r="D156" s="152"/>
      <c r="E156" s="167"/>
      <c r="F156" s="167"/>
      <c r="G156" s="167"/>
      <c r="H156" s="167"/>
      <c r="I156" s="167"/>
      <c r="J156" s="150">
        <f>+SUM(C156:G156)-(H156+I156)</f>
        <v>233614</v>
      </c>
      <c r="K156" s="181" t="b">
        <f t="shared" si="52"/>
        <v>0</v>
      </c>
    </row>
    <row r="157" spans="1:11">
      <c r="A157" s="151" t="s">
        <v>139</v>
      </c>
      <c r="B157" s="158" t="s">
        <v>88</v>
      </c>
      <c r="C157" s="149">
        <v>249769</v>
      </c>
      <c r="D157" s="152"/>
      <c r="E157" s="167"/>
      <c r="F157" s="167"/>
      <c r="G157" s="167"/>
      <c r="H157" s="167"/>
      <c r="I157" s="167"/>
      <c r="J157" s="150">
        <f t="shared" ref="J157:J162" si="53">+SUM(C157:G157)-(H157+I157)</f>
        <v>249769</v>
      </c>
      <c r="K157" s="181" t="b">
        <f t="shared" si="52"/>
        <v>0</v>
      </c>
    </row>
    <row r="158" spans="1:11">
      <c r="A158" s="151" t="s">
        <v>139</v>
      </c>
      <c r="B158" s="156" t="s">
        <v>38</v>
      </c>
      <c r="C158" s="38">
        <v>-4675</v>
      </c>
      <c r="D158" s="37"/>
      <c r="E158" s="38">
        <v>494000</v>
      </c>
      <c r="F158" s="38">
        <v>256000</v>
      </c>
      <c r="G158" s="118"/>
      <c r="H158" s="118">
        <v>6500</v>
      </c>
      <c r="I158" s="38">
        <v>607250</v>
      </c>
      <c r="J158" s="36">
        <f t="shared" si="53"/>
        <v>131575</v>
      </c>
      <c r="K158" s="181" t="b">
        <f t="shared" si="52"/>
        <v>0</v>
      </c>
    </row>
    <row r="159" spans="1:11">
      <c r="A159" s="151" t="s">
        <v>139</v>
      </c>
      <c r="B159" s="156" t="s">
        <v>98</v>
      </c>
      <c r="C159" s="38">
        <v>5000</v>
      </c>
      <c r="D159" s="37"/>
      <c r="E159" s="38">
        <v>30000</v>
      </c>
      <c r="F159" s="118"/>
      <c r="G159" s="118"/>
      <c r="H159" s="118"/>
      <c r="I159" s="38">
        <v>29500</v>
      </c>
      <c r="J159" s="36">
        <f t="shared" si="53"/>
        <v>5500</v>
      </c>
      <c r="K159" s="181" t="b">
        <f t="shared" si="52"/>
        <v>0</v>
      </c>
    </row>
    <row r="160" spans="1:11">
      <c r="A160" s="151" t="s">
        <v>139</v>
      </c>
      <c r="B160" s="156" t="s">
        <v>31</v>
      </c>
      <c r="C160" s="38">
        <v>72800</v>
      </c>
      <c r="D160" s="37"/>
      <c r="E160" s="38">
        <v>446000</v>
      </c>
      <c r="F160" s="118"/>
      <c r="G160" s="118"/>
      <c r="H160" s="118"/>
      <c r="I160" s="38">
        <v>512600</v>
      </c>
      <c r="J160" s="36">
        <f t="shared" si="53"/>
        <v>6200</v>
      </c>
      <c r="K160" s="181" t="b">
        <f t="shared" si="52"/>
        <v>0</v>
      </c>
    </row>
    <row r="161" spans="1:11">
      <c r="A161" s="151" t="s">
        <v>139</v>
      </c>
      <c r="B161" s="156" t="s">
        <v>34</v>
      </c>
      <c r="C161" s="38">
        <v>47300</v>
      </c>
      <c r="D161" s="37"/>
      <c r="E161" s="38">
        <v>5000</v>
      </c>
      <c r="F161" s="118">
        <v>6500</v>
      </c>
      <c r="G161" s="118"/>
      <c r="H161" s="38">
        <v>20000</v>
      </c>
      <c r="I161" s="38">
        <v>8000</v>
      </c>
      <c r="J161" s="36">
        <f t="shared" si="53"/>
        <v>30800</v>
      </c>
      <c r="K161" s="181" t="b">
        <f t="shared" si="52"/>
        <v>0</v>
      </c>
    </row>
    <row r="162" spans="1:11">
      <c r="A162" s="151" t="s">
        <v>139</v>
      </c>
      <c r="B162" s="157" t="s">
        <v>118</v>
      </c>
      <c r="C162" s="38">
        <v>79600</v>
      </c>
      <c r="D162" s="148"/>
      <c r="E162" s="58"/>
      <c r="F162" s="58"/>
      <c r="G162" s="168"/>
      <c r="H162" s="58"/>
      <c r="I162" s="58">
        <v>37707</v>
      </c>
      <c r="J162" s="36">
        <f t="shared" si="53"/>
        <v>41893</v>
      </c>
      <c r="K162" s="181" t="b">
        <f t="shared" si="52"/>
        <v>0</v>
      </c>
    </row>
    <row r="163" spans="1:11">
      <c r="A163" s="40" t="s">
        <v>65</v>
      </c>
      <c r="B163" s="41"/>
      <c r="C163" s="41"/>
      <c r="D163" s="41"/>
      <c r="E163" s="41"/>
      <c r="F163" s="41"/>
      <c r="G163" s="41"/>
      <c r="H163" s="41"/>
      <c r="I163" s="41"/>
      <c r="J163" s="42"/>
      <c r="K163" s="180"/>
    </row>
    <row r="164" spans="1:11">
      <c r="A164" s="151" t="s">
        <v>139</v>
      </c>
      <c r="B164" s="43" t="s">
        <v>66</v>
      </c>
      <c r="C164" s="44">
        <v>467929</v>
      </c>
      <c r="D164" s="56">
        <v>6310000</v>
      </c>
      <c r="E164" s="117"/>
      <c r="F164" s="56">
        <v>74184</v>
      </c>
      <c r="G164" s="169"/>
      <c r="H164" s="160">
        <v>4180000</v>
      </c>
      <c r="I164" s="155">
        <v>1710965</v>
      </c>
      <c r="J164" s="51">
        <f>+SUM(C164:G164)-(H164+I164)</f>
        <v>961148</v>
      </c>
      <c r="K164" s="181" t="b">
        <f>J164=I102</f>
        <v>0</v>
      </c>
    </row>
    <row r="165" spans="1:11">
      <c r="A165" s="49" t="s">
        <v>67</v>
      </c>
      <c r="B165" s="30"/>
      <c r="C165" s="41"/>
      <c r="D165" s="30"/>
      <c r="E165" s="30"/>
      <c r="F165" s="30"/>
      <c r="G165" s="30"/>
      <c r="H165" s="30"/>
      <c r="I165" s="30"/>
      <c r="J165" s="42"/>
      <c r="K165" s="180"/>
    </row>
    <row r="166" spans="1:11">
      <c r="A166" s="151" t="s">
        <v>139</v>
      </c>
      <c r="B166" s="43" t="s">
        <v>68</v>
      </c>
      <c r="C166" s="154">
        <v>7405927</v>
      </c>
      <c r="D166" s="161"/>
      <c r="E166" s="56"/>
      <c r="F166" s="56"/>
      <c r="G166" s="56"/>
      <c r="H166" s="58">
        <v>2000000</v>
      </c>
      <c r="I166" s="60">
        <v>1710232</v>
      </c>
      <c r="J166" s="51">
        <f>+SUM(C166:G166)-(H166+I166)</f>
        <v>3695695</v>
      </c>
      <c r="K166" s="181" t="e">
        <f>+J166=#REF!</f>
        <v>#REF!</v>
      </c>
    </row>
    <row r="167" spans="1:11">
      <c r="A167" s="151" t="s">
        <v>139</v>
      </c>
      <c r="B167" s="43" t="s">
        <v>69</v>
      </c>
      <c r="C167" s="154">
        <v>22972065</v>
      </c>
      <c r="D167" s="56"/>
      <c r="E167" s="55"/>
      <c r="F167" s="55"/>
      <c r="G167" s="55"/>
      <c r="H167" s="38">
        <v>4310000</v>
      </c>
      <c r="I167" s="57">
        <v>3055511</v>
      </c>
      <c r="J167" s="51">
        <f>SUM(C167:G167)-(H167+I167)</f>
        <v>15606554</v>
      </c>
      <c r="K167" s="181" t="b">
        <f>+J167=I101</f>
        <v>0</v>
      </c>
    </row>
    <row r="168" spans="1:11" ht="15.75">
      <c r="C168" s="173">
        <f>SUM(C150:C167)</f>
        <v>31712043</v>
      </c>
      <c r="I168" s="171">
        <f>SUM(I150:I167)</f>
        <v>10359300</v>
      </c>
      <c r="J168" s="119">
        <f>+SUM(J150:J167)</f>
        <v>21352743</v>
      </c>
      <c r="K168" s="10" t="b">
        <f>J168=I114</f>
        <v>0</v>
      </c>
    </row>
    <row r="169" spans="1:11" ht="16.5">
      <c r="A169" s="19"/>
      <c r="B169" s="20"/>
      <c r="C169" s="17"/>
      <c r="D169" s="17"/>
      <c r="E169" s="18"/>
      <c r="F169" s="17"/>
      <c r="G169" s="17"/>
      <c r="H169" s="17"/>
      <c r="I169" s="17"/>
    </row>
    <row r="170" spans="1:11">
      <c r="A170" s="21" t="s">
        <v>57</v>
      </c>
      <c r="B170" s="21"/>
      <c r="C170" s="21"/>
      <c r="D170" s="22"/>
      <c r="E170" s="22"/>
      <c r="F170" s="22"/>
      <c r="G170" s="22"/>
      <c r="H170" s="22"/>
      <c r="I170" s="22"/>
    </row>
    <row r="171" spans="1:11">
      <c r="A171" s="23" t="s">
        <v>129</v>
      </c>
      <c r="B171" s="23"/>
      <c r="C171" s="23"/>
      <c r="D171" s="23"/>
      <c r="E171" s="23"/>
      <c r="F171" s="23"/>
      <c r="G171" s="23"/>
      <c r="H171" s="23"/>
      <c r="I171" s="23"/>
      <c r="J171" s="22"/>
    </row>
    <row r="172" spans="1:11">
      <c r="A172" s="24"/>
      <c r="B172" s="25"/>
      <c r="C172" s="26"/>
      <c r="D172" s="26"/>
      <c r="E172" s="26"/>
      <c r="F172" s="26"/>
      <c r="G172" s="26"/>
      <c r="H172" s="25"/>
      <c r="I172" s="25"/>
      <c r="J172" s="23"/>
    </row>
    <row r="173" spans="1:11">
      <c r="A173" s="266" t="s">
        <v>58</v>
      </c>
      <c r="B173" s="268" t="s">
        <v>59</v>
      </c>
      <c r="C173" s="270" t="s">
        <v>130</v>
      </c>
      <c r="D173" s="272" t="s">
        <v>60</v>
      </c>
      <c r="E173" s="273"/>
      <c r="F173" s="273"/>
      <c r="G173" s="274"/>
      <c r="H173" s="275" t="s">
        <v>61</v>
      </c>
      <c r="I173" s="262" t="s">
        <v>62</v>
      </c>
      <c r="J173" s="25"/>
    </row>
    <row r="174" spans="1:11">
      <c r="A174" s="267"/>
      <c r="B174" s="269"/>
      <c r="C174" s="271"/>
      <c r="D174" s="27" t="s">
        <v>26</v>
      </c>
      <c r="E174" s="27" t="s">
        <v>27</v>
      </c>
      <c r="F174" s="191" t="s">
        <v>128</v>
      </c>
      <c r="G174" s="27" t="s">
        <v>63</v>
      </c>
      <c r="H174" s="276"/>
      <c r="I174" s="263"/>
      <c r="J174" s="264" t="s">
        <v>131</v>
      </c>
      <c r="K174" s="180"/>
    </row>
    <row r="175" spans="1:11">
      <c r="A175" s="29"/>
      <c r="B175" s="30" t="s">
        <v>64</v>
      </c>
      <c r="C175" s="31"/>
      <c r="D175" s="31"/>
      <c r="E175" s="31"/>
      <c r="F175" s="31"/>
      <c r="G175" s="31"/>
      <c r="H175" s="31"/>
      <c r="I175" s="32"/>
      <c r="J175" s="265"/>
      <c r="K175" s="180"/>
    </row>
    <row r="176" spans="1:11">
      <c r="A176" s="151" t="s">
        <v>132</v>
      </c>
      <c r="B176" s="156" t="s">
        <v>81</v>
      </c>
      <c r="C176" s="38">
        <v>-450</v>
      </c>
      <c r="D176" s="37"/>
      <c r="E176" s="38">
        <v>168000</v>
      </c>
      <c r="F176" s="38">
        <v>55000</v>
      </c>
      <c r="G176" s="38"/>
      <c r="H176" s="62"/>
      <c r="I176" s="38">
        <v>182500</v>
      </c>
      <c r="J176" s="36">
        <f>+SUM(C176:G176)-(H176+I176)</f>
        <v>40050</v>
      </c>
      <c r="K176" s="181"/>
    </row>
    <row r="177" spans="1:11">
      <c r="A177" s="151" t="s">
        <v>132</v>
      </c>
      <c r="B177" s="156" t="s">
        <v>52</v>
      </c>
      <c r="C177" s="38">
        <v>12510</v>
      </c>
      <c r="D177" s="37"/>
      <c r="E177" s="38">
        <v>303000</v>
      </c>
      <c r="F177" s="38"/>
      <c r="G177" s="38"/>
      <c r="H177" s="62"/>
      <c r="I177" s="38">
        <v>276665</v>
      </c>
      <c r="J177" s="36">
        <f t="shared" ref="J177:J178" si="54">+SUM(C177:G177)-(H177+I177)</f>
        <v>38845</v>
      </c>
      <c r="K177" s="181"/>
    </row>
    <row r="178" spans="1:11">
      <c r="A178" s="151" t="s">
        <v>132</v>
      </c>
      <c r="B178" s="156" t="s">
        <v>33</v>
      </c>
      <c r="C178" s="38">
        <v>2895</v>
      </c>
      <c r="D178" s="37"/>
      <c r="E178" s="38">
        <v>40000</v>
      </c>
      <c r="F178" s="38"/>
      <c r="G178" s="38"/>
      <c r="H178" s="38"/>
      <c r="I178" s="38">
        <v>36000</v>
      </c>
      <c r="J178" s="114">
        <f t="shared" si="54"/>
        <v>6895</v>
      </c>
      <c r="K178" s="181"/>
    </row>
    <row r="179" spans="1:11">
      <c r="A179" s="151" t="s">
        <v>132</v>
      </c>
      <c r="B179" s="156" t="s">
        <v>82</v>
      </c>
      <c r="C179" s="38">
        <v>62040</v>
      </c>
      <c r="D179" s="118"/>
      <c r="E179" s="38"/>
      <c r="F179" s="38"/>
      <c r="G179" s="38"/>
      <c r="H179" s="38">
        <v>25000</v>
      </c>
      <c r="I179" s="38">
        <v>8500</v>
      </c>
      <c r="J179" s="114">
        <f>+SUM(C179:G179)-(H179+I179)</f>
        <v>28540</v>
      </c>
      <c r="K179" s="181"/>
    </row>
    <row r="180" spans="1:11">
      <c r="A180" s="151" t="s">
        <v>132</v>
      </c>
      <c r="B180" s="156" t="s">
        <v>74</v>
      </c>
      <c r="C180" s="38">
        <v>184</v>
      </c>
      <c r="D180" s="118"/>
      <c r="E180" s="38">
        <v>0</v>
      </c>
      <c r="F180" s="38"/>
      <c r="G180" s="38"/>
      <c r="H180" s="38"/>
      <c r="I180" s="38">
        <v>0</v>
      </c>
      <c r="J180" s="114">
        <f t="shared" ref="J180" si="55">+SUM(C180:G180)-(H180+I180)</f>
        <v>184</v>
      </c>
      <c r="K180" s="181"/>
    </row>
    <row r="181" spans="1:11">
      <c r="A181" s="151" t="s">
        <v>132</v>
      </c>
      <c r="B181" s="157" t="s">
        <v>32</v>
      </c>
      <c r="C181" s="38">
        <v>-36500</v>
      </c>
      <c r="D181" s="148"/>
      <c r="E181" s="58">
        <v>523500</v>
      </c>
      <c r="F181" s="58"/>
      <c r="G181" s="58"/>
      <c r="H181" s="58"/>
      <c r="I181" s="58">
        <v>418800</v>
      </c>
      <c r="J181" s="153">
        <f>+SUM(C181:G181)-(H181+I181)</f>
        <v>68200</v>
      </c>
      <c r="K181" s="181"/>
    </row>
    <row r="182" spans="1:11">
      <c r="A182" s="151" t="s">
        <v>132</v>
      </c>
      <c r="B182" s="158" t="s">
        <v>89</v>
      </c>
      <c r="C182" s="149">
        <v>233614</v>
      </c>
      <c r="D182" s="152"/>
      <c r="E182" s="167"/>
      <c r="F182" s="167"/>
      <c r="G182" s="167"/>
      <c r="H182" s="167"/>
      <c r="I182" s="167"/>
      <c r="J182" s="150">
        <f>+SUM(C182:G182)-(H182+I182)</f>
        <v>233614</v>
      </c>
      <c r="K182" s="181"/>
    </row>
    <row r="183" spans="1:11">
      <c r="A183" s="151" t="s">
        <v>132</v>
      </c>
      <c r="B183" s="158" t="s">
        <v>88</v>
      </c>
      <c r="C183" s="149">
        <v>249769</v>
      </c>
      <c r="D183" s="152"/>
      <c r="E183" s="167"/>
      <c r="F183" s="167"/>
      <c r="G183" s="167"/>
      <c r="H183" s="167"/>
      <c r="I183" s="167"/>
      <c r="J183" s="150">
        <f t="shared" ref="J183:J188" si="56">+SUM(C183:G183)-(H183+I183)</f>
        <v>249769</v>
      </c>
      <c r="K183" s="181"/>
    </row>
    <row r="184" spans="1:11">
      <c r="A184" s="151" t="s">
        <v>132</v>
      </c>
      <c r="B184" s="156" t="s">
        <v>38</v>
      </c>
      <c r="C184" s="38">
        <v>71200</v>
      </c>
      <c r="D184" s="37"/>
      <c r="E184" s="38">
        <v>1056000</v>
      </c>
      <c r="F184" s="38"/>
      <c r="G184" s="118"/>
      <c r="H184" s="118">
        <v>55000</v>
      </c>
      <c r="I184" s="38">
        <v>1076875</v>
      </c>
      <c r="J184" s="36">
        <f t="shared" si="56"/>
        <v>-4675</v>
      </c>
      <c r="K184" s="181"/>
    </row>
    <row r="185" spans="1:11">
      <c r="A185" s="151" t="s">
        <v>132</v>
      </c>
      <c r="B185" s="156" t="s">
        <v>98</v>
      </c>
      <c r="C185" s="38">
        <v>6000</v>
      </c>
      <c r="D185" s="37"/>
      <c r="E185" s="38">
        <v>20000</v>
      </c>
      <c r="F185" s="118"/>
      <c r="G185" s="118"/>
      <c r="H185" s="118"/>
      <c r="I185" s="38">
        <v>21000</v>
      </c>
      <c r="J185" s="36">
        <f t="shared" si="56"/>
        <v>5000</v>
      </c>
      <c r="K185" s="181"/>
    </row>
    <row r="186" spans="1:11">
      <c r="A186" s="151" t="s">
        <v>132</v>
      </c>
      <c r="B186" s="156" t="s">
        <v>31</v>
      </c>
      <c r="C186" s="38">
        <v>167700</v>
      </c>
      <c r="D186" s="37"/>
      <c r="E186" s="38">
        <v>473000</v>
      </c>
      <c r="F186" s="118"/>
      <c r="G186" s="118"/>
      <c r="H186" s="118"/>
      <c r="I186" s="38">
        <v>567900</v>
      </c>
      <c r="J186" s="36">
        <f t="shared" si="56"/>
        <v>72800</v>
      </c>
      <c r="K186" s="181"/>
    </row>
    <row r="187" spans="1:11">
      <c r="A187" s="151" t="s">
        <v>132</v>
      </c>
      <c r="B187" s="156" t="s">
        <v>34</v>
      </c>
      <c r="C187" s="38">
        <v>65300</v>
      </c>
      <c r="D187" s="37"/>
      <c r="E187" s="38">
        <v>10000</v>
      </c>
      <c r="F187" s="118"/>
      <c r="G187" s="118"/>
      <c r="H187" s="118">
        <v>20000</v>
      </c>
      <c r="I187" s="38">
        <v>8000</v>
      </c>
      <c r="J187" s="36">
        <f t="shared" si="56"/>
        <v>47300</v>
      </c>
      <c r="K187" s="181"/>
    </row>
    <row r="188" spans="1:11">
      <c r="A188" s="151" t="s">
        <v>132</v>
      </c>
      <c r="B188" s="157" t="s">
        <v>118</v>
      </c>
      <c r="C188" s="38">
        <v>-11700</v>
      </c>
      <c r="D188" s="148"/>
      <c r="E188" s="58">
        <v>385800</v>
      </c>
      <c r="F188" s="58"/>
      <c r="G188" s="168"/>
      <c r="H188" s="58"/>
      <c r="I188" s="58">
        <v>294500</v>
      </c>
      <c r="J188" s="36">
        <f t="shared" si="56"/>
        <v>79600</v>
      </c>
      <c r="K188" s="181"/>
    </row>
    <row r="189" spans="1:11">
      <c r="A189" s="40" t="s">
        <v>65</v>
      </c>
      <c r="B189" s="41"/>
      <c r="C189" s="41"/>
      <c r="D189" s="41"/>
      <c r="E189" s="41"/>
      <c r="F189" s="41"/>
      <c r="G189" s="41"/>
      <c r="H189" s="41"/>
      <c r="I189" s="41"/>
      <c r="J189" s="42"/>
      <c r="K189" s="180"/>
    </row>
    <row r="190" spans="1:11">
      <c r="A190" s="151" t="s">
        <v>132</v>
      </c>
      <c r="B190" s="43" t="s">
        <v>66</v>
      </c>
      <c r="C190" s="44">
        <v>1672959</v>
      </c>
      <c r="D190" s="56">
        <v>3341000</v>
      </c>
      <c r="E190" s="117"/>
      <c r="F190" s="117">
        <v>45000</v>
      </c>
      <c r="G190" s="169"/>
      <c r="H190" s="160">
        <v>2979300</v>
      </c>
      <c r="I190" s="155">
        <v>1611730</v>
      </c>
      <c r="J190" s="51">
        <f>+SUM(C190:G190)-(H190+I190)</f>
        <v>467929</v>
      </c>
      <c r="K190" s="181"/>
    </row>
    <row r="191" spans="1:11">
      <c r="A191" s="49" t="s">
        <v>67</v>
      </c>
      <c r="B191" s="30"/>
      <c r="C191" s="41"/>
      <c r="D191" s="30"/>
      <c r="E191" s="30"/>
      <c r="F191" s="30"/>
      <c r="G191" s="30"/>
      <c r="H191" s="30"/>
      <c r="I191" s="30"/>
      <c r="J191" s="42"/>
      <c r="K191" s="180"/>
    </row>
    <row r="192" spans="1:11">
      <c r="A192" s="151" t="s">
        <v>132</v>
      </c>
      <c r="B192" s="43" t="s">
        <v>68</v>
      </c>
      <c r="C192" s="154">
        <v>2957378</v>
      </c>
      <c r="D192" s="161">
        <v>7828953</v>
      </c>
      <c r="E192" s="56"/>
      <c r="F192" s="56"/>
      <c r="G192" s="56"/>
      <c r="H192" s="58">
        <v>3000000</v>
      </c>
      <c r="I192" s="60">
        <v>380404</v>
      </c>
      <c r="J192" s="51">
        <f>+SUM(C192:G192)-(H192+I192)</f>
        <v>7405927</v>
      </c>
      <c r="K192" s="181"/>
    </row>
    <row r="193" spans="1:11">
      <c r="A193" s="151" t="s">
        <v>132</v>
      </c>
      <c r="B193" s="43" t="s">
        <v>69</v>
      </c>
      <c r="C193" s="154">
        <v>28018504</v>
      </c>
      <c r="D193" s="56"/>
      <c r="E193" s="55"/>
      <c r="F193" s="55"/>
      <c r="G193" s="55"/>
      <c r="H193" s="38">
        <v>341000</v>
      </c>
      <c r="I193" s="57">
        <v>4705439</v>
      </c>
      <c r="J193" s="51">
        <f>SUM(C193:G193)-(H193+I193)</f>
        <v>22972065</v>
      </c>
      <c r="K193" s="181"/>
    </row>
    <row r="194" spans="1:11" ht="15.75">
      <c r="C194" s="173">
        <f>SUM(C176:C193)</f>
        <v>33471403</v>
      </c>
      <c r="I194" s="171">
        <f>SUM(I176:I193)</f>
        <v>9588313</v>
      </c>
      <c r="J194" s="119">
        <f>+SUM(J176:J193)</f>
        <v>31712043</v>
      </c>
    </row>
    <row r="195" spans="1:11" ht="16.5">
      <c r="A195" s="19"/>
      <c r="B195" s="20"/>
      <c r="C195" s="17" t="e">
        <f>C194=C114</f>
        <v>#REF!</v>
      </c>
      <c r="D195" s="17"/>
      <c r="E195" s="18"/>
      <c r="F195" s="17"/>
      <c r="G195" s="17"/>
      <c r="H195" s="17"/>
      <c r="I195" s="17"/>
    </row>
    <row r="196" spans="1:11">
      <c r="A196" s="21" t="s">
        <v>57</v>
      </c>
      <c r="B196" s="21"/>
      <c r="C196" s="21"/>
      <c r="D196" s="22"/>
      <c r="E196" s="22"/>
      <c r="F196" s="22"/>
      <c r="G196" s="22"/>
      <c r="H196" s="22"/>
      <c r="I196" s="22"/>
    </row>
    <row r="197" spans="1:11">
      <c r="A197" s="23" t="s">
        <v>124</v>
      </c>
      <c r="B197" s="23"/>
      <c r="C197" s="23"/>
      <c r="D197" s="23"/>
      <c r="E197" s="23"/>
      <c r="F197" s="23"/>
      <c r="G197" s="23"/>
      <c r="H197" s="23"/>
      <c r="I197" s="23"/>
      <c r="J197" s="22"/>
    </row>
    <row r="198" spans="1:11">
      <c r="A198" s="24"/>
      <c r="B198" s="25"/>
      <c r="C198" s="26"/>
      <c r="D198" s="26"/>
      <c r="E198" s="26"/>
      <c r="F198" s="26"/>
      <c r="G198" s="26"/>
      <c r="H198" s="25"/>
      <c r="I198" s="25"/>
      <c r="J198" s="23"/>
    </row>
    <row r="199" spans="1:11">
      <c r="A199" s="266" t="s">
        <v>58</v>
      </c>
      <c r="B199" s="268" t="s">
        <v>59</v>
      </c>
      <c r="C199" s="270" t="s">
        <v>126</v>
      </c>
      <c r="D199" s="272" t="s">
        <v>60</v>
      </c>
      <c r="E199" s="273"/>
      <c r="F199" s="273"/>
      <c r="G199" s="274"/>
      <c r="H199" s="275" t="s">
        <v>61</v>
      </c>
      <c r="I199" s="262" t="s">
        <v>62</v>
      </c>
      <c r="J199" s="25"/>
    </row>
    <row r="200" spans="1:11">
      <c r="A200" s="267"/>
      <c r="B200" s="269"/>
      <c r="C200" s="271"/>
      <c r="D200" s="27" t="s">
        <v>26</v>
      </c>
      <c r="E200" s="27" t="s">
        <v>27</v>
      </c>
      <c r="F200" s="179" t="s">
        <v>128</v>
      </c>
      <c r="G200" s="27" t="s">
        <v>63</v>
      </c>
      <c r="H200" s="276"/>
      <c r="I200" s="263"/>
      <c r="J200" s="264" t="s">
        <v>127</v>
      </c>
      <c r="K200" s="180"/>
    </row>
    <row r="201" spans="1:11">
      <c r="A201" s="29"/>
      <c r="B201" s="30" t="s">
        <v>64</v>
      </c>
      <c r="C201" s="31"/>
      <c r="D201" s="31"/>
      <c r="E201" s="31"/>
      <c r="F201" s="31"/>
      <c r="G201" s="31"/>
      <c r="H201" s="31"/>
      <c r="I201" s="32"/>
      <c r="J201" s="265"/>
      <c r="K201" s="180"/>
    </row>
    <row r="202" spans="1:11">
      <c r="A202" s="151" t="s">
        <v>125</v>
      </c>
      <c r="B202" s="156" t="s">
        <v>81</v>
      </c>
      <c r="C202" s="38">
        <v>7670</v>
      </c>
      <c r="D202" s="37"/>
      <c r="E202" s="38">
        <v>438000</v>
      </c>
      <c r="F202" s="38"/>
      <c r="G202" s="38"/>
      <c r="H202" s="62">
        <v>40000</v>
      </c>
      <c r="I202" s="38">
        <v>406120</v>
      </c>
      <c r="J202" s="36">
        <f>+SUM(C202:G202)-(H202+I202)</f>
        <v>-450</v>
      </c>
      <c r="K202" s="181" t="e">
        <f>J202=#REF!</f>
        <v>#REF!</v>
      </c>
    </row>
    <row r="203" spans="1:11">
      <c r="A203" s="151" t="s">
        <v>125</v>
      </c>
      <c r="B203" s="156" t="s">
        <v>52</v>
      </c>
      <c r="C203" s="38">
        <v>4710</v>
      </c>
      <c r="D203" s="37"/>
      <c r="E203" s="38">
        <v>303000</v>
      </c>
      <c r="F203" s="38">
        <f>25000+91000+62000</f>
        <v>178000</v>
      </c>
      <c r="G203" s="38"/>
      <c r="H203" s="62">
        <v>29000</v>
      </c>
      <c r="I203" s="38">
        <v>444200</v>
      </c>
      <c r="J203" s="36">
        <f t="shared" ref="J203:J204" si="57">+SUM(C203:G203)-(H203+I203)</f>
        <v>12510</v>
      </c>
      <c r="K203" s="181" t="b">
        <f>J203=I103</f>
        <v>0</v>
      </c>
    </row>
    <row r="204" spans="1:11">
      <c r="A204" s="151" t="s">
        <v>125</v>
      </c>
      <c r="B204" s="156" t="s">
        <v>33</v>
      </c>
      <c r="C204" s="38">
        <v>9295</v>
      </c>
      <c r="D204" s="37"/>
      <c r="E204" s="38">
        <v>743000</v>
      </c>
      <c r="F204" s="38">
        <v>2000</v>
      </c>
      <c r="G204" s="38"/>
      <c r="H204" s="38">
        <f>103000+91000+137000+101000+91000</f>
        <v>523000</v>
      </c>
      <c r="I204" s="38">
        <v>228400</v>
      </c>
      <c r="J204" s="114">
        <f t="shared" si="57"/>
        <v>2895</v>
      </c>
      <c r="K204" s="181" t="b">
        <f>J204=I104</f>
        <v>0</v>
      </c>
    </row>
    <row r="205" spans="1:11">
      <c r="A205" s="151" t="s">
        <v>125</v>
      </c>
      <c r="B205" s="156" t="s">
        <v>82</v>
      </c>
      <c r="C205" s="38">
        <v>-25100</v>
      </c>
      <c r="D205" s="118"/>
      <c r="E205" s="38">
        <v>121100</v>
      </c>
      <c r="F205" s="38">
        <f>103000+1000+28000+137000</f>
        <v>269000</v>
      </c>
      <c r="G205" s="38"/>
      <c r="H205" s="38"/>
      <c r="I205" s="38">
        <v>302960</v>
      </c>
      <c r="J205" s="114">
        <f>+SUM(C205:G205)-(H205+I205)</f>
        <v>62040</v>
      </c>
      <c r="K205" s="181" t="b">
        <f>J205=I105</f>
        <v>0</v>
      </c>
    </row>
    <row r="206" spans="1:11">
      <c r="A206" s="151" t="s">
        <v>125</v>
      </c>
      <c r="B206" s="156" t="s">
        <v>74</v>
      </c>
      <c r="C206" s="38">
        <v>7384</v>
      </c>
      <c r="D206" s="118"/>
      <c r="E206" s="38">
        <v>319000</v>
      </c>
      <c r="F206" s="38">
        <v>101000</v>
      </c>
      <c r="G206" s="38"/>
      <c r="H206" s="38">
        <v>62000</v>
      </c>
      <c r="I206" s="38">
        <v>365200</v>
      </c>
      <c r="J206" s="114">
        <f t="shared" ref="J206" si="58">+SUM(C206:G206)-(H206+I206)</f>
        <v>184</v>
      </c>
      <c r="K206" s="181" t="e">
        <f>J206=#REF!</f>
        <v>#REF!</v>
      </c>
    </row>
    <row r="207" spans="1:11">
      <c r="A207" s="151" t="s">
        <v>125</v>
      </c>
      <c r="B207" s="157" t="s">
        <v>32</v>
      </c>
      <c r="C207" s="38">
        <v>61300</v>
      </c>
      <c r="D207" s="148"/>
      <c r="E207" s="58">
        <v>931200</v>
      </c>
      <c r="F207" s="58"/>
      <c r="G207" s="58"/>
      <c r="H207" s="58">
        <v>28000</v>
      </c>
      <c r="I207" s="58">
        <v>1001000</v>
      </c>
      <c r="J207" s="153">
        <f>+SUM(C207:G207)-(H207+I207)</f>
        <v>-36500</v>
      </c>
      <c r="K207" s="181" t="b">
        <f t="shared" ref="K207:K214" si="59">J207=I106</f>
        <v>0</v>
      </c>
    </row>
    <row r="208" spans="1:11">
      <c r="A208" s="151" t="s">
        <v>125</v>
      </c>
      <c r="B208" s="158" t="s">
        <v>89</v>
      </c>
      <c r="C208" s="149">
        <v>233614</v>
      </c>
      <c r="D208" s="152"/>
      <c r="E208" s="167"/>
      <c r="F208" s="167"/>
      <c r="G208" s="167"/>
      <c r="H208" s="167"/>
      <c r="I208" s="167"/>
      <c r="J208" s="150">
        <f>+SUM(C208:G208)-(H208+I208)</f>
        <v>233614</v>
      </c>
      <c r="K208" s="181" t="b">
        <f t="shared" si="59"/>
        <v>0</v>
      </c>
    </row>
    <row r="209" spans="1:11">
      <c r="A209" s="151" t="s">
        <v>125</v>
      </c>
      <c r="B209" s="158" t="s">
        <v>88</v>
      </c>
      <c r="C209" s="149">
        <v>249769</v>
      </c>
      <c r="D209" s="152"/>
      <c r="E209" s="167"/>
      <c r="F209" s="167"/>
      <c r="G209" s="167"/>
      <c r="H209" s="167"/>
      <c r="I209" s="167"/>
      <c r="J209" s="150">
        <f t="shared" ref="J209:J212" si="60">+SUM(C209:G209)-(H209+I209)</f>
        <v>249769</v>
      </c>
      <c r="K209" s="181" t="b">
        <f t="shared" si="59"/>
        <v>0</v>
      </c>
    </row>
    <row r="210" spans="1:11">
      <c r="A210" s="151" t="s">
        <v>125</v>
      </c>
      <c r="B210" s="156" t="s">
        <v>38</v>
      </c>
      <c r="C210" s="38">
        <v>4500</v>
      </c>
      <c r="D210" s="37"/>
      <c r="E210" s="38">
        <v>234000</v>
      </c>
      <c r="F210" s="38">
        <v>40000</v>
      </c>
      <c r="G210" s="118"/>
      <c r="H210" s="118"/>
      <c r="I210" s="38">
        <v>207300</v>
      </c>
      <c r="J210" s="36">
        <f t="shared" si="60"/>
        <v>71200</v>
      </c>
      <c r="K210" s="181" t="b">
        <f t="shared" si="59"/>
        <v>0</v>
      </c>
    </row>
    <row r="211" spans="1:11">
      <c r="A211" s="151" t="s">
        <v>125</v>
      </c>
      <c r="B211" s="156" t="s">
        <v>98</v>
      </c>
      <c r="C211" s="38">
        <v>-6000</v>
      </c>
      <c r="D211" s="37"/>
      <c r="E211" s="38">
        <v>61000</v>
      </c>
      <c r="F211" s="118"/>
      <c r="G211" s="118"/>
      <c r="H211" s="118"/>
      <c r="I211" s="38">
        <v>49000</v>
      </c>
      <c r="J211" s="36">
        <f t="shared" si="60"/>
        <v>6000</v>
      </c>
      <c r="K211" s="181" t="b">
        <f t="shared" si="59"/>
        <v>0</v>
      </c>
    </row>
    <row r="212" spans="1:11">
      <c r="A212" s="151" t="s">
        <v>125</v>
      </c>
      <c r="B212" s="156" t="s">
        <v>31</v>
      </c>
      <c r="C212" s="38">
        <v>72200</v>
      </c>
      <c r="D212" s="37"/>
      <c r="E212" s="38">
        <v>722000</v>
      </c>
      <c r="F212" s="118"/>
      <c r="G212" s="118"/>
      <c r="H212" s="118"/>
      <c r="I212" s="38">
        <v>626500</v>
      </c>
      <c r="J212" s="36">
        <f t="shared" si="60"/>
        <v>167700</v>
      </c>
      <c r="K212" s="181" t="b">
        <f t="shared" si="59"/>
        <v>0</v>
      </c>
    </row>
    <row r="213" spans="1:11">
      <c r="A213" s="151" t="s">
        <v>125</v>
      </c>
      <c r="B213" s="156" t="s">
        <v>34</v>
      </c>
      <c r="C213" s="38">
        <v>9300</v>
      </c>
      <c r="D213" s="37"/>
      <c r="E213" s="38">
        <v>60000</v>
      </c>
      <c r="F213" s="118"/>
      <c r="G213" s="118"/>
      <c r="H213" s="118"/>
      <c r="I213" s="38">
        <v>4000</v>
      </c>
      <c r="J213" s="36">
        <f t="shared" ref="J213:J214" si="61">+SUM(C213:G213)-(H213+I213)</f>
        <v>65300</v>
      </c>
      <c r="K213" s="181" t="b">
        <f t="shared" si="59"/>
        <v>0</v>
      </c>
    </row>
    <row r="214" spans="1:11">
      <c r="A214" s="151" t="s">
        <v>125</v>
      </c>
      <c r="B214" s="157" t="s">
        <v>118</v>
      </c>
      <c r="C214" s="38">
        <v>-14000</v>
      </c>
      <c r="D214" s="148"/>
      <c r="E214" s="58">
        <v>378000</v>
      </c>
      <c r="F214" s="58">
        <f>29000+91000</f>
        <v>120000</v>
      </c>
      <c r="G214" s="168"/>
      <c r="H214" s="58">
        <f>2000+1000+25000</f>
        <v>28000</v>
      </c>
      <c r="I214" s="58">
        <v>467700</v>
      </c>
      <c r="J214" s="36">
        <f t="shared" si="61"/>
        <v>-11700</v>
      </c>
      <c r="K214" s="181" t="b">
        <f t="shared" si="59"/>
        <v>0</v>
      </c>
    </row>
    <row r="215" spans="1:11">
      <c r="A215" s="40" t="s">
        <v>65</v>
      </c>
      <c r="B215" s="41"/>
      <c r="C215" s="41"/>
      <c r="D215" s="41"/>
      <c r="E215" s="41"/>
      <c r="F215" s="41"/>
      <c r="G215" s="41"/>
      <c r="H215" s="41"/>
      <c r="I215" s="41"/>
      <c r="J215" s="42"/>
      <c r="K215" s="180"/>
    </row>
    <row r="216" spans="1:11">
      <c r="A216" s="151" t="s">
        <v>125</v>
      </c>
      <c r="B216" s="43" t="s">
        <v>66</v>
      </c>
      <c r="C216" s="44">
        <v>1148337</v>
      </c>
      <c r="D216" s="56">
        <v>7000000</v>
      </c>
      <c r="E216" s="117"/>
      <c r="F216" s="117"/>
      <c r="G216" s="169"/>
      <c r="H216" s="160">
        <v>4310300</v>
      </c>
      <c r="I216" s="155">
        <v>2165078</v>
      </c>
      <c r="J216" s="51">
        <f>+SUM(C216:G216)-(H216+I216)</f>
        <v>1672959</v>
      </c>
      <c r="K216" s="181" t="b">
        <f>J216=I102</f>
        <v>0</v>
      </c>
    </row>
    <row r="217" spans="1:11">
      <c r="A217" s="49" t="s">
        <v>67</v>
      </c>
      <c r="B217" s="30"/>
      <c r="C217" s="41"/>
      <c r="D217" s="30"/>
      <c r="E217" s="30"/>
      <c r="F217" s="30"/>
      <c r="G217" s="30"/>
      <c r="H217" s="30"/>
      <c r="I217" s="30"/>
      <c r="J217" s="42"/>
      <c r="K217" s="180"/>
    </row>
    <row r="218" spans="1:11">
      <c r="A218" s="151" t="s">
        <v>125</v>
      </c>
      <c r="B218" s="43" t="s">
        <v>68</v>
      </c>
      <c r="C218" s="154">
        <v>10113263</v>
      </c>
      <c r="D218" s="161">
        <v>0</v>
      </c>
      <c r="E218" s="56"/>
      <c r="F218" s="56"/>
      <c r="G218" s="56"/>
      <c r="H218" s="58">
        <v>7000000</v>
      </c>
      <c r="I218" s="60">
        <v>155885</v>
      </c>
      <c r="J218" s="51">
        <f>+SUM(C218:G218)-(H218+I218)</f>
        <v>2957378</v>
      </c>
      <c r="K218" s="181" t="e">
        <f>+J218=#REF!</f>
        <v>#REF!</v>
      </c>
    </row>
    <row r="219" spans="1:11">
      <c r="A219" s="151" t="s">
        <v>125</v>
      </c>
      <c r="B219" s="43" t="s">
        <v>69</v>
      </c>
      <c r="C219" s="154">
        <v>6219904</v>
      </c>
      <c r="D219" s="56">
        <v>28506579</v>
      </c>
      <c r="E219" s="55"/>
      <c r="F219" s="55"/>
      <c r="G219" s="55"/>
      <c r="H219" s="38"/>
      <c r="I219" s="57">
        <v>6707979</v>
      </c>
      <c r="J219" s="51">
        <f>SUM(C219:G219)-(H219+I219)</f>
        <v>28018504</v>
      </c>
      <c r="K219" s="181" t="b">
        <f>+J219=I101</f>
        <v>0</v>
      </c>
    </row>
    <row r="220" spans="1:11" ht="15.75">
      <c r="C220" s="173">
        <f>SUM(C202:C219)</f>
        <v>18096146</v>
      </c>
      <c r="I220" s="171">
        <f>SUM(I202:I219)</f>
        <v>13131322</v>
      </c>
      <c r="J220" s="119">
        <f>+SUM(J202:J219)</f>
        <v>33471403</v>
      </c>
      <c r="K220" s="10" t="b">
        <f>J220=I114</f>
        <v>0</v>
      </c>
    </row>
    <row r="221" spans="1:11" ht="16.5">
      <c r="A221" s="19"/>
      <c r="B221" s="20"/>
      <c r="C221" s="17" t="e">
        <f>C220=C114</f>
        <v>#REF!</v>
      </c>
      <c r="D221" s="17"/>
      <c r="E221" s="18"/>
      <c r="F221" s="17"/>
      <c r="G221" s="17"/>
      <c r="H221" s="17"/>
      <c r="I221" s="17"/>
    </row>
    <row r="222" spans="1:11" ht="16.5">
      <c r="A222" s="19"/>
      <c r="B222" s="20"/>
      <c r="C222" s="17"/>
      <c r="D222" s="17"/>
      <c r="E222" s="18"/>
      <c r="F222" s="17"/>
      <c r="G222" s="17"/>
      <c r="H222" s="17"/>
      <c r="I222" s="17"/>
    </row>
    <row r="223" spans="1:11">
      <c r="A223" s="21" t="s">
        <v>57</v>
      </c>
      <c r="B223" s="21"/>
      <c r="C223" s="21"/>
      <c r="D223" s="22"/>
      <c r="E223" s="22"/>
      <c r="F223" s="22"/>
      <c r="G223" s="22"/>
      <c r="H223" s="22"/>
      <c r="I223" s="22"/>
    </row>
    <row r="224" spans="1:11">
      <c r="A224" s="23" t="s">
        <v>119</v>
      </c>
      <c r="B224" s="23"/>
      <c r="C224" s="23"/>
      <c r="D224" s="23"/>
      <c r="E224" s="23"/>
      <c r="F224" s="23"/>
      <c r="G224" s="23"/>
      <c r="H224" s="23"/>
      <c r="I224" s="23"/>
      <c r="J224" s="22"/>
    </row>
    <row r="225" spans="1:11">
      <c r="A225" s="24"/>
      <c r="B225" s="25"/>
      <c r="C225" s="26"/>
      <c r="D225" s="26"/>
      <c r="E225" s="26"/>
      <c r="F225" s="26"/>
      <c r="G225" s="26"/>
      <c r="H225" s="25"/>
      <c r="I225" s="25"/>
      <c r="J225" s="23"/>
    </row>
    <row r="226" spans="1:11">
      <c r="A226" s="266" t="s">
        <v>58</v>
      </c>
      <c r="B226" s="268" t="s">
        <v>59</v>
      </c>
      <c r="C226" s="270" t="s">
        <v>121</v>
      </c>
      <c r="D226" s="272" t="s">
        <v>60</v>
      </c>
      <c r="E226" s="273"/>
      <c r="F226" s="273"/>
      <c r="G226" s="274"/>
      <c r="H226" s="275" t="s">
        <v>61</v>
      </c>
      <c r="I226" s="262" t="s">
        <v>62</v>
      </c>
      <c r="J226" s="25"/>
    </row>
    <row r="227" spans="1:11">
      <c r="A227" s="267"/>
      <c r="B227" s="269"/>
      <c r="C227" s="271"/>
      <c r="D227" s="27" t="s">
        <v>26</v>
      </c>
      <c r="E227" s="27" t="s">
        <v>27</v>
      </c>
      <c r="F227" s="174" t="s">
        <v>123</v>
      </c>
      <c r="G227" s="27" t="s">
        <v>63</v>
      </c>
      <c r="H227" s="276"/>
      <c r="I227" s="263"/>
      <c r="J227" s="264" t="s">
        <v>122</v>
      </c>
    </row>
    <row r="228" spans="1:11">
      <c r="A228" s="29"/>
      <c r="B228" s="30" t="s">
        <v>64</v>
      </c>
      <c r="C228" s="31"/>
      <c r="D228" s="31"/>
      <c r="E228" s="31"/>
      <c r="F228" s="31"/>
      <c r="G228" s="31"/>
      <c r="H228" s="31"/>
      <c r="I228" s="32"/>
      <c r="J228" s="265"/>
    </row>
    <row r="229" spans="1:11">
      <c r="A229" s="151" t="s">
        <v>120</v>
      </c>
      <c r="B229" s="156" t="s">
        <v>81</v>
      </c>
      <c r="C229" s="38">
        <v>3670</v>
      </c>
      <c r="D229" s="37"/>
      <c r="E229" s="38">
        <v>118000</v>
      </c>
      <c r="F229" s="38">
        <v>4000</v>
      </c>
      <c r="G229" s="38"/>
      <c r="H229" s="62"/>
      <c r="I229" s="38">
        <v>118000</v>
      </c>
      <c r="J229" s="36">
        <f>+SUM(C229:G229)-(H229+I229)</f>
        <v>7670</v>
      </c>
      <c r="K229" s="175"/>
    </row>
    <row r="230" spans="1:11">
      <c r="A230" s="151" t="s">
        <v>120</v>
      </c>
      <c r="B230" s="156" t="s">
        <v>52</v>
      </c>
      <c r="C230" s="38">
        <v>-540</v>
      </c>
      <c r="D230" s="37"/>
      <c r="E230" s="38">
        <v>209750</v>
      </c>
      <c r="F230" s="38">
        <v>5000</v>
      </c>
      <c r="G230" s="38"/>
      <c r="H230" s="62"/>
      <c r="I230" s="38">
        <v>209500</v>
      </c>
      <c r="J230" s="36">
        <f t="shared" ref="J230:J231" si="62">+SUM(C230:G230)-(H230+I230)</f>
        <v>4710</v>
      </c>
      <c r="K230" s="175"/>
    </row>
    <row r="231" spans="1:11">
      <c r="A231" s="151" t="s">
        <v>120</v>
      </c>
      <c r="B231" s="156" t="s">
        <v>33</v>
      </c>
      <c r="C231" s="38">
        <v>2395</v>
      </c>
      <c r="D231" s="37"/>
      <c r="E231" s="38">
        <v>70000</v>
      </c>
      <c r="F231" s="38">
        <v>4000</v>
      </c>
      <c r="G231" s="38"/>
      <c r="H231" s="38"/>
      <c r="I231" s="38">
        <v>67100</v>
      </c>
      <c r="J231" s="114">
        <f t="shared" si="62"/>
        <v>9295</v>
      </c>
      <c r="K231" s="175"/>
    </row>
    <row r="232" spans="1:11">
      <c r="A232" s="151" t="s">
        <v>120</v>
      </c>
      <c r="B232" s="156" t="s">
        <v>82</v>
      </c>
      <c r="C232" s="38">
        <v>96100</v>
      </c>
      <c r="D232" s="118"/>
      <c r="E232" s="38">
        <v>488100</v>
      </c>
      <c r="F232" s="38">
        <v>4000</v>
      </c>
      <c r="G232" s="38"/>
      <c r="H232" s="38">
        <v>61600</v>
      </c>
      <c r="I232" s="38">
        <v>551700</v>
      </c>
      <c r="J232" s="114">
        <f>+SUM(C232:G232)-(H232+I232)</f>
        <v>-25100</v>
      </c>
      <c r="K232" s="175"/>
    </row>
    <row r="233" spans="1:11">
      <c r="A233" s="151" t="s">
        <v>120</v>
      </c>
      <c r="B233" s="156" t="s">
        <v>74</v>
      </c>
      <c r="C233" s="38">
        <v>13884</v>
      </c>
      <c r="D233" s="118"/>
      <c r="E233" s="38">
        <v>194000</v>
      </c>
      <c r="F233" s="38"/>
      <c r="G233" s="38"/>
      <c r="H233" s="38">
        <v>17000</v>
      </c>
      <c r="I233" s="38">
        <v>183500</v>
      </c>
      <c r="J233" s="114">
        <f t="shared" ref="J233" si="63">+SUM(C233:G233)-(H233+I233)</f>
        <v>7384</v>
      </c>
      <c r="K233" s="175"/>
    </row>
    <row r="234" spans="1:11">
      <c r="A234" s="151" t="s">
        <v>120</v>
      </c>
      <c r="B234" s="157" t="s">
        <v>32</v>
      </c>
      <c r="C234" s="38">
        <v>72400</v>
      </c>
      <c r="D234" s="148"/>
      <c r="E234" s="58">
        <v>599900</v>
      </c>
      <c r="F234" s="58"/>
      <c r="G234" s="58"/>
      <c r="H234" s="58"/>
      <c r="I234" s="58">
        <v>611000</v>
      </c>
      <c r="J234" s="153">
        <f>+SUM(C234:G234)-(H234+I234)</f>
        <v>61300</v>
      </c>
      <c r="K234" s="175"/>
    </row>
    <row r="235" spans="1:11">
      <c r="A235" s="151" t="s">
        <v>120</v>
      </c>
      <c r="B235" s="158" t="s">
        <v>89</v>
      </c>
      <c r="C235" s="149">
        <v>233614</v>
      </c>
      <c r="D235" s="152"/>
      <c r="E235" s="167"/>
      <c r="F235" s="167"/>
      <c r="G235" s="167"/>
      <c r="H235" s="167"/>
      <c r="I235" s="167"/>
      <c r="J235" s="150">
        <f>+SUM(C235:G235)-(H235+I235)</f>
        <v>233614</v>
      </c>
      <c r="K235" s="175"/>
    </row>
    <row r="236" spans="1:11">
      <c r="A236" s="151" t="s">
        <v>120</v>
      </c>
      <c r="B236" s="158" t="s">
        <v>88</v>
      </c>
      <c r="C236" s="149">
        <v>249769</v>
      </c>
      <c r="D236" s="152"/>
      <c r="E236" s="167"/>
      <c r="F236" s="167"/>
      <c r="G236" s="167"/>
      <c r="H236" s="167"/>
      <c r="I236" s="167"/>
      <c r="J236" s="150">
        <f t="shared" ref="J236:J243" si="64">+SUM(C236:G236)-(H236+I236)</f>
        <v>249769</v>
      </c>
      <c r="K236" s="175"/>
    </row>
    <row r="237" spans="1:11">
      <c r="A237" s="151" t="s">
        <v>120</v>
      </c>
      <c r="B237" s="156" t="s">
        <v>38</v>
      </c>
      <c r="C237" s="38">
        <v>18490</v>
      </c>
      <c r="D237" s="37"/>
      <c r="E237" s="38">
        <v>796460</v>
      </c>
      <c r="F237" s="38">
        <v>61600</v>
      </c>
      <c r="G237" s="118"/>
      <c r="H237" s="118"/>
      <c r="I237" s="38">
        <v>872050</v>
      </c>
      <c r="J237" s="36">
        <f t="shared" si="64"/>
        <v>4500</v>
      </c>
      <c r="K237" s="175"/>
    </row>
    <row r="238" spans="1:11">
      <c r="A238" s="151" t="s">
        <v>120</v>
      </c>
      <c r="B238" s="156" t="s">
        <v>98</v>
      </c>
      <c r="C238" s="38">
        <v>4500</v>
      </c>
      <c r="D238" s="37"/>
      <c r="E238" s="38">
        <v>40000</v>
      </c>
      <c r="F238" s="118"/>
      <c r="G238" s="118"/>
      <c r="H238" s="118"/>
      <c r="I238" s="38">
        <v>50500</v>
      </c>
      <c r="J238" s="36">
        <f t="shared" si="64"/>
        <v>-6000</v>
      </c>
      <c r="K238" s="175"/>
    </row>
    <row r="239" spans="1:11">
      <c r="A239" s="151" t="s">
        <v>120</v>
      </c>
      <c r="B239" s="156" t="s">
        <v>31</v>
      </c>
      <c r="C239" s="38">
        <v>44200</v>
      </c>
      <c r="D239" s="37"/>
      <c r="E239" s="38">
        <v>60000</v>
      </c>
      <c r="F239" s="118"/>
      <c r="G239" s="118"/>
      <c r="H239" s="118"/>
      <c r="I239" s="38">
        <v>32000</v>
      </c>
      <c r="J239" s="36">
        <f t="shared" si="64"/>
        <v>72200</v>
      </c>
      <c r="K239" s="175"/>
    </row>
    <row r="240" spans="1:11">
      <c r="A240" s="151" t="s">
        <v>120</v>
      </c>
      <c r="B240" s="156" t="s">
        <v>99</v>
      </c>
      <c r="C240" s="38">
        <v>-851709</v>
      </c>
      <c r="D240" s="37"/>
      <c r="E240" s="38">
        <v>851709</v>
      </c>
      <c r="F240" s="118"/>
      <c r="G240" s="118"/>
      <c r="H240" s="118"/>
      <c r="I240" s="38"/>
      <c r="J240" s="36">
        <f>+SUM(C240:G240)-(H240+I240)</f>
        <v>0</v>
      </c>
      <c r="K240" s="175"/>
    </row>
    <row r="241" spans="1:11">
      <c r="A241" s="151" t="s">
        <v>120</v>
      </c>
      <c r="B241" s="156" t="s">
        <v>106</v>
      </c>
      <c r="C241" s="38">
        <v>90300</v>
      </c>
      <c r="D241" s="37"/>
      <c r="E241" s="38">
        <v>69200</v>
      </c>
      <c r="F241" s="118"/>
      <c r="G241" s="118"/>
      <c r="H241" s="118"/>
      <c r="I241" s="38">
        <v>159500</v>
      </c>
      <c r="J241" s="36">
        <f t="shared" si="64"/>
        <v>0</v>
      </c>
      <c r="K241" s="175"/>
    </row>
    <row r="242" spans="1:11">
      <c r="A242" s="151" t="s">
        <v>120</v>
      </c>
      <c r="B242" s="156" t="s">
        <v>34</v>
      </c>
      <c r="C242" s="38">
        <v>300</v>
      </c>
      <c r="D242" s="37"/>
      <c r="E242" s="38">
        <v>20000</v>
      </c>
      <c r="F242" s="118"/>
      <c r="G242" s="118"/>
      <c r="H242" s="118"/>
      <c r="I242" s="38">
        <v>11000</v>
      </c>
      <c r="J242" s="36">
        <f t="shared" si="64"/>
        <v>9300</v>
      </c>
      <c r="K242" s="175"/>
    </row>
    <row r="243" spans="1:11">
      <c r="A243" s="151" t="s">
        <v>120</v>
      </c>
      <c r="B243" s="157" t="s">
        <v>118</v>
      </c>
      <c r="C243" s="38">
        <v>0</v>
      </c>
      <c r="D243" s="148"/>
      <c r="E243" s="166"/>
      <c r="F243" s="166"/>
      <c r="G243" s="168"/>
      <c r="H243" s="166"/>
      <c r="I243" s="58">
        <v>14000</v>
      </c>
      <c r="J243" s="36">
        <f t="shared" si="64"/>
        <v>-14000</v>
      </c>
      <c r="K243" s="175"/>
    </row>
    <row r="244" spans="1:11">
      <c r="A244" s="40" t="s">
        <v>65</v>
      </c>
      <c r="B244" s="41"/>
      <c r="C244" s="41"/>
      <c r="D244" s="41"/>
      <c r="E244" s="41"/>
      <c r="F244" s="41"/>
      <c r="G244" s="41"/>
      <c r="H244" s="41"/>
      <c r="I244" s="41"/>
      <c r="J244" s="42"/>
    </row>
    <row r="245" spans="1:11">
      <c r="A245" s="151" t="s">
        <v>120</v>
      </c>
      <c r="B245" s="43" t="s">
        <v>66</v>
      </c>
      <c r="C245" s="44" t="e">
        <f>C102</f>
        <v>#REF!</v>
      </c>
      <c r="D245" s="56">
        <v>5872000</v>
      </c>
      <c r="E245" s="117"/>
      <c r="F245" s="117"/>
      <c r="G245" s="169"/>
      <c r="H245" s="160">
        <v>3517119</v>
      </c>
      <c r="I245" s="155">
        <v>1523260</v>
      </c>
      <c r="J245" s="51" t="e">
        <f>+SUM(C245:G245)-(H245+I245)</f>
        <v>#REF!</v>
      </c>
      <c r="K245" s="175"/>
    </row>
    <row r="246" spans="1:11">
      <c r="A246" s="49" t="s">
        <v>67</v>
      </c>
      <c r="B246" s="30"/>
      <c r="C246" s="41"/>
      <c r="D246" s="30"/>
      <c r="E246" s="30"/>
      <c r="F246" s="30"/>
      <c r="G246" s="30"/>
      <c r="H246" s="30"/>
      <c r="I246" s="30"/>
      <c r="J246" s="42"/>
    </row>
    <row r="247" spans="1:11">
      <c r="A247" s="151" t="s">
        <v>120</v>
      </c>
      <c r="B247" s="43" t="s">
        <v>68</v>
      </c>
      <c r="C247" s="154" t="e">
        <f>#REF!</f>
        <v>#REF!</v>
      </c>
      <c r="D247" s="161">
        <v>10380044</v>
      </c>
      <c r="E247" s="56"/>
      <c r="F247" s="56"/>
      <c r="G247" s="56"/>
      <c r="H247" s="58">
        <v>5500000</v>
      </c>
      <c r="I247" s="60">
        <v>277455</v>
      </c>
      <c r="J247" s="51" t="e">
        <f>+SUM(C247:G247)-(H247+I247)</f>
        <v>#REF!</v>
      </c>
      <c r="K247" s="175"/>
    </row>
    <row r="248" spans="1:11">
      <c r="A248" s="151" t="s">
        <v>120</v>
      </c>
      <c r="B248" s="43" t="s">
        <v>69</v>
      </c>
      <c r="C248" s="154" t="e">
        <f>C101</f>
        <v>#REF!</v>
      </c>
      <c r="D248" s="56"/>
      <c r="E248" s="55"/>
      <c r="F248" s="55"/>
      <c r="G248" s="55"/>
      <c r="H248" s="38">
        <v>372000</v>
      </c>
      <c r="I248" s="57">
        <v>4601760</v>
      </c>
      <c r="J248" s="51" t="e">
        <f>SUM(C248:G248)-(H248+I248)</f>
        <v>#REF!</v>
      </c>
      <c r="K248" s="175"/>
    </row>
    <row r="249" spans="1:11" ht="15.75">
      <c r="C249" s="173" t="e">
        <f>SUM(C229:C248)</f>
        <v>#REF!</v>
      </c>
      <c r="I249" s="171">
        <f>SUM(I229:I248)</f>
        <v>9282325</v>
      </c>
      <c r="J249" s="119" t="e">
        <f>+SUM(J229:J248)</f>
        <v>#REF!</v>
      </c>
    </row>
    <row r="250" spans="1:11" ht="16.5">
      <c r="A250" s="19"/>
      <c r="B250" s="20"/>
      <c r="C250" s="17"/>
      <c r="D250" s="17"/>
      <c r="E250" s="18"/>
      <c r="F250" s="17"/>
      <c r="G250" s="17"/>
      <c r="H250" s="17"/>
      <c r="I250" s="17"/>
    </row>
    <row r="251" spans="1:11">
      <c r="A251" s="21" t="s">
        <v>57</v>
      </c>
      <c r="B251" s="21"/>
      <c r="C251" s="21"/>
      <c r="D251" s="22"/>
      <c r="E251" s="22"/>
      <c r="F251" s="22"/>
      <c r="G251" s="22"/>
      <c r="H251" s="22"/>
      <c r="I251" s="22"/>
    </row>
    <row r="252" spans="1:11">
      <c r="A252" s="23" t="s">
        <v>114</v>
      </c>
      <c r="B252" s="23"/>
      <c r="C252" s="23"/>
      <c r="D252" s="23"/>
      <c r="E252" s="23"/>
      <c r="F252" s="23"/>
      <c r="G252" s="23"/>
      <c r="H252" s="23"/>
      <c r="I252" s="23"/>
      <c r="J252" s="22"/>
    </row>
    <row r="253" spans="1:11">
      <c r="A253" s="24"/>
      <c r="B253" s="25"/>
      <c r="C253" s="26"/>
      <c r="D253" s="26"/>
      <c r="E253" s="26"/>
      <c r="F253" s="26"/>
      <c r="G253" s="26"/>
      <c r="H253" s="25"/>
      <c r="I253" s="25"/>
      <c r="J253" s="23"/>
    </row>
    <row r="254" spans="1:11">
      <c r="A254" s="266" t="s">
        <v>58</v>
      </c>
      <c r="B254" s="268" t="s">
        <v>59</v>
      </c>
      <c r="C254" s="270" t="s">
        <v>115</v>
      </c>
      <c r="D254" s="272" t="s">
        <v>60</v>
      </c>
      <c r="E254" s="273"/>
      <c r="F254" s="273"/>
      <c r="G254" s="274"/>
      <c r="H254" s="275" t="s">
        <v>61</v>
      </c>
      <c r="I254" s="262" t="s">
        <v>62</v>
      </c>
      <c r="J254" s="25"/>
    </row>
    <row r="255" spans="1:11">
      <c r="A255" s="267"/>
      <c r="B255" s="269"/>
      <c r="C255" s="271"/>
      <c r="D255" s="27" t="s">
        <v>26</v>
      </c>
      <c r="E255" s="27" t="s">
        <v>27</v>
      </c>
      <c r="F255" s="172" t="s">
        <v>117</v>
      </c>
      <c r="G255" s="27" t="s">
        <v>63</v>
      </c>
      <c r="H255" s="276"/>
      <c r="I255" s="263"/>
      <c r="J255" s="264" t="s">
        <v>116</v>
      </c>
    </row>
    <row r="256" spans="1:11">
      <c r="A256" s="29"/>
      <c r="B256" s="30" t="s">
        <v>64</v>
      </c>
      <c r="C256" s="31"/>
      <c r="D256" s="31"/>
      <c r="E256" s="31"/>
      <c r="F256" s="31"/>
      <c r="G256" s="31"/>
      <c r="H256" s="31"/>
      <c r="I256" s="32"/>
      <c r="J256" s="265"/>
    </row>
    <row r="257" spans="1:11">
      <c r="A257" s="151" t="s">
        <v>113</v>
      </c>
      <c r="B257" s="156" t="s">
        <v>81</v>
      </c>
      <c r="C257" s="38">
        <v>-11330</v>
      </c>
      <c r="D257" s="37"/>
      <c r="E257" s="38">
        <v>201400</v>
      </c>
      <c r="F257" s="38">
        <v>184300</v>
      </c>
      <c r="G257" s="38"/>
      <c r="H257" s="62"/>
      <c r="I257" s="38">
        <v>370700</v>
      </c>
      <c r="J257" s="36">
        <f>+SUM(C257:G257)-(H257+I257)</f>
        <v>3670</v>
      </c>
      <c r="K257" s="76"/>
    </row>
    <row r="258" spans="1:11">
      <c r="A258" s="151" t="s">
        <v>113</v>
      </c>
      <c r="B258" s="156" t="s">
        <v>52</v>
      </c>
      <c r="C258" s="38">
        <v>8260</v>
      </c>
      <c r="D258" s="37"/>
      <c r="E258" s="38">
        <v>357900</v>
      </c>
      <c r="F258" s="38"/>
      <c r="G258" s="38"/>
      <c r="H258" s="62">
        <v>50000</v>
      </c>
      <c r="I258" s="38">
        <v>316700</v>
      </c>
      <c r="J258" s="36">
        <f t="shared" ref="J258:J259" si="65">+SUM(C258:G258)-(H258+I258)</f>
        <v>-540</v>
      </c>
      <c r="K258" s="76"/>
    </row>
    <row r="259" spans="1:11">
      <c r="A259" s="151" t="s">
        <v>113</v>
      </c>
      <c r="B259" s="156" t="s">
        <v>33</v>
      </c>
      <c r="C259" s="38">
        <v>3795</v>
      </c>
      <c r="D259" s="37"/>
      <c r="E259" s="38">
        <v>20000</v>
      </c>
      <c r="F259" s="38"/>
      <c r="G259" s="38"/>
      <c r="H259" s="38"/>
      <c r="I259" s="38">
        <v>21400</v>
      </c>
      <c r="J259" s="114">
        <f t="shared" si="65"/>
        <v>2395</v>
      </c>
      <c r="K259" s="76"/>
    </row>
    <row r="260" spans="1:11">
      <c r="A260" s="151" t="s">
        <v>113</v>
      </c>
      <c r="B260" s="156" t="s">
        <v>82</v>
      </c>
      <c r="C260" s="38">
        <v>-83100</v>
      </c>
      <c r="D260" s="118"/>
      <c r="E260" s="38">
        <v>699200</v>
      </c>
      <c r="F260" s="38"/>
      <c r="G260" s="38"/>
      <c r="H260" s="38"/>
      <c r="I260" s="38">
        <v>520000</v>
      </c>
      <c r="J260" s="114">
        <f>+SUM(C260:G260)-(H260+I260)</f>
        <v>96100</v>
      </c>
      <c r="K260" s="76"/>
    </row>
    <row r="261" spans="1:11">
      <c r="A261" s="151" t="s">
        <v>113</v>
      </c>
      <c r="B261" s="156" t="s">
        <v>74</v>
      </c>
      <c r="C261" s="38">
        <v>1784</v>
      </c>
      <c r="D261" s="118"/>
      <c r="E261" s="38">
        <v>568600</v>
      </c>
      <c r="F261" s="38">
        <v>50000</v>
      </c>
      <c r="G261" s="38"/>
      <c r="H261" s="38">
        <v>184300</v>
      </c>
      <c r="I261" s="38">
        <v>422200</v>
      </c>
      <c r="J261" s="114">
        <f t="shared" ref="J261" si="66">+SUM(C261:G261)-(H261+I261)</f>
        <v>13884</v>
      </c>
      <c r="K261" s="76"/>
    </row>
    <row r="262" spans="1:11">
      <c r="A262" s="151" t="s">
        <v>113</v>
      </c>
      <c r="B262" s="157" t="s">
        <v>32</v>
      </c>
      <c r="C262" s="38">
        <v>88800</v>
      </c>
      <c r="D262" s="148"/>
      <c r="E262" s="58">
        <v>694600</v>
      </c>
      <c r="F262" s="58"/>
      <c r="G262" s="58"/>
      <c r="H262" s="58"/>
      <c r="I262" s="58">
        <v>711000</v>
      </c>
      <c r="J262" s="153">
        <f>+SUM(C262:G262)-(H262+I262)</f>
        <v>72400</v>
      </c>
      <c r="K262" s="76"/>
    </row>
    <row r="263" spans="1:11">
      <c r="A263" s="151" t="s">
        <v>113</v>
      </c>
      <c r="B263" s="158" t="s">
        <v>89</v>
      </c>
      <c r="C263" s="149">
        <v>233614</v>
      </c>
      <c r="D263" s="152"/>
      <c r="E263" s="167"/>
      <c r="F263" s="167"/>
      <c r="G263" s="167"/>
      <c r="H263" s="167"/>
      <c r="I263" s="167"/>
      <c r="J263" s="150">
        <f>+SUM(C263:G263)-(H263+I263)</f>
        <v>233614</v>
      </c>
      <c r="K263" s="76"/>
    </row>
    <row r="264" spans="1:11">
      <c r="A264" s="151" t="s">
        <v>113</v>
      </c>
      <c r="B264" s="158" t="s">
        <v>88</v>
      </c>
      <c r="C264" s="149">
        <v>249769</v>
      </c>
      <c r="D264" s="152"/>
      <c r="E264" s="167"/>
      <c r="F264" s="167"/>
      <c r="G264" s="167"/>
      <c r="H264" s="167"/>
      <c r="I264" s="167"/>
      <c r="J264" s="150">
        <f t="shared" ref="J264:J268" si="67">+SUM(C264:G264)-(H264+I264)</f>
        <v>249769</v>
      </c>
      <c r="K264" s="76"/>
    </row>
    <row r="265" spans="1:11">
      <c r="A265" s="151" t="s">
        <v>113</v>
      </c>
      <c r="B265" s="156" t="s">
        <v>38</v>
      </c>
      <c r="C265" s="38">
        <v>7890</v>
      </c>
      <c r="D265" s="37"/>
      <c r="E265" s="38">
        <v>135600</v>
      </c>
      <c r="F265" s="118"/>
      <c r="G265" s="118"/>
      <c r="H265" s="118"/>
      <c r="I265" s="38">
        <v>125000</v>
      </c>
      <c r="J265" s="36">
        <f t="shared" si="67"/>
        <v>18490</v>
      </c>
      <c r="K265" s="76"/>
    </row>
    <row r="266" spans="1:11">
      <c r="A266" s="151" t="s">
        <v>113</v>
      </c>
      <c r="B266" s="156" t="s">
        <v>98</v>
      </c>
      <c r="C266" s="38">
        <v>5000</v>
      </c>
      <c r="D266" s="37"/>
      <c r="E266" s="38">
        <v>30000</v>
      </c>
      <c r="F266" s="118"/>
      <c r="G266" s="118"/>
      <c r="H266" s="118"/>
      <c r="I266" s="38">
        <v>30500</v>
      </c>
      <c r="J266" s="36">
        <f t="shared" si="67"/>
        <v>4500</v>
      </c>
      <c r="K266" s="76"/>
    </row>
    <row r="267" spans="1:11">
      <c r="A267" s="151" t="s">
        <v>113</v>
      </c>
      <c r="B267" s="156" t="s">
        <v>31</v>
      </c>
      <c r="C267" s="38">
        <v>57700</v>
      </c>
      <c r="D267" s="37"/>
      <c r="E267" s="38">
        <v>639000</v>
      </c>
      <c r="F267" s="118"/>
      <c r="G267" s="118"/>
      <c r="H267" s="118"/>
      <c r="I267" s="38">
        <v>652500</v>
      </c>
      <c r="J267" s="36">
        <f t="shared" si="67"/>
        <v>44200</v>
      </c>
      <c r="K267" s="76"/>
    </row>
    <row r="268" spans="1:11">
      <c r="A268" s="151" t="s">
        <v>113</v>
      </c>
      <c r="B268" s="156" t="s">
        <v>99</v>
      </c>
      <c r="C268" s="38">
        <v>-32081</v>
      </c>
      <c r="D268" s="37"/>
      <c r="E268" s="118"/>
      <c r="F268" s="118"/>
      <c r="G268" s="118"/>
      <c r="H268" s="118"/>
      <c r="I268" s="38">
        <v>819628</v>
      </c>
      <c r="J268" s="36">
        <f t="shared" si="67"/>
        <v>-851709</v>
      </c>
      <c r="K268" s="76"/>
    </row>
    <row r="269" spans="1:11">
      <c r="A269" s="151" t="s">
        <v>113</v>
      </c>
      <c r="B269" s="156" t="s">
        <v>106</v>
      </c>
      <c r="C269" s="38">
        <v>62000</v>
      </c>
      <c r="D269" s="37"/>
      <c r="E269" s="38">
        <v>622600</v>
      </c>
      <c r="F269" s="118"/>
      <c r="G269" s="118"/>
      <c r="H269" s="118"/>
      <c r="I269" s="38">
        <v>594300</v>
      </c>
      <c r="J269" s="36">
        <f>+SUM(C269:G269)-(H269+I269)</f>
        <v>90300</v>
      </c>
      <c r="K269" s="76"/>
    </row>
    <row r="270" spans="1:11">
      <c r="A270" s="151" t="s">
        <v>113</v>
      </c>
      <c r="B270" s="157" t="s">
        <v>34</v>
      </c>
      <c r="C270" s="38">
        <v>4300</v>
      </c>
      <c r="D270" s="148"/>
      <c r="E270" s="166"/>
      <c r="F270" s="166"/>
      <c r="G270" s="168"/>
      <c r="H270" s="166"/>
      <c r="I270" s="58">
        <v>4000</v>
      </c>
      <c r="J270" s="36">
        <f t="shared" ref="J270" si="68">+SUM(C270:G270)-(H270+I270)</f>
        <v>300</v>
      </c>
      <c r="K270" s="76"/>
    </row>
    <row r="271" spans="1:11">
      <c r="A271" s="40" t="s">
        <v>65</v>
      </c>
      <c r="B271" s="41"/>
      <c r="C271" s="41"/>
      <c r="D271" s="41"/>
      <c r="E271" s="41"/>
      <c r="F271" s="41"/>
      <c r="G271" s="41"/>
      <c r="H271" s="41"/>
      <c r="I271" s="41"/>
      <c r="J271" s="42"/>
      <c r="K271" s="76"/>
    </row>
    <row r="272" spans="1:11">
      <c r="A272" s="151" t="s">
        <v>113</v>
      </c>
      <c r="B272" s="43" t="s">
        <v>66</v>
      </c>
      <c r="C272" s="44">
        <v>62150</v>
      </c>
      <c r="D272" s="56">
        <v>5500000</v>
      </c>
      <c r="E272" s="117"/>
      <c r="F272" s="117"/>
      <c r="G272" s="169"/>
      <c r="H272" s="160">
        <v>3968900</v>
      </c>
      <c r="I272" s="155">
        <v>1276534</v>
      </c>
      <c r="J272" s="51">
        <f>+SUM(C272:G272)-(H272+I272)</f>
        <v>316716</v>
      </c>
      <c r="K272" s="76"/>
    </row>
    <row r="273" spans="1:11">
      <c r="A273" s="49" t="s">
        <v>67</v>
      </c>
      <c r="B273" s="30"/>
      <c r="C273" s="41"/>
      <c r="D273" s="30"/>
      <c r="E273" s="30"/>
      <c r="F273" s="30"/>
      <c r="G273" s="30"/>
      <c r="H273" s="30"/>
      <c r="I273" s="30"/>
      <c r="J273" s="42"/>
    </row>
    <row r="274" spans="1:11">
      <c r="A274" s="151" t="s">
        <v>113</v>
      </c>
      <c r="B274" s="43" t="s">
        <v>68</v>
      </c>
      <c r="C274" s="154">
        <v>11284555</v>
      </c>
      <c r="D274" s="161"/>
      <c r="E274" s="56"/>
      <c r="F274" s="56"/>
      <c r="G274" s="56"/>
      <c r="H274" s="58">
        <v>5500000</v>
      </c>
      <c r="I274" s="60">
        <v>273881</v>
      </c>
      <c r="J274" s="51">
        <f>+SUM(C274:G274)-(H274+I274)</f>
        <v>5510674</v>
      </c>
      <c r="K274" s="76"/>
    </row>
    <row r="275" spans="1:11">
      <c r="A275" s="151" t="s">
        <v>113</v>
      </c>
      <c r="B275" s="43" t="s">
        <v>69</v>
      </c>
      <c r="C275" s="154">
        <v>2158645</v>
      </c>
      <c r="D275" s="56">
        <v>15435980</v>
      </c>
      <c r="E275" s="55"/>
      <c r="F275" s="55"/>
      <c r="G275" s="55"/>
      <c r="H275" s="38"/>
      <c r="I275" s="57">
        <v>6400961</v>
      </c>
      <c r="J275" s="51">
        <f>SUM(C275:G275)-(H275+I275)</f>
        <v>11193664</v>
      </c>
      <c r="K275" s="76"/>
    </row>
    <row r="276" spans="1:11" ht="15.75">
      <c r="C276" s="173">
        <f>SUM(C257:C275)</f>
        <v>14101751</v>
      </c>
      <c r="I276" s="171">
        <f>SUM(I257:I275)</f>
        <v>12539304</v>
      </c>
      <c r="J276" s="119">
        <f>+SUM(J257:J275)</f>
        <v>16998427</v>
      </c>
    </row>
    <row r="277" spans="1:11" ht="16.5">
      <c r="A277" s="15"/>
      <c r="B277" s="16"/>
      <c r="C277" s="17"/>
      <c r="D277" s="17"/>
      <c r="E277" s="17"/>
      <c r="F277" s="17"/>
      <c r="G277" s="17"/>
      <c r="H277" s="17"/>
      <c r="I277" s="17"/>
      <c r="J277" s="162"/>
    </row>
    <row r="278" spans="1:11" ht="16.5">
      <c r="A278" s="19"/>
      <c r="B278" s="20"/>
      <c r="C278" s="17"/>
      <c r="D278" s="17"/>
      <c r="E278" s="18"/>
      <c r="F278" s="17"/>
      <c r="G278" s="17"/>
      <c r="H278" s="17"/>
      <c r="I278" s="17"/>
    </row>
    <row r="279" spans="1:11">
      <c r="A279" s="21" t="s">
        <v>57</v>
      </c>
      <c r="B279" s="21"/>
      <c r="C279" s="21"/>
      <c r="D279" s="22"/>
      <c r="E279" s="22"/>
      <c r="F279" s="22"/>
      <c r="G279" s="22"/>
      <c r="H279" s="22"/>
      <c r="I279" s="22"/>
    </row>
    <row r="280" spans="1:11">
      <c r="A280" s="23" t="s">
        <v>111</v>
      </c>
      <c r="B280" s="23"/>
      <c r="C280" s="23"/>
      <c r="D280" s="23"/>
      <c r="E280" s="23"/>
      <c r="F280" s="23"/>
      <c r="G280" s="23"/>
      <c r="H280" s="23"/>
      <c r="I280" s="23"/>
      <c r="J280" s="22"/>
    </row>
    <row r="281" spans="1:11">
      <c r="A281" s="24"/>
      <c r="B281" s="25"/>
      <c r="C281" s="26"/>
      <c r="D281" s="26"/>
      <c r="E281" s="26"/>
      <c r="F281" s="26"/>
      <c r="G281" s="26"/>
      <c r="H281" s="25"/>
      <c r="I281" s="25"/>
      <c r="J281" s="23"/>
    </row>
    <row r="282" spans="1:11">
      <c r="A282" s="266" t="s">
        <v>58</v>
      </c>
      <c r="B282" s="268" t="s">
        <v>59</v>
      </c>
      <c r="C282" s="270" t="s">
        <v>109</v>
      </c>
      <c r="D282" s="272" t="s">
        <v>60</v>
      </c>
      <c r="E282" s="273"/>
      <c r="F282" s="273"/>
      <c r="G282" s="274"/>
      <c r="H282" s="275" t="s">
        <v>61</v>
      </c>
      <c r="I282" s="262" t="s">
        <v>62</v>
      </c>
      <c r="J282" s="25"/>
    </row>
    <row r="283" spans="1:11">
      <c r="A283" s="267"/>
      <c r="B283" s="269"/>
      <c r="C283" s="271"/>
      <c r="D283" s="27" t="s">
        <v>26</v>
      </c>
      <c r="E283" s="27" t="s">
        <v>27</v>
      </c>
      <c r="F283" s="163" t="s">
        <v>112</v>
      </c>
      <c r="G283" s="27" t="s">
        <v>63</v>
      </c>
      <c r="H283" s="276"/>
      <c r="I283" s="263"/>
      <c r="J283" s="264" t="s">
        <v>110</v>
      </c>
    </row>
    <row r="284" spans="1:11">
      <c r="A284" s="29"/>
      <c r="B284" s="30" t="s">
        <v>64</v>
      </c>
      <c r="C284" s="31"/>
      <c r="D284" s="31"/>
      <c r="E284" s="31"/>
      <c r="F284" s="31"/>
      <c r="G284" s="31"/>
      <c r="H284" s="31"/>
      <c r="I284" s="32"/>
      <c r="J284" s="265"/>
    </row>
    <row r="285" spans="1:11">
      <c r="A285" s="151" t="s">
        <v>108</v>
      </c>
      <c r="B285" s="156" t="s">
        <v>81</v>
      </c>
      <c r="C285" s="38">
        <v>22200</v>
      </c>
      <c r="D285" s="37"/>
      <c r="E285" s="38">
        <v>439970</v>
      </c>
      <c r="F285" s="118"/>
      <c r="G285" s="118"/>
      <c r="H285" s="165"/>
      <c r="I285" s="38">
        <v>473500</v>
      </c>
      <c r="J285" s="36">
        <f>+SUM(C285:G285)-(H285+I285)</f>
        <v>-11330</v>
      </c>
      <c r="K285" s="76"/>
    </row>
    <row r="286" spans="1:11">
      <c r="A286" s="151" t="s">
        <v>108</v>
      </c>
      <c r="B286" s="156" t="s">
        <v>52</v>
      </c>
      <c r="C286" s="38">
        <v>3060</v>
      </c>
      <c r="D286" s="37"/>
      <c r="E286" s="38">
        <v>157200</v>
      </c>
      <c r="F286" s="38"/>
      <c r="G286" s="38"/>
      <c r="H286" s="62"/>
      <c r="I286" s="38">
        <v>152000</v>
      </c>
      <c r="J286" s="36">
        <f t="shared" ref="J286:J287" si="69">+SUM(C286:G286)-(H286+I286)</f>
        <v>8260</v>
      </c>
      <c r="K286" s="76"/>
    </row>
    <row r="287" spans="1:11">
      <c r="A287" s="151" t="s">
        <v>108</v>
      </c>
      <c r="B287" s="156" t="s">
        <v>33</v>
      </c>
      <c r="C287" s="38">
        <v>3795</v>
      </c>
      <c r="D287" s="37"/>
      <c r="E287" s="38">
        <v>45000</v>
      </c>
      <c r="F287" s="38"/>
      <c r="G287" s="38"/>
      <c r="H287" s="38"/>
      <c r="I287" s="38">
        <v>45000</v>
      </c>
      <c r="J287" s="114">
        <f t="shared" si="69"/>
        <v>3795</v>
      </c>
      <c r="K287" s="76"/>
    </row>
    <row r="288" spans="1:11">
      <c r="A288" s="151" t="s">
        <v>108</v>
      </c>
      <c r="B288" s="156" t="s">
        <v>82</v>
      </c>
      <c r="C288" s="38">
        <v>2300</v>
      </c>
      <c r="D288" s="118"/>
      <c r="E288" s="38">
        <v>266600</v>
      </c>
      <c r="F288" s="38">
        <v>159900</v>
      </c>
      <c r="G288" s="38"/>
      <c r="H288" s="38">
        <v>25000</v>
      </c>
      <c r="I288" s="38">
        <v>486900</v>
      </c>
      <c r="J288" s="114">
        <f>+SUM(C288:G288)-(H288+I288)</f>
        <v>-83100</v>
      </c>
      <c r="K288" s="76"/>
    </row>
    <row r="289" spans="1:11">
      <c r="A289" s="151" t="s">
        <v>108</v>
      </c>
      <c r="B289" s="156" t="s">
        <v>74</v>
      </c>
      <c r="C289" s="38">
        <v>-14216</v>
      </c>
      <c r="D289" s="118"/>
      <c r="E289" s="38">
        <v>622600</v>
      </c>
      <c r="F289" s="38">
        <v>25000</v>
      </c>
      <c r="G289" s="38"/>
      <c r="H289" s="38">
        <v>260700</v>
      </c>
      <c r="I289" s="38">
        <v>370900</v>
      </c>
      <c r="J289" s="114">
        <f>+SUM(C289:G289)-(H289+I289)</f>
        <v>1784</v>
      </c>
      <c r="K289" s="76"/>
    </row>
    <row r="290" spans="1:11">
      <c r="A290" s="151" t="s">
        <v>108</v>
      </c>
      <c r="B290" s="157" t="s">
        <v>32</v>
      </c>
      <c r="C290" s="58">
        <v>143300</v>
      </c>
      <c r="D290" s="148"/>
      <c r="E290" s="58">
        <v>466500</v>
      </c>
      <c r="F290" s="166"/>
      <c r="G290" s="166"/>
      <c r="H290" s="166"/>
      <c r="I290" s="58">
        <v>521000</v>
      </c>
      <c r="J290" s="153">
        <f>+SUM(C290:G290)-(H290+I290)</f>
        <v>88800</v>
      </c>
      <c r="K290" s="76"/>
    </row>
    <row r="291" spans="1:11">
      <c r="A291" s="151" t="s">
        <v>108</v>
      </c>
      <c r="B291" s="158" t="s">
        <v>89</v>
      </c>
      <c r="C291" s="149">
        <v>233614</v>
      </c>
      <c r="D291" s="152"/>
      <c r="E291" s="167"/>
      <c r="F291" s="167"/>
      <c r="G291" s="167"/>
      <c r="H291" s="167"/>
      <c r="I291" s="167"/>
      <c r="J291" s="150">
        <f>+SUM(C291:G291)-(H291+I291)</f>
        <v>233614</v>
      </c>
      <c r="K291" s="76"/>
    </row>
    <row r="292" spans="1:11">
      <c r="A292" s="151" t="s">
        <v>108</v>
      </c>
      <c r="B292" s="158" t="s">
        <v>88</v>
      </c>
      <c r="C292" s="149">
        <v>249768</v>
      </c>
      <c r="D292" s="152"/>
      <c r="E292" s="167"/>
      <c r="F292" s="167"/>
      <c r="G292" s="167"/>
      <c r="H292" s="167"/>
      <c r="I292" s="167"/>
      <c r="J292" s="150">
        <f t="shared" ref="J292:J298" si="70">+SUM(C292:G292)-(H292+I292)</f>
        <v>249768</v>
      </c>
      <c r="K292" s="76"/>
    </row>
    <row r="293" spans="1:11">
      <c r="A293" s="151" t="s">
        <v>108</v>
      </c>
      <c r="B293" s="156" t="s">
        <v>38</v>
      </c>
      <c r="C293" s="38">
        <v>55090</v>
      </c>
      <c r="D293" s="37"/>
      <c r="E293" s="38">
        <v>143000</v>
      </c>
      <c r="F293" s="38">
        <v>70800</v>
      </c>
      <c r="G293" s="118"/>
      <c r="H293" s="118"/>
      <c r="I293" s="38">
        <v>261000</v>
      </c>
      <c r="J293" s="36">
        <f t="shared" si="70"/>
        <v>7890</v>
      </c>
      <c r="K293" s="76"/>
    </row>
    <row r="294" spans="1:11">
      <c r="A294" s="151" t="s">
        <v>108</v>
      </c>
      <c r="B294" s="156" t="s">
        <v>98</v>
      </c>
      <c r="C294" s="38">
        <v>0</v>
      </c>
      <c r="D294" s="37"/>
      <c r="E294" s="38">
        <v>30000</v>
      </c>
      <c r="F294" s="118"/>
      <c r="G294" s="118"/>
      <c r="H294" s="118"/>
      <c r="I294" s="38">
        <v>25000</v>
      </c>
      <c r="J294" s="36">
        <f t="shared" si="70"/>
        <v>5000</v>
      </c>
      <c r="K294" s="76"/>
    </row>
    <row r="295" spans="1:11">
      <c r="A295" s="151" t="s">
        <v>108</v>
      </c>
      <c r="B295" s="156" t="s">
        <v>31</v>
      </c>
      <c r="C295" s="38">
        <v>110700</v>
      </c>
      <c r="D295" s="37"/>
      <c r="E295" s="38">
        <v>375000</v>
      </c>
      <c r="F295" s="38">
        <v>30000</v>
      </c>
      <c r="G295" s="118"/>
      <c r="H295" s="118"/>
      <c r="I295" s="38">
        <v>458000</v>
      </c>
      <c r="J295" s="36">
        <f t="shared" si="70"/>
        <v>57700</v>
      </c>
      <c r="K295" s="76"/>
    </row>
    <row r="296" spans="1:11">
      <c r="A296" s="151" t="s">
        <v>108</v>
      </c>
      <c r="B296" s="156" t="s">
        <v>99</v>
      </c>
      <c r="C296" s="38">
        <v>-32081</v>
      </c>
      <c r="D296" s="37"/>
      <c r="E296" s="118">
        <v>0</v>
      </c>
      <c r="F296" s="118"/>
      <c r="G296" s="118"/>
      <c r="H296" s="118"/>
      <c r="I296" s="118">
        <v>0</v>
      </c>
      <c r="J296" s="36">
        <f t="shared" si="70"/>
        <v>-32081</v>
      </c>
      <c r="K296" s="76"/>
    </row>
    <row r="297" spans="1:11">
      <c r="A297" s="151" t="s">
        <v>108</v>
      </c>
      <c r="B297" s="156" t="s">
        <v>106</v>
      </c>
      <c r="C297" s="38">
        <v>0</v>
      </c>
      <c r="D297" s="37"/>
      <c r="E297" s="38">
        <v>82000</v>
      </c>
      <c r="F297" s="118"/>
      <c r="G297" s="118"/>
      <c r="H297" s="118"/>
      <c r="I297" s="38">
        <v>20000</v>
      </c>
      <c r="J297" s="36">
        <f>+SUM(C297:G297)-(H297+I297)</f>
        <v>62000</v>
      </c>
      <c r="K297" s="76"/>
    </row>
    <row r="298" spans="1:11">
      <c r="A298" s="151" t="s">
        <v>108</v>
      </c>
      <c r="B298" s="157" t="s">
        <v>34</v>
      </c>
      <c r="C298" s="58">
        <v>7300</v>
      </c>
      <c r="D298" s="148"/>
      <c r="E298" s="166"/>
      <c r="F298" s="166"/>
      <c r="G298" s="168"/>
      <c r="H298" s="166"/>
      <c r="I298" s="58">
        <v>3000</v>
      </c>
      <c r="J298" s="36">
        <f t="shared" si="70"/>
        <v>4300</v>
      </c>
      <c r="K298" s="76"/>
    </row>
    <row r="299" spans="1:11">
      <c r="A299" s="40" t="s">
        <v>65</v>
      </c>
      <c r="B299" s="41"/>
      <c r="C299" s="41"/>
      <c r="D299" s="41"/>
      <c r="E299" s="41"/>
      <c r="F299" s="41"/>
      <c r="G299" s="41"/>
      <c r="H299" s="41"/>
      <c r="I299" s="41"/>
      <c r="J299" s="42"/>
      <c r="K299" s="76"/>
    </row>
    <row r="300" spans="1:11">
      <c r="A300" s="151" t="s">
        <v>108</v>
      </c>
      <c r="B300" s="43" t="s">
        <v>66</v>
      </c>
      <c r="C300" s="44">
        <v>817769</v>
      </c>
      <c r="D300" s="56">
        <v>3000000</v>
      </c>
      <c r="E300" s="117"/>
      <c r="F300" s="117"/>
      <c r="G300" s="169"/>
      <c r="H300" s="160">
        <v>2627870</v>
      </c>
      <c r="I300" s="155">
        <v>1127749</v>
      </c>
      <c r="J300" s="51">
        <f>+SUM(C300:G300)-(H300+I300)</f>
        <v>62150</v>
      </c>
      <c r="K300" s="76"/>
    </row>
    <row r="301" spans="1:11">
      <c r="A301" s="49" t="s">
        <v>67</v>
      </c>
      <c r="B301" s="30"/>
      <c r="C301" s="41"/>
      <c r="D301" s="30"/>
      <c r="E301" s="30"/>
      <c r="F301" s="30"/>
      <c r="G301" s="30"/>
      <c r="H301" s="30"/>
      <c r="I301" s="30"/>
      <c r="J301" s="42"/>
    </row>
    <row r="302" spans="1:11">
      <c r="A302" s="151" t="s">
        <v>108</v>
      </c>
      <c r="B302" s="43" t="s">
        <v>68</v>
      </c>
      <c r="C302" s="154">
        <v>14712920</v>
      </c>
      <c r="D302" s="161"/>
      <c r="E302" s="56"/>
      <c r="F302" s="56"/>
      <c r="G302" s="56"/>
      <c r="H302" s="58">
        <v>3000000</v>
      </c>
      <c r="I302" s="60">
        <v>428365</v>
      </c>
      <c r="J302" s="51">
        <f>+SUM(C302:G302)-(H302+I302)</f>
        <v>11284555</v>
      </c>
      <c r="K302" s="76"/>
    </row>
    <row r="303" spans="1:11">
      <c r="A303" s="151" t="s">
        <v>108</v>
      </c>
      <c r="B303" s="43" t="s">
        <v>69</v>
      </c>
      <c r="C303" s="154">
        <v>8361083</v>
      </c>
      <c r="D303" s="56"/>
      <c r="E303" s="55"/>
      <c r="F303" s="55"/>
      <c r="G303" s="55"/>
      <c r="H303" s="38"/>
      <c r="I303" s="57">
        <v>6202438</v>
      </c>
      <c r="J303" s="51">
        <f>SUM(C303:G303)-(H303+I303)</f>
        <v>2158645</v>
      </c>
      <c r="K303" s="76"/>
    </row>
    <row r="304" spans="1:11" ht="15.75">
      <c r="C304" s="14"/>
      <c r="I304" s="171">
        <f>SUM(I285:I303)</f>
        <v>10574852</v>
      </c>
      <c r="J304" s="119">
        <f>+SUM(J285:J303)</f>
        <v>14101750</v>
      </c>
      <c r="K304" s="14">
        <f>J304-C276</f>
        <v>-1</v>
      </c>
    </row>
    <row r="305" spans="1:11" ht="16.5">
      <c r="A305" s="15"/>
      <c r="B305" s="16"/>
      <c r="C305" s="17"/>
      <c r="D305" s="17"/>
      <c r="E305" s="17"/>
      <c r="F305" s="17"/>
      <c r="G305" s="17"/>
      <c r="H305" s="17"/>
      <c r="I305" s="17"/>
      <c r="J305" s="162"/>
    </row>
    <row r="306" spans="1:11">
      <c r="A306" s="21" t="s">
        <v>57</v>
      </c>
      <c r="B306" s="21"/>
      <c r="C306" s="21"/>
      <c r="D306" s="22"/>
      <c r="E306" s="22"/>
      <c r="F306" s="22"/>
      <c r="G306" s="22"/>
      <c r="H306" s="22"/>
      <c r="I306" s="22"/>
    </row>
    <row r="307" spans="1:11">
      <c r="A307" s="23" t="s">
        <v>100</v>
      </c>
      <c r="B307" s="23"/>
      <c r="C307" s="23"/>
      <c r="D307" s="23"/>
      <c r="E307" s="23"/>
      <c r="F307" s="23"/>
      <c r="G307" s="23"/>
      <c r="H307" s="23"/>
      <c r="I307" s="23"/>
      <c r="J307" s="22"/>
    </row>
    <row r="308" spans="1:11">
      <c r="A308" s="24"/>
      <c r="B308" s="25"/>
      <c r="C308" s="26"/>
      <c r="D308" s="26"/>
      <c r="E308" s="26"/>
      <c r="F308" s="26"/>
      <c r="G308" s="26"/>
      <c r="H308" s="25"/>
      <c r="I308" s="25"/>
      <c r="J308" s="23"/>
    </row>
    <row r="309" spans="1:11" ht="15" customHeight="1">
      <c r="A309" s="266" t="s">
        <v>58</v>
      </c>
      <c r="B309" s="268" t="s">
        <v>59</v>
      </c>
      <c r="C309" s="270" t="s">
        <v>101</v>
      </c>
      <c r="D309" s="272" t="s">
        <v>60</v>
      </c>
      <c r="E309" s="273"/>
      <c r="F309" s="273"/>
      <c r="G309" s="274"/>
      <c r="H309" s="275" t="s">
        <v>61</v>
      </c>
      <c r="I309" s="262" t="s">
        <v>62</v>
      </c>
      <c r="J309" s="25"/>
    </row>
    <row r="310" spans="1:11" ht="15" customHeight="1">
      <c r="A310" s="267"/>
      <c r="B310" s="269"/>
      <c r="C310" s="271"/>
      <c r="D310" s="27" t="s">
        <v>26</v>
      </c>
      <c r="E310" s="27" t="s">
        <v>27</v>
      </c>
      <c r="F310" s="143" t="s">
        <v>104</v>
      </c>
      <c r="G310" s="27" t="s">
        <v>63</v>
      </c>
      <c r="H310" s="276"/>
      <c r="I310" s="263"/>
      <c r="J310" s="264" t="s">
        <v>102</v>
      </c>
    </row>
    <row r="311" spans="1:11">
      <c r="A311" s="29"/>
      <c r="B311" s="30" t="s">
        <v>64</v>
      </c>
      <c r="C311" s="31"/>
      <c r="D311" s="31"/>
      <c r="E311" s="31"/>
      <c r="F311" s="31"/>
      <c r="G311" s="31"/>
      <c r="H311" s="31"/>
      <c r="I311" s="32"/>
      <c r="J311" s="265"/>
    </row>
    <row r="312" spans="1:11">
      <c r="A312" s="151" t="s">
        <v>103</v>
      </c>
      <c r="B312" s="156" t="s">
        <v>81</v>
      </c>
      <c r="C312" s="38">
        <v>-10750</v>
      </c>
      <c r="D312" s="37"/>
      <c r="E312" s="37">
        <v>170625</v>
      </c>
      <c r="F312" s="37">
        <v>301700</v>
      </c>
      <c r="G312" s="37"/>
      <c r="H312" s="62">
        <v>27000</v>
      </c>
      <c r="I312" s="38">
        <v>412375</v>
      </c>
      <c r="J312" s="36">
        <f>+SUM(C312:G312)-(H312+I312)</f>
        <v>22200</v>
      </c>
      <c r="K312" s="76"/>
    </row>
    <row r="313" spans="1:11">
      <c r="A313" s="151" t="s">
        <v>103</v>
      </c>
      <c r="B313" s="156" t="s">
        <v>52</v>
      </c>
      <c r="C313" s="38">
        <v>9060</v>
      </c>
      <c r="D313" s="37"/>
      <c r="E313" s="37">
        <v>0</v>
      </c>
      <c r="F313" s="37"/>
      <c r="G313" s="37"/>
      <c r="H313" s="62"/>
      <c r="I313" s="38">
        <v>6000</v>
      </c>
      <c r="J313" s="36">
        <f t="shared" ref="J313:J314" si="71">+SUM(C313:G313)-(H313+I313)</f>
        <v>3060</v>
      </c>
      <c r="K313" s="76"/>
    </row>
    <row r="314" spans="1:11">
      <c r="A314" s="151" t="s">
        <v>103</v>
      </c>
      <c r="B314" s="156" t="s">
        <v>33</v>
      </c>
      <c r="C314" s="38">
        <v>1195</v>
      </c>
      <c r="D314" s="37"/>
      <c r="E314" s="37">
        <v>75000</v>
      </c>
      <c r="F314" s="38"/>
      <c r="G314" s="38"/>
      <c r="H314" s="38"/>
      <c r="I314" s="38">
        <v>72400</v>
      </c>
      <c r="J314" s="114">
        <f t="shared" si="71"/>
        <v>3795</v>
      </c>
      <c r="K314" s="76"/>
    </row>
    <row r="315" spans="1:11">
      <c r="A315" s="151" t="s">
        <v>103</v>
      </c>
      <c r="B315" s="156" t="s">
        <v>82</v>
      </c>
      <c r="C315" s="38">
        <v>-8600</v>
      </c>
      <c r="D315" s="118"/>
      <c r="E315" s="37">
        <v>596900</v>
      </c>
      <c r="F315" s="38"/>
      <c r="G315" s="38"/>
      <c r="H315" s="38"/>
      <c r="I315" s="38">
        <v>586000</v>
      </c>
      <c r="J315" s="114">
        <f>+SUM(C315:G315)-(H315+I315)</f>
        <v>2300</v>
      </c>
      <c r="K315" s="76"/>
    </row>
    <row r="316" spans="1:11">
      <c r="A316" s="151" t="s">
        <v>103</v>
      </c>
      <c r="B316" s="156" t="s">
        <v>74</v>
      </c>
      <c r="C316" s="38">
        <v>8884</v>
      </c>
      <c r="D316" s="118"/>
      <c r="E316" s="37">
        <v>618600</v>
      </c>
      <c r="F316" s="38">
        <v>27000</v>
      </c>
      <c r="G316" s="38"/>
      <c r="H316" s="38">
        <v>301700</v>
      </c>
      <c r="I316" s="38">
        <v>367000</v>
      </c>
      <c r="J316" s="114">
        <f t="shared" ref="J316" si="72">+SUM(C316:G316)-(H316+I316)</f>
        <v>-14216</v>
      </c>
      <c r="K316" s="76"/>
    </row>
    <row r="317" spans="1:11">
      <c r="A317" s="148" t="s">
        <v>103</v>
      </c>
      <c r="B317" s="157" t="s">
        <v>32</v>
      </c>
      <c r="C317" s="58">
        <v>191600</v>
      </c>
      <c r="D317" s="148"/>
      <c r="E317" s="148">
        <v>777000</v>
      </c>
      <c r="F317" s="58"/>
      <c r="G317" s="58"/>
      <c r="H317" s="58"/>
      <c r="I317" s="58">
        <v>825300</v>
      </c>
      <c r="J317" s="153">
        <f>+SUM(C317:G317)-(H317+I317)</f>
        <v>143300</v>
      </c>
      <c r="K317" s="76"/>
    </row>
    <row r="318" spans="1:11">
      <c r="A318" s="152" t="s">
        <v>103</v>
      </c>
      <c r="B318" s="158" t="s">
        <v>89</v>
      </c>
      <c r="C318" s="149">
        <v>233614</v>
      </c>
      <c r="D318" s="152"/>
      <c r="E318" s="152"/>
      <c r="F318" s="152"/>
      <c r="G318" s="152"/>
      <c r="H318" s="149"/>
      <c r="I318" s="149"/>
      <c r="J318" s="150">
        <f>+SUM(C318:G318)-(H318+I318)</f>
        <v>233614</v>
      </c>
      <c r="K318" s="76"/>
    </row>
    <row r="319" spans="1:11">
      <c r="A319" s="152" t="s">
        <v>103</v>
      </c>
      <c r="B319" s="158" t="s">
        <v>88</v>
      </c>
      <c r="C319" s="149">
        <v>249769</v>
      </c>
      <c r="D319" s="152"/>
      <c r="E319" s="152"/>
      <c r="F319" s="152"/>
      <c r="G319" s="152"/>
      <c r="H319" s="149"/>
      <c r="I319" s="149"/>
      <c r="J319" s="150">
        <f t="shared" ref="J319:J324" si="73">+SUM(C319:G319)-(H319+I319)</f>
        <v>249769</v>
      </c>
      <c r="K319" s="76"/>
    </row>
    <row r="320" spans="1:11">
      <c r="A320" s="151" t="s">
        <v>103</v>
      </c>
      <c r="B320" s="156" t="s">
        <v>38</v>
      </c>
      <c r="C320" s="38">
        <v>-3510</v>
      </c>
      <c r="D320" s="37"/>
      <c r="E320" s="37">
        <v>240100</v>
      </c>
      <c r="F320" s="37"/>
      <c r="G320" s="37"/>
      <c r="H320" s="38"/>
      <c r="I320" s="38">
        <v>181500</v>
      </c>
      <c r="J320" s="36">
        <f t="shared" si="73"/>
        <v>55090</v>
      </c>
      <c r="K320" s="76"/>
    </row>
    <row r="321" spans="1:11">
      <c r="A321" s="151" t="s">
        <v>103</v>
      </c>
      <c r="B321" s="156" t="s">
        <v>98</v>
      </c>
      <c r="C321" s="38">
        <v>0</v>
      </c>
      <c r="D321" s="37"/>
      <c r="E321" s="37">
        <v>5000</v>
      </c>
      <c r="F321" s="37"/>
      <c r="G321" s="37"/>
      <c r="H321" s="38"/>
      <c r="I321" s="38">
        <v>5000</v>
      </c>
      <c r="J321" s="36">
        <f t="shared" si="73"/>
        <v>0</v>
      </c>
      <c r="K321" s="76"/>
    </row>
    <row r="322" spans="1:11">
      <c r="A322" s="151" t="s">
        <v>103</v>
      </c>
      <c r="B322" s="156" t="s">
        <v>31</v>
      </c>
      <c r="C322" s="38">
        <v>111200</v>
      </c>
      <c r="D322" s="37"/>
      <c r="E322" s="37">
        <v>704000</v>
      </c>
      <c r="F322" s="37"/>
      <c r="G322" s="37"/>
      <c r="H322" s="38"/>
      <c r="I322" s="38">
        <v>704500</v>
      </c>
      <c r="J322" s="36">
        <f t="shared" si="73"/>
        <v>110700</v>
      </c>
      <c r="K322" s="76"/>
    </row>
    <row r="323" spans="1:11">
      <c r="A323" s="151" t="s">
        <v>103</v>
      </c>
      <c r="B323" s="156" t="s">
        <v>99</v>
      </c>
      <c r="C323" s="38">
        <v>-32081</v>
      </c>
      <c r="D323" s="37"/>
      <c r="E323" s="37">
        <v>0</v>
      </c>
      <c r="F323" s="37"/>
      <c r="G323" s="37"/>
      <c r="H323" s="38"/>
      <c r="I323" s="38">
        <v>0</v>
      </c>
      <c r="J323" s="36">
        <f t="shared" si="73"/>
        <v>-32081</v>
      </c>
      <c r="K323" s="76"/>
    </row>
    <row r="324" spans="1:11">
      <c r="A324" s="151" t="s">
        <v>103</v>
      </c>
      <c r="B324" s="157" t="s">
        <v>34</v>
      </c>
      <c r="C324" s="58">
        <v>5300</v>
      </c>
      <c r="D324" s="148"/>
      <c r="E324" s="148">
        <v>10000</v>
      </c>
      <c r="F324" s="148"/>
      <c r="G324" s="159"/>
      <c r="H324" s="58"/>
      <c r="I324" s="58">
        <v>8000</v>
      </c>
      <c r="J324" s="36">
        <f t="shared" si="73"/>
        <v>7300</v>
      </c>
      <c r="K324" s="76"/>
    </row>
    <row r="325" spans="1:11">
      <c r="A325" s="40" t="s">
        <v>65</v>
      </c>
      <c r="B325" s="41"/>
      <c r="C325" s="41"/>
      <c r="D325" s="41"/>
      <c r="E325" s="41"/>
      <c r="F325" s="41"/>
      <c r="G325" s="41"/>
      <c r="H325" s="41"/>
      <c r="I325" s="41"/>
      <c r="J325" s="42"/>
      <c r="K325" s="76"/>
    </row>
    <row r="326" spans="1:11">
      <c r="A326" s="33" t="s">
        <v>103</v>
      </c>
      <c r="B326" s="43" t="s">
        <v>66</v>
      </c>
      <c r="C326" s="44">
        <v>733034</v>
      </c>
      <c r="D326" s="45">
        <v>4293000</v>
      </c>
      <c r="E326" s="45"/>
      <c r="F326" s="45"/>
      <c r="G326" s="154"/>
      <c r="H326" s="160">
        <v>3197225</v>
      </c>
      <c r="I326" s="155">
        <v>1011040</v>
      </c>
      <c r="J326" s="51">
        <f>+SUM(C326:G326)-(H326+I326)</f>
        <v>817769</v>
      </c>
      <c r="K326" s="76"/>
    </row>
    <row r="327" spans="1:11">
      <c r="A327" s="49" t="s">
        <v>67</v>
      </c>
      <c r="B327" s="30"/>
      <c r="C327" s="41"/>
      <c r="D327" s="30"/>
      <c r="E327" s="30"/>
      <c r="F327" s="30"/>
      <c r="G327" s="30"/>
      <c r="H327" s="30"/>
      <c r="I327" s="30"/>
      <c r="J327" s="42"/>
    </row>
    <row r="328" spans="1:11">
      <c r="A328" s="33" t="s">
        <v>103</v>
      </c>
      <c r="B328" s="43" t="s">
        <v>68</v>
      </c>
      <c r="C328" s="154">
        <v>19184971</v>
      </c>
      <c r="D328" s="161"/>
      <c r="E328" s="56"/>
      <c r="F328" s="56"/>
      <c r="G328" s="56"/>
      <c r="H328" s="58">
        <v>4000000</v>
      </c>
      <c r="I328" s="60">
        <v>472051</v>
      </c>
      <c r="J328" s="51">
        <f>+SUM(C328:G328)-(H328+I328)</f>
        <v>14712920</v>
      </c>
      <c r="K328" s="76"/>
    </row>
    <row r="329" spans="1:11">
      <c r="A329" s="33" t="s">
        <v>103</v>
      </c>
      <c r="B329" s="43" t="s">
        <v>69</v>
      </c>
      <c r="C329" s="154">
        <v>14419055</v>
      </c>
      <c r="D329" s="56"/>
      <c r="E329" s="55"/>
      <c r="F329" s="55"/>
      <c r="G329" s="55"/>
      <c r="H329" s="38">
        <v>293000</v>
      </c>
      <c r="I329" s="57">
        <v>5764972</v>
      </c>
      <c r="J329" s="51">
        <f>SUM(C329:G329)-(H329+I329)</f>
        <v>8361083</v>
      </c>
      <c r="K329" s="76"/>
    </row>
    <row r="330" spans="1:11" ht="15.75">
      <c r="C330" s="14"/>
      <c r="I330" s="14"/>
      <c r="J330" s="119">
        <f>+SUM(J312:J329)</f>
        <v>24676603</v>
      </c>
    </row>
    <row r="331" spans="1:11" ht="16.5">
      <c r="A331" s="15"/>
      <c r="B331" s="16"/>
      <c r="C331" s="17"/>
      <c r="D331" s="17"/>
      <c r="E331" s="17"/>
      <c r="F331" s="17"/>
      <c r="G331" s="17"/>
      <c r="H331" s="17"/>
      <c r="I331" s="17"/>
      <c r="J331" s="162"/>
    </row>
    <row r="332" spans="1:11">
      <c r="A332" s="21" t="s">
        <v>57</v>
      </c>
      <c r="B332" s="21"/>
      <c r="C332" s="21"/>
      <c r="D332" s="22"/>
      <c r="E332" s="22"/>
      <c r="F332" s="22"/>
      <c r="G332" s="22"/>
      <c r="H332" s="22"/>
      <c r="I332" s="22"/>
    </row>
    <row r="333" spans="1:11">
      <c r="A333" s="23" t="s">
        <v>92</v>
      </c>
      <c r="B333" s="23"/>
      <c r="C333" s="23"/>
      <c r="D333" s="23"/>
      <c r="E333" s="23"/>
      <c r="F333" s="23"/>
      <c r="G333" s="23"/>
      <c r="H333" s="23"/>
      <c r="I333" s="23"/>
      <c r="J333" s="22"/>
    </row>
    <row r="334" spans="1:11" ht="15" customHeight="1">
      <c r="A334" s="24"/>
      <c r="B334" s="25"/>
      <c r="C334" s="26"/>
      <c r="D334" s="26"/>
      <c r="E334" s="26"/>
      <c r="F334" s="26"/>
      <c r="G334" s="26"/>
      <c r="H334" s="25"/>
      <c r="I334" s="25"/>
      <c r="J334" s="23"/>
    </row>
    <row r="335" spans="1:11" ht="15" customHeight="1">
      <c r="A335" s="266" t="s">
        <v>58</v>
      </c>
      <c r="B335" s="268" t="s">
        <v>59</v>
      </c>
      <c r="C335" s="270" t="s">
        <v>93</v>
      </c>
      <c r="D335" s="272" t="s">
        <v>60</v>
      </c>
      <c r="E335" s="273"/>
      <c r="F335" s="273"/>
      <c r="G335" s="274"/>
      <c r="H335" s="275" t="s">
        <v>61</v>
      </c>
      <c r="I335" s="262" t="s">
        <v>62</v>
      </c>
      <c r="J335" s="25"/>
    </row>
    <row r="336" spans="1:11" ht="15" customHeight="1">
      <c r="A336" s="267"/>
      <c r="B336" s="269"/>
      <c r="C336" s="271"/>
      <c r="D336" s="27" t="s">
        <v>26</v>
      </c>
      <c r="E336" s="27" t="s">
        <v>27</v>
      </c>
      <c r="F336" s="131" t="s">
        <v>96</v>
      </c>
      <c r="G336" s="27" t="s">
        <v>63</v>
      </c>
      <c r="H336" s="276"/>
      <c r="I336" s="263"/>
      <c r="J336" s="264" t="s">
        <v>94</v>
      </c>
    </row>
    <row r="337" spans="1:10">
      <c r="A337" s="29"/>
      <c r="B337" s="30" t="s">
        <v>64</v>
      </c>
      <c r="C337" s="31"/>
      <c r="D337" s="31"/>
      <c r="E337" s="31"/>
      <c r="F337" s="31"/>
      <c r="G337" s="31"/>
      <c r="H337" s="31"/>
      <c r="I337" s="32"/>
      <c r="J337" s="265"/>
    </row>
    <row r="338" spans="1:10" ht="16.5">
      <c r="A338" s="33" t="s">
        <v>95</v>
      </c>
      <c r="B338" s="13" t="s">
        <v>81</v>
      </c>
      <c r="C338" s="34" t="e">
        <f>+#REF!</f>
        <v>#REF!</v>
      </c>
      <c r="D338" s="35"/>
      <c r="E338" s="35">
        <v>271100</v>
      </c>
      <c r="F338" s="35">
        <f>112800+126500</f>
        <v>239300</v>
      </c>
      <c r="G338" s="35"/>
      <c r="H338" s="62"/>
      <c r="I338" s="39">
        <v>521950</v>
      </c>
      <c r="J338" s="36" t="e">
        <f>+SUM(C338:G338)-(H338+I338)</f>
        <v>#REF!</v>
      </c>
    </row>
    <row r="339" spans="1:10" ht="16.5">
      <c r="A339" s="33" t="s">
        <v>95</v>
      </c>
      <c r="B339" s="13" t="s">
        <v>52</v>
      </c>
      <c r="C339" s="34" t="e">
        <f>+C103</f>
        <v>#REF!</v>
      </c>
      <c r="D339" s="35"/>
      <c r="E339" s="35">
        <v>625000</v>
      </c>
      <c r="F339" s="35"/>
      <c r="G339" s="35"/>
      <c r="H339" s="62">
        <v>247500</v>
      </c>
      <c r="I339" s="39">
        <v>371500</v>
      </c>
      <c r="J339" s="36" t="e">
        <f t="shared" ref="J339:J340" si="74">+SUM(C339:G339)-(H339+I339)</f>
        <v>#REF!</v>
      </c>
    </row>
    <row r="340" spans="1:10" ht="16.5">
      <c r="A340" s="33" t="s">
        <v>95</v>
      </c>
      <c r="B340" s="13" t="s">
        <v>33</v>
      </c>
      <c r="C340" s="34" t="e">
        <f>+C104</f>
        <v>#REF!</v>
      </c>
      <c r="D340" s="35"/>
      <c r="E340" s="35">
        <v>60000</v>
      </c>
      <c r="F340" s="113"/>
      <c r="G340" s="113"/>
      <c r="H340" s="38"/>
      <c r="I340" s="61">
        <v>67200</v>
      </c>
      <c r="J340" s="114" t="e">
        <f t="shared" si="74"/>
        <v>#REF!</v>
      </c>
    </row>
    <row r="341" spans="1:10" ht="15.75" customHeight="1">
      <c r="A341" s="33" t="s">
        <v>95</v>
      </c>
      <c r="B341" s="13" t="s">
        <v>82</v>
      </c>
      <c r="C341" s="34" t="e">
        <f>+C105</f>
        <v>#REF!</v>
      </c>
      <c r="D341" s="63"/>
      <c r="E341" s="35">
        <v>140000</v>
      </c>
      <c r="F341" s="113">
        <v>270500</v>
      </c>
      <c r="G341" s="113"/>
      <c r="H341" s="38"/>
      <c r="I341" s="38">
        <v>417300</v>
      </c>
      <c r="J341" s="114" t="e">
        <f>+SUM(C341:G341)-(H341+I341)</f>
        <v>#REF!</v>
      </c>
    </row>
    <row r="342" spans="1:10" ht="16.5">
      <c r="A342" s="33" t="s">
        <v>95</v>
      </c>
      <c r="B342" s="13" t="s">
        <v>74</v>
      </c>
      <c r="C342" s="34">
        <v>15984</v>
      </c>
      <c r="D342" s="63"/>
      <c r="E342" s="35">
        <v>256400</v>
      </c>
      <c r="F342" s="113"/>
      <c r="G342" s="113"/>
      <c r="H342" s="38"/>
      <c r="I342" s="39">
        <v>263500</v>
      </c>
      <c r="J342" s="114">
        <f t="shared" ref="J342" si="75">+SUM(C342:G342)-(H342+I342)</f>
        <v>8884</v>
      </c>
    </row>
    <row r="343" spans="1:10" ht="16.5">
      <c r="A343" s="33" t="s">
        <v>95</v>
      </c>
      <c r="B343" s="13" t="s">
        <v>32</v>
      </c>
      <c r="C343" s="34" t="e">
        <f t="shared" ref="C343:C347" si="76">+C106</f>
        <v>#REF!</v>
      </c>
      <c r="D343" s="35"/>
      <c r="E343" s="35">
        <v>858500</v>
      </c>
      <c r="F343" s="113"/>
      <c r="G343" s="113"/>
      <c r="H343" s="38"/>
      <c r="I343" s="39">
        <v>645000</v>
      </c>
      <c r="J343" s="114" t="e">
        <f>+SUM(C343:G343)-(H343+I343)</f>
        <v>#REF!</v>
      </c>
    </row>
    <row r="344" spans="1:10" ht="16.5">
      <c r="A344" s="33" t="s">
        <v>95</v>
      </c>
      <c r="B344" s="13" t="s">
        <v>38</v>
      </c>
      <c r="C344" s="34" t="e">
        <f t="shared" si="76"/>
        <v>#REF!</v>
      </c>
      <c r="D344" s="35"/>
      <c r="E344" s="35">
        <v>800700</v>
      </c>
      <c r="F344" s="35"/>
      <c r="G344" s="35"/>
      <c r="H344" s="38">
        <v>262300</v>
      </c>
      <c r="I344" s="39">
        <v>543600</v>
      </c>
      <c r="J344" s="36" t="e">
        <f>+SUM(C344:G344)-(H344+I344)</f>
        <v>#REF!</v>
      </c>
    </row>
    <row r="345" spans="1:10" ht="16.5">
      <c r="A345" s="33" t="s">
        <v>95</v>
      </c>
      <c r="B345" s="13" t="s">
        <v>31</v>
      </c>
      <c r="C345" s="34" t="e">
        <f t="shared" si="76"/>
        <v>#REF!</v>
      </c>
      <c r="D345" s="35"/>
      <c r="E345" s="35">
        <v>971600</v>
      </c>
      <c r="F345" s="35"/>
      <c r="G345" s="35"/>
      <c r="H345" s="38">
        <v>200000</v>
      </c>
      <c r="I345" s="39">
        <v>639450</v>
      </c>
      <c r="J345" s="36" t="e">
        <f t="shared" ref="J345:J346" si="77">+SUM(C345:G345)-(H345+I345)</f>
        <v>#REF!</v>
      </c>
    </row>
    <row r="346" spans="1:10" ht="16.5">
      <c r="A346" s="33" t="s">
        <v>95</v>
      </c>
      <c r="B346" s="13" t="s">
        <v>7</v>
      </c>
      <c r="C346" s="34" t="e">
        <f t="shared" si="76"/>
        <v>#REF!</v>
      </c>
      <c r="D346" s="35"/>
      <c r="E346" s="35"/>
      <c r="F346" s="35"/>
      <c r="G346" s="35"/>
      <c r="H346" s="38"/>
      <c r="I346" s="61">
        <v>23000</v>
      </c>
      <c r="J346" s="36" t="e">
        <f t="shared" si="77"/>
        <v>#REF!</v>
      </c>
    </row>
    <row r="347" spans="1:10" ht="16.5">
      <c r="A347" s="33" t="s">
        <v>95</v>
      </c>
      <c r="B347" s="13" t="s">
        <v>34</v>
      </c>
      <c r="C347" s="34" t="e">
        <f t="shared" si="76"/>
        <v>#REF!</v>
      </c>
      <c r="D347" s="35"/>
      <c r="E347" s="35"/>
      <c r="F347" s="35"/>
      <c r="G347" s="35"/>
      <c r="H347" s="38"/>
      <c r="I347" s="39">
        <v>0</v>
      </c>
      <c r="J347" s="36" t="e">
        <f>+SUM(C347:G347)-(H347+I347)</f>
        <v>#REF!</v>
      </c>
    </row>
    <row r="348" spans="1:10" ht="16.5">
      <c r="A348" s="133" t="s">
        <v>95</v>
      </c>
      <c r="B348" s="134" t="s">
        <v>97</v>
      </c>
      <c r="C348" s="135">
        <v>3721074</v>
      </c>
      <c r="D348" s="136"/>
      <c r="E348" s="137"/>
      <c r="F348" s="136"/>
      <c r="G348" s="138"/>
      <c r="H348" s="135">
        <v>3721074</v>
      </c>
      <c r="I348" s="139"/>
      <c r="J348" s="140">
        <f>+SUM(C348:G348)-(H348+I348)</f>
        <v>0</v>
      </c>
    </row>
    <row r="349" spans="1:10">
      <c r="A349" s="40" t="s">
        <v>65</v>
      </c>
      <c r="B349" s="41"/>
      <c r="C349" s="41"/>
      <c r="D349" s="41"/>
      <c r="E349" s="41"/>
      <c r="F349" s="41"/>
      <c r="G349" s="41"/>
      <c r="H349" s="41"/>
      <c r="I349" s="41"/>
      <c r="J349" s="42"/>
    </row>
    <row r="350" spans="1:10">
      <c r="A350" s="33" t="s">
        <v>95</v>
      </c>
      <c r="B350" s="43" t="s">
        <v>66</v>
      </c>
      <c r="C350" s="44" t="e">
        <f>+C102</f>
        <v>#REF!</v>
      </c>
      <c r="D350" s="45">
        <v>5000000</v>
      </c>
      <c r="E350" s="45"/>
      <c r="F350" s="45"/>
      <c r="G350" s="46">
        <v>200000</v>
      </c>
      <c r="H350" s="54">
        <v>3983300</v>
      </c>
      <c r="I350" s="47">
        <v>776245</v>
      </c>
      <c r="J350" s="48" t="e">
        <f>+SUM(C350:G350)-(H350+I350)</f>
        <v>#REF!</v>
      </c>
    </row>
    <row r="351" spans="1:10">
      <c r="A351" s="49" t="s">
        <v>67</v>
      </c>
      <c r="B351" s="30"/>
      <c r="C351" s="41"/>
      <c r="D351" s="30"/>
      <c r="E351" s="30"/>
      <c r="F351" s="30"/>
      <c r="G351" s="30"/>
      <c r="H351" s="30"/>
      <c r="I351" s="30"/>
      <c r="J351" s="42"/>
    </row>
    <row r="352" spans="1:10">
      <c r="A352" s="33" t="s">
        <v>95</v>
      </c>
      <c r="B352" s="43" t="s">
        <v>68</v>
      </c>
      <c r="C352" s="50" t="e">
        <f>+#REF!</f>
        <v>#REF!</v>
      </c>
      <c r="D352" s="59">
        <v>19826114</v>
      </c>
      <c r="E352" s="56"/>
      <c r="F352" s="56"/>
      <c r="G352" s="56"/>
      <c r="H352" s="58">
        <v>5000000</v>
      </c>
      <c r="I352" s="60">
        <v>455737</v>
      </c>
      <c r="J352" s="51" t="e">
        <f>+SUM(C352:G352)-(H352+I352)</f>
        <v>#REF!</v>
      </c>
    </row>
    <row r="353" spans="1:11">
      <c r="A353" s="33" t="s">
        <v>95</v>
      </c>
      <c r="B353" s="43" t="s">
        <v>69</v>
      </c>
      <c r="C353" s="50" t="e">
        <f>+C101</f>
        <v>#REF!</v>
      </c>
      <c r="D353" s="56">
        <v>13119140</v>
      </c>
      <c r="E353" s="55"/>
      <c r="F353" s="55"/>
      <c r="G353" s="55"/>
      <c r="H353" s="38"/>
      <c r="I353" s="57">
        <v>3445919</v>
      </c>
      <c r="J353" s="51" t="e">
        <f>SUM(C353:G353)-(H353+I353)</f>
        <v>#REF!</v>
      </c>
    </row>
    <row r="354" spans="1:11">
      <c r="A354" s="187" t="s">
        <v>95</v>
      </c>
      <c r="B354" s="183" t="s">
        <v>88</v>
      </c>
      <c r="C354" s="188">
        <v>249769</v>
      </c>
      <c r="D354" s="56"/>
      <c r="E354" s="56"/>
      <c r="F354" s="56"/>
      <c r="G354" s="56"/>
      <c r="H354" s="38"/>
      <c r="I354" s="57"/>
      <c r="J354" s="189">
        <f>SUM(C354:G354)-(H354+I354)</f>
        <v>249769</v>
      </c>
    </row>
    <row r="355" spans="1:11">
      <c r="A355" s="187" t="s">
        <v>95</v>
      </c>
      <c r="B355" s="185" t="s">
        <v>89</v>
      </c>
      <c r="C355" s="188">
        <v>233614</v>
      </c>
      <c r="D355" s="56"/>
      <c r="E355" s="56"/>
      <c r="F355" s="56"/>
      <c r="G355" s="56"/>
      <c r="H355" s="38"/>
      <c r="I355" s="57"/>
      <c r="J355" s="189">
        <f>SUM(C355:G355)-(H355+I355)</f>
        <v>233614</v>
      </c>
    </row>
    <row r="356" spans="1:11">
      <c r="A356" s="187" t="s">
        <v>95</v>
      </c>
      <c r="B356" s="186" t="s">
        <v>90</v>
      </c>
      <c r="C356" s="188">
        <v>330169</v>
      </c>
      <c r="D356" s="190"/>
      <c r="E356" s="190"/>
      <c r="F356" s="190"/>
      <c r="G356" s="190"/>
      <c r="H356" s="190"/>
      <c r="I356" s="190"/>
      <c r="J356" s="189">
        <f>SUM(C356:G356)-(H356+I356)</f>
        <v>330169</v>
      </c>
    </row>
    <row r="357" spans="1:11" ht="15.75">
      <c r="C357" s="14"/>
      <c r="I357" s="14"/>
      <c r="J357" s="119" t="e">
        <f>+SUM(J338:J356)</f>
        <v>#REF!</v>
      </c>
      <c r="K357" s="132" t="e">
        <f>+J357-I114</f>
        <v>#REF!</v>
      </c>
    </row>
    <row r="359" spans="1:11">
      <c r="A359" s="21" t="s">
        <v>57</v>
      </c>
      <c r="B359" s="21"/>
      <c r="C359" s="21"/>
      <c r="D359" s="22"/>
      <c r="E359" s="22"/>
      <c r="F359" s="22"/>
      <c r="G359" s="22"/>
      <c r="H359" s="22"/>
      <c r="I359" s="22"/>
    </row>
    <row r="360" spans="1:11">
      <c r="A360" s="23" t="s">
        <v>83</v>
      </c>
      <c r="B360" s="23"/>
      <c r="C360" s="23"/>
      <c r="D360" s="23"/>
      <c r="E360" s="23"/>
      <c r="F360" s="23"/>
      <c r="G360" s="23"/>
      <c r="H360" s="23"/>
      <c r="I360" s="23"/>
      <c r="J360" s="22"/>
    </row>
    <row r="361" spans="1:11">
      <c r="A361" s="24"/>
      <c r="B361" s="25"/>
      <c r="C361" s="26"/>
      <c r="D361" s="26"/>
      <c r="E361" s="26"/>
      <c r="F361" s="26"/>
      <c r="G361" s="26"/>
      <c r="H361" s="25"/>
      <c r="I361" s="25"/>
      <c r="J361" s="23"/>
    </row>
    <row r="362" spans="1:11">
      <c r="A362" s="266" t="s">
        <v>58</v>
      </c>
      <c r="B362" s="268" t="s">
        <v>59</v>
      </c>
      <c r="C362" s="270" t="s">
        <v>85</v>
      </c>
      <c r="D362" s="272" t="s">
        <v>60</v>
      </c>
      <c r="E362" s="273"/>
      <c r="F362" s="273"/>
      <c r="G362" s="274"/>
      <c r="H362" s="275" t="s">
        <v>61</v>
      </c>
      <c r="I362" s="262" t="s">
        <v>62</v>
      </c>
      <c r="J362" s="25"/>
    </row>
    <row r="363" spans="1:11" ht="36.75" customHeight="1">
      <c r="A363" s="267"/>
      <c r="B363" s="269"/>
      <c r="C363" s="271"/>
      <c r="D363" s="27" t="s">
        <v>26</v>
      </c>
      <c r="E363" s="27" t="s">
        <v>27</v>
      </c>
      <c r="F363" s="28" t="s">
        <v>74</v>
      </c>
      <c r="G363" s="27" t="s">
        <v>63</v>
      </c>
      <c r="H363" s="276"/>
      <c r="I363" s="263"/>
      <c r="J363" s="264" t="s">
        <v>91</v>
      </c>
    </row>
    <row r="364" spans="1:11">
      <c r="A364" s="29"/>
      <c r="B364" s="30" t="s">
        <v>64</v>
      </c>
      <c r="C364" s="31"/>
      <c r="D364" s="31"/>
      <c r="E364" s="31"/>
      <c r="F364" s="31"/>
      <c r="G364" s="31"/>
      <c r="H364" s="31"/>
      <c r="I364" s="32"/>
      <c r="J364" s="265"/>
    </row>
    <row r="365" spans="1:11" ht="16.5">
      <c r="A365" s="33" t="s">
        <v>84</v>
      </c>
      <c r="B365" s="13" t="s">
        <v>81</v>
      </c>
      <c r="C365" s="34">
        <v>0</v>
      </c>
      <c r="D365" s="35"/>
      <c r="E365" s="35">
        <v>40000</v>
      </c>
      <c r="F365" s="35"/>
      <c r="G365" s="35"/>
      <c r="H365" s="62"/>
      <c r="I365" s="39">
        <v>39200</v>
      </c>
      <c r="J365" s="36">
        <f>+SUM(C365:G365)-(H365+I365)</f>
        <v>800</v>
      </c>
    </row>
    <row r="366" spans="1:11" ht="16.5">
      <c r="A366" s="33" t="s">
        <v>84</v>
      </c>
      <c r="B366" s="13" t="str">
        <f>+A103</f>
        <v>JUILLET</v>
      </c>
      <c r="C366" s="34">
        <v>19060</v>
      </c>
      <c r="D366" s="35"/>
      <c r="E366" s="35">
        <v>20000</v>
      </c>
      <c r="F366" s="35"/>
      <c r="G366" s="35"/>
      <c r="H366" s="62"/>
      <c r="I366" s="39">
        <v>36000</v>
      </c>
      <c r="J366" s="36">
        <f t="shared" ref="J366:J373" si="78">+SUM(C366:G366)-(H366+I366)</f>
        <v>3060</v>
      </c>
    </row>
    <row r="367" spans="1:11" ht="16.5">
      <c r="A367" s="33" t="s">
        <v>84</v>
      </c>
      <c r="B367" s="13" t="str">
        <f>+A104</f>
        <v>JUILLET</v>
      </c>
      <c r="C367" s="34">
        <v>8395</v>
      </c>
      <c r="D367" s="35"/>
      <c r="E367" s="35">
        <v>20000</v>
      </c>
      <c r="F367" s="113"/>
      <c r="G367" s="113"/>
      <c r="H367" s="38"/>
      <c r="I367" s="61">
        <v>20000</v>
      </c>
      <c r="J367" s="114">
        <f t="shared" si="78"/>
        <v>8395</v>
      </c>
    </row>
    <row r="368" spans="1:11" ht="16.5">
      <c r="A368" s="33" t="s">
        <v>84</v>
      </c>
      <c r="B368" s="13" t="str">
        <f>+A105</f>
        <v>JUILLET</v>
      </c>
      <c r="C368" s="34">
        <v>0</v>
      </c>
      <c r="D368" s="63"/>
      <c r="E368" s="35">
        <v>100000</v>
      </c>
      <c r="F368" s="113">
        <v>102200</v>
      </c>
      <c r="G368" s="113"/>
      <c r="H368" s="38"/>
      <c r="I368" s="38">
        <v>204000</v>
      </c>
      <c r="J368" s="114">
        <f>+SUM(C368:G368)-(H368+I368)</f>
        <v>-1800</v>
      </c>
    </row>
    <row r="369" spans="1:10" ht="16.5">
      <c r="A369" s="33" t="s">
        <v>84</v>
      </c>
      <c r="B369" s="13" t="e">
        <f>+#REF!</f>
        <v>#REF!</v>
      </c>
      <c r="C369" s="34">
        <v>7559</v>
      </c>
      <c r="D369" s="63"/>
      <c r="E369" s="35">
        <v>866200</v>
      </c>
      <c r="F369" s="113"/>
      <c r="G369" s="113"/>
      <c r="H369" s="38">
        <v>252200</v>
      </c>
      <c r="I369" s="39">
        <v>605575</v>
      </c>
      <c r="J369" s="114">
        <f t="shared" si="78"/>
        <v>15984</v>
      </c>
    </row>
    <row r="370" spans="1:10" ht="16.5">
      <c r="A370" s="33" t="s">
        <v>84</v>
      </c>
      <c r="B370" s="13" t="str">
        <f t="shared" ref="B370:B373" si="79">+A106</f>
        <v>JUILLET</v>
      </c>
      <c r="C370" s="34">
        <v>214000</v>
      </c>
      <c r="D370" s="35"/>
      <c r="E370" s="35">
        <v>724100</v>
      </c>
      <c r="F370" s="113"/>
      <c r="G370" s="113"/>
      <c r="H370" s="38"/>
      <c r="I370" s="39">
        <v>960000</v>
      </c>
      <c r="J370" s="114">
        <f>+SUM(C370:G370)-(H370+I370)</f>
        <v>-21900</v>
      </c>
    </row>
    <row r="371" spans="1:10" ht="16.5">
      <c r="A371" s="33" t="s">
        <v>84</v>
      </c>
      <c r="B371" s="13" t="str">
        <f t="shared" si="79"/>
        <v>JUILLET</v>
      </c>
      <c r="C371" s="34">
        <v>-13805</v>
      </c>
      <c r="D371" s="35"/>
      <c r="E371" s="35">
        <v>333400</v>
      </c>
      <c r="F371" s="35">
        <v>150000</v>
      </c>
      <c r="G371" s="35"/>
      <c r="H371" s="38">
        <v>129000</v>
      </c>
      <c r="I371" s="39">
        <v>338905</v>
      </c>
      <c r="J371" s="36">
        <f>+SUM(C371:G371)-(H371+I371)</f>
        <v>1690</v>
      </c>
    </row>
    <row r="372" spans="1:10" ht="16.5">
      <c r="A372" s="33" t="s">
        <v>84</v>
      </c>
      <c r="B372" s="13" t="str">
        <f t="shared" si="79"/>
        <v>JUILLET</v>
      </c>
      <c r="C372" s="34">
        <v>84350</v>
      </c>
      <c r="D372" s="35"/>
      <c r="E372" s="35">
        <v>669400</v>
      </c>
      <c r="F372" s="35"/>
      <c r="G372" s="35"/>
      <c r="H372" s="38">
        <v>100000</v>
      </c>
      <c r="I372" s="39">
        <v>674700</v>
      </c>
      <c r="J372" s="36">
        <f>+SUM(C372:G372)-(H372+I372)</f>
        <v>-20950</v>
      </c>
    </row>
    <row r="373" spans="1:10" ht="16.5">
      <c r="A373" s="33" t="s">
        <v>84</v>
      </c>
      <c r="B373" s="13" t="str">
        <f t="shared" si="79"/>
        <v>JUILLET</v>
      </c>
      <c r="C373" s="34">
        <v>-216251</v>
      </c>
      <c r="D373" s="35"/>
      <c r="E373" s="35">
        <v>242000</v>
      </c>
      <c r="F373" s="35"/>
      <c r="G373" s="35"/>
      <c r="H373" s="38"/>
      <c r="I373" s="61">
        <v>34830</v>
      </c>
      <c r="J373" s="36">
        <f t="shared" si="78"/>
        <v>-9081</v>
      </c>
    </row>
    <row r="374" spans="1:10" ht="16.5">
      <c r="A374" s="33" t="s">
        <v>84</v>
      </c>
      <c r="B374" s="13" t="s">
        <v>35</v>
      </c>
      <c r="C374" s="34">
        <v>2025</v>
      </c>
      <c r="D374" s="35"/>
      <c r="E374" s="35">
        <v>25000</v>
      </c>
      <c r="F374" s="35"/>
      <c r="G374" s="35"/>
      <c r="H374" s="38">
        <v>3025</v>
      </c>
      <c r="I374" s="39">
        <v>24000</v>
      </c>
      <c r="J374" s="36">
        <f>+SUM(C374:G374)-(H374+I374)</f>
        <v>0</v>
      </c>
    </row>
    <row r="375" spans="1:10" ht="16.5">
      <c r="A375" s="33" t="s">
        <v>84</v>
      </c>
      <c r="B375" s="13" t="s">
        <v>34</v>
      </c>
      <c r="C375" s="34">
        <v>10000</v>
      </c>
      <c r="D375" s="37"/>
      <c r="E375" s="35">
        <v>0</v>
      </c>
      <c r="F375" s="37"/>
      <c r="G375" s="37"/>
      <c r="H375" s="38"/>
      <c r="I375" s="39">
        <v>4700</v>
      </c>
      <c r="J375" s="36">
        <f>+SUM(C375:G375)-(H375+I375)</f>
        <v>5300</v>
      </c>
    </row>
    <row r="376" spans="1:10">
      <c r="A376" s="40" t="s">
        <v>65</v>
      </c>
      <c r="B376" s="41"/>
      <c r="C376" s="41"/>
      <c r="D376" s="41"/>
      <c r="E376" s="41"/>
      <c r="F376" s="41"/>
      <c r="G376" s="41"/>
      <c r="H376" s="41"/>
      <c r="I376" s="41"/>
      <c r="J376" s="42"/>
    </row>
    <row r="377" spans="1:10">
      <c r="A377" s="33" t="s">
        <v>84</v>
      </c>
      <c r="B377" s="43" t="s">
        <v>66</v>
      </c>
      <c r="C377" s="44">
        <v>791675</v>
      </c>
      <c r="D377" s="45">
        <v>3185100</v>
      </c>
      <c r="E377" s="45"/>
      <c r="F377" s="45"/>
      <c r="G377" s="46">
        <v>237025</v>
      </c>
      <c r="H377" s="54">
        <v>3045100</v>
      </c>
      <c r="I377" s="47">
        <v>876121</v>
      </c>
      <c r="J377" s="48">
        <f>+SUM(C377:G377)-(H377+I377)</f>
        <v>292579</v>
      </c>
    </row>
    <row r="378" spans="1:10">
      <c r="A378" s="49" t="s">
        <v>67</v>
      </c>
      <c r="B378" s="30"/>
      <c r="C378" s="41"/>
      <c r="D378" s="30"/>
      <c r="E378" s="30"/>
      <c r="F378" s="30"/>
      <c r="G378" s="30"/>
      <c r="H378" s="30"/>
      <c r="I378" s="30"/>
      <c r="J378" s="42"/>
    </row>
    <row r="379" spans="1:10">
      <c r="A379" s="33" t="s">
        <v>84</v>
      </c>
      <c r="B379" s="43" t="s">
        <v>68</v>
      </c>
      <c r="C379" s="50">
        <v>8039273</v>
      </c>
      <c r="D379" s="59">
        <v>0</v>
      </c>
      <c r="E379" s="56"/>
      <c r="F379" s="56"/>
      <c r="G379" s="56"/>
      <c r="H379" s="58">
        <v>3000000</v>
      </c>
      <c r="I379" s="60">
        <v>224679</v>
      </c>
      <c r="J379" s="51">
        <f>+SUM(C379:G379)-(H379+I379)</f>
        <v>4814594</v>
      </c>
    </row>
    <row r="380" spans="1:10">
      <c r="A380" s="33" t="s">
        <v>84</v>
      </c>
      <c r="B380" s="43" t="s">
        <v>69</v>
      </c>
      <c r="C380" s="50">
        <v>13283340</v>
      </c>
      <c r="D380" s="56">
        <v>0</v>
      </c>
      <c r="E380" s="55"/>
      <c r="F380" s="55"/>
      <c r="G380" s="55"/>
      <c r="H380" s="38">
        <v>185100</v>
      </c>
      <c r="I380" s="57">
        <v>8352406</v>
      </c>
      <c r="J380" s="51">
        <f>SUM(C380:G380)-(H380+I380)</f>
        <v>4745834</v>
      </c>
    </row>
    <row r="381" spans="1:10">
      <c r="A381" s="182" t="s">
        <v>84</v>
      </c>
      <c r="B381" s="183" t="s">
        <v>87</v>
      </c>
      <c r="C381" s="50">
        <v>3721074</v>
      </c>
      <c r="D381" s="182"/>
      <c r="E381" s="182"/>
      <c r="F381" s="182"/>
      <c r="G381" s="182"/>
      <c r="H381" s="182"/>
      <c r="I381" s="182"/>
      <c r="J381" s="184">
        <f>SUM(C381:G381)-(H381+I381)</f>
        <v>3721074</v>
      </c>
    </row>
    <row r="382" spans="1:10">
      <c r="A382" s="182" t="s">
        <v>84</v>
      </c>
      <c r="B382" s="183" t="s">
        <v>88</v>
      </c>
      <c r="C382" s="50">
        <v>249769</v>
      </c>
      <c r="D382" s="56"/>
      <c r="E382" s="56"/>
      <c r="F382" s="56"/>
      <c r="G382" s="56"/>
      <c r="H382" s="38"/>
      <c r="I382" s="57"/>
      <c r="J382" s="184">
        <f>SUM(C382:G382)-(H382+I382)</f>
        <v>249769</v>
      </c>
    </row>
    <row r="383" spans="1:10">
      <c r="A383" s="182" t="s">
        <v>84</v>
      </c>
      <c r="B383" s="185" t="s">
        <v>89</v>
      </c>
      <c r="C383" s="50">
        <v>233614</v>
      </c>
      <c r="D383" s="56"/>
      <c r="E383" s="56"/>
      <c r="F383" s="56"/>
      <c r="G383" s="56"/>
      <c r="H383" s="38"/>
      <c r="I383" s="57"/>
      <c r="J383" s="184">
        <f>SUM(C383:G383)-(H383+I383)</f>
        <v>233614</v>
      </c>
    </row>
    <row r="384" spans="1:10">
      <c r="A384" s="182" t="s">
        <v>84</v>
      </c>
      <c r="B384" s="186" t="s">
        <v>90</v>
      </c>
      <c r="C384" s="50">
        <v>330169</v>
      </c>
      <c r="D384" s="182"/>
      <c r="E384" s="182"/>
      <c r="F384" s="182"/>
      <c r="G384" s="182"/>
      <c r="H384" s="182"/>
      <c r="I384" s="182"/>
      <c r="J384" s="184">
        <f>SUM(C384:G384)-(H384+I384)</f>
        <v>330169</v>
      </c>
    </row>
    <row r="385" spans="1:15" ht="15.75">
      <c r="C385" s="14"/>
      <c r="I385" s="14"/>
      <c r="J385" s="119">
        <f>+SUM(J365:J384)</f>
        <v>14369131</v>
      </c>
    </row>
    <row r="386" spans="1:15">
      <c r="C386" s="14"/>
      <c r="I386" s="14"/>
      <c r="J386" s="14"/>
    </row>
    <row r="387" spans="1:15" s="81" customFormat="1">
      <c r="A387" s="79" t="s">
        <v>70</v>
      </c>
      <c r="B387" s="79"/>
      <c r="C387" s="79"/>
      <c r="D387" s="79"/>
      <c r="E387" s="79"/>
      <c r="F387" s="79"/>
      <c r="G387" s="79"/>
      <c r="H387" s="79"/>
      <c r="I387" s="79"/>
      <c r="J387" s="80"/>
      <c r="L387" s="82"/>
      <c r="M387" s="82"/>
      <c r="N387" s="82"/>
      <c r="O387" s="82"/>
    </row>
    <row r="388" spans="1:15" s="81" customFormat="1">
      <c r="A388" s="83"/>
      <c r="B388" s="80"/>
      <c r="C388" s="84"/>
      <c r="D388" s="84"/>
      <c r="E388" s="84"/>
      <c r="F388" s="84"/>
      <c r="G388" s="84"/>
      <c r="H388" s="80"/>
      <c r="I388" s="80"/>
      <c r="J388" s="79"/>
      <c r="L388" s="82"/>
      <c r="M388" s="82"/>
      <c r="N388" s="82"/>
      <c r="O388" s="82"/>
    </row>
    <row r="389" spans="1:15" s="81" customFormat="1">
      <c r="A389" s="266" t="s">
        <v>58</v>
      </c>
      <c r="B389" s="268" t="s">
        <v>59</v>
      </c>
      <c r="C389" s="270" t="s">
        <v>72</v>
      </c>
      <c r="D389" s="277" t="s">
        <v>60</v>
      </c>
      <c r="E389" s="278"/>
      <c r="F389" s="278"/>
      <c r="G389" s="279"/>
      <c r="H389" s="280" t="s">
        <v>61</v>
      </c>
      <c r="I389" s="282" t="s">
        <v>62</v>
      </c>
      <c r="J389" s="80"/>
      <c r="L389" s="82"/>
      <c r="M389" s="82"/>
      <c r="N389" s="82"/>
      <c r="O389" s="82"/>
    </row>
    <row r="390" spans="1:15" s="81" customFormat="1">
      <c r="A390" s="267"/>
      <c r="B390" s="269"/>
      <c r="C390" s="271"/>
      <c r="D390" s="27" t="s">
        <v>26</v>
      </c>
      <c r="E390" s="27" t="s">
        <v>27</v>
      </c>
      <c r="F390" s="77" t="s">
        <v>74</v>
      </c>
      <c r="G390" s="27" t="s">
        <v>63</v>
      </c>
      <c r="H390" s="281"/>
      <c r="I390" s="283"/>
      <c r="J390" s="264" t="s">
        <v>73</v>
      </c>
      <c r="L390" s="82"/>
      <c r="M390" s="82"/>
      <c r="N390" s="82"/>
      <c r="O390" s="82"/>
    </row>
    <row r="391" spans="1:15" s="81" customFormat="1">
      <c r="A391" s="85"/>
      <c r="B391" s="86" t="s">
        <v>64</v>
      </c>
      <c r="C391" s="87"/>
      <c r="D391" s="87"/>
      <c r="E391" s="87"/>
      <c r="F391" s="87"/>
      <c r="G391" s="87"/>
      <c r="H391" s="87"/>
      <c r="I391" s="88"/>
      <c r="J391" s="265"/>
      <c r="L391" s="82"/>
      <c r="M391" s="82"/>
      <c r="N391" s="82"/>
      <c r="O391" s="82"/>
    </row>
    <row r="392" spans="1:15" s="81" customFormat="1" ht="16.5">
      <c r="A392" s="89" t="s">
        <v>71</v>
      </c>
      <c r="B392" s="13" t="s">
        <v>52</v>
      </c>
      <c r="C392" s="90">
        <v>40560</v>
      </c>
      <c r="D392" s="35"/>
      <c r="E392" s="35">
        <v>0</v>
      </c>
      <c r="F392" s="35"/>
      <c r="G392" s="35"/>
      <c r="H392" s="91"/>
      <c r="I392" s="92">
        <f>+SUM([2]COMPTA_CREPIN!$F$3050:$F$3066)</f>
        <v>21500</v>
      </c>
      <c r="J392" s="36">
        <f>+SUM(C392:G392)-(H392+I392)</f>
        <v>19060</v>
      </c>
      <c r="L392" s="82"/>
      <c r="M392" s="82"/>
      <c r="N392" s="82"/>
      <c r="O392" s="82"/>
    </row>
    <row r="393" spans="1:15" s="81" customFormat="1" ht="16.5">
      <c r="A393" s="89" t="s">
        <v>71</v>
      </c>
      <c r="B393" s="13" t="s">
        <v>30</v>
      </c>
      <c r="C393" s="90">
        <v>227975</v>
      </c>
      <c r="D393" s="35"/>
      <c r="E393" s="35">
        <f>+'[3]Compta Dalia (2)'!$E$1908+'[3]Compta Dalia (2)'!$E$1909+'[3]Compta Dalia (2)'!$E$1911+'[3]Compta Dalia (2)'!$E$1917</f>
        <v>119600</v>
      </c>
      <c r="F393" s="35"/>
      <c r="G393" s="35"/>
      <c r="H393" s="91">
        <f>+'[3]Compta Dalia (2)'!$F$1919</f>
        <v>1635</v>
      </c>
      <c r="I393" s="92">
        <v>345940</v>
      </c>
      <c r="J393" s="36">
        <f t="shared" ref="J393:J400" si="80">+SUM(C393:G393)-(H393+I393)</f>
        <v>0</v>
      </c>
      <c r="L393" s="82"/>
      <c r="M393" s="82"/>
      <c r="N393" s="82"/>
      <c r="O393" s="82"/>
    </row>
    <row r="394" spans="1:15" s="81" customFormat="1" ht="16.5">
      <c r="A394" s="89" t="s">
        <v>71</v>
      </c>
      <c r="B394" s="13" t="s">
        <v>33</v>
      </c>
      <c r="C394" s="90">
        <v>-605</v>
      </c>
      <c r="D394" s="35"/>
      <c r="E394" s="35">
        <f>+'[4]compta (3)'!$E$2556+'[4]compta (3)'!$E$2557+'[4]compta (3)'!$E$2558</f>
        <v>30000</v>
      </c>
      <c r="F394" s="35"/>
      <c r="G394" s="35"/>
      <c r="H394" s="93"/>
      <c r="I394" s="94">
        <f>'[4]compta (3)'!$F$2559</f>
        <v>21000</v>
      </c>
      <c r="J394" s="36">
        <f t="shared" si="80"/>
        <v>8395</v>
      </c>
      <c r="L394" s="82"/>
      <c r="M394" s="82"/>
      <c r="N394" s="82"/>
      <c r="O394" s="82"/>
    </row>
    <row r="395" spans="1:15" s="81" customFormat="1" ht="16.5">
      <c r="A395" s="89" t="s">
        <v>71</v>
      </c>
      <c r="B395" s="112" t="s">
        <v>28</v>
      </c>
      <c r="C395" s="90">
        <v>264659</v>
      </c>
      <c r="D395" s="113"/>
      <c r="E395" s="113">
        <f>+'[5]compta (2)'!$E$2521+'[5]compta (2)'!$E$2525+'[5]compta (2)'!$E$2527+'[5]compta (2)'!$E$2529</f>
        <v>325000</v>
      </c>
      <c r="F395" s="113"/>
      <c r="G395" s="113"/>
      <c r="H395" s="38">
        <f>'[5]compta (2)'!$F$2528+60000</f>
        <v>75000</v>
      </c>
      <c r="I395" s="38">
        <f>'[5]compta (2)'!$F$2522+'[5]compta (2)'!$F$2523+'[5]compta (2)'!$F$2524+'[5]compta (2)'!$F$2526+'[5]compta (2)'!$F$2530+'[5]compta (2)'!$F$2532+'[5]compta (2)'!$F$2533+'[5]compta (2)'!$F$2534</f>
        <v>507100</v>
      </c>
      <c r="J395" s="114">
        <f t="shared" si="80"/>
        <v>7559</v>
      </c>
      <c r="L395" s="82"/>
      <c r="M395" s="82"/>
      <c r="N395" s="82"/>
      <c r="O395" s="82"/>
    </row>
    <row r="396" spans="1:15" s="81" customFormat="1" ht="16.5">
      <c r="A396" s="89" t="s">
        <v>71</v>
      </c>
      <c r="B396" s="112" t="s">
        <v>53</v>
      </c>
      <c r="C396" s="90">
        <v>272500</v>
      </c>
      <c r="D396" s="113"/>
      <c r="E396" s="113">
        <f>+'[6]COMPTA_I23C (2)'!$E$4171+'[6]COMPTA_I23C (2)'!$E$4172+'[6]COMPTA_I23C (2)'!$E$4174+'[6]COMPTA_I23C (2)'!$E$4178+'[6]COMPTA_I23C (2)'!$E$4180+'[6]COMPTA_I23C (2)'!$E$4181</f>
        <v>695000</v>
      </c>
      <c r="F396" s="113"/>
      <c r="G396" s="113"/>
      <c r="H396" s="38"/>
      <c r="I396" s="90">
        <v>753500</v>
      </c>
      <c r="J396" s="114">
        <f t="shared" si="80"/>
        <v>214000</v>
      </c>
      <c r="L396" s="82"/>
      <c r="M396" s="82"/>
      <c r="N396" s="82"/>
      <c r="O396" s="82"/>
    </row>
    <row r="397" spans="1:15" s="81" customFormat="1" ht="16.5">
      <c r="A397" s="89" t="s">
        <v>71</v>
      </c>
      <c r="B397" s="13" t="s">
        <v>38</v>
      </c>
      <c r="C397" s="90">
        <v>284595</v>
      </c>
      <c r="D397" s="35"/>
      <c r="E397" s="35">
        <f>+'[7]Feuil1 (2)'!$E$2684+'[7]Feuil1 (2)'!$E$2689+'[7]Feuil1 (2)'!$E$2691</f>
        <v>275000</v>
      </c>
      <c r="F397" s="35">
        <f>'[5]compta (2)'!$F$2531</f>
        <v>60000</v>
      </c>
      <c r="G397" s="35"/>
      <c r="H397" s="93"/>
      <c r="I397" s="92">
        <v>633400</v>
      </c>
      <c r="J397" s="36">
        <f t="shared" si="80"/>
        <v>-13805</v>
      </c>
      <c r="L397" s="82"/>
      <c r="M397" s="82"/>
      <c r="N397" s="82"/>
      <c r="O397" s="82"/>
    </row>
    <row r="398" spans="1:15" s="81" customFormat="1" ht="16.5">
      <c r="A398" s="89" t="s">
        <v>71</v>
      </c>
      <c r="B398" s="13" t="s">
        <v>29</v>
      </c>
      <c r="C398" s="90">
        <v>-1750</v>
      </c>
      <c r="D398" s="35"/>
      <c r="E398" s="35">
        <f>+'[8]Compta Jospin (2)'!$E$1583+'[8]Compta Jospin (2)'!$E$1584+'[8]Compta Jospin (2)'!$E$1587</f>
        <v>96400</v>
      </c>
      <c r="F398" s="35"/>
      <c r="G398" s="35"/>
      <c r="H398" s="93">
        <f>+'[8]Compta Jospin (2)'!$F$1592</f>
        <v>950</v>
      </c>
      <c r="I398" s="92">
        <v>93700</v>
      </c>
      <c r="J398" s="36">
        <f t="shared" si="80"/>
        <v>0</v>
      </c>
      <c r="L398" s="82"/>
      <c r="M398" s="82"/>
      <c r="N398" s="82"/>
      <c r="O398" s="82"/>
    </row>
    <row r="399" spans="1:15" s="81" customFormat="1" ht="16.5">
      <c r="A399" s="89" t="s">
        <v>71</v>
      </c>
      <c r="B399" s="13" t="s">
        <v>31</v>
      </c>
      <c r="C399" s="90">
        <v>265600</v>
      </c>
      <c r="D399" s="35"/>
      <c r="E399" s="35">
        <f>+'[9]COMPT-P29 (2)'!$E$190+'[9]COMPT-P29 (2)'!$E$191+'[9]COMPT-P29 (2)'!$E$196+'[9]COMPT-P29 (2)'!$E$201+'[9]COMPT-P29 (2)'!$E$202+'[9]COMPT-P29 (2)'!$E$204+'[9]COMPT-P29 (2)'!$E$207+'[9]COMPT-P29 (2)'!$E$215</f>
        <v>855600</v>
      </c>
      <c r="F399" s="35"/>
      <c r="G399" s="35"/>
      <c r="H399" s="93"/>
      <c r="I399" s="92">
        <v>1036850</v>
      </c>
      <c r="J399" s="36">
        <f t="shared" si="80"/>
        <v>84350</v>
      </c>
      <c r="L399" s="82"/>
      <c r="M399" s="82"/>
      <c r="N399" s="82"/>
      <c r="O399" s="82"/>
    </row>
    <row r="400" spans="1:15" s="81" customFormat="1" ht="16.5">
      <c r="A400" s="89" t="s">
        <v>71</v>
      </c>
      <c r="B400" s="13" t="s">
        <v>54</v>
      </c>
      <c r="C400" s="90">
        <f t="shared" ref="C400" si="81">+C373</f>
        <v>-216251</v>
      </c>
      <c r="D400" s="35"/>
      <c r="E400" s="35">
        <v>0</v>
      </c>
      <c r="F400" s="35"/>
      <c r="G400" s="35"/>
      <c r="H400" s="93"/>
      <c r="I400" s="94">
        <v>0</v>
      </c>
      <c r="J400" s="36">
        <f t="shared" si="80"/>
        <v>-216251</v>
      </c>
      <c r="L400" s="82"/>
      <c r="M400" s="82"/>
      <c r="N400" s="82"/>
      <c r="O400" s="82"/>
    </row>
    <row r="401" spans="1:15" s="81" customFormat="1" ht="16.5">
      <c r="A401" s="89" t="s">
        <v>71</v>
      </c>
      <c r="B401" s="13" t="s">
        <v>35</v>
      </c>
      <c r="C401" s="90">
        <v>1025</v>
      </c>
      <c r="D401" s="35"/>
      <c r="E401" s="35">
        <f>+'[10]compta shely'!$E$90+'[10]compta shely'!$E$97+'[10]compta shely'!$E$100</f>
        <v>25000</v>
      </c>
      <c r="F401" s="35"/>
      <c r="G401" s="35"/>
      <c r="H401" s="93"/>
      <c r="I401" s="92">
        <v>24000</v>
      </c>
      <c r="J401" s="36">
        <f>+SUM(C401:G401)-(H401+I401)</f>
        <v>2025</v>
      </c>
      <c r="L401" s="82"/>
      <c r="M401" s="82"/>
      <c r="N401" s="82"/>
      <c r="O401" s="82"/>
    </row>
    <row r="402" spans="1:15" s="81" customFormat="1" ht="16.5">
      <c r="A402" s="37" t="s">
        <v>71</v>
      </c>
      <c r="B402" s="13" t="s">
        <v>34</v>
      </c>
      <c r="C402" s="90">
        <v>0</v>
      </c>
      <c r="D402" s="37"/>
      <c r="E402" s="37">
        <f>+'[11]compta ted'!$E$11</f>
        <v>10000</v>
      </c>
      <c r="F402" s="37"/>
      <c r="G402" s="37"/>
      <c r="H402" s="93"/>
      <c r="I402" s="92">
        <v>0</v>
      </c>
      <c r="J402" s="36">
        <f>+SUM(C402:G402)-(H402+I402)</f>
        <v>10000</v>
      </c>
      <c r="L402" s="82"/>
      <c r="M402" s="82"/>
      <c r="N402" s="82"/>
      <c r="O402" s="82"/>
    </row>
    <row r="403" spans="1:15" s="81" customFormat="1">
      <c r="A403" s="95" t="s">
        <v>65</v>
      </c>
      <c r="B403" s="96"/>
      <c r="C403" s="96"/>
      <c r="D403" s="96"/>
      <c r="E403" s="96"/>
      <c r="F403" s="96"/>
      <c r="G403" s="96"/>
      <c r="H403" s="96"/>
      <c r="I403" s="96"/>
      <c r="J403" s="97"/>
      <c r="L403" s="82"/>
      <c r="M403" s="82"/>
      <c r="N403" s="82"/>
      <c r="O403" s="82"/>
    </row>
    <row r="404" spans="1:15" s="81" customFormat="1">
      <c r="A404" s="37" t="s">
        <v>71</v>
      </c>
      <c r="B404" s="43" t="s">
        <v>66</v>
      </c>
      <c r="C404" s="44">
        <v>954796</v>
      </c>
      <c r="D404" s="35">
        <v>3000000</v>
      </c>
      <c r="E404" s="35"/>
      <c r="F404" s="35"/>
      <c r="G404" s="98">
        <v>17585</v>
      </c>
      <c r="H404" s="99">
        <v>2431600</v>
      </c>
      <c r="I404" s="100">
        <v>749106</v>
      </c>
      <c r="J404" s="101">
        <f>+SUM(C404:G404)-(H404+I404)</f>
        <v>791675</v>
      </c>
      <c r="L404" s="82"/>
      <c r="M404" s="82"/>
      <c r="N404" s="82"/>
      <c r="O404" s="82"/>
    </row>
    <row r="405" spans="1:15" s="81" customFormat="1">
      <c r="A405" s="102" t="s">
        <v>67</v>
      </c>
      <c r="B405" s="86"/>
      <c r="C405" s="96"/>
      <c r="D405" s="86"/>
      <c r="E405" s="86"/>
      <c r="F405" s="86"/>
      <c r="G405" s="86"/>
      <c r="H405" s="86"/>
      <c r="I405" s="86"/>
      <c r="J405" s="97"/>
      <c r="L405" s="82"/>
      <c r="M405" s="82"/>
      <c r="N405" s="82"/>
      <c r="O405" s="82"/>
    </row>
    <row r="406" spans="1:15" s="81" customFormat="1">
      <c r="A406" s="37" t="s">
        <v>71</v>
      </c>
      <c r="B406" s="43" t="s">
        <v>68</v>
      </c>
      <c r="C406" s="90">
        <v>705838</v>
      </c>
      <c r="D406" s="103">
        <v>10801800</v>
      </c>
      <c r="E406" s="104"/>
      <c r="F406" s="104"/>
      <c r="G406" s="104"/>
      <c r="H406" s="105">
        <v>3000000</v>
      </c>
      <c r="I406" s="106">
        <v>468365</v>
      </c>
      <c r="J406" s="36">
        <f>+SUM(C406:G406)-(H406+I406)</f>
        <v>8039273</v>
      </c>
      <c r="L406" s="82"/>
      <c r="M406" s="82"/>
      <c r="N406" s="82"/>
      <c r="O406" s="82"/>
    </row>
    <row r="407" spans="1:15" s="81" customFormat="1">
      <c r="A407" s="37" t="s">
        <v>71</v>
      </c>
      <c r="B407" s="43" t="s">
        <v>69</v>
      </c>
      <c r="C407" s="90">
        <v>14874402</v>
      </c>
      <c r="D407" s="104">
        <v>3279785</v>
      </c>
      <c r="E407" s="107"/>
      <c r="F407" s="107"/>
      <c r="G407" s="107"/>
      <c r="H407" s="108"/>
      <c r="I407" s="109">
        <v>4870847</v>
      </c>
      <c r="J407" s="36">
        <f>SUM(C407:G407)-(H407+I407)</f>
        <v>13283340</v>
      </c>
      <c r="L407" s="82"/>
      <c r="M407" s="82"/>
      <c r="N407" s="82"/>
      <c r="O407" s="82"/>
    </row>
    <row r="408" spans="1:15" s="81" customFormat="1">
      <c r="L408" s="82"/>
      <c r="M408" s="82"/>
      <c r="N408" s="82"/>
      <c r="O408" s="82"/>
    </row>
    <row r="409" spans="1:15" s="81" customFormat="1">
      <c r="C409" s="110">
        <f>+SUM(C392:C407)</f>
        <v>17673344</v>
      </c>
      <c r="I409" s="110">
        <f>SUM(I392:I407)</f>
        <v>9525308</v>
      </c>
      <c r="J409" s="110">
        <f>+SUM(J392:J407)</f>
        <v>22229621</v>
      </c>
      <c r="L409" s="82"/>
      <c r="M409" s="82"/>
      <c r="N409" s="82"/>
      <c r="O409" s="82"/>
    </row>
    <row r="410" spans="1:15">
      <c r="C410" s="14"/>
      <c r="I410" s="14"/>
      <c r="J410" s="14"/>
    </row>
    <row r="411" spans="1:15">
      <c r="A411" s="69" t="s">
        <v>75</v>
      </c>
      <c r="B411" s="69"/>
    </row>
    <row r="412" spans="1:15">
      <c r="A412" s="70" t="s">
        <v>76</v>
      </c>
      <c r="B412" s="70"/>
      <c r="C412" s="70"/>
      <c r="D412" s="70"/>
      <c r="E412" s="70"/>
      <c r="F412" s="70"/>
      <c r="G412" s="70"/>
      <c r="H412" s="70"/>
      <c r="I412" s="70"/>
      <c r="J412" s="70"/>
    </row>
    <row r="414" spans="1:15" ht="15" customHeight="1">
      <c r="A414" s="284" t="s">
        <v>58</v>
      </c>
      <c r="B414" s="284" t="s">
        <v>59</v>
      </c>
      <c r="C414" s="295" t="s">
        <v>78</v>
      </c>
      <c r="D414" s="290" t="s">
        <v>60</v>
      </c>
      <c r="E414" s="290"/>
      <c r="F414" s="290"/>
      <c r="G414" s="290"/>
      <c r="H414" s="291" t="s">
        <v>61</v>
      </c>
      <c r="I414" s="293" t="s">
        <v>62</v>
      </c>
      <c r="J414" s="286" t="s">
        <v>79</v>
      </c>
      <c r="K414" s="287"/>
    </row>
    <row r="415" spans="1:15" ht="28.5" customHeight="1">
      <c r="A415" s="285"/>
      <c r="B415" s="285"/>
      <c r="C415" s="285"/>
      <c r="D415" s="74" t="s">
        <v>26</v>
      </c>
      <c r="E415" s="71" t="s">
        <v>27</v>
      </c>
      <c r="F415" s="71" t="s">
        <v>29</v>
      </c>
      <c r="G415" s="71" t="s">
        <v>63</v>
      </c>
      <c r="H415" s="292"/>
      <c r="I415" s="294"/>
      <c r="J415" s="288"/>
      <c r="K415" s="289"/>
    </row>
    <row r="416" spans="1:15">
      <c r="A416" s="52"/>
      <c r="B416" s="52" t="s">
        <v>64</v>
      </c>
      <c r="C416" s="54"/>
      <c r="D416" s="54"/>
      <c r="E416" s="54"/>
      <c r="F416" s="54"/>
      <c r="G416" s="54"/>
      <c r="H416" s="54"/>
      <c r="I416" s="54"/>
      <c r="J416" s="54"/>
      <c r="K416" s="52"/>
    </row>
    <row r="417" spans="1:11">
      <c r="A417" s="52" t="s">
        <v>77</v>
      </c>
      <c r="B417" s="52" t="s">
        <v>52</v>
      </c>
      <c r="C417" s="54">
        <v>89360</v>
      </c>
      <c r="D417" s="54"/>
      <c r="E417" s="54">
        <v>13000</v>
      </c>
      <c r="F417" s="54"/>
      <c r="G417" s="54"/>
      <c r="H417" s="54"/>
      <c r="I417" s="54">
        <v>61800</v>
      </c>
      <c r="J417" s="54">
        <v>40560</v>
      </c>
      <c r="K417" s="52"/>
    </row>
    <row r="418" spans="1:11">
      <c r="A418" s="52" t="s">
        <v>77</v>
      </c>
      <c r="B418" s="52" t="s">
        <v>30</v>
      </c>
      <c r="C418" s="54">
        <v>-1025</v>
      </c>
      <c r="D418" s="54"/>
      <c r="E418" s="54">
        <v>684500</v>
      </c>
      <c r="F418" s="54"/>
      <c r="G418" s="54"/>
      <c r="H418" s="54"/>
      <c r="I418" s="54">
        <v>455500</v>
      </c>
      <c r="J418" s="54">
        <v>227975</v>
      </c>
      <c r="K418" s="52"/>
    </row>
    <row r="419" spans="1:11">
      <c r="A419" s="52" t="s">
        <v>77</v>
      </c>
      <c r="B419" s="52" t="s">
        <v>33</v>
      </c>
      <c r="C419" s="54">
        <v>14395</v>
      </c>
      <c r="D419" s="54"/>
      <c r="E419" s="54">
        <v>40000</v>
      </c>
      <c r="F419" s="54"/>
      <c r="G419" s="54"/>
      <c r="H419" s="54"/>
      <c r="I419" s="54">
        <v>55000</v>
      </c>
      <c r="J419" s="54">
        <v>-605</v>
      </c>
      <c r="K419" s="52"/>
    </row>
    <row r="420" spans="1:11">
      <c r="A420" s="52" t="s">
        <v>77</v>
      </c>
      <c r="B420" s="52" t="s">
        <v>28</v>
      </c>
      <c r="C420" s="54">
        <v>8559</v>
      </c>
      <c r="D420" s="54"/>
      <c r="E420" s="54">
        <v>428750</v>
      </c>
      <c r="F420" s="54">
        <v>280200</v>
      </c>
      <c r="G420" s="54"/>
      <c r="H420" s="54"/>
      <c r="I420" s="54">
        <v>452850</v>
      </c>
      <c r="J420" s="54">
        <v>264659</v>
      </c>
      <c r="K420" s="52"/>
    </row>
    <row r="421" spans="1:11">
      <c r="A421" s="52" t="s">
        <v>77</v>
      </c>
      <c r="B421" s="52" t="s">
        <v>53</v>
      </c>
      <c r="C421" s="54">
        <v>-5750</v>
      </c>
      <c r="D421" s="54"/>
      <c r="E421" s="54">
        <v>1161750</v>
      </c>
      <c r="F421" s="54"/>
      <c r="G421" s="54"/>
      <c r="H421" s="54">
        <v>124000</v>
      </c>
      <c r="I421" s="54">
        <v>759500</v>
      </c>
      <c r="J421" s="54">
        <v>272500</v>
      </c>
      <c r="K421" s="52"/>
    </row>
    <row r="422" spans="1:11">
      <c r="A422" s="52" t="s">
        <v>77</v>
      </c>
      <c r="B422" s="52" t="s">
        <v>38</v>
      </c>
      <c r="C422" s="54">
        <v>12995</v>
      </c>
      <c r="D422" s="54"/>
      <c r="E422" s="54">
        <v>726000</v>
      </c>
      <c r="F422" s="54"/>
      <c r="G422" s="54"/>
      <c r="H422" s="54"/>
      <c r="I422" s="54">
        <v>454400</v>
      </c>
      <c r="J422" s="54">
        <v>284595</v>
      </c>
      <c r="K422" s="52"/>
    </row>
    <row r="423" spans="1:11">
      <c r="A423" s="52" t="s">
        <v>77</v>
      </c>
      <c r="B423" s="52" t="s">
        <v>29</v>
      </c>
      <c r="C423" s="54">
        <v>6050</v>
      </c>
      <c r="D423" s="54"/>
      <c r="E423" s="54">
        <v>736300</v>
      </c>
      <c r="F423" s="54"/>
      <c r="G423" s="54"/>
      <c r="H423" s="54">
        <v>405200</v>
      </c>
      <c r="I423" s="54">
        <v>338900</v>
      </c>
      <c r="J423" s="54">
        <v>-1750</v>
      </c>
      <c r="K423" s="52"/>
    </row>
    <row r="424" spans="1:11">
      <c r="A424" s="52" t="s">
        <v>77</v>
      </c>
      <c r="B424" s="52" t="s">
        <v>31</v>
      </c>
      <c r="C424" s="54">
        <v>142400</v>
      </c>
      <c r="D424" s="54"/>
      <c r="E424" s="54">
        <v>1014000</v>
      </c>
      <c r="F424" s="54"/>
      <c r="G424" s="54"/>
      <c r="H424" s="54">
        <v>100000</v>
      </c>
      <c r="I424" s="54">
        <v>790800</v>
      </c>
      <c r="J424" s="54">
        <v>265600</v>
      </c>
      <c r="K424" s="52"/>
    </row>
    <row r="425" spans="1:11">
      <c r="A425" s="52" t="s">
        <v>77</v>
      </c>
      <c r="B425" s="52" t="s">
        <v>54</v>
      </c>
      <c r="C425" s="54">
        <v>-221251.00072999997</v>
      </c>
      <c r="D425" s="54"/>
      <c r="E425" s="54">
        <v>485000</v>
      </c>
      <c r="F425" s="54"/>
      <c r="G425" s="54"/>
      <c r="H425" s="54">
        <v>5000</v>
      </c>
      <c r="I425" s="54">
        <v>475000</v>
      </c>
      <c r="J425" s="54">
        <v>-216251.00072999997</v>
      </c>
      <c r="K425" s="52"/>
    </row>
    <row r="426" spans="1:11">
      <c r="A426" s="52" t="s">
        <v>77</v>
      </c>
      <c r="B426" s="52" t="s">
        <v>35</v>
      </c>
      <c r="C426" s="54">
        <v>14225</v>
      </c>
      <c r="D426" s="54"/>
      <c r="E426" s="54">
        <v>30000</v>
      </c>
      <c r="F426" s="54"/>
      <c r="G426" s="54"/>
      <c r="H426" s="54"/>
      <c r="I426" s="54">
        <v>43200</v>
      </c>
      <c r="J426" s="54">
        <v>1025</v>
      </c>
      <c r="K426" s="52"/>
    </row>
    <row r="427" spans="1:11">
      <c r="A427" s="72" t="s">
        <v>65</v>
      </c>
      <c r="B427" s="72"/>
      <c r="C427" s="73"/>
      <c r="D427" s="73"/>
      <c r="E427" s="73"/>
      <c r="F427" s="73"/>
      <c r="G427" s="73"/>
      <c r="H427" s="73"/>
      <c r="I427" s="73"/>
      <c r="J427" s="73"/>
      <c r="K427" s="72"/>
    </row>
    <row r="428" spans="1:11">
      <c r="A428" s="52" t="s">
        <v>77</v>
      </c>
      <c r="B428" s="52" t="s">
        <v>66</v>
      </c>
      <c r="C428" s="54">
        <v>494738</v>
      </c>
      <c r="D428" s="54">
        <v>6000000</v>
      </c>
      <c r="E428" s="54"/>
      <c r="F428" s="54"/>
      <c r="G428" s="54">
        <v>105000</v>
      </c>
      <c r="H428" s="54">
        <v>5070300</v>
      </c>
      <c r="I428" s="54">
        <v>574642</v>
      </c>
      <c r="J428" s="54">
        <v>954796</v>
      </c>
      <c r="K428" s="52"/>
    </row>
    <row r="429" spans="1:11">
      <c r="A429" s="72" t="s">
        <v>67</v>
      </c>
      <c r="B429" s="72"/>
      <c r="C429" s="73"/>
      <c r="D429" s="73"/>
      <c r="E429" s="73"/>
      <c r="F429" s="73"/>
      <c r="G429" s="73"/>
      <c r="H429" s="73"/>
      <c r="I429" s="73"/>
      <c r="J429" s="73"/>
      <c r="K429" s="72"/>
    </row>
    <row r="430" spans="1:11">
      <c r="A430" s="52" t="s">
        <v>77</v>
      </c>
      <c r="B430" s="52" t="s">
        <v>68</v>
      </c>
      <c r="C430" s="54">
        <v>11363703</v>
      </c>
      <c r="D430" s="54"/>
      <c r="E430" s="54"/>
      <c r="F430" s="54"/>
      <c r="G430" s="54"/>
      <c r="H430" s="54">
        <v>10000000</v>
      </c>
      <c r="I430" s="54">
        <v>657865</v>
      </c>
      <c r="J430" s="54">
        <v>705838</v>
      </c>
      <c r="K430" s="52"/>
    </row>
    <row r="431" spans="1:11">
      <c r="A431" s="52" t="s">
        <v>77</v>
      </c>
      <c r="B431" s="52" t="s">
        <v>69</v>
      </c>
      <c r="C431" s="54">
        <v>4902843</v>
      </c>
      <c r="D431" s="54">
        <v>17119140</v>
      </c>
      <c r="E431" s="54"/>
      <c r="F431" s="54"/>
      <c r="G431" s="54"/>
      <c r="H431" s="54"/>
      <c r="I431" s="54">
        <v>7147581</v>
      </c>
      <c r="J431" s="54">
        <v>14874402</v>
      </c>
      <c r="K431" s="52"/>
    </row>
    <row r="432" spans="1:11">
      <c r="A432" s="52"/>
      <c r="B432" s="52"/>
      <c r="C432" s="54"/>
      <c r="D432" s="54"/>
      <c r="E432" s="54"/>
      <c r="F432" s="54"/>
      <c r="G432" s="54"/>
      <c r="H432" s="54"/>
      <c r="I432" s="54"/>
      <c r="J432" s="54"/>
      <c r="K432" s="52"/>
    </row>
    <row r="433" spans="1:11">
      <c r="A433" s="52"/>
      <c r="B433" s="52"/>
      <c r="C433" s="54"/>
      <c r="D433" s="54"/>
      <c r="E433" s="54"/>
      <c r="F433" s="54"/>
      <c r="G433" s="54"/>
      <c r="H433" s="54"/>
      <c r="I433" s="54">
        <v>12267038</v>
      </c>
      <c r="J433" s="54">
        <v>17673343.99927</v>
      </c>
      <c r="K433" s="52" t="b">
        <v>1</v>
      </c>
    </row>
    <row r="434" spans="1:11">
      <c r="J434" s="76" t="b">
        <f>J433=[12]TABLEAU!$I$16</f>
        <v>1</v>
      </c>
    </row>
  </sheetData>
  <mergeCells count="112">
    <mergeCell ref="I173:I174"/>
    <mergeCell ref="J174:J175"/>
    <mergeCell ref="A173:A174"/>
    <mergeCell ref="B173:B174"/>
    <mergeCell ref="C173:C174"/>
    <mergeCell ref="D173:G173"/>
    <mergeCell ref="H173:H174"/>
    <mergeCell ref="A26:A27"/>
    <mergeCell ref="B26:B27"/>
    <mergeCell ref="C26:C27"/>
    <mergeCell ref="D26:G26"/>
    <mergeCell ref="H26:H27"/>
    <mergeCell ref="I26:I27"/>
    <mergeCell ref="J27:J28"/>
    <mergeCell ref="I98:I99"/>
    <mergeCell ref="J99:J100"/>
    <mergeCell ref="A98:A99"/>
    <mergeCell ref="B98:B99"/>
    <mergeCell ref="C98:C99"/>
    <mergeCell ref="D98:G98"/>
    <mergeCell ref="H98:H99"/>
    <mergeCell ref="I147:I148"/>
    <mergeCell ref="J148:J149"/>
    <mergeCell ref="A147:A148"/>
    <mergeCell ref="I309:I310"/>
    <mergeCell ref="J310:J311"/>
    <mergeCell ref="A309:A310"/>
    <mergeCell ref="B309:B310"/>
    <mergeCell ref="C309:C310"/>
    <mergeCell ref="D309:G309"/>
    <mergeCell ref="H309:H310"/>
    <mergeCell ref="I254:I255"/>
    <mergeCell ref="J255:J256"/>
    <mergeCell ref="A254:A255"/>
    <mergeCell ref="B254:B255"/>
    <mergeCell ref="C254:C255"/>
    <mergeCell ref="D254:G254"/>
    <mergeCell ref="H254:H255"/>
    <mergeCell ref="I282:I283"/>
    <mergeCell ref="J283:J284"/>
    <mergeCell ref="A282:A283"/>
    <mergeCell ref="B282:B283"/>
    <mergeCell ref="C282:C283"/>
    <mergeCell ref="D282:G282"/>
    <mergeCell ref="H282:H283"/>
    <mergeCell ref="A414:A415"/>
    <mergeCell ref="J363:J364"/>
    <mergeCell ref="A362:A363"/>
    <mergeCell ref="B362:B363"/>
    <mergeCell ref="C362:C363"/>
    <mergeCell ref="D362:G362"/>
    <mergeCell ref="H362:H363"/>
    <mergeCell ref="I362:I363"/>
    <mergeCell ref="B414:B415"/>
    <mergeCell ref="J414:K415"/>
    <mergeCell ref="D414:G414"/>
    <mergeCell ref="H414:H415"/>
    <mergeCell ref="I414:I415"/>
    <mergeCell ref="C414:C415"/>
    <mergeCell ref="B389:B390"/>
    <mergeCell ref="C389:C390"/>
    <mergeCell ref="I335:I336"/>
    <mergeCell ref="J336:J337"/>
    <mergeCell ref="A335:A336"/>
    <mergeCell ref="B335:B336"/>
    <mergeCell ref="C335:C336"/>
    <mergeCell ref="D335:G335"/>
    <mergeCell ref="H335:H336"/>
    <mergeCell ref="A389:A390"/>
    <mergeCell ref="D389:G389"/>
    <mergeCell ref="H389:H390"/>
    <mergeCell ref="J390:J391"/>
    <mergeCell ref="I389:I390"/>
    <mergeCell ref="I226:I227"/>
    <mergeCell ref="J227:J228"/>
    <mergeCell ref="A226:A227"/>
    <mergeCell ref="B226:B227"/>
    <mergeCell ref="C226:C227"/>
    <mergeCell ref="D226:G226"/>
    <mergeCell ref="H226:H227"/>
    <mergeCell ref="I199:I200"/>
    <mergeCell ref="J200:J201"/>
    <mergeCell ref="A199:A200"/>
    <mergeCell ref="B199:B200"/>
    <mergeCell ref="C199:C200"/>
    <mergeCell ref="D199:G199"/>
    <mergeCell ref="H199:H200"/>
    <mergeCell ref="B147:B148"/>
    <mergeCell ref="C147:C148"/>
    <mergeCell ref="D147:G147"/>
    <mergeCell ref="H147:H148"/>
    <mergeCell ref="I122:I123"/>
    <mergeCell ref="J123:J124"/>
    <mergeCell ref="A122:A123"/>
    <mergeCell ref="B122:B123"/>
    <mergeCell ref="C122:C123"/>
    <mergeCell ref="D122:G122"/>
    <mergeCell ref="H122:H123"/>
    <mergeCell ref="I51:I52"/>
    <mergeCell ref="J52:J53"/>
    <mergeCell ref="A51:A52"/>
    <mergeCell ref="B51:B52"/>
    <mergeCell ref="C51:C52"/>
    <mergeCell ref="D51:G51"/>
    <mergeCell ref="H51:H52"/>
    <mergeCell ref="I74:I75"/>
    <mergeCell ref="J75:J76"/>
    <mergeCell ref="A74:A75"/>
    <mergeCell ref="B74:B75"/>
    <mergeCell ref="C74:C75"/>
    <mergeCell ref="D74:G74"/>
    <mergeCell ref="H74:H7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6"/>
  <sheetViews>
    <sheetView workbookViewId="0">
      <selection activeCell="E2" sqref="E2"/>
    </sheetView>
  </sheetViews>
  <sheetFormatPr baseColWidth="10" defaultRowHeight="15"/>
  <cols>
    <col min="1" max="1" width="21" bestFit="1" customWidth="1"/>
    <col min="2" max="2" width="16.140625" customWidth="1"/>
  </cols>
  <sheetData>
    <row r="3" spans="1:2">
      <c r="A3" s="6" t="s">
        <v>133</v>
      </c>
      <c r="B3" t="s">
        <v>140</v>
      </c>
    </row>
    <row r="4" spans="1:2">
      <c r="A4" s="7" t="s">
        <v>107</v>
      </c>
      <c r="B4" s="195">
        <v>7873217</v>
      </c>
    </row>
    <row r="5" spans="1:2">
      <c r="A5" s="7" t="s">
        <v>313</v>
      </c>
      <c r="B5" s="195"/>
    </row>
    <row r="6" spans="1:2">
      <c r="A6" s="7" t="s">
        <v>134</v>
      </c>
      <c r="B6" s="195">
        <v>7873217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AS21"/>
  <sheetViews>
    <sheetView workbookViewId="0">
      <pane xSplit="1" topLeftCell="AM1" activePane="topRight" state="frozen"/>
      <selection pane="topRight" activeCell="AO22" sqref="AO22"/>
    </sheetView>
  </sheetViews>
  <sheetFormatPr baseColWidth="10" defaultRowHeight="15"/>
  <cols>
    <col min="1" max="1" width="21" customWidth="1"/>
    <col min="2" max="2" width="23.85546875" bestFit="1" customWidth="1"/>
    <col min="3" max="3" width="16.140625" customWidth="1"/>
    <col min="4" max="4" width="19.140625" customWidth="1"/>
    <col min="5" max="5" width="16.140625" customWidth="1"/>
    <col min="6" max="6" width="19.140625" customWidth="1"/>
    <col min="7" max="7" width="16.140625" customWidth="1"/>
    <col min="8" max="8" width="19.140625" customWidth="1"/>
    <col min="9" max="9" width="16.140625" customWidth="1"/>
    <col min="10" max="10" width="19.140625" customWidth="1"/>
    <col min="11" max="11" width="16.140625" customWidth="1"/>
    <col min="12" max="12" width="19.140625" customWidth="1"/>
    <col min="13" max="13" width="16.140625" customWidth="1"/>
    <col min="14" max="14" width="19.140625" customWidth="1"/>
    <col min="15" max="15" width="16.140625" customWidth="1"/>
    <col min="16" max="16" width="19.140625" customWidth="1"/>
    <col min="17" max="17" width="16.140625" customWidth="1"/>
    <col min="18" max="18" width="19.140625" customWidth="1"/>
    <col min="19" max="19" width="16.140625" customWidth="1"/>
    <col min="20" max="20" width="19.140625" customWidth="1"/>
    <col min="21" max="21" width="16.140625" customWidth="1"/>
    <col min="22" max="22" width="19.140625" customWidth="1"/>
    <col min="23" max="23" width="16.140625" customWidth="1"/>
    <col min="24" max="24" width="19.140625" customWidth="1"/>
    <col min="25" max="25" width="16.140625" customWidth="1"/>
    <col min="26" max="26" width="19.140625" customWidth="1"/>
    <col min="27" max="27" width="16.140625" customWidth="1"/>
    <col min="28" max="28" width="19.140625" customWidth="1"/>
    <col min="29" max="29" width="16.140625" customWidth="1"/>
    <col min="30" max="30" width="19.140625" customWidth="1"/>
    <col min="31" max="31" width="16.140625" customWidth="1"/>
    <col min="32" max="32" width="19.140625" customWidth="1"/>
    <col min="33" max="33" width="16.140625" customWidth="1"/>
    <col min="34" max="34" width="19.140625" customWidth="1"/>
    <col min="35" max="35" width="16.140625" customWidth="1"/>
    <col min="36" max="36" width="19.140625" customWidth="1"/>
    <col min="37" max="37" width="16.140625" customWidth="1"/>
    <col min="38" max="38" width="24.140625" customWidth="1"/>
    <col min="39" max="39" width="21" customWidth="1"/>
    <col min="40" max="40" width="24.140625" customWidth="1"/>
    <col min="41" max="41" width="21" customWidth="1"/>
    <col min="43" max="43" width="19" customWidth="1"/>
  </cols>
  <sheetData>
    <row r="3" spans="1:45">
      <c r="B3" s="6" t="s">
        <v>135</v>
      </c>
    </row>
    <row r="4" spans="1:45">
      <c r="B4" t="s">
        <v>150</v>
      </c>
      <c r="D4" t="s">
        <v>186</v>
      </c>
      <c r="F4" t="s">
        <v>306</v>
      </c>
      <c r="H4" t="s">
        <v>164</v>
      </c>
      <c r="J4" t="s">
        <v>226</v>
      </c>
      <c r="L4" t="s">
        <v>144</v>
      </c>
      <c r="N4" t="s">
        <v>153</v>
      </c>
      <c r="P4" t="s">
        <v>152</v>
      </c>
      <c r="R4" t="s">
        <v>37</v>
      </c>
      <c r="T4" t="s">
        <v>2</v>
      </c>
      <c r="V4" t="s">
        <v>3</v>
      </c>
      <c r="X4" t="s">
        <v>5</v>
      </c>
      <c r="Z4" t="s">
        <v>321</v>
      </c>
      <c r="AB4" t="s">
        <v>151</v>
      </c>
      <c r="AD4" t="s">
        <v>36</v>
      </c>
      <c r="AF4" t="s">
        <v>169</v>
      </c>
      <c r="AH4" t="s">
        <v>275</v>
      </c>
      <c r="AJ4" t="s">
        <v>80</v>
      </c>
      <c r="AL4" t="s">
        <v>141</v>
      </c>
      <c r="AM4" t="s">
        <v>143</v>
      </c>
    </row>
    <row r="5" spans="1:45">
      <c r="A5" s="6" t="s">
        <v>133</v>
      </c>
      <c r="B5" t="s">
        <v>142</v>
      </c>
      <c r="C5" t="s">
        <v>140</v>
      </c>
      <c r="D5" t="s">
        <v>142</v>
      </c>
      <c r="E5" t="s">
        <v>140</v>
      </c>
      <c r="F5" t="s">
        <v>142</v>
      </c>
      <c r="G5" t="s">
        <v>140</v>
      </c>
      <c r="H5" t="s">
        <v>142</v>
      </c>
      <c r="I5" t="s">
        <v>140</v>
      </c>
      <c r="J5" t="s">
        <v>142</v>
      </c>
      <c r="K5" t="s">
        <v>140</v>
      </c>
      <c r="L5" t="s">
        <v>142</v>
      </c>
      <c r="M5" t="s">
        <v>140</v>
      </c>
      <c r="N5" t="s">
        <v>142</v>
      </c>
      <c r="O5" t="s">
        <v>140</v>
      </c>
      <c r="P5" t="s">
        <v>142</v>
      </c>
      <c r="Q5" t="s">
        <v>140</v>
      </c>
      <c r="R5" t="s">
        <v>142</v>
      </c>
      <c r="S5" t="s">
        <v>140</v>
      </c>
      <c r="T5" t="s">
        <v>142</v>
      </c>
      <c r="U5" t="s">
        <v>140</v>
      </c>
      <c r="V5" t="s">
        <v>142</v>
      </c>
      <c r="W5" t="s">
        <v>140</v>
      </c>
      <c r="X5" t="s">
        <v>142</v>
      </c>
      <c r="Y5" t="s">
        <v>140</v>
      </c>
      <c r="Z5" t="s">
        <v>142</v>
      </c>
      <c r="AA5" t="s">
        <v>140</v>
      </c>
      <c r="AB5" t="s">
        <v>142</v>
      </c>
      <c r="AC5" t="s">
        <v>140</v>
      </c>
      <c r="AD5" t="s">
        <v>142</v>
      </c>
      <c r="AE5" t="s">
        <v>140</v>
      </c>
      <c r="AF5" t="s">
        <v>142</v>
      </c>
      <c r="AG5" t="s">
        <v>140</v>
      </c>
      <c r="AH5" t="s">
        <v>142</v>
      </c>
      <c r="AI5" t="s">
        <v>140</v>
      </c>
      <c r="AJ5" t="s">
        <v>142</v>
      </c>
      <c r="AK5" t="s">
        <v>140</v>
      </c>
      <c r="AO5" s="52"/>
      <c r="AP5" s="52" t="s">
        <v>45</v>
      </c>
      <c r="AQ5" s="52" t="s">
        <v>46</v>
      </c>
      <c r="AR5" s="52" t="s">
        <v>47</v>
      </c>
      <c r="AS5" s="52" t="s">
        <v>48</v>
      </c>
    </row>
    <row r="6" spans="1:45">
      <c r="A6" s="7" t="s">
        <v>179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>
        <v>14743</v>
      </c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>
        <v>99500</v>
      </c>
      <c r="AF6" s="195"/>
      <c r="AG6" s="195">
        <v>69000</v>
      </c>
      <c r="AH6" s="195"/>
      <c r="AI6" s="195"/>
      <c r="AJ6" s="195">
        <v>190000</v>
      </c>
      <c r="AK6" s="195"/>
      <c r="AL6" s="195">
        <v>190000</v>
      </c>
      <c r="AM6" s="195">
        <v>183243</v>
      </c>
      <c r="AO6" s="52" t="str">
        <f>A6</f>
        <v>Axel</v>
      </c>
      <c r="AP6" s="54">
        <f>AJ6</f>
        <v>190000</v>
      </c>
      <c r="AQ6" s="54">
        <f>AK6</f>
        <v>0</v>
      </c>
      <c r="AR6" s="54">
        <f>AM6-AQ6</f>
        <v>183243</v>
      </c>
      <c r="AS6" s="54">
        <f>+H6</f>
        <v>0</v>
      </c>
    </row>
    <row r="7" spans="1:45">
      <c r="A7" s="7" t="s">
        <v>26</v>
      </c>
      <c r="B7" s="195"/>
      <c r="C7" s="195">
        <v>23345</v>
      </c>
      <c r="D7" s="195"/>
      <c r="E7" s="195"/>
      <c r="F7" s="195"/>
      <c r="G7" s="195"/>
      <c r="H7" s="195"/>
      <c r="I7" s="195"/>
      <c r="J7" s="195">
        <v>5404478</v>
      </c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>
        <v>520000</v>
      </c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>
        <v>1000000</v>
      </c>
      <c r="AL7" s="195">
        <v>5404478</v>
      </c>
      <c r="AM7" s="195">
        <v>1543345</v>
      </c>
      <c r="AO7" s="52" t="str">
        <f t="shared" ref="AO7:AO18" si="0">A7</f>
        <v>BCI</v>
      </c>
      <c r="AP7" s="54">
        <f t="shared" ref="AP7:AP18" si="1">AJ7</f>
        <v>0</v>
      </c>
      <c r="AQ7" s="54">
        <f t="shared" ref="AQ7:AQ17" si="2">AK7</f>
        <v>1000000</v>
      </c>
      <c r="AR7" s="54">
        <f t="shared" ref="AR7:AR17" si="3">AM7-AQ7</f>
        <v>543345</v>
      </c>
      <c r="AS7" s="54">
        <f>GETPIVOTDATA("Somme de Received",$A$3,"Type de dépenses","Grant","Name","BCI")</f>
        <v>5404478</v>
      </c>
    </row>
    <row r="8" spans="1:45">
      <c r="A8" s="7" t="s">
        <v>170</v>
      </c>
      <c r="B8" s="195"/>
      <c r="C8" s="195">
        <v>14952</v>
      </c>
      <c r="D8" s="195"/>
      <c r="E8" s="195"/>
      <c r="F8" s="195"/>
      <c r="G8" s="195"/>
      <c r="H8" s="195"/>
      <c r="I8" s="195">
        <v>495000</v>
      </c>
      <c r="J8" s="195">
        <v>17232646</v>
      </c>
      <c r="K8" s="195"/>
      <c r="L8" s="195"/>
      <c r="M8" s="195"/>
      <c r="N8" s="195"/>
      <c r="O8" s="195"/>
      <c r="P8" s="195"/>
      <c r="Q8" s="195">
        <v>350000</v>
      </c>
      <c r="R8" s="195"/>
      <c r="S8" s="195"/>
      <c r="T8" s="195"/>
      <c r="U8" s="195">
        <v>4343135</v>
      </c>
      <c r="V8" s="195"/>
      <c r="W8" s="195">
        <v>1000000</v>
      </c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>
        <v>2055000</v>
      </c>
      <c r="AL8" s="195">
        <v>17232646</v>
      </c>
      <c r="AM8" s="195">
        <v>8258087</v>
      </c>
      <c r="AO8" s="52" t="str">
        <f t="shared" si="0"/>
        <v>BCI-Sous Compte</v>
      </c>
      <c r="AP8" s="54">
        <f t="shared" si="1"/>
        <v>0</v>
      </c>
      <c r="AQ8" s="54">
        <f t="shared" si="2"/>
        <v>2055000</v>
      </c>
      <c r="AR8" s="54">
        <f t="shared" si="3"/>
        <v>6203087</v>
      </c>
      <c r="AS8" s="54">
        <f>GETPIVOTDATA("Somme de Received",$A$3,"Type de dépenses","Grant","Name","BCI-Sous Compte")</f>
        <v>17232646</v>
      </c>
    </row>
    <row r="9" spans="1:45">
      <c r="A9" s="7" t="s">
        <v>27</v>
      </c>
      <c r="B9" s="195"/>
      <c r="C9" s="195"/>
      <c r="D9" s="195"/>
      <c r="E9" s="195">
        <v>334000</v>
      </c>
      <c r="F9" s="195"/>
      <c r="G9" s="195"/>
      <c r="H9" s="195"/>
      <c r="I9" s="195"/>
      <c r="J9" s="195"/>
      <c r="K9" s="195"/>
      <c r="L9" s="195"/>
      <c r="M9" s="195">
        <v>89175</v>
      </c>
      <c r="N9" s="195"/>
      <c r="O9" s="195"/>
      <c r="P9" s="195"/>
      <c r="Q9" s="195">
        <v>224000</v>
      </c>
      <c r="R9" s="195"/>
      <c r="S9" s="195">
        <v>242100</v>
      </c>
      <c r="T9" s="195"/>
      <c r="U9" s="195">
        <v>235644</v>
      </c>
      <c r="V9" s="195"/>
      <c r="W9" s="195">
        <v>12750</v>
      </c>
      <c r="X9" s="195"/>
      <c r="Y9" s="195">
        <v>105625</v>
      </c>
      <c r="Z9" s="195"/>
      <c r="AA9" s="195">
        <v>167000</v>
      </c>
      <c r="AB9" s="195"/>
      <c r="AC9" s="195">
        <v>10005</v>
      </c>
      <c r="AD9" s="195"/>
      <c r="AE9" s="195"/>
      <c r="AF9" s="195"/>
      <c r="AG9" s="195"/>
      <c r="AH9" s="195"/>
      <c r="AI9" s="195"/>
      <c r="AJ9" s="195">
        <v>3007600</v>
      </c>
      <c r="AK9" s="195">
        <v>1691000</v>
      </c>
      <c r="AL9" s="195">
        <v>3007600</v>
      </c>
      <c r="AM9" s="195">
        <v>3111299</v>
      </c>
      <c r="AO9" s="52" t="str">
        <f t="shared" si="0"/>
        <v>Caisse</v>
      </c>
      <c r="AP9" s="54">
        <f t="shared" si="1"/>
        <v>3007600</v>
      </c>
      <c r="AQ9" s="54">
        <f>AK9</f>
        <v>1691000</v>
      </c>
      <c r="AR9" s="54">
        <f t="shared" si="3"/>
        <v>1420299</v>
      </c>
      <c r="AS9" s="54">
        <f t="shared" ref="AS9:AS16" si="4">+H9</f>
        <v>0</v>
      </c>
    </row>
    <row r="10" spans="1:45">
      <c r="A10" s="7" t="s">
        <v>52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>
        <v>40700</v>
      </c>
      <c r="AF10" s="195"/>
      <c r="AG10" s="195"/>
      <c r="AH10" s="195"/>
      <c r="AI10" s="195"/>
      <c r="AJ10" s="195">
        <v>35000</v>
      </c>
      <c r="AK10" s="195"/>
      <c r="AL10" s="195">
        <v>35000</v>
      </c>
      <c r="AM10" s="195">
        <v>40700</v>
      </c>
      <c r="AO10" s="52" t="str">
        <f t="shared" si="0"/>
        <v>Crépin</v>
      </c>
      <c r="AP10" s="54">
        <f t="shared" si="1"/>
        <v>35000</v>
      </c>
      <c r="AQ10" s="54">
        <f t="shared" si="2"/>
        <v>0</v>
      </c>
      <c r="AR10" s="54">
        <f t="shared" si="3"/>
        <v>40700</v>
      </c>
      <c r="AS10" s="54">
        <f t="shared" si="4"/>
        <v>0</v>
      </c>
    </row>
    <row r="11" spans="1:45">
      <c r="A11" s="7" t="s">
        <v>33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>
        <v>55900</v>
      </c>
      <c r="AF11" s="195"/>
      <c r="AG11" s="195"/>
      <c r="AH11" s="195"/>
      <c r="AI11" s="195"/>
      <c r="AJ11" s="195">
        <v>65000</v>
      </c>
      <c r="AK11" s="195"/>
      <c r="AL11" s="195">
        <v>65000</v>
      </c>
      <c r="AM11" s="195">
        <v>55900</v>
      </c>
      <c r="AO11" s="52" t="str">
        <f t="shared" si="0"/>
        <v>Evariste</v>
      </c>
      <c r="AP11" s="54">
        <f t="shared" si="1"/>
        <v>65000</v>
      </c>
      <c r="AQ11" s="54">
        <f t="shared" si="2"/>
        <v>0</v>
      </c>
      <c r="AR11" s="54">
        <f t="shared" si="3"/>
        <v>55900</v>
      </c>
      <c r="AS11" s="54">
        <f t="shared" si="4"/>
        <v>0</v>
      </c>
    </row>
    <row r="12" spans="1:45">
      <c r="A12" s="7" t="s">
        <v>163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>
        <v>4000</v>
      </c>
      <c r="P12" s="195"/>
      <c r="Q12" s="195"/>
      <c r="R12" s="195"/>
      <c r="S12" s="195">
        <v>1000</v>
      </c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>
        <v>109900</v>
      </c>
      <c r="AF12" s="195"/>
      <c r="AG12" s="195">
        <v>117000</v>
      </c>
      <c r="AH12" s="195"/>
      <c r="AI12" s="195"/>
      <c r="AJ12" s="195">
        <v>233000</v>
      </c>
      <c r="AK12" s="195"/>
      <c r="AL12" s="195">
        <v>233000</v>
      </c>
      <c r="AM12" s="195">
        <v>231900</v>
      </c>
      <c r="AO12" s="52" t="str">
        <f t="shared" si="0"/>
        <v>Godfré</v>
      </c>
      <c r="AP12" s="54">
        <f t="shared" si="1"/>
        <v>233000</v>
      </c>
      <c r="AQ12" s="54">
        <f t="shared" si="2"/>
        <v>0</v>
      </c>
      <c r="AR12" s="54">
        <f t="shared" si="3"/>
        <v>231900</v>
      </c>
      <c r="AS12" s="54">
        <f t="shared" si="4"/>
        <v>0</v>
      </c>
    </row>
    <row r="13" spans="1:45">
      <c r="A13" s="7" t="s">
        <v>162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>
        <v>8200</v>
      </c>
      <c r="AF13" s="195"/>
      <c r="AG13" s="195"/>
      <c r="AH13" s="195"/>
      <c r="AI13" s="195"/>
      <c r="AJ13" s="195">
        <v>65000</v>
      </c>
      <c r="AK13" s="195"/>
      <c r="AL13" s="195">
        <v>65000</v>
      </c>
      <c r="AM13" s="195">
        <v>8200</v>
      </c>
      <c r="AO13" s="52" t="str">
        <f t="shared" si="0"/>
        <v>Grace</v>
      </c>
      <c r="AP13" s="54">
        <f t="shared" si="1"/>
        <v>65000</v>
      </c>
      <c r="AQ13" s="54">
        <f t="shared" si="2"/>
        <v>0</v>
      </c>
      <c r="AR13" s="54">
        <f t="shared" si="3"/>
        <v>8200</v>
      </c>
      <c r="AS13" s="54">
        <f t="shared" si="4"/>
        <v>0</v>
      </c>
    </row>
    <row r="14" spans="1:45">
      <c r="A14" s="7" t="s">
        <v>53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>
        <v>153000</v>
      </c>
      <c r="AF14" s="195"/>
      <c r="AG14" s="195">
        <v>300000</v>
      </c>
      <c r="AH14" s="195"/>
      <c r="AI14" s="195">
        <v>25000</v>
      </c>
      <c r="AJ14" s="195">
        <v>481000</v>
      </c>
      <c r="AK14" s="195"/>
      <c r="AL14" s="195">
        <v>481000</v>
      </c>
      <c r="AM14" s="195">
        <v>478000</v>
      </c>
      <c r="AO14" s="52" t="str">
        <f t="shared" si="0"/>
        <v>i23c</v>
      </c>
      <c r="AP14" s="54">
        <f t="shared" si="1"/>
        <v>481000</v>
      </c>
      <c r="AQ14" s="54">
        <f t="shared" si="2"/>
        <v>0</v>
      </c>
      <c r="AR14" s="54">
        <f t="shared" si="3"/>
        <v>478000</v>
      </c>
      <c r="AS14" s="54">
        <f t="shared" si="4"/>
        <v>0</v>
      </c>
    </row>
    <row r="15" spans="1:45">
      <c r="A15" s="7" t="s">
        <v>98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>
        <v>18500</v>
      </c>
      <c r="AF15" s="195"/>
      <c r="AG15" s="195"/>
      <c r="AH15" s="195"/>
      <c r="AI15" s="195"/>
      <c r="AJ15" s="195">
        <v>25000</v>
      </c>
      <c r="AK15" s="195"/>
      <c r="AL15" s="195">
        <v>25000</v>
      </c>
      <c r="AM15" s="195">
        <v>18500</v>
      </c>
      <c r="AO15" s="52" t="str">
        <f t="shared" si="0"/>
        <v>Merveille</v>
      </c>
      <c r="AP15" s="54">
        <f t="shared" si="1"/>
        <v>25000</v>
      </c>
      <c r="AQ15" s="54">
        <f t="shared" si="2"/>
        <v>0</v>
      </c>
      <c r="AR15" s="54">
        <f t="shared" si="3"/>
        <v>18500</v>
      </c>
      <c r="AS15" s="54">
        <f t="shared" si="4"/>
        <v>0</v>
      </c>
    </row>
    <row r="16" spans="1:45">
      <c r="A16" s="7" t="s">
        <v>31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>
        <v>127300</v>
      </c>
      <c r="AF16" s="195"/>
      <c r="AG16" s="195">
        <v>315000</v>
      </c>
      <c r="AH16" s="195"/>
      <c r="AI16" s="195">
        <v>50500</v>
      </c>
      <c r="AJ16" s="195">
        <v>514000</v>
      </c>
      <c r="AK16" s="195"/>
      <c r="AL16" s="195">
        <v>514000</v>
      </c>
      <c r="AM16" s="195">
        <v>492800</v>
      </c>
      <c r="AO16" s="52" t="str">
        <f t="shared" si="0"/>
        <v>P29</v>
      </c>
      <c r="AP16" s="54">
        <f t="shared" si="1"/>
        <v>514000</v>
      </c>
      <c r="AQ16" s="54">
        <f t="shared" si="2"/>
        <v>0</v>
      </c>
      <c r="AR16" s="54">
        <f t="shared" si="3"/>
        <v>492800</v>
      </c>
      <c r="AS16" s="54">
        <f t="shared" si="4"/>
        <v>0</v>
      </c>
    </row>
    <row r="17" spans="1:45">
      <c r="A17" s="7" t="s">
        <v>168</v>
      </c>
      <c r="B17" s="195"/>
      <c r="C17" s="195"/>
      <c r="D17" s="195"/>
      <c r="E17" s="195"/>
      <c r="F17" s="195"/>
      <c r="G17" s="195">
        <v>25000</v>
      </c>
      <c r="H17" s="195"/>
      <c r="I17" s="195"/>
      <c r="J17" s="195"/>
      <c r="K17" s="195"/>
      <c r="L17" s="195"/>
      <c r="M17" s="195"/>
      <c r="N17" s="195"/>
      <c r="O17" s="195">
        <v>2800</v>
      </c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>
        <v>56800</v>
      </c>
      <c r="AF17" s="195"/>
      <c r="AG17" s="195">
        <v>63000</v>
      </c>
      <c r="AH17" s="195"/>
      <c r="AI17" s="195"/>
      <c r="AJ17" s="195">
        <v>138000</v>
      </c>
      <c r="AK17" s="195">
        <v>7600</v>
      </c>
      <c r="AL17" s="195">
        <v>138000</v>
      </c>
      <c r="AM17" s="195">
        <v>155200</v>
      </c>
      <c r="AO17" s="52" t="str">
        <f t="shared" si="0"/>
        <v>Serdroque</v>
      </c>
      <c r="AP17" s="54">
        <f t="shared" si="1"/>
        <v>138000</v>
      </c>
      <c r="AQ17" s="54">
        <f t="shared" si="2"/>
        <v>7600</v>
      </c>
      <c r="AR17" s="54">
        <f t="shared" si="3"/>
        <v>147600</v>
      </c>
      <c r="AS17" s="54"/>
    </row>
    <row r="18" spans="1:45">
      <c r="A18" s="7" t="s">
        <v>118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>
        <v>28000</v>
      </c>
      <c r="AF18" s="195"/>
      <c r="AG18" s="195"/>
      <c r="AH18" s="195"/>
      <c r="AI18" s="195"/>
      <c r="AJ18" s="195"/>
      <c r="AK18" s="195"/>
      <c r="AL18" s="195"/>
      <c r="AM18" s="195">
        <v>28000</v>
      </c>
      <c r="AO18" s="52" t="str">
        <f t="shared" si="0"/>
        <v>Tiffany</v>
      </c>
      <c r="AP18" s="54">
        <f t="shared" si="1"/>
        <v>0</v>
      </c>
      <c r="AQ18" s="54">
        <v>0</v>
      </c>
      <c r="AR18" s="54">
        <f>AM18-AQ18</f>
        <v>28000</v>
      </c>
      <c r="AS18" s="54">
        <f>+H16</f>
        <v>0</v>
      </c>
    </row>
    <row r="19" spans="1:45">
      <c r="A19" s="7" t="s">
        <v>134</v>
      </c>
      <c r="B19" s="195"/>
      <c r="C19" s="195">
        <v>38297</v>
      </c>
      <c r="D19" s="195"/>
      <c r="E19" s="195">
        <v>334000</v>
      </c>
      <c r="F19" s="195"/>
      <c r="G19" s="195">
        <v>25000</v>
      </c>
      <c r="H19" s="195"/>
      <c r="I19" s="195">
        <v>495000</v>
      </c>
      <c r="J19" s="195">
        <v>22637124</v>
      </c>
      <c r="K19" s="195"/>
      <c r="L19" s="195"/>
      <c r="M19" s="195">
        <v>89175</v>
      </c>
      <c r="N19" s="195"/>
      <c r="O19" s="195">
        <v>21543</v>
      </c>
      <c r="P19" s="195"/>
      <c r="Q19" s="195">
        <v>574000</v>
      </c>
      <c r="R19" s="195"/>
      <c r="S19" s="195">
        <v>243100</v>
      </c>
      <c r="T19" s="195"/>
      <c r="U19" s="195">
        <v>4578779</v>
      </c>
      <c r="V19" s="195"/>
      <c r="W19" s="195">
        <v>1012750</v>
      </c>
      <c r="X19" s="195"/>
      <c r="Y19" s="195">
        <v>625625</v>
      </c>
      <c r="Z19" s="195"/>
      <c r="AA19" s="195">
        <v>167000</v>
      </c>
      <c r="AB19" s="195"/>
      <c r="AC19" s="195">
        <v>10005</v>
      </c>
      <c r="AD19" s="195"/>
      <c r="AE19" s="195">
        <v>697800</v>
      </c>
      <c r="AF19" s="195"/>
      <c r="AG19" s="195">
        <v>864000</v>
      </c>
      <c r="AH19" s="195"/>
      <c r="AI19" s="195">
        <v>75500</v>
      </c>
      <c r="AJ19" s="195">
        <v>4753600</v>
      </c>
      <c r="AK19" s="195">
        <v>4753600</v>
      </c>
      <c r="AL19" s="195">
        <v>27390724</v>
      </c>
      <c r="AM19" s="195">
        <v>14605174</v>
      </c>
      <c r="AO19" s="231"/>
      <c r="AP19" s="54">
        <f>SUM(AP6:AP18)</f>
        <v>4753600</v>
      </c>
      <c r="AQ19" s="54">
        <f t="shared" ref="AQ19:AS19" si="5">SUM(AQ6:AQ18)</f>
        <v>4753600</v>
      </c>
      <c r="AR19" s="54">
        <f t="shared" si="5"/>
        <v>9851574</v>
      </c>
      <c r="AS19" s="54">
        <f t="shared" si="5"/>
        <v>22637124</v>
      </c>
    </row>
    <row r="21" spans="1:45">
      <c r="AQ21" s="8">
        <f>AQ19-AP19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tabColor rgb="FF7030A0"/>
  </sheetPr>
  <dimension ref="A1:BK313"/>
  <sheetViews>
    <sheetView tabSelected="1" zoomScale="59" zoomScaleNormal="59" workbookViewId="0">
      <pane ySplit="11" topLeftCell="A15" activePane="bottomLeft" state="frozen"/>
      <selection pane="bottomLeft" activeCell="L7" sqref="L7"/>
    </sheetView>
  </sheetViews>
  <sheetFormatPr baseColWidth="10" defaultColWidth="11.42578125" defaultRowHeight="16.5"/>
  <cols>
    <col min="1" max="1" width="13.85546875" style="1" customWidth="1"/>
    <col min="2" max="2" width="107.7109375" style="1" customWidth="1"/>
    <col min="3" max="3" width="21.42578125" style="1" customWidth="1"/>
    <col min="4" max="4" width="15.42578125" style="1" customWidth="1"/>
    <col min="5" max="5" width="15.7109375" style="128" customWidth="1"/>
    <col min="6" max="6" width="18.42578125" style="176" customWidth="1"/>
    <col min="7" max="7" width="17.85546875" style="2" customWidth="1"/>
    <col min="8" max="8" width="16.28515625" style="1" customWidth="1"/>
    <col min="9" max="9" width="16.5703125" style="248" customWidth="1"/>
    <col min="10" max="10" width="14.7109375" style="116" customWidth="1"/>
    <col min="11" max="11" width="8.42578125" style="116" customWidth="1"/>
    <col min="12" max="12" width="10" style="1" customWidth="1"/>
    <col min="13" max="13" width="17.85546875" style="1" customWidth="1"/>
    <col min="14" max="14" width="11.42578125" style="1"/>
    <col min="15" max="15" width="12" style="1" customWidth="1"/>
    <col min="16" max="16384" width="11.42578125" style="1"/>
  </cols>
  <sheetData>
    <row r="1" spans="1:15" s="123" customFormat="1" ht="26.25" customHeight="1">
      <c r="A1" s="296" t="s">
        <v>312</v>
      </c>
      <c r="B1" s="296"/>
      <c r="C1" s="296"/>
      <c r="D1" s="296"/>
      <c r="E1" s="296"/>
      <c r="F1" s="297"/>
      <c r="G1" s="296"/>
      <c r="H1" s="296"/>
      <c r="I1" s="296"/>
      <c r="J1" s="297"/>
      <c r="K1" s="297"/>
      <c r="L1" s="296"/>
      <c r="M1" s="296"/>
      <c r="N1" s="296"/>
      <c r="O1" s="296"/>
    </row>
    <row r="2" spans="1:15">
      <c r="B2" s="141" t="s">
        <v>149</v>
      </c>
      <c r="C2" s="142">
        <v>19409438</v>
      </c>
    </row>
    <row r="4" spans="1:15">
      <c r="B4" s="127" t="s">
        <v>8</v>
      </c>
      <c r="C4" s="127" t="s">
        <v>9</v>
      </c>
    </row>
    <row r="5" spans="1:15" ht="15">
      <c r="B5" s="3" t="s">
        <v>10</v>
      </c>
      <c r="C5" s="4">
        <f>SUM(E13:E1161)</f>
        <v>27390724</v>
      </c>
      <c r="E5" s="128" t="s">
        <v>105</v>
      </c>
      <c r="H5" s="5"/>
      <c r="I5" s="249"/>
    </row>
    <row r="6" spans="1:15">
      <c r="B6" s="3" t="s">
        <v>11</v>
      </c>
      <c r="C6" s="4">
        <f>SUM(F13:F1162)</f>
        <v>14605174</v>
      </c>
      <c r="E6" s="298">
        <f>+C7-Récapitulatif!I18</f>
        <v>0</v>
      </c>
      <c r="J6" s="240"/>
      <c r="K6" s="170"/>
      <c r="N6" s="75"/>
    </row>
    <row r="7" spans="1:15">
      <c r="B7" s="3" t="s">
        <v>12</v>
      </c>
      <c r="C7" s="4">
        <f>C2+C5-C6</f>
        <v>32194988</v>
      </c>
      <c r="D7" s="178">
        <f>C7-Récapitulatif!I18</f>
        <v>0</v>
      </c>
      <c r="K7" s="170"/>
      <c r="N7" s="75"/>
    </row>
    <row r="9" spans="1:15">
      <c r="B9" s="78"/>
    </row>
    <row r="11" spans="1:15" s="244" customFormat="1" ht="15.75">
      <c r="A11" s="120" t="s">
        <v>0</v>
      </c>
      <c r="B11" s="121" t="s">
        <v>13</v>
      </c>
      <c r="C11" s="121" t="s">
        <v>14</v>
      </c>
      <c r="D11" s="121" t="s">
        <v>15</v>
      </c>
      <c r="E11" s="130" t="s">
        <v>16</v>
      </c>
      <c r="F11" s="177" t="s">
        <v>17</v>
      </c>
      <c r="G11" s="122" t="s">
        <v>18</v>
      </c>
      <c r="H11" s="121" t="s">
        <v>19</v>
      </c>
      <c r="I11" s="250" t="s">
        <v>20</v>
      </c>
      <c r="J11" s="121" t="s">
        <v>21</v>
      </c>
      <c r="K11" s="121" t="s">
        <v>22</v>
      </c>
      <c r="L11" s="121" t="s">
        <v>23</v>
      </c>
      <c r="M11" s="121" t="s">
        <v>86</v>
      </c>
      <c r="N11" s="121" t="s">
        <v>25</v>
      </c>
      <c r="O11" s="121" t="s">
        <v>24</v>
      </c>
    </row>
    <row r="12" spans="1:15" s="243" customFormat="1" ht="15.75" hidden="1">
      <c r="A12" s="202">
        <v>44470</v>
      </c>
      <c r="B12" s="203" t="s">
        <v>171</v>
      </c>
      <c r="C12" s="203"/>
      <c r="D12" s="203"/>
      <c r="E12" s="204"/>
      <c r="F12" s="205"/>
      <c r="G12" s="206">
        <f>+C2</f>
        <v>19409438</v>
      </c>
      <c r="H12" s="203"/>
      <c r="I12" s="251"/>
      <c r="J12" s="203"/>
      <c r="K12" s="203"/>
      <c r="L12" s="203" t="s">
        <v>161</v>
      </c>
      <c r="M12" s="203"/>
      <c r="N12" s="203"/>
      <c r="O12" s="203"/>
    </row>
    <row r="13" spans="1:15" s="243" customFormat="1" ht="15" hidden="1" customHeight="1">
      <c r="A13" s="222">
        <v>44470</v>
      </c>
      <c r="B13" s="223" t="s">
        <v>33</v>
      </c>
      <c r="C13" s="223" t="s">
        <v>80</v>
      </c>
      <c r="E13" s="224"/>
      <c r="F13" s="224">
        <v>10000</v>
      </c>
      <c r="G13" s="224">
        <f t="shared" ref="G13:G15" si="0">+G12+E13-F13</f>
        <v>19399438</v>
      </c>
      <c r="H13" s="223" t="s">
        <v>27</v>
      </c>
      <c r="I13" s="245"/>
      <c r="J13" s="227"/>
      <c r="K13" s="228"/>
      <c r="L13" s="221"/>
      <c r="M13" s="226"/>
      <c r="N13" s="226"/>
      <c r="O13" s="221"/>
    </row>
    <row r="14" spans="1:15" s="243" customFormat="1" ht="15" hidden="1" customHeight="1">
      <c r="A14" s="222">
        <v>44470</v>
      </c>
      <c r="B14" s="223" t="s">
        <v>179</v>
      </c>
      <c r="C14" s="223" t="s">
        <v>80</v>
      </c>
      <c r="D14" s="223"/>
      <c r="E14" s="224"/>
      <c r="F14" s="224">
        <v>10000</v>
      </c>
      <c r="G14" s="224">
        <f t="shared" si="0"/>
        <v>19389438</v>
      </c>
      <c r="H14" s="223" t="s">
        <v>27</v>
      </c>
      <c r="I14" s="252"/>
      <c r="J14" s="227"/>
      <c r="K14" s="228"/>
      <c r="L14" s="221"/>
      <c r="M14" s="230"/>
      <c r="N14" s="226"/>
      <c r="O14" s="221"/>
    </row>
    <row r="15" spans="1:15" s="243" customFormat="1" ht="15" customHeight="1">
      <c r="A15" s="222">
        <v>44470</v>
      </c>
      <c r="B15" s="228" t="s">
        <v>305</v>
      </c>
      <c r="C15" s="228" t="s">
        <v>150</v>
      </c>
      <c r="D15" s="223" t="s">
        <v>188</v>
      </c>
      <c r="E15" s="224"/>
      <c r="F15" s="224">
        <v>14701</v>
      </c>
      <c r="G15" s="224">
        <f t="shared" si="0"/>
        <v>19374737</v>
      </c>
      <c r="H15" s="247" t="s">
        <v>26</v>
      </c>
      <c r="I15" s="245" t="s">
        <v>229</v>
      </c>
      <c r="J15" s="227" t="s">
        <v>338</v>
      </c>
      <c r="K15" s="228" t="s">
        <v>302</v>
      </c>
      <c r="L15" s="221" t="s">
        <v>161</v>
      </c>
      <c r="M15" s="230"/>
      <c r="N15" s="226"/>
      <c r="O15" s="221"/>
    </row>
    <row r="16" spans="1:15" s="243" customFormat="1" ht="15" customHeight="1">
      <c r="A16" s="222">
        <v>44470</v>
      </c>
      <c r="B16" s="223" t="s">
        <v>230</v>
      </c>
      <c r="C16" s="228" t="s">
        <v>150</v>
      </c>
      <c r="D16" s="223" t="s">
        <v>188</v>
      </c>
      <c r="E16" s="224"/>
      <c r="F16" s="224">
        <v>14952</v>
      </c>
      <c r="G16" s="224">
        <f t="shared" ref="G16:G79" si="1">+G15+E16-F16</f>
        <v>19359785</v>
      </c>
      <c r="H16" s="247" t="s">
        <v>170</v>
      </c>
      <c r="I16" s="245" t="s">
        <v>229</v>
      </c>
      <c r="J16" s="241" t="s">
        <v>107</v>
      </c>
      <c r="K16" s="228" t="s">
        <v>303</v>
      </c>
      <c r="L16" s="221" t="s">
        <v>161</v>
      </c>
      <c r="M16" s="238" t="s">
        <v>351</v>
      </c>
      <c r="N16" s="226" t="s">
        <v>304</v>
      </c>
      <c r="O16" s="221"/>
    </row>
    <row r="17" spans="1:15" s="243" customFormat="1" ht="15" hidden="1" customHeight="1">
      <c r="A17" s="222">
        <v>44470</v>
      </c>
      <c r="B17" s="223" t="s">
        <v>261</v>
      </c>
      <c r="C17" s="223" t="s">
        <v>80</v>
      </c>
      <c r="D17" s="224"/>
      <c r="E17" s="224">
        <v>10000</v>
      </c>
      <c r="F17" s="227"/>
      <c r="G17" s="224">
        <f t="shared" si="1"/>
        <v>19369785</v>
      </c>
      <c r="H17" s="223" t="s">
        <v>33</v>
      </c>
      <c r="I17" s="245"/>
      <c r="J17" s="241"/>
      <c r="K17" s="228"/>
      <c r="L17" s="221"/>
      <c r="M17" s="226"/>
      <c r="N17" s="226"/>
      <c r="O17" s="221"/>
    </row>
    <row r="18" spans="1:15" s="243" customFormat="1" ht="15" hidden="1" customHeight="1">
      <c r="A18" s="202">
        <v>44470</v>
      </c>
      <c r="B18" s="211" t="s">
        <v>255</v>
      </c>
      <c r="C18" s="223" t="s">
        <v>80</v>
      </c>
      <c r="D18" s="214"/>
      <c r="E18" s="204">
        <v>10000</v>
      </c>
      <c r="F18" s="204"/>
      <c r="G18" s="224">
        <f t="shared" si="1"/>
        <v>19379785</v>
      </c>
      <c r="H18" s="209" t="s">
        <v>179</v>
      </c>
      <c r="I18" s="251"/>
      <c r="J18" s="227"/>
      <c r="K18" s="228"/>
      <c r="L18" s="203"/>
      <c r="M18" s="3"/>
      <c r="N18" s="210"/>
      <c r="O18" s="203"/>
    </row>
    <row r="19" spans="1:15" s="243" customFormat="1" ht="15" hidden="1" customHeight="1">
      <c r="A19" s="222">
        <v>44473</v>
      </c>
      <c r="B19" s="223" t="s">
        <v>31</v>
      </c>
      <c r="C19" s="223" t="s">
        <v>80</v>
      </c>
      <c r="D19" s="223"/>
      <c r="E19" s="224"/>
      <c r="F19" s="224">
        <v>10000</v>
      </c>
      <c r="G19" s="224">
        <f t="shared" si="1"/>
        <v>19369785</v>
      </c>
      <c r="H19" s="223" t="s">
        <v>27</v>
      </c>
      <c r="I19" s="245"/>
      <c r="J19" s="227"/>
      <c r="K19" s="228"/>
      <c r="L19" s="221"/>
      <c r="M19" s="226"/>
      <c r="N19" s="226"/>
      <c r="O19" s="221"/>
    </row>
    <row r="20" spans="1:15" s="243" customFormat="1" ht="15" hidden="1" customHeight="1">
      <c r="A20" s="222">
        <v>44473</v>
      </c>
      <c r="B20" s="223" t="s">
        <v>180</v>
      </c>
      <c r="C20" s="223" t="s">
        <v>80</v>
      </c>
      <c r="D20" s="223"/>
      <c r="E20" s="224"/>
      <c r="F20" s="224">
        <v>10000</v>
      </c>
      <c r="G20" s="224">
        <f t="shared" si="1"/>
        <v>19359785</v>
      </c>
      <c r="H20" s="223" t="s">
        <v>27</v>
      </c>
      <c r="I20" s="245"/>
      <c r="J20" s="227"/>
      <c r="K20" s="228"/>
      <c r="L20" s="221"/>
      <c r="M20" s="226"/>
      <c r="N20" s="226"/>
      <c r="O20" s="228"/>
    </row>
    <row r="21" spans="1:15" s="243" customFormat="1" ht="15" customHeight="1">
      <c r="A21" s="222">
        <v>44473</v>
      </c>
      <c r="B21" s="223" t="s">
        <v>181</v>
      </c>
      <c r="C21" s="223" t="s">
        <v>321</v>
      </c>
      <c r="D21" s="223" t="s">
        <v>6</v>
      </c>
      <c r="E21" s="224"/>
      <c r="F21" s="224">
        <v>10000</v>
      </c>
      <c r="G21" s="224">
        <f t="shared" si="1"/>
        <v>19349785</v>
      </c>
      <c r="H21" s="223" t="s">
        <v>27</v>
      </c>
      <c r="I21" s="252" t="s">
        <v>207</v>
      </c>
      <c r="J21" s="226" t="s">
        <v>107</v>
      </c>
      <c r="K21" s="228" t="s">
        <v>303</v>
      </c>
      <c r="L21" s="221" t="s">
        <v>161</v>
      </c>
      <c r="M21" s="238" t="s">
        <v>352</v>
      </c>
      <c r="N21" s="226" t="s">
        <v>322</v>
      </c>
      <c r="O21" s="221"/>
    </row>
    <row r="22" spans="1:15" s="243" customFormat="1" ht="15" customHeight="1">
      <c r="A22" s="222">
        <v>44473</v>
      </c>
      <c r="B22" s="223" t="s">
        <v>333</v>
      </c>
      <c r="C22" s="223" t="s">
        <v>321</v>
      </c>
      <c r="D22" s="223" t="s">
        <v>182</v>
      </c>
      <c r="E22" s="224"/>
      <c r="F22" s="224">
        <v>21000</v>
      </c>
      <c r="G22" s="224">
        <f t="shared" si="1"/>
        <v>19328785</v>
      </c>
      <c r="H22" s="228" t="s">
        <v>27</v>
      </c>
      <c r="I22" s="252" t="s">
        <v>207</v>
      </c>
      <c r="J22" s="227" t="s">
        <v>338</v>
      </c>
      <c r="K22" s="228" t="s">
        <v>302</v>
      </c>
      <c r="L22" s="221" t="s">
        <v>161</v>
      </c>
      <c r="M22" s="230"/>
      <c r="N22" s="226"/>
      <c r="O22" s="221"/>
    </row>
    <row r="23" spans="1:15" s="243" customFormat="1" ht="15" customHeight="1">
      <c r="A23" s="222">
        <v>44473</v>
      </c>
      <c r="B23" s="223" t="s">
        <v>431</v>
      </c>
      <c r="C23" s="223" t="s">
        <v>321</v>
      </c>
      <c r="D23" s="223" t="s">
        <v>6</v>
      </c>
      <c r="E23" s="230"/>
      <c r="F23" s="224">
        <v>16000</v>
      </c>
      <c r="G23" s="224">
        <f t="shared" si="1"/>
        <v>19312785</v>
      </c>
      <c r="H23" s="223" t="s">
        <v>27</v>
      </c>
      <c r="I23" s="252" t="s">
        <v>207</v>
      </c>
      <c r="J23" s="226" t="s">
        <v>107</v>
      </c>
      <c r="K23" s="228" t="s">
        <v>303</v>
      </c>
      <c r="L23" s="221" t="s">
        <v>161</v>
      </c>
      <c r="M23" s="238" t="s">
        <v>353</v>
      </c>
      <c r="N23" s="226" t="s">
        <v>322</v>
      </c>
      <c r="O23" s="221"/>
    </row>
    <row r="24" spans="1:15" s="243" customFormat="1" ht="15" customHeight="1">
      <c r="A24" s="222">
        <v>44473</v>
      </c>
      <c r="B24" s="223" t="s">
        <v>183</v>
      </c>
      <c r="C24" s="223" t="s">
        <v>2</v>
      </c>
      <c r="D24" s="223" t="s">
        <v>4</v>
      </c>
      <c r="E24" s="230"/>
      <c r="F24" s="224">
        <v>225144</v>
      </c>
      <c r="G24" s="224">
        <f t="shared" si="1"/>
        <v>19087641</v>
      </c>
      <c r="H24" s="223" t="s">
        <v>27</v>
      </c>
      <c r="I24" s="252" t="s">
        <v>207</v>
      </c>
      <c r="J24" s="227" t="s">
        <v>338</v>
      </c>
      <c r="K24" s="228" t="s">
        <v>302</v>
      </c>
      <c r="L24" s="221" t="s">
        <v>161</v>
      </c>
      <c r="M24" s="230"/>
      <c r="N24" s="226"/>
      <c r="O24" s="221"/>
    </row>
    <row r="25" spans="1:15" s="243" customFormat="1" ht="15" customHeight="1">
      <c r="A25" s="222">
        <v>44473</v>
      </c>
      <c r="B25" s="245" t="s">
        <v>224</v>
      </c>
      <c r="C25" s="223" t="s">
        <v>5</v>
      </c>
      <c r="D25" s="223" t="s">
        <v>188</v>
      </c>
      <c r="E25" s="224"/>
      <c r="F25" s="224">
        <v>260000</v>
      </c>
      <c r="G25" s="224">
        <f t="shared" si="1"/>
        <v>18827641</v>
      </c>
      <c r="H25" s="247" t="s">
        <v>26</v>
      </c>
      <c r="I25" s="245">
        <v>3654454</v>
      </c>
      <c r="J25" s="227" t="s">
        <v>338</v>
      </c>
      <c r="K25" s="228" t="s">
        <v>302</v>
      </c>
      <c r="L25" s="221" t="s">
        <v>161</v>
      </c>
      <c r="M25" s="230"/>
      <c r="N25" s="226"/>
      <c r="O25" s="221"/>
    </row>
    <row r="26" spans="1:15" s="243" customFormat="1" ht="15" customHeight="1">
      <c r="A26" s="222">
        <v>44473</v>
      </c>
      <c r="B26" s="223" t="s">
        <v>231</v>
      </c>
      <c r="C26" s="223" t="s">
        <v>164</v>
      </c>
      <c r="D26" s="223" t="s">
        <v>188</v>
      </c>
      <c r="E26" s="224"/>
      <c r="F26" s="224">
        <v>495000</v>
      </c>
      <c r="G26" s="224">
        <f t="shared" si="1"/>
        <v>18332641</v>
      </c>
      <c r="H26" s="247" t="s">
        <v>170</v>
      </c>
      <c r="I26" s="238">
        <v>3643536</v>
      </c>
      <c r="J26" s="241" t="s">
        <v>107</v>
      </c>
      <c r="K26" s="228" t="s">
        <v>303</v>
      </c>
      <c r="L26" s="221" t="s">
        <v>161</v>
      </c>
      <c r="M26" s="238" t="s">
        <v>354</v>
      </c>
      <c r="N26" s="226" t="s">
        <v>307</v>
      </c>
      <c r="O26" s="221"/>
    </row>
    <row r="27" spans="1:15" s="256" customFormat="1" ht="15" hidden="1" customHeight="1">
      <c r="A27" s="202">
        <v>44473</v>
      </c>
      <c r="B27" s="208" t="s">
        <v>330</v>
      </c>
      <c r="C27" s="208" t="s">
        <v>80</v>
      </c>
      <c r="D27" s="208"/>
      <c r="E27" s="204"/>
      <c r="F27" s="204">
        <v>55000</v>
      </c>
      <c r="G27" s="224">
        <f t="shared" si="1"/>
        <v>18277641</v>
      </c>
      <c r="H27" s="65" t="s">
        <v>170</v>
      </c>
      <c r="I27" s="251">
        <v>3643536</v>
      </c>
      <c r="J27" s="299"/>
      <c r="K27" s="209"/>
      <c r="L27" s="203"/>
      <c r="M27" s="300"/>
      <c r="N27" s="210"/>
      <c r="O27" s="203"/>
    </row>
    <row r="28" spans="1:15" s="243" customFormat="1" ht="15" hidden="1" customHeight="1">
      <c r="A28" s="222">
        <v>44473</v>
      </c>
      <c r="B28" s="228" t="s">
        <v>257</v>
      </c>
      <c r="C28" s="223" t="s">
        <v>80</v>
      </c>
      <c r="D28" s="223"/>
      <c r="E28" s="224">
        <v>55000</v>
      </c>
      <c r="F28" s="224"/>
      <c r="G28" s="224">
        <f t="shared" si="1"/>
        <v>18332641</v>
      </c>
      <c r="H28" s="65" t="s">
        <v>162</v>
      </c>
      <c r="I28" s="245"/>
      <c r="J28" s="241"/>
      <c r="K28" s="228"/>
      <c r="L28" s="221"/>
      <c r="M28" s="230"/>
      <c r="N28" s="226"/>
      <c r="O28" s="221"/>
    </row>
    <row r="29" spans="1:15" s="243" customFormat="1" ht="15" customHeight="1">
      <c r="A29" s="222">
        <v>44473</v>
      </c>
      <c r="B29" s="223" t="s">
        <v>232</v>
      </c>
      <c r="C29" s="223" t="s">
        <v>2</v>
      </c>
      <c r="D29" s="223" t="s">
        <v>182</v>
      </c>
      <c r="E29" s="224"/>
      <c r="F29" s="224">
        <v>178235</v>
      </c>
      <c r="G29" s="224">
        <f t="shared" si="1"/>
        <v>18154406</v>
      </c>
      <c r="H29" s="247" t="s">
        <v>170</v>
      </c>
      <c r="I29" s="238">
        <v>3643537</v>
      </c>
      <c r="J29" s="241" t="s">
        <v>107</v>
      </c>
      <c r="K29" s="228" t="s">
        <v>303</v>
      </c>
      <c r="L29" s="221" t="s">
        <v>161</v>
      </c>
      <c r="M29" s="238" t="s">
        <v>355</v>
      </c>
      <c r="N29" s="226" t="s">
        <v>314</v>
      </c>
      <c r="O29" s="221"/>
    </row>
    <row r="30" spans="1:15" s="243" customFormat="1" ht="15" hidden="1" customHeight="1">
      <c r="A30" s="222">
        <v>44473</v>
      </c>
      <c r="B30" s="223" t="s">
        <v>276</v>
      </c>
      <c r="C30" s="223" t="s">
        <v>80</v>
      </c>
      <c r="D30" s="223"/>
      <c r="E30" s="224">
        <v>10000</v>
      </c>
      <c r="F30" s="224"/>
      <c r="G30" s="224">
        <f t="shared" si="1"/>
        <v>18164406</v>
      </c>
      <c r="H30" s="223" t="s">
        <v>31</v>
      </c>
      <c r="I30" s="238"/>
      <c r="J30" s="226"/>
      <c r="K30" s="228"/>
      <c r="L30" s="221"/>
      <c r="M30" s="230"/>
      <c r="N30" s="226"/>
      <c r="O30" s="221"/>
    </row>
    <row r="31" spans="1:15" s="243" customFormat="1" ht="15" hidden="1" customHeight="1">
      <c r="A31" s="202">
        <v>44473</v>
      </c>
      <c r="B31" s="208" t="s">
        <v>255</v>
      </c>
      <c r="C31" s="223" t="s">
        <v>80</v>
      </c>
      <c r="D31" s="208"/>
      <c r="E31" s="204">
        <v>10000</v>
      </c>
      <c r="F31" s="204"/>
      <c r="G31" s="224">
        <f t="shared" si="1"/>
        <v>18174406</v>
      </c>
      <c r="H31" s="208" t="s">
        <v>163</v>
      </c>
      <c r="I31" s="251"/>
      <c r="J31" s="241"/>
      <c r="K31" s="228"/>
      <c r="L31" s="203"/>
      <c r="M31" s="3"/>
      <c r="N31" s="210"/>
      <c r="O31" s="203"/>
    </row>
    <row r="32" spans="1:15" s="243" customFormat="1" ht="15" hidden="1" customHeight="1">
      <c r="A32" s="222">
        <v>44474</v>
      </c>
      <c r="B32" s="223" t="s">
        <v>184</v>
      </c>
      <c r="C32" s="223" t="s">
        <v>80</v>
      </c>
      <c r="D32" s="223"/>
      <c r="E32" s="224"/>
      <c r="F32" s="224">
        <v>5000</v>
      </c>
      <c r="G32" s="224">
        <f t="shared" si="1"/>
        <v>18169406</v>
      </c>
      <c r="H32" s="223" t="s">
        <v>27</v>
      </c>
      <c r="I32" s="252"/>
      <c r="J32" s="226"/>
      <c r="K32" s="228"/>
      <c r="L32" s="221"/>
      <c r="M32" s="230"/>
      <c r="N32" s="226"/>
      <c r="O32" s="221"/>
    </row>
    <row r="33" spans="1:15" s="243" customFormat="1" ht="15" hidden="1" customHeight="1">
      <c r="A33" s="222">
        <v>44474</v>
      </c>
      <c r="B33" s="245" t="s">
        <v>184</v>
      </c>
      <c r="C33" s="223" t="s">
        <v>80</v>
      </c>
      <c r="D33" s="224"/>
      <c r="E33" s="224"/>
      <c r="F33" s="224">
        <v>115000</v>
      </c>
      <c r="G33" s="224">
        <f t="shared" si="1"/>
        <v>18054406</v>
      </c>
      <c r="H33" s="223" t="s">
        <v>27</v>
      </c>
      <c r="I33" s="252"/>
      <c r="J33" s="241"/>
      <c r="K33" s="228"/>
      <c r="L33" s="221"/>
      <c r="M33" s="230"/>
      <c r="N33" s="226"/>
      <c r="O33" s="221"/>
    </row>
    <row r="34" spans="1:15" s="243" customFormat="1" hidden="1">
      <c r="A34" s="222">
        <v>44474</v>
      </c>
      <c r="B34" s="223" t="s">
        <v>31</v>
      </c>
      <c r="C34" s="223" t="s">
        <v>80</v>
      </c>
      <c r="D34" s="223"/>
      <c r="E34" s="224"/>
      <c r="F34" s="224">
        <v>115000</v>
      </c>
      <c r="G34" s="224">
        <f t="shared" si="1"/>
        <v>17939406</v>
      </c>
      <c r="H34" s="223" t="s">
        <v>27</v>
      </c>
      <c r="I34" s="252"/>
      <c r="J34" s="226"/>
      <c r="K34" s="228"/>
      <c r="L34" s="221"/>
      <c r="M34" s="230"/>
      <c r="N34" s="226"/>
      <c r="O34" s="221"/>
    </row>
    <row r="35" spans="1:15" s="243" customFormat="1" ht="15" customHeight="1">
      <c r="A35" s="222">
        <v>44474</v>
      </c>
      <c r="B35" s="228" t="s">
        <v>185</v>
      </c>
      <c r="C35" s="223" t="s">
        <v>186</v>
      </c>
      <c r="D35" s="223" t="s">
        <v>250</v>
      </c>
      <c r="E35" s="224"/>
      <c r="F35" s="224">
        <v>23000</v>
      </c>
      <c r="G35" s="224">
        <f t="shared" si="1"/>
        <v>17916406</v>
      </c>
      <c r="H35" s="228" t="s">
        <v>27</v>
      </c>
      <c r="I35" s="245" t="s">
        <v>192</v>
      </c>
      <c r="J35" s="227" t="s">
        <v>338</v>
      </c>
      <c r="K35" s="228" t="s">
        <v>302</v>
      </c>
      <c r="L35" s="221" t="s">
        <v>161</v>
      </c>
      <c r="M35" s="226"/>
      <c r="N35" s="226"/>
      <c r="O35" s="221"/>
    </row>
    <row r="36" spans="1:15" s="243" customFormat="1" ht="15.75" hidden="1">
      <c r="A36" s="222">
        <v>44474</v>
      </c>
      <c r="B36" s="245" t="s">
        <v>258</v>
      </c>
      <c r="C36" s="223" t="s">
        <v>80</v>
      </c>
      <c r="D36" s="224"/>
      <c r="E36" s="224">
        <v>5000</v>
      </c>
      <c r="F36" s="224"/>
      <c r="G36" s="224">
        <f t="shared" si="1"/>
        <v>17921406</v>
      </c>
      <c r="H36" s="228" t="s">
        <v>53</v>
      </c>
      <c r="I36" s="245"/>
      <c r="J36" s="241"/>
      <c r="K36" s="228"/>
      <c r="L36" s="221"/>
      <c r="M36" s="230"/>
      <c r="N36" s="226"/>
      <c r="O36" s="221"/>
    </row>
    <row r="37" spans="1:15" s="243" customFormat="1" ht="15.75" hidden="1">
      <c r="A37" s="222">
        <v>44474</v>
      </c>
      <c r="B37" s="245" t="s">
        <v>265</v>
      </c>
      <c r="C37" s="223" t="s">
        <v>80</v>
      </c>
      <c r="D37" s="224"/>
      <c r="E37" s="224">
        <v>115000</v>
      </c>
      <c r="F37" s="224"/>
      <c r="G37" s="224">
        <f t="shared" si="1"/>
        <v>18036406</v>
      </c>
      <c r="H37" s="228" t="s">
        <v>53</v>
      </c>
      <c r="I37" s="245"/>
      <c r="J37" s="241"/>
      <c r="K37" s="228"/>
      <c r="L37" s="221"/>
      <c r="M37" s="230"/>
      <c r="N37" s="226"/>
      <c r="O37" s="221"/>
    </row>
    <row r="38" spans="1:15" s="243" customFormat="1">
      <c r="A38" s="222">
        <v>44474</v>
      </c>
      <c r="B38" s="245" t="s">
        <v>441</v>
      </c>
      <c r="C38" s="228" t="s">
        <v>36</v>
      </c>
      <c r="D38" s="223" t="s">
        <v>6</v>
      </c>
      <c r="E38" s="224"/>
      <c r="F38" s="224">
        <v>15000</v>
      </c>
      <c r="G38" s="224">
        <f t="shared" si="1"/>
        <v>18021406</v>
      </c>
      <c r="H38" s="228" t="s">
        <v>53</v>
      </c>
      <c r="I38" s="252" t="s">
        <v>207</v>
      </c>
      <c r="J38" s="241" t="s">
        <v>107</v>
      </c>
      <c r="K38" s="228" t="s">
        <v>303</v>
      </c>
      <c r="L38" s="221" t="s">
        <v>161</v>
      </c>
      <c r="M38" s="238" t="s">
        <v>356</v>
      </c>
      <c r="N38" s="226" t="s">
        <v>324</v>
      </c>
      <c r="O38" s="221"/>
    </row>
    <row r="39" spans="1:15" s="243" customFormat="1" ht="15.75" hidden="1">
      <c r="A39" s="222">
        <v>44474</v>
      </c>
      <c r="B39" s="223" t="s">
        <v>276</v>
      </c>
      <c r="C39" s="223" t="s">
        <v>80</v>
      </c>
      <c r="D39" s="223"/>
      <c r="E39" s="224">
        <v>115000</v>
      </c>
      <c r="F39" s="224"/>
      <c r="G39" s="224">
        <f t="shared" si="1"/>
        <v>18136406</v>
      </c>
      <c r="H39" s="223" t="s">
        <v>31</v>
      </c>
      <c r="I39" s="238"/>
      <c r="J39" s="226"/>
      <c r="K39" s="228"/>
      <c r="L39" s="221"/>
      <c r="M39" s="226"/>
      <c r="N39" s="226"/>
      <c r="O39" s="221"/>
    </row>
    <row r="40" spans="1:15" s="243" customFormat="1">
      <c r="A40" s="222">
        <v>44474</v>
      </c>
      <c r="B40" s="223" t="s">
        <v>448</v>
      </c>
      <c r="C40" s="228" t="s">
        <v>36</v>
      </c>
      <c r="D40" s="223" t="s">
        <v>6</v>
      </c>
      <c r="E40" s="224"/>
      <c r="F40" s="224">
        <v>10000</v>
      </c>
      <c r="G40" s="224">
        <f t="shared" si="1"/>
        <v>18126406</v>
      </c>
      <c r="H40" s="228" t="s">
        <v>31</v>
      </c>
      <c r="I40" s="252" t="s">
        <v>207</v>
      </c>
      <c r="J40" s="241" t="s">
        <v>107</v>
      </c>
      <c r="K40" s="228" t="s">
        <v>303</v>
      </c>
      <c r="L40" s="221" t="s">
        <v>161</v>
      </c>
      <c r="M40" s="238" t="s">
        <v>357</v>
      </c>
      <c r="N40" s="226" t="s">
        <v>324</v>
      </c>
      <c r="O40" s="221"/>
    </row>
    <row r="41" spans="1:15" s="243" customFormat="1" ht="15.75">
      <c r="A41" s="222">
        <v>44475</v>
      </c>
      <c r="B41" s="223" t="s">
        <v>334</v>
      </c>
      <c r="C41" s="228" t="s">
        <v>169</v>
      </c>
      <c r="D41" s="223" t="s">
        <v>6</v>
      </c>
      <c r="E41" s="224"/>
      <c r="F41" s="224">
        <v>90000</v>
      </c>
      <c r="G41" s="224">
        <f t="shared" si="1"/>
        <v>18036406</v>
      </c>
      <c r="H41" s="228" t="s">
        <v>31</v>
      </c>
      <c r="I41" s="245" t="s">
        <v>192</v>
      </c>
      <c r="J41" s="226" t="s">
        <v>107</v>
      </c>
      <c r="K41" s="228" t="s">
        <v>303</v>
      </c>
      <c r="L41" s="221" t="s">
        <v>161</v>
      </c>
      <c r="M41" s="238" t="s">
        <v>358</v>
      </c>
      <c r="N41" s="226" t="s">
        <v>329</v>
      </c>
      <c r="O41" s="228"/>
    </row>
    <row r="42" spans="1:15" s="243" customFormat="1" hidden="1">
      <c r="A42" s="222">
        <v>44475</v>
      </c>
      <c r="B42" s="245" t="s">
        <v>179</v>
      </c>
      <c r="C42" s="223" t="s">
        <v>80</v>
      </c>
      <c r="D42" s="223"/>
      <c r="E42" s="224"/>
      <c r="F42" s="224">
        <v>10000</v>
      </c>
      <c r="G42" s="224">
        <f t="shared" si="1"/>
        <v>18026406</v>
      </c>
      <c r="H42" s="228" t="s">
        <v>27</v>
      </c>
      <c r="I42" s="252"/>
      <c r="J42" s="226"/>
      <c r="K42" s="228"/>
      <c r="L42" s="221"/>
      <c r="M42" s="230"/>
      <c r="N42" s="226"/>
      <c r="O42" s="221"/>
    </row>
    <row r="43" spans="1:15" s="243" customFormat="1" hidden="1">
      <c r="A43" s="222">
        <v>44475</v>
      </c>
      <c r="B43" s="223" t="s">
        <v>180</v>
      </c>
      <c r="C43" s="223" t="s">
        <v>80</v>
      </c>
      <c r="D43" s="223"/>
      <c r="E43" s="224"/>
      <c r="F43" s="224">
        <v>88000</v>
      </c>
      <c r="G43" s="224">
        <f t="shared" si="1"/>
        <v>17938406</v>
      </c>
      <c r="H43" s="223" t="s">
        <v>27</v>
      </c>
      <c r="I43" s="252"/>
      <c r="J43" s="227"/>
      <c r="K43" s="228"/>
      <c r="L43" s="221"/>
      <c r="M43" s="230"/>
      <c r="N43" s="226"/>
      <c r="O43" s="221"/>
    </row>
    <row r="44" spans="1:15" s="243" customFormat="1" ht="15" customHeight="1">
      <c r="A44" s="222">
        <v>44475</v>
      </c>
      <c r="B44" s="228" t="s">
        <v>225</v>
      </c>
      <c r="C44" s="228" t="s">
        <v>150</v>
      </c>
      <c r="D44" s="223" t="s">
        <v>188</v>
      </c>
      <c r="E44" s="224"/>
      <c r="F44" s="224">
        <v>8644</v>
      </c>
      <c r="G44" s="224">
        <f t="shared" si="1"/>
        <v>17929762</v>
      </c>
      <c r="H44" s="247" t="s">
        <v>26</v>
      </c>
      <c r="I44" s="245" t="s">
        <v>229</v>
      </c>
      <c r="J44" s="227" t="s">
        <v>338</v>
      </c>
      <c r="K44" s="228" t="s">
        <v>302</v>
      </c>
      <c r="L44" s="221" t="s">
        <v>161</v>
      </c>
      <c r="M44" s="230"/>
      <c r="N44" s="226"/>
      <c r="O44" s="221"/>
    </row>
    <row r="45" spans="1:15" s="243" customFormat="1" ht="15" customHeight="1">
      <c r="A45" s="222">
        <v>44475</v>
      </c>
      <c r="B45" s="245" t="s">
        <v>325</v>
      </c>
      <c r="C45" s="228" t="s">
        <v>169</v>
      </c>
      <c r="D45" s="223" t="s">
        <v>6</v>
      </c>
      <c r="E45" s="224"/>
      <c r="F45" s="224">
        <v>60000</v>
      </c>
      <c r="G45" s="224">
        <f t="shared" si="1"/>
        <v>17869762</v>
      </c>
      <c r="H45" s="228" t="s">
        <v>53</v>
      </c>
      <c r="I45" s="245" t="s">
        <v>192</v>
      </c>
      <c r="J45" s="226" t="s">
        <v>107</v>
      </c>
      <c r="K45" s="228" t="s">
        <v>303</v>
      </c>
      <c r="L45" s="221" t="s">
        <v>161</v>
      </c>
      <c r="M45" s="238" t="s">
        <v>359</v>
      </c>
      <c r="N45" s="226" t="s">
        <v>329</v>
      </c>
      <c r="O45" s="228"/>
    </row>
    <row r="46" spans="1:15" s="243" customFormat="1" ht="15" hidden="1" customHeight="1">
      <c r="A46" s="202">
        <v>44475</v>
      </c>
      <c r="B46" s="208" t="s">
        <v>255</v>
      </c>
      <c r="C46" s="223" t="s">
        <v>80</v>
      </c>
      <c r="D46" s="208"/>
      <c r="E46" s="204">
        <v>88000</v>
      </c>
      <c r="F46" s="204"/>
      <c r="G46" s="224">
        <f t="shared" si="1"/>
        <v>17957762</v>
      </c>
      <c r="H46" s="208" t="s">
        <v>163</v>
      </c>
      <c r="I46" s="251"/>
      <c r="J46" s="227"/>
      <c r="K46" s="238"/>
      <c r="L46" s="203"/>
      <c r="M46" s="203"/>
      <c r="N46" s="210"/>
      <c r="O46" s="203"/>
    </row>
    <row r="47" spans="1:15" s="243" customFormat="1" ht="15" customHeight="1">
      <c r="A47" s="202">
        <v>44475</v>
      </c>
      <c r="B47" s="208" t="s">
        <v>434</v>
      </c>
      <c r="C47" s="208" t="s">
        <v>36</v>
      </c>
      <c r="D47" s="208" t="s">
        <v>182</v>
      </c>
      <c r="E47" s="204"/>
      <c r="F47" s="224">
        <v>10000</v>
      </c>
      <c r="G47" s="224">
        <f t="shared" si="1"/>
        <v>17947762</v>
      </c>
      <c r="H47" s="208" t="s">
        <v>163</v>
      </c>
      <c r="I47" s="252" t="s">
        <v>207</v>
      </c>
      <c r="J47" s="227" t="s">
        <v>338</v>
      </c>
      <c r="K47" s="228" t="s">
        <v>302</v>
      </c>
      <c r="L47" s="203" t="s">
        <v>161</v>
      </c>
      <c r="M47" s="3"/>
      <c r="N47" s="210"/>
      <c r="O47" s="203"/>
    </row>
    <row r="48" spans="1:15" s="243" customFormat="1" ht="15" hidden="1" customHeight="1">
      <c r="A48" s="202">
        <v>44475</v>
      </c>
      <c r="B48" s="211" t="s">
        <v>255</v>
      </c>
      <c r="C48" s="223" t="s">
        <v>80</v>
      </c>
      <c r="D48" s="208"/>
      <c r="E48" s="204">
        <v>10000</v>
      </c>
      <c r="F48" s="204"/>
      <c r="G48" s="224">
        <f t="shared" si="1"/>
        <v>17957762</v>
      </c>
      <c r="H48" s="209" t="s">
        <v>179</v>
      </c>
      <c r="I48" s="251"/>
      <c r="J48" s="227"/>
      <c r="K48" s="228"/>
      <c r="L48" s="203"/>
      <c r="M48" s="3"/>
      <c r="N48" s="210"/>
      <c r="O48" s="203"/>
    </row>
    <row r="49" spans="1:15" s="243" customFormat="1" ht="15" customHeight="1">
      <c r="A49" s="202">
        <v>44476</v>
      </c>
      <c r="B49" s="208" t="s">
        <v>449</v>
      </c>
      <c r="C49" s="208" t="s">
        <v>36</v>
      </c>
      <c r="D49" s="223" t="s">
        <v>6</v>
      </c>
      <c r="E49" s="204"/>
      <c r="F49" s="224">
        <v>10000</v>
      </c>
      <c r="G49" s="224">
        <f t="shared" si="1"/>
        <v>17947762</v>
      </c>
      <c r="H49" s="208" t="s">
        <v>31</v>
      </c>
      <c r="I49" s="252" t="s">
        <v>207</v>
      </c>
      <c r="J49" s="241" t="s">
        <v>107</v>
      </c>
      <c r="K49" s="228" t="s">
        <v>303</v>
      </c>
      <c r="L49" s="221" t="s">
        <v>161</v>
      </c>
      <c r="M49" s="238" t="s">
        <v>360</v>
      </c>
      <c r="N49" s="226" t="s">
        <v>324</v>
      </c>
      <c r="O49" s="203"/>
    </row>
    <row r="50" spans="1:15" s="243" customFormat="1" ht="15" customHeight="1">
      <c r="A50" s="222">
        <v>44476</v>
      </c>
      <c r="B50" s="223" t="s">
        <v>277</v>
      </c>
      <c r="C50" s="223" t="s">
        <v>169</v>
      </c>
      <c r="D50" s="223" t="s">
        <v>6</v>
      </c>
      <c r="E50" s="224"/>
      <c r="F50" s="224">
        <v>5000</v>
      </c>
      <c r="G50" s="224">
        <f t="shared" si="1"/>
        <v>17942762</v>
      </c>
      <c r="H50" s="223" t="s">
        <v>31</v>
      </c>
      <c r="I50" s="252" t="s">
        <v>207</v>
      </c>
      <c r="J50" s="226" t="s">
        <v>107</v>
      </c>
      <c r="K50" s="228" t="s">
        <v>303</v>
      </c>
      <c r="L50" s="221" t="s">
        <v>161</v>
      </c>
      <c r="M50" s="238" t="s">
        <v>361</v>
      </c>
      <c r="N50" s="226" t="s">
        <v>329</v>
      </c>
      <c r="O50" s="221"/>
    </row>
    <row r="51" spans="1:15" s="243" customFormat="1" ht="15" customHeight="1">
      <c r="A51" s="202">
        <v>44476</v>
      </c>
      <c r="B51" s="208" t="s">
        <v>279</v>
      </c>
      <c r="C51" s="208" t="s">
        <v>169</v>
      </c>
      <c r="D51" s="223" t="s">
        <v>6</v>
      </c>
      <c r="E51" s="204"/>
      <c r="F51" s="224">
        <v>15000</v>
      </c>
      <c r="G51" s="224">
        <f t="shared" si="1"/>
        <v>17927762</v>
      </c>
      <c r="H51" s="208" t="s">
        <v>31</v>
      </c>
      <c r="I51" s="252" t="s">
        <v>207</v>
      </c>
      <c r="J51" s="226" t="s">
        <v>107</v>
      </c>
      <c r="K51" s="228" t="s">
        <v>303</v>
      </c>
      <c r="L51" s="221" t="s">
        <v>161</v>
      </c>
      <c r="M51" s="238" t="s">
        <v>362</v>
      </c>
      <c r="N51" s="226" t="s">
        <v>329</v>
      </c>
      <c r="O51" s="203"/>
    </row>
    <row r="52" spans="1:15" s="243" customFormat="1" ht="15" customHeight="1">
      <c r="A52" s="202">
        <v>44476</v>
      </c>
      <c r="B52" s="209" t="s">
        <v>438</v>
      </c>
      <c r="C52" s="208" t="s">
        <v>169</v>
      </c>
      <c r="D52" s="209" t="s">
        <v>182</v>
      </c>
      <c r="E52" s="204"/>
      <c r="F52" s="224">
        <v>20000</v>
      </c>
      <c r="G52" s="224">
        <f t="shared" si="1"/>
        <v>17907762</v>
      </c>
      <c r="H52" s="208" t="s">
        <v>163</v>
      </c>
      <c r="I52" s="245" t="s">
        <v>192</v>
      </c>
      <c r="J52" s="227" t="s">
        <v>338</v>
      </c>
      <c r="K52" s="228" t="s">
        <v>302</v>
      </c>
      <c r="L52" s="221" t="s">
        <v>161</v>
      </c>
      <c r="M52" s="203"/>
      <c r="N52" s="210"/>
      <c r="O52" s="203"/>
    </row>
    <row r="53" spans="1:15" s="243" customFormat="1" ht="15" customHeight="1">
      <c r="A53" s="202">
        <v>44477</v>
      </c>
      <c r="B53" s="208" t="s">
        <v>284</v>
      </c>
      <c r="C53" s="208" t="s">
        <v>37</v>
      </c>
      <c r="D53" s="208" t="s">
        <v>182</v>
      </c>
      <c r="E53" s="204"/>
      <c r="F53" s="204">
        <v>1000</v>
      </c>
      <c r="G53" s="224">
        <f t="shared" si="1"/>
        <v>17906762</v>
      </c>
      <c r="H53" s="208" t="s">
        <v>163</v>
      </c>
      <c r="I53" s="252" t="s">
        <v>207</v>
      </c>
      <c r="J53" s="227" t="s">
        <v>338</v>
      </c>
      <c r="K53" s="228" t="s">
        <v>302</v>
      </c>
      <c r="L53" s="203" t="s">
        <v>161</v>
      </c>
      <c r="M53" s="203"/>
      <c r="N53" s="210"/>
      <c r="O53" s="203"/>
    </row>
    <row r="54" spans="1:15" s="243" customFormat="1" ht="15" hidden="1" customHeight="1">
      <c r="A54" s="222">
        <v>44477</v>
      </c>
      <c r="B54" s="228" t="s">
        <v>184</v>
      </c>
      <c r="C54" s="223" t="s">
        <v>80</v>
      </c>
      <c r="D54" s="223"/>
      <c r="E54" s="224"/>
      <c r="F54" s="224">
        <v>100000</v>
      </c>
      <c r="G54" s="224">
        <f t="shared" si="1"/>
        <v>17806762</v>
      </c>
      <c r="H54" s="228" t="s">
        <v>27</v>
      </c>
      <c r="I54" s="252"/>
      <c r="J54" s="226"/>
      <c r="K54" s="228"/>
      <c r="L54" s="221"/>
      <c r="M54" s="230"/>
      <c r="N54" s="226"/>
      <c r="O54" s="221"/>
    </row>
    <row r="55" spans="1:15" s="243" customFormat="1" ht="15" hidden="1" customHeight="1">
      <c r="A55" s="222">
        <v>44477</v>
      </c>
      <c r="B55" s="223" t="s">
        <v>31</v>
      </c>
      <c r="C55" s="223" t="s">
        <v>80</v>
      </c>
      <c r="D55" s="228"/>
      <c r="E55" s="224"/>
      <c r="F55" s="224">
        <v>103000</v>
      </c>
      <c r="G55" s="224">
        <f t="shared" si="1"/>
        <v>17703762</v>
      </c>
      <c r="H55" s="223" t="s">
        <v>27</v>
      </c>
      <c r="I55" s="252"/>
      <c r="J55" s="227"/>
      <c r="K55" s="228"/>
      <c r="L55" s="221"/>
      <c r="M55" s="230"/>
      <c r="N55" s="226"/>
      <c r="O55" s="221"/>
    </row>
    <row r="56" spans="1:15" s="243" customFormat="1" ht="15" customHeight="1">
      <c r="A56" s="222">
        <v>44477</v>
      </c>
      <c r="B56" s="223" t="s">
        <v>187</v>
      </c>
      <c r="C56" s="223" t="s">
        <v>151</v>
      </c>
      <c r="D56" s="223" t="s">
        <v>188</v>
      </c>
      <c r="E56" s="224"/>
      <c r="F56" s="224">
        <v>5575</v>
      </c>
      <c r="G56" s="224">
        <f t="shared" si="1"/>
        <v>17698187</v>
      </c>
      <c r="H56" s="223" t="s">
        <v>27</v>
      </c>
      <c r="I56" s="252" t="s">
        <v>207</v>
      </c>
      <c r="J56" s="227" t="s">
        <v>107</v>
      </c>
      <c r="K56" s="228" t="s">
        <v>303</v>
      </c>
      <c r="L56" s="221" t="s">
        <v>161</v>
      </c>
      <c r="M56" s="238" t="s">
        <v>363</v>
      </c>
      <c r="N56" s="226" t="s">
        <v>304</v>
      </c>
      <c r="O56" s="221"/>
    </row>
    <row r="57" spans="1:15" s="243" customFormat="1" ht="15" customHeight="1">
      <c r="A57" s="222">
        <v>44477</v>
      </c>
      <c r="B57" s="223" t="s">
        <v>189</v>
      </c>
      <c r="C57" s="223" t="s">
        <v>3</v>
      </c>
      <c r="D57" s="223" t="s">
        <v>188</v>
      </c>
      <c r="E57" s="224"/>
      <c r="F57" s="224">
        <v>12750</v>
      </c>
      <c r="G57" s="224">
        <f t="shared" si="1"/>
        <v>17685437</v>
      </c>
      <c r="H57" s="228" t="s">
        <v>27</v>
      </c>
      <c r="I57" s="252" t="s">
        <v>207</v>
      </c>
      <c r="J57" s="227" t="s">
        <v>107</v>
      </c>
      <c r="K57" s="228" t="s">
        <v>303</v>
      </c>
      <c r="L57" s="221" t="s">
        <v>161</v>
      </c>
      <c r="M57" s="238" t="s">
        <v>364</v>
      </c>
      <c r="N57" s="226" t="s">
        <v>320</v>
      </c>
      <c r="O57" s="221"/>
    </row>
    <row r="58" spans="1:15" s="243" customFormat="1" ht="15" customHeight="1">
      <c r="A58" s="222">
        <v>44477</v>
      </c>
      <c r="B58" s="223" t="s">
        <v>190</v>
      </c>
      <c r="C58" s="223" t="s">
        <v>321</v>
      </c>
      <c r="D58" s="223" t="s">
        <v>191</v>
      </c>
      <c r="E58" s="224"/>
      <c r="F58" s="224">
        <v>5000</v>
      </c>
      <c r="G58" s="224">
        <f t="shared" si="1"/>
        <v>17680437</v>
      </c>
      <c r="H58" s="223" t="s">
        <v>27</v>
      </c>
      <c r="I58" s="245" t="s">
        <v>192</v>
      </c>
      <c r="J58" s="226" t="s">
        <v>107</v>
      </c>
      <c r="K58" s="228" t="s">
        <v>303</v>
      </c>
      <c r="L58" s="221" t="s">
        <v>161</v>
      </c>
      <c r="M58" s="238" t="s">
        <v>365</v>
      </c>
      <c r="N58" s="226" t="s">
        <v>322</v>
      </c>
      <c r="O58" s="221"/>
    </row>
    <row r="59" spans="1:15" s="243" customFormat="1" ht="15" hidden="1" customHeight="1">
      <c r="A59" s="222">
        <v>44477</v>
      </c>
      <c r="B59" s="245" t="s">
        <v>258</v>
      </c>
      <c r="C59" s="223" t="s">
        <v>80</v>
      </c>
      <c r="D59" s="224"/>
      <c r="E59" s="224">
        <v>100000</v>
      </c>
      <c r="F59" s="224"/>
      <c r="G59" s="224">
        <f t="shared" si="1"/>
        <v>17780437</v>
      </c>
      <c r="H59" s="228" t="s">
        <v>53</v>
      </c>
      <c r="I59" s="245"/>
      <c r="J59" s="226"/>
      <c r="K59" s="228"/>
      <c r="L59" s="221"/>
      <c r="M59" s="230"/>
      <c r="N59" s="226"/>
      <c r="O59" s="221"/>
    </row>
    <row r="60" spans="1:15" s="243" customFormat="1" ht="15" customHeight="1">
      <c r="A60" s="202">
        <v>44477</v>
      </c>
      <c r="B60" s="209" t="s">
        <v>439</v>
      </c>
      <c r="C60" s="208" t="s">
        <v>169</v>
      </c>
      <c r="D60" s="209" t="s">
        <v>182</v>
      </c>
      <c r="E60" s="204"/>
      <c r="F60" s="224">
        <v>30000</v>
      </c>
      <c r="G60" s="224">
        <f t="shared" si="1"/>
        <v>17750437</v>
      </c>
      <c r="H60" s="208" t="s">
        <v>163</v>
      </c>
      <c r="I60" s="252" t="s">
        <v>207</v>
      </c>
      <c r="J60" s="227" t="s">
        <v>338</v>
      </c>
      <c r="K60" s="228" t="s">
        <v>302</v>
      </c>
      <c r="L60" s="221" t="s">
        <v>161</v>
      </c>
      <c r="M60" s="210"/>
      <c r="N60" s="210"/>
      <c r="O60" s="203"/>
    </row>
    <row r="61" spans="1:15" s="243" customFormat="1" ht="15" hidden="1" customHeight="1">
      <c r="A61" s="202">
        <v>44477</v>
      </c>
      <c r="B61" s="209" t="s">
        <v>276</v>
      </c>
      <c r="C61" s="223" t="s">
        <v>80</v>
      </c>
      <c r="D61" s="209"/>
      <c r="E61" s="204">
        <v>103000</v>
      </c>
      <c r="F61" s="204"/>
      <c r="G61" s="224">
        <f t="shared" si="1"/>
        <v>17853437</v>
      </c>
      <c r="H61" s="208" t="s">
        <v>31</v>
      </c>
      <c r="I61" s="211"/>
      <c r="J61" s="210"/>
      <c r="K61" s="209"/>
      <c r="L61" s="203"/>
      <c r="M61" s="210"/>
      <c r="N61" s="210"/>
      <c r="O61" s="203"/>
    </row>
    <row r="62" spans="1:15" s="243" customFormat="1" ht="15" customHeight="1">
      <c r="A62" s="202">
        <v>44478</v>
      </c>
      <c r="B62" s="209" t="s">
        <v>435</v>
      </c>
      <c r="C62" s="208" t="s">
        <v>36</v>
      </c>
      <c r="D62" s="212" t="s">
        <v>182</v>
      </c>
      <c r="E62" s="204"/>
      <c r="F62" s="224">
        <v>10000</v>
      </c>
      <c r="G62" s="224">
        <f t="shared" si="1"/>
        <v>17843437</v>
      </c>
      <c r="H62" s="208" t="s">
        <v>163</v>
      </c>
      <c r="I62" s="252" t="s">
        <v>207</v>
      </c>
      <c r="J62" s="227" t="s">
        <v>338</v>
      </c>
      <c r="K62" s="228" t="s">
        <v>302</v>
      </c>
      <c r="L62" s="203" t="s">
        <v>161</v>
      </c>
      <c r="M62" s="210"/>
      <c r="N62" s="210"/>
      <c r="O62" s="203"/>
    </row>
    <row r="63" spans="1:15" s="243" customFormat="1" ht="15" customHeight="1">
      <c r="A63" s="222">
        <v>44479</v>
      </c>
      <c r="B63" s="245" t="s">
        <v>442</v>
      </c>
      <c r="C63" s="228" t="s">
        <v>169</v>
      </c>
      <c r="D63" s="223" t="s">
        <v>6</v>
      </c>
      <c r="E63" s="224"/>
      <c r="F63" s="224">
        <v>60000</v>
      </c>
      <c r="G63" s="224">
        <f t="shared" si="1"/>
        <v>17783437</v>
      </c>
      <c r="H63" s="228" t="s">
        <v>53</v>
      </c>
      <c r="I63" s="245" t="s">
        <v>192</v>
      </c>
      <c r="J63" s="226" t="s">
        <v>107</v>
      </c>
      <c r="K63" s="228" t="s">
        <v>303</v>
      </c>
      <c r="L63" s="221" t="s">
        <v>161</v>
      </c>
      <c r="M63" s="238" t="s">
        <v>366</v>
      </c>
      <c r="N63" s="226" t="s">
        <v>329</v>
      </c>
      <c r="O63" s="221"/>
    </row>
    <row r="64" spans="1:15" s="243" customFormat="1" ht="15" customHeight="1">
      <c r="A64" s="222">
        <v>44479</v>
      </c>
      <c r="B64" s="245" t="s">
        <v>443</v>
      </c>
      <c r="C64" s="228" t="s">
        <v>36</v>
      </c>
      <c r="D64" s="223" t="s">
        <v>6</v>
      </c>
      <c r="E64" s="224"/>
      <c r="F64" s="224">
        <v>8000</v>
      </c>
      <c r="G64" s="224">
        <f t="shared" si="1"/>
        <v>17775437</v>
      </c>
      <c r="H64" s="228" t="s">
        <v>53</v>
      </c>
      <c r="I64" s="252" t="s">
        <v>207</v>
      </c>
      <c r="J64" s="241" t="s">
        <v>107</v>
      </c>
      <c r="K64" s="228" t="s">
        <v>303</v>
      </c>
      <c r="L64" s="221" t="s">
        <v>161</v>
      </c>
      <c r="M64" s="238" t="s">
        <v>367</v>
      </c>
      <c r="N64" s="226" t="s">
        <v>324</v>
      </c>
      <c r="O64" s="221"/>
    </row>
    <row r="65" spans="1:15" s="243" customFormat="1" ht="15" customHeight="1">
      <c r="A65" s="222">
        <v>44480</v>
      </c>
      <c r="B65" s="223" t="s">
        <v>444</v>
      </c>
      <c r="C65" s="223" t="s">
        <v>36</v>
      </c>
      <c r="D65" s="223" t="s">
        <v>6</v>
      </c>
      <c r="E65" s="224"/>
      <c r="F65" s="224">
        <v>8000</v>
      </c>
      <c r="G65" s="224">
        <f t="shared" si="1"/>
        <v>17767437</v>
      </c>
      <c r="H65" s="223" t="s">
        <v>53</v>
      </c>
      <c r="I65" s="252" t="s">
        <v>207</v>
      </c>
      <c r="J65" s="241" t="s">
        <v>107</v>
      </c>
      <c r="K65" s="228" t="s">
        <v>303</v>
      </c>
      <c r="L65" s="221" t="s">
        <v>161</v>
      </c>
      <c r="M65" s="238" t="s">
        <v>368</v>
      </c>
      <c r="N65" s="226" t="s">
        <v>324</v>
      </c>
      <c r="O65" s="221"/>
    </row>
    <row r="66" spans="1:15" s="243" customFormat="1" ht="15" hidden="1" customHeight="1">
      <c r="A66" s="222">
        <v>44481</v>
      </c>
      <c r="B66" s="223" t="s">
        <v>179</v>
      </c>
      <c r="C66" s="223" t="s">
        <v>80</v>
      </c>
      <c r="D66" s="223"/>
      <c r="E66" s="224"/>
      <c r="F66" s="224">
        <v>5000</v>
      </c>
      <c r="G66" s="224">
        <f t="shared" si="1"/>
        <v>17762437</v>
      </c>
      <c r="H66" s="223" t="s">
        <v>27</v>
      </c>
      <c r="I66" s="252"/>
      <c r="J66" s="227"/>
      <c r="K66" s="228"/>
      <c r="L66" s="221"/>
      <c r="M66" s="230"/>
      <c r="N66" s="226"/>
      <c r="O66" s="221"/>
    </row>
    <row r="67" spans="1:15" s="243" customFormat="1" ht="15" hidden="1" customHeight="1">
      <c r="A67" s="222">
        <v>44481</v>
      </c>
      <c r="B67" s="228" t="s">
        <v>179</v>
      </c>
      <c r="C67" s="223" t="s">
        <v>80</v>
      </c>
      <c r="D67" s="224"/>
      <c r="E67" s="230"/>
      <c r="F67" s="224">
        <v>10000</v>
      </c>
      <c r="G67" s="224">
        <f t="shared" si="1"/>
        <v>17752437</v>
      </c>
      <c r="H67" s="228" t="s">
        <v>27</v>
      </c>
      <c r="I67" s="252"/>
      <c r="J67" s="241"/>
      <c r="K67" s="230"/>
      <c r="L67" s="221"/>
      <c r="M67" s="230"/>
      <c r="N67" s="226"/>
      <c r="O67" s="221"/>
    </row>
    <row r="68" spans="1:15" s="243" customFormat="1" ht="15" hidden="1" customHeight="1">
      <c r="A68" s="222">
        <v>44481</v>
      </c>
      <c r="B68" s="223" t="s">
        <v>168</v>
      </c>
      <c r="C68" s="223" t="s">
        <v>80</v>
      </c>
      <c r="D68" s="224"/>
      <c r="E68" s="230"/>
      <c r="F68" s="224">
        <v>10000</v>
      </c>
      <c r="G68" s="224">
        <f t="shared" si="1"/>
        <v>17742437</v>
      </c>
      <c r="H68" s="228" t="s">
        <v>27</v>
      </c>
      <c r="I68" s="245"/>
      <c r="J68" s="230"/>
      <c r="K68" s="230"/>
      <c r="L68" s="221"/>
      <c r="M68" s="226"/>
      <c r="N68" s="226"/>
      <c r="O68" s="221"/>
    </row>
    <row r="69" spans="1:15" s="243" customFormat="1" ht="15" hidden="1" customHeight="1">
      <c r="A69" s="222">
        <v>44481</v>
      </c>
      <c r="B69" s="228" t="s">
        <v>98</v>
      </c>
      <c r="C69" s="223" t="s">
        <v>80</v>
      </c>
      <c r="D69" s="223"/>
      <c r="E69" s="224"/>
      <c r="F69" s="224">
        <v>10000</v>
      </c>
      <c r="G69" s="224">
        <f t="shared" si="1"/>
        <v>17732437</v>
      </c>
      <c r="H69" s="228" t="s">
        <v>27</v>
      </c>
      <c r="I69" s="252"/>
      <c r="J69" s="226"/>
      <c r="K69" s="228"/>
      <c r="L69" s="221"/>
      <c r="M69" s="230"/>
      <c r="N69" s="226"/>
      <c r="O69" s="221"/>
    </row>
    <row r="70" spans="1:15" s="243" customFormat="1" ht="15" hidden="1" customHeight="1">
      <c r="A70" s="222">
        <v>44481</v>
      </c>
      <c r="B70" s="223" t="s">
        <v>33</v>
      </c>
      <c r="C70" s="223" t="s">
        <v>80</v>
      </c>
      <c r="D70" s="224"/>
      <c r="E70" s="224"/>
      <c r="F70" s="224">
        <v>10000</v>
      </c>
      <c r="G70" s="224">
        <f t="shared" si="1"/>
        <v>17722437</v>
      </c>
      <c r="H70" s="223" t="s">
        <v>27</v>
      </c>
      <c r="I70" s="252"/>
      <c r="J70" s="241"/>
      <c r="K70" s="228"/>
      <c r="L70" s="221"/>
      <c r="M70" s="230"/>
      <c r="N70" s="226"/>
      <c r="O70" s="221"/>
    </row>
    <row r="71" spans="1:15" s="243" customFormat="1" ht="15" customHeight="1">
      <c r="A71" s="222">
        <v>44481</v>
      </c>
      <c r="B71" s="223" t="s">
        <v>193</v>
      </c>
      <c r="C71" s="223" t="s">
        <v>5</v>
      </c>
      <c r="D71" s="223" t="s">
        <v>188</v>
      </c>
      <c r="E71" s="224"/>
      <c r="F71" s="224">
        <v>18000</v>
      </c>
      <c r="G71" s="224">
        <f t="shared" si="1"/>
        <v>17704437</v>
      </c>
      <c r="H71" s="223" t="s">
        <v>27</v>
      </c>
      <c r="I71" s="252" t="s">
        <v>207</v>
      </c>
      <c r="J71" s="227" t="s">
        <v>338</v>
      </c>
      <c r="K71" s="228" t="s">
        <v>302</v>
      </c>
      <c r="L71" s="221" t="s">
        <v>161</v>
      </c>
      <c r="M71" s="230"/>
      <c r="N71" s="226"/>
      <c r="O71" s="221"/>
    </row>
    <row r="72" spans="1:15" s="243" customFormat="1" ht="15" hidden="1" customHeight="1">
      <c r="A72" s="222">
        <v>44481</v>
      </c>
      <c r="B72" s="223" t="s">
        <v>31</v>
      </c>
      <c r="C72" s="223" t="s">
        <v>80</v>
      </c>
      <c r="D72" s="223"/>
      <c r="E72" s="224"/>
      <c r="F72" s="224">
        <v>86000</v>
      </c>
      <c r="G72" s="224">
        <f t="shared" si="1"/>
        <v>17618437</v>
      </c>
      <c r="H72" s="223" t="s">
        <v>27</v>
      </c>
      <c r="I72" s="252"/>
      <c r="J72" s="226"/>
      <c r="K72" s="228"/>
      <c r="L72" s="221"/>
      <c r="M72" s="230"/>
      <c r="N72" s="226"/>
      <c r="O72" s="221"/>
    </row>
    <row r="73" spans="1:15" s="243" customFormat="1" ht="15" customHeight="1">
      <c r="A73" s="222">
        <v>44481</v>
      </c>
      <c r="B73" s="228" t="s">
        <v>194</v>
      </c>
      <c r="C73" s="223" t="s">
        <v>151</v>
      </c>
      <c r="D73" s="223" t="s">
        <v>188</v>
      </c>
      <c r="E73" s="224"/>
      <c r="F73" s="224">
        <v>2150</v>
      </c>
      <c r="G73" s="224">
        <f t="shared" si="1"/>
        <v>17616287</v>
      </c>
      <c r="H73" s="228" t="s">
        <v>27</v>
      </c>
      <c r="I73" s="252" t="s">
        <v>207</v>
      </c>
      <c r="J73" s="227" t="s">
        <v>107</v>
      </c>
      <c r="K73" s="228" t="s">
        <v>303</v>
      </c>
      <c r="L73" s="221" t="s">
        <v>161</v>
      </c>
      <c r="M73" s="238" t="s">
        <v>369</v>
      </c>
      <c r="N73" s="226" t="s">
        <v>304</v>
      </c>
      <c r="O73" s="221"/>
    </row>
    <row r="74" spans="1:15" s="243" customFormat="1" ht="15" hidden="1" customHeight="1">
      <c r="A74" s="222">
        <v>44481</v>
      </c>
      <c r="B74" s="223" t="s">
        <v>180</v>
      </c>
      <c r="C74" s="223" t="s">
        <v>80</v>
      </c>
      <c r="D74" s="223"/>
      <c r="E74" s="224"/>
      <c r="F74" s="224">
        <v>10000</v>
      </c>
      <c r="G74" s="224">
        <f t="shared" si="1"/>
        <v>17606287</v>
      </c>
      <c r="H74" s="223" t="s">
        <v>27</v>
      </c>
      <c r="I74" s="252"/>
      <c r="J74" s="226"/>
      <c r="K74" s="228"/>
      <c r="L74" s="221"/>
      <c r="M74" s="230"/>
      <c r="N74" s="226"/>
      <c r="O74" s="221"/>
    </row>
    <row r="75" spans="1:15" s="243" customFormat="1" ht="15" customHeight="1">
      <c r="A75" s="222">
        <v>44481</v>
      </c>
      <c r="B75" s="223" t="s">
        <v>233</v>
      </c>
      <c r="C75" s="223" t="s">
        <v>2</v>
      </c>
      <c r="D75" s="223" t="s">
        <v>4</v>
      </c>
      <c r="E75" s="224"/>
      <c r="F75" s="224">
        <v>185954</v>
      </c>
      <c r="G75" s="224">
        <f t="shared" si="1"/>
        <v>17420333</v>
      </c>
      <c r="H75" s="247" t="s">
        <v>170</v>
      </c>
      <c r="I75" s="238">
        <v>3643539</v>
      </c>
      <c r="J75" s="226" t="s">
        <v>107</v>
      </c>
      <c r="K75" s="228" t="s">
        <v>303</v>
      </c>
      <c r="L75" s="221" t="s">
        <v>161</v>
      </c>
      <c r="M75" s="238" t="s">
        <v>370</v>
      </c>
      <c r="N75" s="226" t="s">
        <v>315</v>
      </c>
      <c r="O75" s="221"/>
    </row>
    <row r="76" spans="1:15" s="243" customFormat="1" ht="15" customHeight="1">
      <c r="A76" s="222">
        <v>44481</v>
      </c>
      <c r="B76" s="223" t="s">
        <v>234</v>
      </c>
      <c r="C76" s="223" t="s">
        <v>2</v>
      </c>
      <c r="D76" s="223" t="s">
        <v>182</v>
      </c>
      <c r="E76" s="224"/>
      <c r="F76" s="224">
        <v>181665</v>
      </c>
      <c r="G76" s="224">
        <f t="shared" si="1"/>
        <v>17238668</v>
      </c>
      <c r="H76" s="247" t="s">
        <v>170</v>
      </c>
      <c r="I76" s="238">
        <v>3643539</v>
      </c>
      <c r="J76" s="226" t="s">
        <v>107</v>
      </c>
      <c r="K76" s="228" t="s">
        <v>303</v>
      </c>
      <c r="L76" s="221" t="s">
        <v>161</v>
      </c>
      <c r="M76" s="238" t="s">
        <v>371</v>
      </c>
      <c r="N76" s="226" t="s">
        <v>314</v>
      </c>
      <c r="O76" s="221"/>
    </row>
    <row r="77" spans="1:15" s="243" customFormat="1" ht="15" customHeight="1">
      <c r="A77" s="222">
        <v>44481</v>
      </c>
      <c r="B77" s="228" t="s">
        <v>235</v>
      </c>
      <c r="C77" s="223" t="s">
        <v>2</v>
      </c>
      <c r="D77" s="223" t="s">
        <v>4</v>
      </c>
      <c r="E77" s="224"/>
      <c r="F77" s="224">
        <f>52860*3</f>
        <v>158580</v>
      </c>
      <c r="G77" s="224">
        <f t="shared" si="1"/>
        <v>17080088</v>
      </c>
      <c r="H77" s="247" t="s">
        <v>170</v>
      </c>
      <c r="I77" s="238">
        <v>3643539</v>
      </c>
      <c r="J77" s="226" t="s">
        <v>107</v>
      </c>
      <c r="K77" s="228" t="s">
        <v>303</v>
      </c>
      <c r="L77" s="221" t="s">
        <v>161</v>
      </c>
      <c r="M77" s="238" t="s">
        <v>372</v>
      </c>
      <c r="N77" s="226" t="s">
        <v>315</v>
      </c>
      <c r="O77" s="221"/>
    </row>
    <row r="78" spans="1:15" s="243" customFormat="1" ht="15" customHeight="1">
      <c r="A78" s="222">
        <v>44481</v>
      </c>
      <c r="B78" s="223" t="s">
        <v>236</v>
      </c>
      <c r="C78" s="223" t="s">
        <v>2</v>
      </c>
      <c r="D78" s="223" t="s">
        <v>182</v>
      </c>
      <c r="E78" s="224"/>
      <c r="F78" s="224">
        <v>217121</v>
      </c>
      <c r="G78" s="224">
        <f t="shared" si="1"/>
        <v>16862967</v>
      </c>
      <c r="H78" s="247" t="s">
        <v>170</v>
      </c>
      <c r="I78" s="238">
        <v>3643539</v>
      </c>
      <c r="J78" s="226" t="s">
        <v>107</v>
      </c>
      <c r="K78" s="228" t="s">
        <v>303</v>
      </c>
      <c r="L78" s="221" t="s">
        <v>161</v>
      </c>
      <c r="M78" s="238" t="s">
        <v>373</v>
      </c>
      <c r="N78" s="226" t="s">
        <v>314</v>
      </c>
      <c r="O78" s="221"/>
    </row>
    <row r="79" spans="1:15" s="243" customFormat="1" ht="15" customHeight="1">
      <c r="A79" s="222">
        <v>44481</v>
      </c>
      <c r="B79" s="245" t="s">
        <v>237</v>
      </c>
      <c r="C79" s="223" t="s">
        <v>2</v>
      </c>
      <c r="D79" s="223" t="s">
        <v>250</v>
      </c>
      <c r="E79" s="224"/>
      <c r="F79" s="224">
        <v>131527</v>
      </c>
      <c r="G79" s="224">
        <f t="shared" si="1"/>
        <v>16731440</v>
      </c>
      <c r="H79" s="247" t="s">
        <v>170</v>
      </c>
      <c r="I79" s="238">
        <v>3643539</v>
      </c>
      <c r="J79" s="226" t="s">
        <v>107</v>
      </c>
      <c r="K79" s="228" t="s">
        <v>303</v>
      </c>
      <c r="L79" s="221" t="s">
        <v>161</v>
      </c>
      <c r="M79" s="238" t="s">
        <v>374</v>
      </c>
      <c r="N79" s="226" t="s">
        <v>316</v>
      </c>
      <c r="O79" s="228"/>
    </row>
    <row r="80" spans="1:15" s="243" customFormat="1" ht="15" customHeight="1">
      <c r="A80" s="222">
        <v>44481</v>
      </c>
      <c r="B80" s="223" t="s">
        <v>238</v>
      </c>
      <c r="C80" s="223" t="s">
        <v>2</v>
      </c>
      <c r="D80" s="223" t="s">
        <v>6</v>
      </c>
      <c r="E80" s="224"/>
      <c r="F80" s="224">
        <v>77350</v>
      </c>
      <c r="G80" s="224">
        <f t="shared" ref="G80:G143" si="2">+G79+E80-F80</f>
        <v>16654090</v>
      </c>
      <c r="H80" s="247" t="s">
        <v>170</v>
      </c>
      <c r="I80" s="238">
        <v>3643539</v>
      </c>
      <c r="J80" s="226" t="s">
        <v>107</v>
      </c>
      <c r="K80" s="228" t="s">
        <v>303</v>
      </c>
      <c r="L80" s="221" t="s">
        <v>161</v>
      </c>
      <c r="M80" s="238" t="s">
        <v>375</v>
      </c>
      <c r="N80" s="226" t="s">
        <v>317</v>
      </c>
      <c r="O80" s="221"/>
    </row>
    <row r="81" spans="1:15" s="243" customFormat="1" ht="15" customHeight="1">
      <c r="A81" s="222">
        <v>44481</v>
      </c>
      <c r="B81" s="228" t="s">
        <v>239</v>
      </c>
      <c r="C81" s="223" t="s">
        <v>2</v>
      </c>
      <c r="D81" s="223" t="s">
        <v>4</v>
      </c>
      <c r="E81" s="224"/>
      <c r="F81" s="224">
        <v>11250</v>
      </c>
      <c r="G81" s="224">
        <f t="shared" si="2"/>
        <v>16642840</v>
      </c>
      <c r="H81" s="247" t="s">
        <v>170</v>
      </c>
      <c r="I81" s="238">
        <v>3643539</v>
      </c>
      <c r="J81" s="227" t="s">
        <v>338</v>
      </c>
      <c r="K81" s="228" t="s">
        <v>302</v>
      </c>
      <c r="L81" s="221" t="s">
        <v>161</v>
      </c>
      <c r="M81" s="230"/>
      <c r="N81" s="226"/>
      <c r="O81" s="221"/>
    </row>
    <row r="82" spans="1:15" s="243" customFormat="1" ht="15" customHeight="1">
      <c r="A82" s="222">
        <v>44481</v>
      </c>
      <c r="B82" s="223" t="s">
        <v>240</v>
      </c>
      <c r="C82" s="223" t="s">
        <v>3</v>
      </c>
      <c r="D82" s="223" t="s">
        <v>188</v>
      </c>
      <c r="E82" s="224"/>
      <c r="F82" s="224">
        <v>500000</v>
      </c>
      <c r="G82" s="224">
        <f t="shared" si="2"/>
        <v>16142840</v>
      </c>
      <c r="H82" s="247" t="s">
        <v>170</v>
      </c>
      <c r="I82" s="238">
        <v>3643540</v>
      </c>
      <c r="J82" s="227" t="s">
        <v>107</v>
      </c>
      <c r="K82" s="228" t="s">
        <v>303</v>
      </c>
      <c r="L82" s="221" t="s">
        <v>161</v>
      </c>
      <c r="M82" s="238" t="s">
        <v>376</v>
      </c>
      <c r="N82" s="226" t="s">
        <v>319</v>
      </c>
      <c r="O82" s="221"/>
    </row>
    <row r="83" spans="1:15" s="243" customFormat="1" ht="15" hidden="1" customHeight="1">
      <c r="A83" s="222">
        <v>44481</v>
      </c>
      <c r="B83" s="228" t="s">
        <v>258</v>
      </c>
      <c r="C83" s="223" t="s">
        <v>80</v>
      </c>
      <c r="D83" s="223"/>
      <c r="E83" s="224">
        <v>10000</v>
      </c>
      <c r="F83" s="224"/>
      <c r="G83" s="224">
        <f t="shared" si="2"/>
        <v>16152840</v>
      </c>
      <c r="H83" s="223" t="s">
        <v>98</v>
      </c>
      <c r="I83" s="245"/>
      <c r="J83" s="241"/>
      <c r="K83" s="228"/>
      <c r="L83" s="221"/>
      <c r="M83" s="230"/>
      <c r="N83" s="226"/>
      <c r="O83" s="221"/>
    </row>
    <row r="84" spans="1:15" s="243" customFormat="1" ht="15" hidden="1" customHeight="1">
      <c r="A84" s="222">
        <v>44481</v>
      </c>
      <c r="B84" s="223" t="s">
        <v>261</v>
      </c>
      <c r="C84" s="223" t="s">
        <v>80</v>
      </c>
      <c r="D84" s="224"/>
      <c r="E84" s="224">
        <v>10000</v>
      </c>
      <c r="F84" s="227"/>
      <c r="G84" s="224">
        <f t="shared" si="2"/>
        <v>16162840</v>
      </c>
      <c r="H84" s="223" t="s">
        <v>33</v>
      </c>
      <c r="I84" s="245"/>
      <c r="J84" s="241"/>
      <c r="K84" s="228"/>
      <c r="L84" s="221"/>
      <c r="M84" s="226"/>
      <c r="N84" s="226"/>
      <c r="O84" s="221"/>
    </row>
    <row r="85" spans="1:15" s="243" customFormat="1" ht="15" customHeight="1">
      <c r="A85" s="222">
        <v>44481</v>
      </c>
      <c r="B85" s="223" t="s">
        <v>266</v>
      </c>
      <c r="C85" s="223" t="s">
        <v>169</v>
      </c>
      <c r="D85" s="223" t="s">
        <v>6</v>
      </c>
      <c r="E85" s="224"/>
      <c r="F85" s="224">
        <v>30000</v>
      </c>
      <c r="G85" s="224">
        <f t="shared" si="2"/>
        <v>16132840</v>
      </c>
      <c r="H85" s="223" t="s">
        <v>53</v>
      </c>
      <c r="I85" s="252" t="s">
        <v>207</v>
      </c>
      <c r="J85" s="226" t="s">
        <v>107</v>
      </c>
      <c r="K85" s="228" t="s">
        <v>303</v>
      </c>
      <c r="L85" s="221" t="s">
        <v>161</v>
      </c>
      <c r="M85" s="238" t="s">
        <v>377</v>
      </c>
      <c r="N85" s="226" t="s">
        <v>329</v>
      </c>
      <c r="O85" s="221"/>
    </row>
    <row r="86" spans="1:15" s="243" customFormat="1" ht="15" hidden="1" customHeight="1">
      <c r="A86" s="202">
        <v>44481</v>
      </c>
      <c r="B86" s="209" t="s">
        <v>276</v>
      </c>
      <c r="C86" s="223" t="s">
        <v>80</v>
      </c>
      <c r="D86" s="212"/>
      <c r="E86" s="204">
        <v>86000</v>
      </c>
      <c r="F86" s="204"/>
      <c r="G86" s="224">
        <f t="shared" si="2"/>
        <v>16218840</v>
      </c>
      <c r="H86" s="208" t="s">
        <v>31</v>
      </c>
      <c r="I86" s="252"/>
      <c r="J86" s="210"/>
      <c r="K86" s="209"/>
      <c r="L86" s="203"/>
      <c r="M86" s="210"/>
      <c r="N86" s="210"/>
      <c r="O86" s="203"/>
    </row>
    <row r="87" spans="1:15" s="243" customFormat="1" ht="15" hidden="1" customHeight="1">
      <c r="A87" s="202">
        <v>44481</v>
      </c>
      <c r="B87" s="209" t="s">
        <v>285</v>
      </c>
      <c r="C87" s="223" t="s">
        <v>80</v>
      </c>
      <c r="D87" s="203"/>
      <c r="E87" s="204">
        <v>10000</v>
      </c>
      <c r="F87" s="204"/>
      <c r="G87" s="224">
        <f t="shared" si="2"/>
        <v>16228840</v>
      </c>
      <c r="H87" s="209" t="s">
        <v>163</v>
      </c>
      <c r="I87" s="251"/>
      <c r="J87" s="227"/>
      <c r="K87" s="228"/>
      <c r="L87" s="203"/>
      <c r="M87" s="203"/>
      <c r="N87" s="210"/>
      <c r="O87" s="203"/>
    </row>
    <row r="88" spans="1:15" s="243" customFormat="1" ht="15" hidden="1" customHeight="1">
      <c r="A88" s="202">
        <v>44481</v>
      </c>
      <c r="B88" s="208" t="s">
        <v>289</v>
      </c>
      <c r="C88" s="223" t="s">
        <v>80</v>
      </c>
      <c r="D88" s="212"/>
      <c r="E88" s="204">
        <v>10000</v>
      </c>
      <c r="F88" s="204"/>
      <c r="G88" s="224">
        <f t="shared" si="2"/>
        <v>16238840</v>
      </c>
      <c r="H88" s="208" t="s">
        <v>168</v>
      </c>
      <c r="I88" s="251"/>
      <c r="J88" s="227"/>
      <c r="K88" s="228"/>
      <c r="L88" s="203"/>
      <c r="M88" s="203"/>
      <c r="N88" s="210"/>
      <c r="O88" s="203"/>
    </row>
    <row r="89" spans="1:15" s="243" customFormat="1" ht="15" hidden="1" customHeight="1">
      <c r="A89" s="202">
        <v>44481</v>
      </c>
      <c r="B89" s="208" t="s">
        <v>255</v>
      </c>
      <c r="C89" s="223" t="s">
        <v>80</v>
      </c>
      <c r="D89" s="208"/>
      <c r="E89" s="204">
        <v>10000</v>
      </c>
      <c r="F89" s="204"/>
      <c r="G89" s="224">
        <f t="shared" si="2"/>
        <v>16248840</v>
      </c>
      <c r="H89" s="208" t="s">
        <v>179</v>
      </c>
      <c r="I89" s="251"/>
      <c r="J89" s="227"/>
      <c r="K89" s="228"/>
      <c r="L89" s="203"/>
      <c r="M89" s="210"/>
      <c r="N89" s="210"/>
      <c r="O89" s="203"/>
    </row>
    <row r="90" spans="1:15" s="243" customFormat="1" ht="15" hidden="1" customHeight="1">
      <c r="A90" s="202">
        <v>44481</v>
      </c>
      <c r="B90" s="208" t="s">
        <v>255</v>
      </c>
      <c r="C90" s="223" t="s">
        <v>80</v>
      </c>
      <c r="D90" s="208"/>
      <c r="E90" s="204">
        <v>5000</v>
      </c>
      <c r="F90" s="204"/>
      <c r="G90" s="224">
        <f t="shared" si="2"/>
        <v>16253840</v>
      </c>
      <c r="H90" s="208" t="s">
        <v>179</v>
      </c>
      <c r="I90" s="251"/>
      <c r="J90" s="227"/>
      <c r="K90" s="228"/>
      <c r="L90" s="203"/>
      <c r="M90" s="203"/>
      <c r="N90" s="210"/>
      <c r="O90" s="203"/>
    </row>
    <row r="91" spans="1:15" s="243" customFormat="1" ht="15" customHeight="1">
      <c r="A91" s="222">
        <v>44482</v>
      </c>
      <c r="B91" s="228" t="s">
        <v>195</v>
      </c>
      <c r="C91" s="208" t="s">
        <v>37</v>
      </c>
      <c r="D91" s="223" t="s">
        <v>188</v>
      </c>
      <c r="E91" s="224"/>
      <c r="F91" s="224">
        <v>18000</v>
      </c>
      <c r="G91" s="224">
        <f t="shared" si="2"/>
        <v>16235840</v>
      </c>
      <c r="H91" s="223" t="s">
        <v>27</v>
      </c>
      <c r="I91" s="252" t="s">
        <v>207</v>
      </c>
      <c r="J91" s="227" t="s">
        <v>338</v>
      </c>
      <c r="K91" s="228" t="s">
        <v>302</v>
      </c>
      <c r="L91" s="221" t="s">
        <v>161</v>
      </c>
      <c r="M91" s="230"/>
      <c r="N91" s="226"/>
      <c r="O91" s="221"/>
    </row>
    <row r="92" spans="1:15" s="243" customFormat="1" ht="15" hidden="1" customHeight="1">
      <c r="A92" s="222">
        <v>44482</v>
      </c>
      <c r="B92" s="228" t="s">
        <v>168</v>
      </c>
      <c r="C92" s="223" t="s">
        <v>80</v>
      </c>
      <c r="D92" s="228"/>
      <c r="E92" s="224"/>
      <c r="F92" s="224">
        <v>128000</v>
      </c>
      <c r="G92" s="224">
        <f t="shared" si="2"/>
        <v>16107840</v>
      </c>
      <c r="H92" s="223" t="s">
        <v>27</v>
      </c>
      <c r="I92" s="245"/>
      <c r="J92" s="226"/>
      <c r="K92" s="228"/>
      <c r="L92" s="221"/>
      <c r="M92" s="226"/>
      <c r="N92" s="226"/>
      <c r="O92" s="221"/>
    </row>
    <row r="93" spans="1:15" s="243" customFormat="1" ht="15" customHeight="1">
      <c r="A93" s="222">
        <v>44482</v>
      </c>
      <c r="B93" s="228" t="s">
        <v>196</v>
      </c>
      <c r="C93" s="228" t="s">
        <v>152</v>
      </c>
      <c r="D93" s="235" t="s">
        <v>182</v>
      </c>
      <c r="E93" s="224"/>
      <c r="F93" s="224">
        <v>72000</v>
      </c>
      <c r="G93" s="224">
        <f t="shared" si="2"/>
        <v>16035840</v>
      </c>
      <c r="H93" s="223" t="s">
        <v>27</v>
      </c>
      <c r="I93" s="252" t="s">
        <v>207</v>
      </c>
      <c r="J93" s="227" t="s">
        <v>107</v>
      </c>
      <c r="K93" s="238" t="s">
        <v>303</v>
      </c>
      <c r="L93" s="221" t="s">
        <v>161</v>
      </c>
      <c r="M93" s="238" t="s">
        <v>378</v>
      </c>
      <c r="N93" s="226" t="s">
        <v>310</v>
      </c>
      <c r="O93" s="221"/>
    </row>
    <row r="94" spans="1:15" s="243" customFormat="1" ht="15" customHeight="1">
      <c r="A94" s="222">
        <v>44482</v>
      </c>
      <c r="B94" s="228" t="s">
        <v>450</v>
      </c>
      <c r="C94" s="228" t="s">
        <v>36</v>
      </c>
      <c r="D94" s="223" t="s">
        <v>6</v>
      </c>
      <c r="E94" s="224"/>
      <c r="F94" s="224">
        <v>10000</v>
      </c>
      <c r="G94" s="224">
        <f t="shared" si="2"/>
        <v>16025840</v>
      </c>
      <c r="H94" s="223" t="s">
        <v>31</v>
      </c>
      <c r="I94" s="252" t="s">
        <v>207</v>
      </c>
      <c r="J94" s="241" t="s">
        <v>107</v>
      </c>
      <c r="K94" s="228" t="s">
        <v>303</v>
      </c>
      <c r="L94" s="221" t="s">
        <v>161</v>
      </c>
      <c r="M94" s="238" t="s">
        <v>430</v>
      </c>
      <c r="N94" s="226" t="s">
        <v>324</v>
      </c>
      <c r="O94" s="221"/>
    </row>
    <row r="95" spans="1:15" s="243" customFormat="1" ht="15" customHeight="1">
      <c r="A95" s="202">
        <v>44482</v>
      </c>
      <c r="B95" s="209" t="s">
        <v>278</v>
      </c>
      <c r="C95" s="208" t="s">
        <v>169</v>
      </c>
      <c r="D95" s="223" t="s">
        <v>6</v>
      </c>
      <c r="E95" s="204"/>
      <c r="F95" s="224">
        <v>75000</v>
      </c>
      <c r="G95" s="224">
        <f t="shared" si="2"/>
        <v>15950840</v>
      </c>
      <c r="H95" s="208" t="s">
        <v>31</v>
      </c>
      <c r="I95" s="252" t="s">
        <v>207</v>
      </c>
      <c r="J95" s="226" t="s">
        <v>107</v>
      </c>
      <c r="K95" s="228" t="s">
        <v>303</v>
      </c>
      <c r="L95" s="221" t="s">
        <v>161</v>
      </c>
      <c r="M95" s="238" t="s">
        <v>379</v>
      </c>
      <c r="N95" s="226" t="s">
        <v>329</v>
      </c>
      <c r="O95" s="203"/>
    </row>
    <row r="96" spans="1:15" s="243" customFormat="1" ht="15" hidden="1" customHeight="1">
      <c r="A96" s="202">
        <v>44482</v>
      </c>
      <c r="B96" s="208" t="s">
        <v>258</v>
      </c>
      <c r="C96" s="223" t="s">
        <v>80</v>
      </c>
      <c r="D96" s="208"/>
      <c r="E96" s="204">
        <v>128000</v>
      </c>
      <c r="F96" s="204"/>
      <c r="G96" s="224">
        <f t="shared" si="2"/>
        <v>16078840</v>
      </c>
      <c r="H96" s="208" t="s">
        <v>168</v>
      </c>
      <c r="I96" s="251"/>
      <c r="J96" s="226"/>
      <c r="K96" s="228"/>
      <c r="L96" s="203"/>
      <c r="M96" s="203"/>
      <c r="N96" s="210"/>
      <c r="O96" s="203"/>
    </row>
    <row r="97" spans="1:15" s="243" customFormat="1" ht="15" customHeight="1">
      <c r="A97" s="202">
        <v>44482</v>
      </c>
      <c r="B97" s="208" t="s">
        <v>456</v>
      </c>
      <c r="C97" s="208" t="s">
        <v>36</v>
      </c>
      <c r="D97" s="208" t="s">
        <v>182</v>
      </c>
      <c r="E97" s="204"/>
      <c r="F97" s="224">
        <v>8000</v>
      </c>
      <c r="G97" s="224">
        <f t="shared" si="2"/>
        <v>16070840</v>
      </c>
      <c r="H97" s="209" t="s">
        <v>168</v>
      </c>
      <c r="I97" s="252" t="s">
        <v>207</v>
      </c>
      <c r="J97" s="227" t="s">
        <v>338</v>
      </c>
      <c r="K97" s="228" t="s">
        <v>302</v>
      </c>
      <c r="L97" s="203" t="s">
        <v>161</v>
      </c>
      <c r="M97" s="203"/>
      <c r="N97" s="210"/>
      <c r="O97" s="203"/>
    </row>
    <row r="98" spans="1:15" s="243" customFormat="1" ht="15" customHeight="1">
      <c r="A98" s="222">
        <v>44483</v>
      </c>
      <c r="B98" s="228" t="s">
        <v>197</v>
      </c>
      <c r="C98" s="223" t="s">
        <v>2</v>
      </c>
      <c r="D98" s="223" t="s">
        <v>4</v>
      </c>
      <c r="E98" s="224"/>
      <c r="F98" s="224">
        <v>10500</v>
      </c>
      <c r="G98" s="224">
        <f t="shared" si="2"/>
        <v>16060340</v>
      </c>
      <c r="H98" s="223" t="s">
        <v>27</v>
      </c>
      <c r="I98" s="252" t="s">
        <v>207</v>
      </c>
      <c r="J98" s="227" t="s">
        <v>338</v>
      </c>
      <c r="K98" s="228" t="s">
        <v>302</v>
      </c>
      <c r="L98" s="221" t="s">
        <v>161</v>
      </c>
      <c r="M98" s="230"/>
      <c r="N98" s="226"/>
      <c r="O98" s="221"/>
    </row>
    <row r="99" spans="1:15" s="243" customFormat="1" ht="15" customHeight="1">
      <c r="A99" s="222">
        <v>44483</v>
      </c>
      <c r="B99" s="228" t="s">
        <v>198</v>
      </c>
      <c r="C99" s="223" t="s">
        <v>5</v>
      </c>
      <c r="D99" s="223" t="s">
        <v>188</v>
      </c>
      <c r="E99" s="224"/>
      <c r="F99" s="224">
        <v>12000</v>
      </c>
      <c r="G99" s="224">
        <f t="shared" si="2"/>
        <v>16048340</v>
      </c>
      <c r="H99" s="223" t="s">
        <v>27</v>
      </c>
      <c r="I99" s="252" t="s">
        <v>207</v>
      </c>
      <c r="J99" s="227" t="s">
        <v>338</v>
      </c>
      <c r="K99" s="228" t="s">
        <v>302</v>
      </c>
      <c r="L99" s="221" t="s">
        <v>161</v>
      </c>
      <c r="M99" s="226"/>
      <c r="N99" s="226"/>
      <c r="O99" s="221"/>
    </row>
    <row r="100" spans="1:15" s="243" customFormat="1" ht="15" customHeight="1">
      <c r="A100" s="222">
        <v>44483</v>
      </c>
      <c r="B100" s="228" t="s">
        <v>308</v>
      </c>
      <c r="C100" s="254" t="s">
        <v>226</v>
      </c>
      <c r="D100" s="224"/>
      <c r="E100" s="224">
        <v>5404478</v>
      </c>
      <c r="F100" s="224"/>
      <c r="G100" s="224">
        <f t="shared" si="2"/>
        <v>21452818</v>
      </c>
      <c r="H100" s="247" t="s">
        <v>26</v>
      </c>
      <c r="I100" s="245" t="s">
        <v>229</v>
      </c>
      <c r="J100" s="227" t="s">
        <v>313</v>
      </c>
      <c r="K100" s="228" t="s">
        <v>302</v>
      </c>
      <c r="L100" s="221" t="s">
        <v>161</v>
      </c>
      <c r="M100" s="230"/>
      <c r="N100" s="226"/>
      <c r="O100" s="221"/>
    </row>
    <row r="101" spans="1:15" s="243" customFormat="1" ht="15" customHeight="1">
      <c r="A101" s="202">
        <v>44483</v>
      </c>
      <c r="B101" s="209" t="s">
        <v>451</v>
      </c>
      <c r="C101" s="209" t="s">
        <v>36</v>
      </c>
      <c r="D101" s="223" t="s">
        <v>6</v>
      </c>
      <c r="E101" s="204"/>
      <c r="F101" s="224">
        <v>10000</v>
      </c>
      <c r="G101" s="224">
        <f t="shared" si="2"/>
        <v>21442818</v>
      </c>
      <c r="H101" s="208" t="s">
        <v>31</v>
      </c>
      <c r="I101" s="252" t="s">
        <v>207</v>
      </c>
      <c r="J101" s="241" t="s">
        <v>107</v>
      </c>
      <c r="K101" s="228" t="s">
        <v>303</v>
      </c>
      <c r="L101" s="221" t="s">
        <v>161</v>
      </c>
      <c r="M101" s="238" t="s">
        <v>380</v>
      </c>
      <c r="N101" s="226" t="s">
        <v>324</v>
      </c>
      <c r="O101" s="203"/>
    </row>
    <row r="102" spans="1:15" s="243" customFormat="1" ht="15" customHeight="1">
      <c r="A102" s="202">
        <v>44483</v>
      </c>
      <c r="B102" s="211" t="s">
        <v>291</v>
      </c>
      <c r="C102" s="216" t="s">
        <v>169</v>
      </c>
      <c r="D102" s="208" t="s">
        <v>182</v>
      </c>
      <c r="E102" s="204"/>
      <c r="F102" s="224">
        <v>20000</v>
      </c>
      <c r="G102" s="224">
        <f t="shared" si="2"/>
        <v>21422818</v>
      </c>
      <c r="H102" s="209" t="s">
        <v>168</v>
      </c>
      <c r="I102" s="245" t="s">
        <v>192</v>
      </c>
      <c r="J102" s="227" t="s">
        <v>338</v>
      </c>
      <c r="K102" s="228" t="s">
        <v>302</v>
      </c>
      <c r="L102" s="221" t="s">
        <v>161</v>
      </c>
      <c r="M102" s="3"/>
      <c r="N102" s="210"/>
      <c r="O102" s="203"/>
    </row>
    <row r="103" spans="1:15" s="243" customFormat="1" ht="15" hidden="1" customHeight="1">
      <c r="A103" s="222">
        <v>44484</v>
      </c>
      <c r="B103" s="223" t="s">
        <v>179</v>
      </c>
      <c r="C103" s="223" t="s">
        <v>80</v>
      </c>
      <c r="D103" s="223"/>
      <c r="E103" s="224"/>
      <c r="F103" s="224">
        <v>10000</v>
      </c>
      <c r="G103" s="224">
        <f t="shared" si="2"/>
        <v>21412818</v>
      </c>
      <c r="H103" s="223" t="s">
        <v>27</v>
      </c>
      <c r="I103" s="252"/>
      <c r="J103" s="227"/>
      <c r="K103" s="228"/>
      <c r="L103" s="221"/>
      <c r="M103" s="230"/>
      <c r="N103" s="226"/>
      <c r="O103" s="221"/>
    </row>
    <row r="104" spans="1:15" s="243" customFormat="1" ht="15" hidden="1" customHeight="1">
      <c r="A104" s="222">
        <v>44484</v>
      </c>
      <c r="B104" s="223" t="s">
        <v>180</v>
      </c>
      <c r="C104" s="223" t="s">
        <v>80</v>
      </c>
      <c r="D104" s="235"/>
      <c r="E104" s="224"/>
      <c r="F104" s="224">
        <v>10000</v>
      </c>
      <c r="G104" s="224">
        <f t="shared" si="2"/>
        <v>21402818</v>
      </c>
      <c r="H104" s="223" t="s">
        <v>27</v>
      </c>
      <c r="I104" s="252"/>
      <c r="J104" s="227"/>
      <c r="K104" s="228"/>
      <c r="L104" s="221"/>
      <c r="M104" s="230"/>
      <c r="N104" s="226"/>
      <c r="O104" s="221"/>
    </row>
    <row r="105" spans="1:15" s="243" customFormat="1" ht="15" hidden="1" customHeight="1">
      <c r="A105" s="222">
        <v>44484</v>
      </c>
      <c r="B105" s="228" t="s">
        <v>184</v>
      </c>
      <c r="C105" s="223" t="s">
        <v>80</v>
      </c>
      <c r="D105" s="224"/>
      <c r="E105" s="224"/>
      <c r="F105" s="224">
        <v>10000</v>
      </c>
      <c r="G105" s="224">
        <f t="shared" si="2"/>
        <v>21392818</v>
      </c>
      <c r="H105" s="228" t="s">
        <v>27</v>
      </c>
      <c r="I105" s="252"/>
      <c r="J105" s="241"/>
      <c r="K105" s="228"/>
      <c r="L105" s="221"/>
      <c r="M105" s="230"/>
      <c r="N105" s="226"/>
      <c r="O105" s="221"/>
    </row>
    <row r="106" spans="1:15" s="243" customFormat="1" ht="15" hidden="1" customHeight="1">
      <c r="A106" s="222">
        <v>44484</v>
      </c>
      <c r="B106" s="223" t="s">
        <v>258</v>
      </c>
      <c r="C106" s="223" t="s">
        <v>80</v>
      </c>
      <c r="D106" s="223"/>
      <c r="E106" s="224">
        <v>10000</v>
      </c>
      <c r="F106" s="224"/>
      <c r="G106" s="224">
        <f t="shared" si="2"/>
        <v>21402818</v>
      </c>
      <c r="H106" s="223" t="s">
        <v>53</v>
      </c>
      <c r="I106" s="238"/>
      <c r="J106" s="241"/>
      <c r="K106" s="228"/>
      <c r="L106" s="221"/>
      <c r="M106" s="230"/>
      <c r="N106" s="226"/>
      <c r="O106" s="228"/>
    </row>
    <row r="107" spans="1:15" s="243" customFormat="1" ht="15" hidden="1" customHeight="1">
      <c r="A107" s="202">
        <v>44484</v>
      </c>
      <c r="B107" s="209" t="s">
        <v>255</v>
      </c>
      <c r="C107" s="223" t="s">
        <v>80</v>
      </c>
      <c r="D107" s="203"/>
      <c r="E107" s="204">
        <v>10000</v>
      </c>
      <c r="F107" s="204"/>
      <c r="G107" s="224">
        <f t="shared" si="2"/>
        <v>21412818</v>
      </c>
      <c r="H107" s="209" t="s">
        <v>163</v>
      </c>
      <c r="I107" s="251"/>
      <c r="J107" s="227"/>
      <c r="K107" s="228"/>
      <c r="L107" s="203"/>
      <c r="M107" s="210"/>
      <c r="N107" s="210"/>
      <c r="O107" s="203"/>
    </row>
    <row r="108" spans="1:15" s="243" customFormat="1" ht="15" customHeight="1">
      <c r="A108" s="202">
        <v>44484</v>
      </c>
      <c r="B108" s="209" t="s">
        <v>280</v>
      </c>
      <c r="C108" s="208" t="s">
        <v>169</v>
      </c>
      <c r="D108" s="223" t="s">
        <v>6</v>
      </c>
      <c r="E108" s="204"/>
      <c r="F108" s="224">
        <v>30000</v>
      </c>
      <c r="G108" s="224">
        <f t="shared" si="2"/>
        <v>21382818</v>
      </c>
      <c r="H108" s="208" t="s">
        <v>31</v>
      </c>
      <c r="I108" s="252" t="s">
        <v>207</v>
      </c>
      <c r="J108" s="226" t="s">
        <v>107</v>
      </c>
      <c r="K108" s="228" t="s">
        <v>303</v>
      </c>
      <c r="L108" s="221" t="s">
        <v>161</v>
      </c>
      <c r="M108" s="238" t="s">
        <v>381</v>
      </c>
      <c r="N108" s="226" t="s">
        <v>329</v>
      </c>
      <c r="O108" s="203"/>
    </row>
    <row r="109" spans="1:15" s="243" customFormat="1" ht="15" customHeight="1">
      <c r="A109" s="202">
        <v>44484</v>
      </c>
      <c r="B109" s="209" t="s">
        <v>290</v>
      </c>
      <c r="C109" s="209" t="s">
        <v>306</v>
      </c>
      <c r="D109" s="208" t="s">
        <v>182</v>
      </c>
      <c r="E109" s="204"/>
      <c r="F109" s="204">
        <v>25000</v>
      </c>
      <c r="G109" s="224">
        <f t="shared" si="2"/>
        <v>21357818</v>
      </c>
      <c r="H109" s="209" t="s">
        <v>168</v>
      </c>
      <c r="I109" s="252" t="s">
        <v>207</v>
      </c>
      <c r="J109" s="227" t="s">
        <v>338</v>
      </c>
      <c r="K109" s="228" t="s">
        <v>302</v>
      </c>
      <c r="L109" s="203" t="s">
        <v>161</v>
      </c>
      <c r="M109" s="3"/>
      <c r="N109" s="210"/>
      <c r="O109" s="203"/>
    </row>
    <row r="110" spans="1:15" s="243" customFormat="1" ht="15" customHeight="1">
      <c r="A110" s="202">
        <v>44484</v>
      </c>
      <c r="B110" s="209" t="s">
        <v>457</v>
      </c>
      <c r="C110" s="209" t="s">
        <v>36</v>
      </c>
      <c r="D110" s="208" t="s">
        <v>182</v>
      </c>
      <c r="E110" s="204"/>
      <c r="F110" s="224">
        <v>8000</v>
      </c>
      <c r="G110" s="224">
        <f t="shared" si="2"/>
        <v>21349818</v>
      </c>
      <c r="H110" s="209" t="s">
        <v>168</v>
      </c>
      <c r="I110" s="252" t="s">
        <v>207</v>
      </c>
      <c r="J110" s="227" t="s">
        <v>338</v>
      </c>
      <c r="K110" s="228" t="s">
        <v>302</v>
      </c>
      <c r="L110" s="203" t="s">
        <v>161</v>
      </c>
      <c r="M110" s="3"/>
      <c r="N110" s="210"/>
      <c r="O110" s="203"/>
    </row>
    <row r="111" spans="1:15" s="243" customFormat="1" ht="15" customHeight="1">
      <c r="A111" s="202">
        <v>44485</v>
      </c>
      <c r="B111" s="211" t="s">
        <v>292</v>
      </c>
      <c r="C111" s="216" t="s">
        <v>169</v>
      </c>
      <c r="D111" s="208" t="s">
        <v>182</v>
      </c>
      <c r="E111" s="204"/>
      <c r="F111" s="224">
        <v>30000</v>
      </c>
      <c r="G111" s="224">
        <f t="shared" si="2"/>
        <v>21319818</v>
      </c>
      <c r="H111" s="209" t="s">
        <v>168</v>
      </c>
      <c r="I111" s="252" t="s">
        <v>207</v>
      </c>
      <c r="J111" s="227" t="s">
        <v>338</v>
      </c>
      <c r="K111" s="228" t="s">
        <v>302</v>
      </c>
      <c r="L111" s="221" t="s">
        <v>161</v>
      </c>
      <c r="M111" s="3"/>
      <c r="N111" s="210"/>
      <c r="O111" s="203"/>
    </row>
    <row r="112" spans="1:15" s="243" customFormat="1" ht="15" customHeight="1">
      <c r="A112" s="202">
        <v>44494</v>
      </c>
      <c r="B112" s="211" t="s">
        <v>294</v>
      </c>
      <c r="C112" s="216" t="s">
        <v>169</v>
      </c>
      <c r="D112" s="208" t="s">
        <v>182</v>
      </c>
      <c r="E112" s="204"/>
      <c r="F112" s="224">
        <v>13000</v>
      </c>
      <c r="G112" s="224">
        <f t="shared" si="2"/>
        <v>21306818</v>
      </c>
      <c r="H112" s="209" t="s">
        <v>168</v>
      </c>
      <c r="I112" s="252" t="s">
        <v>207</v>
      </c>
      <c r="J112" s="227" t="s">
        <v>338</v>
      </c>
      <c r="K112" s="228" t="s">
        <v>302</v>
      </c>
      <c r="L112" s="221" t="s">
        <v>161</v>
      </c>
      <c r="M112" s="3"/>
      <c r="N112" s="210"/>
      <c r="O112" s="203"/>
    </row>
    <row r="113" spans="1:15" s="243" customFormat="1" ht="15" hidden="1" customHeight="1">
      <c r="A113" s="202">
        <v>44484</v>
      </c>
      <c r="B113" s="208" t="s">
        <v>255</v>
      </c>
      <c r="C113" s="223" t="s">
        <v>80</v>
      </c>
      <c r="D113" s="208"/>
      <c r="E113" s="204">
        <v>10000</v>
      </c>
      <c r="F113" s="204"/>
      <c r="G113" s="224">
        <f t="shared" si="2"/>
        <v>21316818</v>
      </c>
      <c r="H113" s="208" t="s">
        <v>179</v>
      </c>
      <c r="I113" s="251"/>
      <c r="J113" s="227"/>
      <c r="K113" s="228"/>
      <c r="L113" s="203"/>
      <c r="M113" s="203"/>
      <c r="N113" s="210"/>
      <c r="O113" s="203"/>
    </row>
    <row r="114" spans="1:15" s="243" customFormat="1" ht="15" customHeight="1">
      <c r="A114" s="202">
        <v>44494</v>
      </c>
      <c r="B114" s="211" t="s">
        <v>295</v>
      </c>
      <c r="C114" s="208" t="s">
        <v>36</v>
      </c>
      <c r="D114" s="208" t="s">
        <v>182</v>
      </c>
      <c r="E114" s="204"/>
      <c r="F114" s="224">
        <v>40800</v>
      </c>
      <c r="G114" s="224">
        <f t="shared" si="2"/>
        <v>21276018</v>
      </c>
      <c r="H114" s="209" t="s">
        <v>168</v>
      </c>
      <c r="I114" s="245" t="s">
        <v>192</v>
      </c>
      <c r="J114" s="227" t="s">
        <v>338</v>
      </c>
      <c r="K114" s="228" t="s">
        <v>302</v>
      </c>
      <c r="L114" s="203" t="s">
        <v>161</v>
      </c>
      <c r="M114" s="3"/>
      <c r="N114" s="210"/>
      <c r="O114" s="203"/>
    </row>
    <row r="115" spans="1:15" s="243" customFormat="1" ht="15" customHeight="1">
      <c r="A115" s="222">
        <v>44487</v>
      </c>
      <c r="B115" s="228" t="s">
        <v>199</v>
      </c>
      <c r="C115" s="223" t="s">
        <v>321</v>
      </c>
      <c r="D115" s="208" t="s">
        <v>182</v>
      </c>
      <c r="E115" s="224"/>
      <c r="F115" s="224">
        <v>5000</v>
      </c>
      <c r="G115" s="224">
        <f t="shared" si="2"/>
        <v>21271018</v>
      </c>
      <c r="H115" s="228" t="s">
        <v>27</v>
      </c>
      <c r="I115" s="252" t="s">
        <v>207</v>
      </c>
      <c r="J115" s="226" t="s">
        <v>107</v>
      </c>
      <c r="K115" s="228" t="s">
        <v>303</v>
      </c>
      <c r="L115" s="221" t="s">
        <v>161</v>
      </c>
      <c r="M115" s="238" t="s">
        <v>382</v>
      </c>
      <c r="N115" s="226" t="s">
        <v>322</v>
      </c>
      <c r="O115" s="221"/>
    </row>
    <row r="116" spans="1:15" s="243" customFormat="1" ht="15" customHeight="1">
      <c r="A116" s="222">
        <v>44487</v>
      </c>
      <c r="B116" s="228" t="s">
        <v>200</v>
      </c>
      <c r="C116" s="223" t="s">
        <v>321</v>
      </c>
      <c r="D116" s="208" t="s">
        <v>182</v>
      </c>
      <c r="E116" s="224"/>
      <c r="F116" s="224">
        <v>30000</v>
      </c>
      <c r="G116" s="224">
        <f t="shared" si="2"/>
        <v>21241018</v>
      </c>
      <c r="H116" s="228" t="s">
        <v>27</v>
      </c>
      <c r="I116" s="252" t="s">
        <v>207</v>
      </c>
      <c r="J116" s="227" t="s">
        <v>338</v>
      </c>
      <c r="K116" s="228" t="s">
        <v>302</v>
      </c>
      <c r="L116" s="221" t="s">
        <v>161</v>
      </c>
      <c r="M116" s="230"/>
      <c r="N116" s="226"/>
      <c r="O116" s="221"/>
    </row>
    <row r="117" spans="1:15" s="243" customFormat="1" ht="15" customHeight="1">
      <c r="A117" s="222">
        <v>44487</v>
      </c>
      <c r="B117" s="228" t="s">
        <v>201</v>
      </c>
      <c r="C117" s="223" t="s">
        <v>321</v>
      </c>
      <c r="D117" s="223" t="s">
        <v>6</v>
      </c>
      <c r="E117" s="224"/>
      <c r="F117" s="224">
        <v>25000</v>
      </c>
      <c r="G117" s="224">
        <f t="shared" si="2"/>
        <v>21216018</v>
      </c>
      <c r="H117" s="228" t="s">
        <v>27</v>
      </c>
      <c r="I117" s="252" t="s">
        <v>207</v>
      </c>
      <c r="J117" s="226" t="s">
        <v>107</v>
      </c>
      <c r="K117" s="228" t="s">
        <v>303</v>
      </c>
      <c r="L117" s="221" t="s">
        <v>161</v>
      </c>
      <c r="M117" s="238" t="s">
        <v>383</v>
      </c>
      <c r="N117" s="226" t="s">
        <v>322</v>
      </c>
      <c r="O117" s="221"/>
    </row>
    <row r="118" spans="1:15" s="243" customFormat="1" ht="15" customHeight="1">
      <c r="A118" s="222">
        <v>44487</v>
      </c>
      <c r="B118" s="223" t="s">
        <v>202</v>
      </c>
      <c r="C118" s="223" t="s">
        <v>321</v>
      </c>
      <c r="D118" s="223" t="s">
        <v>250</v>
      </c>
      <c r="E118" s="224"/>
      <c r="F118" s="224">
        <v>10000</v>
      </c>
      <c r="G118" s="224">
        <f t="shared" si="2"/>
        <v>21206018</v>
      </c>
      <c r="H118" s="228" t="s">
        <v>27</v>
      </c>
      <c r="I118" s="252" t="s">
        <v>207</v>
      </c>
      <c r="J118" s="226" t="s">
        <v>107</v>
      </c>
      <c r="K118" s="228" t="s">
        <v>303</v>
      </c>
      <c r="L118" s="221" t="s">
        <v>161</v>
      </c>
      <c r="M118" s="238" t="s">
        <v>384</v>
      </c>
      <c r="N118" s="226" t="s">
        <v>322</v>
      </c>
      <c r="O118" s="221"/>
    </row>
    <row r="119" spans="1:15" s="243" customFormat="1" ht="15" customHeight="1">
      <c r="A119" s="222">
        <v>44487</v>
      </c>
      <c r="B119" s="223" t="s">
        <v>203</v>
      </c>
      <c r="C119" s="223" t="s">
        <v>321</v>
      </c>
      <c r="D119" s="223" t="s">
        <v>4</v>
      </c>
      <c r="E119" s="224"/>
      <c r="F119" s="224">
        <v>15000</v>
      </c>
      <c r="G119" s="224">
        <f t="shared" si="2"/>
        <v>21191018</v>
      </c>
      <c r="H119" s="223" t="s">
        <v>27</v>
      </c>
      <c r="I119" s="252" t="s">
        <v>207</v>
      </c>
      <c r="J119" s="226" t="s">
        <v>107</v>
      </c>
      <c r="K119" s="228" t="s">
        <v>303</v>
      </c>
      <c r="L119" s="221" t="s">
        <v>161</v>
      </c>
      <c r="M119" s="238" t="s">
        <v>385</v>
      </c>
      <c r="N119" s="226" t="s">
        <v>322</v>
      </c>
      <c r="O119" s="221"/>
    </row>
    <row r="120" spans="1:15" s="243" customFormat="1" ht="15" customHeight="1">
      <c r="A120" s="222">
        <v>44487</v>
      </c>
      <c r="B120" s="245" t="s">
        <v>204</v>
      </c>
      <c r="C120" s="223" t="s">
        <v>321</v>
      </c>
      <c r="D120" s="208" t="s">
        <v>182</v>
      </c>
      <c r="E120" s="224"/>
      <c r="F120" s="224">
        <v>5000</v>
      </c>
      <c r="G120" s="224">
        <f t="shared" si="2"/>
        <v>21186018</v>
      </c>
      <c r="H120" s="223" t="s">
        <v>27</v>
      </c>
      <c r="I120" s="252" t="s">
        <v>207</v>
      </c>
      <c r="J120" s="226" t="s">
        <v>107</v>
      </c>
      <c r="K120" s="228" t="s">
        <v>303</v>
      </c>
      <c r="L120" s="221" t="s">
        <v>161</v>
      </c>
      <c r="M120" s="238" t="s">
        <v>386</v>
      </c>
      <c r="N120" s="226" t="s">
        <v>322</v>
      </c>
      <c r="O120" s="221"/>
    </row>
    <row r="121" spans="1:15" s="243" customFormat="1" ht="15" customHeight="1">
      <c r="A121" s="222">
        <v>44487</v>
      </c>
      <c r="B121" s="223" t="s">
        <v>205</v>
      </c>
      <c r="C121" s="223" t="s">
        <v>321</v>
      </c>
      <c r="D121" s="223" t="s">
        <v>6</v>
      </c>
      <c r="E121" s="224"/>
      <c r="F121" s="224">
        <v>5000</v>
      </c>
      <c r="G121" s="224">
        <f t="shared" si="2"/>
        <v>21181018</v>
      </c>
      <c r="H121" s="223" t="s">
        <v>27</v>
      </c>
      <c r="I121" s="252" t="s">
        <v>207</v>
      </c>
      <c r="J121" s="226" t="s">
        <v>107</v>
      </c>
      <c r="K121" s="228" t="s">
        <v>303</v>
      </c>
      <c r="L121" s="221" t="s">
        <v>161</v>
      </c>
      <c r="M121" s="238" t="s">
        <v>387</v>
      </c>
      <c r="N121" s="226" t="s">
        <v>322</v>
      </c>
      <c r="O121" s="221"/>
    </row>
    <row r="122" spans="1:15" s="243" customFormat="1" ht="15" customHeight="1">
      <c r="A122" s="222">
        <v>44487</v>
      </c>
      <c r="B122" s="223" t="s">
        <v>206</v>
      </c>
      <c r="C122" s="223" t="s">
        <v>321</v>
      </c>
      <c r="D122" s="223" t="s">
        <v>4</v>
      </c>
      <c r="E122" s="224"/>
      <c r="F122" s="224">
        <v>5000</v>
      </c>
      <c r="G122" s="224">
        <f t="shared" si="2"/>
        <v>21176018</v>
      </c>
      <c r="H122" s="223" t="s">
        <v>27</v>
      </c>
      <c r="I122" s="252" t="s">
        <v>207</v>
      </c>
      <c r="J122" s="226" t="s">
        <v>107</v>
      </c>
      <c r="K122" s="228" t="s">
        <v>303</v>
      </c>
      <c r="L122" s="221" t="s">
        <v>161</v>
      </c>
      <c r="M122" s="238" t="s">
        <v>388</v>
      </c>
      <c r="N122" s="226" t="s">
        <v>322</v>
      </c>
      <c r="O122" s="221"/>
    </row>
    <row r="123" spans="1:15" s="243" customFormat="1" ht="15" customHeight="1">
      <c r="A123" s="222">
        <v>44487</v>
      </c>
      <c r="B123" s="223" t="s">
        <v>241</v>
      </c>
      <c r="C123" s="255" t="s">
        <v>226</v>
      </c>
      <c r="D123" s="224"/>
      <c r="E123" s="224">
        <v>17232646</v>
      </c>
      <c r="F123" s="224"/>
      <c r="G123" s="224">
        <f t="shared" si="2"/>
        <v>38408664</v>
      </c>
      <c r="H123" s="247" t="s">
        <v>170</v>
      </c>
      <c r="I123" s="245" t="s">
        <v>229</v>
      </c>
      <c r="J123" s="241" t="s">
        <v>107</v>
      </c>
      <c r="K123" s="228" t="s">
        <v>303</v>
      </c>
      <c r="L123" s="221" t="s">
        <v>161</v>
      </c>
      <c r="M123" s="230"/>
      <c r="N123" s="226"/>
      <c r="O123" s="221"/>
    </row>
    <row r="124" spans="1:15" s="243" customFormat="1" ht="15" hidden="1" customHeight="1">
      <c r="A124" s="222">
        <v>44487</v>
      </c>
      <c r="B124" s="228" t="s">
        <v>242</v>
      </c>
      <c r="C124" s="223" t="s">
        <v>80</v>
      </c>
      <c r="D124" s="223"/>
      <c r="E124" s="224"/>
      <c r="F124" s="224">
        <v>1000000</v>
      </c>
      <c r="G124" s="224">
        <f t="shared" si="2"/>
        <v>37408664</v>
      </c>
      <c r="H124" s="247" t="s">
        <v>170</v>
      </c>
      <c r="I124" s="238">
        <v>3643541</v>
      </c>
      <c r="J124" s="227"/>
      <c r="K124" s="228"/>
      <c r="L124" s="221"/>
      <c r="M124" s="230"/>
      <c r="N124" s="226"/>
      <c r="O124" s="221"/>
    </row>
    <row r="125" spans="1:15" s="243" customFormat="1" ht="15" customHeight="1">
      <c r="A125" s="222">
        <v>44488</v>
      </c>
      <c r="B125" s="223" t="s">
        <v>348</v>
      </c>
      <c r="C125" s="223" t="s">
        <v>321</v>
      </c>
      <c r="D125" s="223" t="s">
        <v>6</v>
      </c>
      <c r="E125" s="224"/>
      <c r="F125" s="224">
        <v>10000</v>
      </c>
      <c r="G125" s="224">
        <f t="shared" si="2"/>
        <v>37398664</v>
      </c>
      <c r="H125" s="223" t="s">
        <v>27</v>
      </c>
      <c r="I125" s="252" t="s">
        <v>207</v>
      </c>
      <c r="J125" s="226" t="s">
        <v>107</v>
      </c>
      <c r="K125" s="228" t="s">
        <v>303</v>
      </c>
      <c r="L125" s="221" t="s">
        <v>161</v>
      </c>
      <c r="M125" s="238" t="s">
        <v>389</v>
      </c>
      <c r="N125" s="226" t="s">
        <v>322</v>
      </c>
      <c r="O125" s="221"/>
    </row>
    <row r="126" spans="1:15" s="243" customFormat="1" ht="15" hidden="1" customHeight="1">
      <c r="A126" s="222">
        <v>44488</v>
      </c>
      <c r="B126" s="223" t="s">
        <v>31</v>
      </c>
      <c r="C126" s="223" t="s">
        <v>80</v>
      </c>
      <c r="D126" s="223"/>
      <c r="E126" s="230"/>
      <c r="F126" s="224">
        <v>10000</v>
      </c>
      <c r="G126" s="224">
        <f t="shared" si="2"/>
        <v>37388664</v>
      </c>
      <c r="H126" s="223" t="s">
        <v>27</v>
      </c>
      <c r="I126" s="252"/>
      <c r="J126" s="241"/>
      <c r="K126" s="228"/>
      <c r="L126" s="221"/>
      <c r="M126" s="230"/>
      <c r="N126" s="226"/>
      <c r="O126" s="221"/>
    </row>
    <row r="127" spans="1:15" s="243" customFormat="1" ht="15" customHeight="1">
      <c r="A127" s="222">
        <v>44488</v>
      </c>
      <c r="B127" s="223" t="s">
        <v>331</v>
      </c>
      <c r="C127" s="208" t="s">
        <v>37</v>
      </c>
      <c r="D127" s="223" t="s">
        <v>188</v>
      </c>
      <c r="E127" s="230"/>
      <c r="F127" s="224">
        <v>120000</v>
      </c>
      <c r="G127" s="224">
        <f t="shared" si="2"/>
        <v>37268664</v>
      </c>
      <c r="H127" s="223" t="s">
        <v>27</v>
      </c>
      <c r="I127" s="252" t="s">
        <v>207</v>
      </c>
      <c r="J127" s="241" t="s">
        <v>107</v>
      </c>
      <c r="K127" s="228" t="s">
        <v>303</v>
      </c>
      <c r="L127" s="221" t="s">
        <v>161</v>
      </c>
      <c r="M127" s="238" t="s">
        <v>390</v>
      </c>
      <c r="N127" s="226" t="s">
        <v>311</v>
      </c>
      <c r="O127" s="221"/>
    </row>
    <row r="128" spans="1:15" s="243" customFormat="1" ht="15" customHeight="1">
      <c r="A128" s="222">
        <v>44488</v>
      </c>
      <c r="B128" s="223" t="s">
        <v>208</v>
      </c>
      <c r="C128" s="208" t="s">
        <v>37</v>
      </c>
      <c r="D128" s="223" t="s">
        <v>188</v>
      </c>
      <c r="E128" s="230"/>
      <c r="F128" s="224">
        <v>16250</v>
      </c>
      <c r="G128" s="224">
        <f t="shared" si="2"/>
        <v>37252414</v>
      </c>
      <c r="H128" s="223" t="s">
        <v>27</v>
      </c>
      <c r="I128" s="252" t="s">
        <v>207</v>
      </c>
      <c r="J128" s="227" t="s">
        <v>338</v>
      </c>
      <c r="K128" s="228" t="s">
        <v>302</v>
      </c>
      <c r="L128" s="221" t="s">
        <v>161</v>
      </c>
      <c r="M128" s="230"/>
      <c r="N128" s="226"/>
      <c r="O128" s="221"/>
    </row>
    <row r="129" spans="1:15" s="243" customFormat="1" ht="15" hidden="1" customHeight="1">
      <c r="A129" s="202">
        <v>44488</v>
      </c>
      <c r="B129" s="208" t="s">
        <v>276</v>
      </c>
      <c r="C129" s="223" t="s">
        <v>80</v>
      </c>
      <c r="D129" s="208"/>
      <c r="E129" s="204">
        <v>10000</v>
      </c>
      <c r="F129" s="204"/>
      <c r="G129" s="224">
        <f t="shared" si="2"/>
        <v>37262414</v>
      </c>
      <c r="H129" s="208" t="s">
        <v>31</v>
      </c>
      <c r="I129" s="251"/>
      <c r="J129" s="210"/>
      <c r="K129" s="209"/>
      <c r="L129" s="203"/>
      <c r="M129" s="3"/>
      <c r="N129" s="210"/>
      <c r="O129" s="203"/>
    </row>
    <row r="130" spans="1:15" s="243" customFormat="1" ht="15" hidden="1" customHeight="1">
      <c r="A130" s="222">
        <v>44489</v>
      </c>
      <c r="B130" s="223" t="s">
        <v>209</v>
      </c>
      <c r="C130" s="223" t="s">
        <v>80</v>
      </c>
      <c r="D130" s="223"/>
      <c r="E130" s="224">
        <v>1000000</v>
      </c>
      <c r="F130" s="227"/>
      <c r="G130" s="224">
        <f t="shared" si="2"/>
        <v>38262414</v>
      </c>
      <c r="H130" s="223" t="s">
        <v>27</v>
      </c>
      <c r="I130" s="245"/>
      <c r="J130" s="241"/>
      <c r="K130" s="228"/>
      <c r="L130" s="221"/>
      <c r="M130" s="226"/>
      <c r="N130" s="226"/>
      <c r="O130" s="221"/>
    </row>
    <row r="131" spans="1:15" s="243" customFormat="1" ht="15" hidden="1" customHeight="1">
      <c r="A131" s="222">
        <v>44489</v>
      </c>
      <c r="B131" s="228" t="s">
        <v>179</v>
      </c>
      <c r="C131" s="223" t="s">
        <v>80</v>
      </c>
      <c r="D131" s="235"/>
      <c r="E131" s="224"/>
      <c r="F131" s="224">
        <v>15000</v>
      </c>
      <c r="G131" s="224">
        <f t="shared" si="2"/>
        <v>38247414</v>
      </c>
      <c r="H131" s="228" t="s">
        <v>27</v>
      </c>
      <c r="I131" s="252"/>
      <c r="J131" s="226"/>
      <c r="K131" s="228"/>
      <c r="L131" s="221"/>
      <c r="M131" s="230"/>
      <c r="N131" s="226"/>
      <c r="O131" s="221"/>
    </row>
    <row r="132" spans="1:15" s="243" customFormat="1" ht="15.75" hidden="1" customHeight="1">
      <c r="A132" s="222">
        <v>44489</v>
      </c>
      <c r="B132" s="228" t="s">
        <v>179</v>
      </c>
      <c r="C132" s="223" t="s">
        <v>80</v>
      </c>
      <c r="D132" s="224"/>
      <c r="E132" s="224"/>
      <c r="F132" s="224">
        <v>85000</v>
      </c>
      <c r="G132" s="224">
        <f t="shared" si="2"/>
        <v>38162414</v>
      </c>
      <c r="H132" s="223" t="s">
        <v>27</v>
      </c>
      <c r="I132" s="252"/>
      <c r="J132" s="241"/>
      <c r="K132" s="228"/>
      <c r="L132" s="221"/>
      <c r="M132" s="230"/>
      <c r="N132" s="226"/>
      <c r="O132" s="221"/>
    </row>
    <row r="133" spans="1:15" s="243" customFormat="1" ht="15" customHeight="1">
      <c r="A133" s="222">
        <v>44489</v>
      </c>
      <c r="B133" s="245" t="s">
        <v>349</v>
      </c>
      <c r="C133" s="228" t="s">
        <v>152</v>
      </c>
      <c r="D133" s="208" t="s">
        <v>182</v>
      </c>
      <c r="E133" s="224"/>
      <c r="F133" s="224">
        <v>76000</v>
      </c>
      <c r="G133" s="224">
        <f t="shared" si="2"/>
        <v>38086414</v>
      </c>
      <c r="H133" s="228" t="s">
        <v>27</v>
      </c>
      <c r="I133" s="252" t="s">
        <v>207</v>
      </c>
      <c r="J133" s="226" t="s">
        <v>107</v>
      </c>
      <c r="K133" s="228" t="s">
        <v>303</v>
      </c>
      <c r="L133" s="221" t="s">
        <v>161</v>
      </c>
      <c r="M133" s="238" t="s">
        <v>391</v>
      </c>
      <c r="N133" s="226" t="s">
        <v>310</v>
      </c>
      <c r="O133" s="221"/>
    </row>
    <row r="134" spans="1:15" s="243" customFormat="1" ht="15" hidden="1" customHeight="1">
      <c r="A134" s="222">
        <v>44489</v>
      </c>
      <c r="B134" s="245" t="s">
        <v>184</v>
      </c>
      <c r="C134" s="223" t="s">
        <v>80</v>
      </c>
      <c r="D134" s="223"/>
      <c r="E134" s="224"/>
      <c r="F134" s="224">
        <v>10000</v>
      </c>
      <c r="G134" s="224">
        <f t="shared" si="2"/>
        <v>38076414</v>
      </c>
      <c r="H134" s="228" t="s">
        <v>27</v>
      </c>
      <c r="I134" s="252"/>
      <c r="J134" s="226"/>
      <c r="K134" s="228"/>
      <c r="L134" s="221"/>
      <c r="M134" s="230"/>
      <c r="N134" s="226"/>
      <c r="O134" s="221"/>
    </row>
    <row r="135" spans="1:15" s="243" customFormat="1" ht="15" hidden="1" customHeight="1">
      <c r="A135" s="222">
        <v>44489</v>
      </c>
      <c r="B135" s="245" t="s">
        <v>184</v>
      </c>
      <c r="C135" s="223" t="s">
        <v>80</v>
      </c>
      <c r="D135" s="223"/>
      <c r="E135" s="224"/>
      <c r="F135" s="224">
        <v>150000</v>
      </c>
      <c r="G135" s="224">
        <f t="shared" si="2"/>
        <v>37926414</v>
      </c>
      <c r="H135" s="228" t="s">
        <v>27</v>
      </c>
      <c r="I135" s="252"/>
      <c r="J135" s="227"/>
      <c r="K135" s="228"/>
      <c r="L135" s="221"/>
      <c r="M135" s="230"/>
      <c r="N135" s="226"/>
      <c r="O135" s="221"/>
    </row>
    <row r="136" spans="1:15" s="243" customFormat="1" ht="15" hidden="1" customHeight="1">
      <c r="A136" s="222">
        <v>44489</v>
      </c>
      <c r="B136" s="223" t="s">
        <v>31</v>
      </c>
      <c r="C136" s="223" t="s">
        <v>80</v>
      </c>
      <c r="D136" s="224"/>
      <c r="E136" s="224"/>
      <c r="F136" s="224">
        <v>150000</v>
      </c>
      <c r="G136" s="224">
        <f t="shared" si="2"/>
        <v>37776414</v>
      </c>
      <c r="H136" s="223" t="s">
        <v>27</v>
      </c>
      <c r="I136" s="252"/>
      <c r="J136" s="226"/>
      <c r="K136" s="228"/>
      <c r="L136" s="221"/>
      <c r="M136" s="230"/>
      <c r="N136" s="226"/>
      <c r="O136" s="221"/>
    </row>
    <row r="137" spans="1:15" s="243" customFormat="1" ht="15" hidden="1" customHeight="1">
      <c r="A137" s="222">
        <v>44489</v>
      </c>
      <c r="B137" s="223" t="s">
        <v>98</v>
      </c>
      <c r="C137" s="223" t="s">
        <v>80</v>
      </c>
      <c r="D137" s="224"/>
      <c r="E137" s="224"/>
      <c r="F137" s="224">
        <v>15000</v>
      </c>
      <c r="G137" s="224">
        <f t="shared" si="2"/>
        <v>37761414</v>
      </c>
      <c r="H137" s="223" t="s">
        <v>27</v>
      </c>
      <c r="I137" s="252"/>
      <c r="J137" s="241"/>
      <c r="K137" s="228"/>
      <c r="L137" s="221"/>
      <c r="M137" s="230"/>
      <c r="N137" s="226"/>
      <c r="O137" s="221"/>
    </row>
    <row r="138" spans="1:15" s="243" customFormat="1" ht="15" customHeight="1">
      <c r="A138" s="222">
        <v>44489</v>
      </c>
      <c r="B138" s="223" t="s">
        <v>243</v>
      </c>
      <c r="C138" s="228" t="s">
        <v>152</v>
      </c>
      <c r="D138" s="208" t="s">
        <v>182</v>
      </c>
      <c r="E138" s="224"/>
      <c r="F138" s="224">
        <v>150000</v>
      </c>
      <c r="G138" s="224">
        <f t="shared" si="2"/>
        <v>37611414</v>
      </c>
      <c r="H138" s="247" t="s">
        <v>170</v>
      </c>
      <c r="I138" s="238">
        <v>3643542</v>
      </c>
      <c r="J138" s="226" t="s">
        <v>107</v>
      </c>
      <c r="K138" s="228" t="s">
        <v>303</v>
      </c>
      <c r="L138" s="221" t="s">
        <v>161</v>
      </c>
      <c r="M138" s="238" t="s">
        <v>392</v>
      </c>
      <c r="N138" s="226" t="s">
        <v>335</v>
      </c>
      <c r="O138" s="228"/>
    </row>
    <row r="139" spans="1:15" s="243" customFormat="1" ht="15" hidden="1" customHeight="1">
      <c r="A139" s="222">
        <v>44489</v>
      </c>
      <c r="B139" s="223" t="s">
        <v>265</v>
      </c>
      <c r="C139" s="223" t="s">
        <v>80</v>
      </c>
      <c r="D139" s="223"/>
      <c r="E139" s="224">
        <v>10000</v>
      </c>
      <c r="F139" s="224"/>
      <c r="G139" s="224">
        <f t="shared" si="2"/>
        <v>37621414</v>
      </c>
      <c r="H139" s="223" t="s">
        <v>53</v>
      </c>
      <c r="I139" s="238"/>
      <c r="J139" s="241"/>
      <c r="K139" s="228"/>
      <c r="L139" s="221"/>
      <c r="M139" s="230"/>
      <c r="N139" s="226"/>
      <c r="O139" s="221"/>
    </row>
    <row r="140" spans="1:15" s="243" customFormat="1" ht="15" hidden="1" customHeight="1">
      <c r="A140" s="222">
        <v>44489</v>
      </c>
      <c r="B140" s="228" t="s">
        <v>265</v>
      </c>
      <c r="C140" s="223" t="s">
        <v>80</v>
      </c>
      <c r="D140" s="223"/>
      <c r="E140" s="224">
        <v>150000</v>
      </c>
      <c r="F140" s="224"/>
      <c r="G140" s="224">
        <f t="shared" si="2"/>
        <v>37771414</v>
      </c>
      <c r="H140" s="228" t="s">
        <v>53</v>
      </c>
      <c r="I140" s="238"/>
      <c r="J140" s="227"/>
      <c r="K140" s="228"/>
      <c r="L140" s="221"/>
      <c r="M140" s="226"/>
      <c r="N140" s="226"/>
      <c r="O140" s="221"/>
    </row>
    <row r="141" spans="1:15" s="243" customFormat="1" ht="15" hidden="1" customHeight="1">
      <c r="A141" s="202">
        <v>44489</v>
      </c>
      <c r="B141" s="209" t="s">
        <v>276</v>
      </c>
      <c r="C141" s="223" t="s">
        <v>80</v>
      </c>
      <c r="D141" s="209"/>
      <c r="E141" s="204">
        <v>150000</v>
      </c>
      <c r="F141" s="204"/>
      <c r="G141" s="224">
        <f t="shared" si="2"/>
        <v>37921414</v>
      </c>
      <c r="H141" s="208" t="s">
        <v>31</v>
      </c>
      <c r="I141" s="251"/>
      <c r="J141" s="207"/>
      <c r="K141" s="209"/>
      <c r="L141" s="203"/>
      <c r="M141" s="210"/>
      <c r="N141" s="210"/>
      <c r="O141" s="203"/>
    </row>
    <row r="142" spans="1:15" s="243" customFormat="1" ht="15" customHeight="1">
      <c r="A142" s="202">
        <v>44489</v>
      </c>
      <c r="B142" s="208" t="s">
        <v>452</v>
      </c>
      <c r="C142" s="208" t="s">
        <v>36</v>
      </c>
      <c r="D142" s="223" t="s">
        <v>6</v>
      </c>
      <c r="E142" s="204"/>
      <c r="F142" s="224">
        <v>10000</v>
      </c>
      <c r="G142" s="224">
        <f t="shared" si="2"/>
        <v>37911414</v>
      </c>
      <c r="H142" s="208" t="s">
        <v>31</v>
      </c>
      <c r="I142" s="252" t="s">
        <v>207</v>
      </c>
      <c r="J142" s="241" t="s">
        <v>107</v>
      </c>
      <c r="K142" s="228" t="s">
        <v>303</v>
      </c>
      <c r="L142" s="221" t="s">
        <v>161</v>
      </c>
      <c r="M142" s="238" t="s">
        <v>394</v>
      </c>
      <c r="N142" s="226" t="s">
        <v>324</v>
      </c>
      <c r="O142" s="203"/>
    </row>
    <row r="143" spans="1:15" s="243" customFormat="1" ht="15" customHeight="1">
      <c r="A143" s="202">
        <v>44490</v>
      </c>
      <c r="B143" s="208" t="s">
        <v>336</v>
      </c>
      <c r="C143" s="208" t="s">
        <v>169</v>
      </c>
      <c r="D143" s="223" t="s">
        <v>6</v>
      </c>
      <c r="E143" s="204"/>
      <c r="F143" s="224">
        <v>40000</v>
      </c>
      <c r="G143" s="224">
        <f t="shared" si="2"/>
        <v>37871414</v>
      </c>
      <c r="H143" s="208" t="s">
        <v>31</v>
      </c>
      <c r="I143" s="245" t="s">
        <v>192</v>
      </c>
      <c r="J143" s="226" t="s">
        <v>107</v>
      </c>
      <c r="K143" s="228" t="s">
        <v>303</v>
      </c>
      <c r="L143" s="221" t="s">
        <v>161</v>
      </c>
      <c r="M143" s="238" t="s">
        <v>393</v>
      </c>
      <c r="N143" s="226" t="s">
        <v>329</v>
      </c>
      <c r="O143" s="203"/>
    </row>
    <row r="144" spans="1:15" s="243" customFormat="1" ht="15" hidden="1" customHeight="1">
      <c r="A144" s="202">
        <v>44489</v>
      </c>
      <c r="B144" s="208" t="s">
        <v>255</v>
      </c>
      <c r="C144" s="223" t="s">
        <v>80</v>
      </c>
      <c r="D144" s="208"/>
      <c r="E144" s="204">
        <v>15000</v>
      </c>
      <c r="F144" s="204"/>
      <c r="G144" s="224">
        <f t="shared" ref="G144:G207" si="3">+G143+E144-F144</f>
        <v>37886414</v>
      </c>
      <c r="H144" s="208" t="s">
        <v>179</v>
      </c>
      <c r="I144" s="251"/>
      <c r="J144" s="227"/>
      <c r="K144" s="228"/>
      <c r="L144" s="203"/>
      <c r="M144" s="203"/>
      <c r="N144" s="210"/>
      <c r="O144" s="203"/>
    </row>
    <row r="145" spans="1:15" s="243" customFormat="1" ht="15" hidden="1" customHeight="1">
      <c r="A145" s="202">
        <v>44489</v>
      </c>
      <c r="B145" s="209" t="s">
        <v>255</v>
      </c>
      <c r="C145" s="223" t="s">
        <v>80</v>
      </c>
      <c r="D145" s="212"/>
      <c r="E145" s="204">
        <v>85000</v>
      </c>
      <c r="F145" s="204"/>
      <c r="G145" s="224">
        <f t="shared" si="3"/>
        <v>37971414</v>
      </c>
      <c r="H145" s="208" t="s">
        <v>179</v>
      </c>
      <c r="I145" s="251"/>
      <c r="J145" s="227"/>
      <c r="K145" s="228"/>
      <c r="L145" s="203"/>
      <c r="M145" s="210"/>
      <c r="N145" s="210"/>
      <c r="O145" s="210"/>
    </row>
    <row r="146" spans="1:15" s="243" customFormat="1" ht="15" customHeight="1">
      <c r="A146" s="202">
        <v>44489</v>
      </c>
      <c r="B146" s="208" t="s">
        <v>432</v>
      </c>
      <c r="C146" s="208" t="s">
        <v>36</v>
      </c>
      <c r="D146" s="208" t="s">
        <v>182</v>
      </c>
      <c r="E146" s="204"/>
      <c r="F146" s="224">
        <v>10000</v>
      </c>
      <c r="G146" s="224">
        <f t="shared" si="3"/>
        <v>37961414</v>
      </c>
      <c r="H146" s="208" t="s">
        <v>179</v>
      </c>
      <c r="I146" s="252" t="s">
        <v>207</v>
      </c>
      <c r="J146" s="227" t="s">
        <v>338</v>
      </c>
      <c r="K146" s="228" t="s">
        <v>302</v>
      </c>
      <c r="L146" s="203" t="s">
        <v>161</v>
      </c>
      <c r="M146" s="3"/>
      <c r="N146" s="210"/>
      <c r="O146" s="203"/>
    </row>
    <row r="147" spans="1:15" s="243" customFormat="1" ht="15" hidden="1" customHeight="1">
      <c r="A147" s="222">
        <v>44490</v>
      </c>
      <c r="B147" s="223" t="s">
        <v>180</v>
      </c>
      <c r="C147" s="223" t="s">
        <v>80</v>
      </c>
      <c r="D147" s="224"/>
      <c r="E147" s="224"/>
      <c r="F147" s="224">
        <v>10000</v>
      </c>
      <c r="G147" s="224">
        <f t="shared" si="3"/>
        <v>37951414</v>
      </c>
      <c r="H147" s="223" t="s">
        <v>27</v>
      </c>
      <c r="I147" s="252"/>
      <c r="J147" s="226"/>
      <c r="K147" s="228"/>
      <c r="L147" s="221"/>
      <c r="M147" s="230"/>
      <c r="N147" s="226"/>
      <c r="O147" s="221"/>
    </row>
    <row r="148" spans="1:15" s="243" customFormat="1" ht="15" hidden="1" customHeight="1">
      <c r="A148" s="222">
        <v>44490</v>
      </c>
      <c r="B148" s="228" t="s">
        <v>33</v>
      </c>
      <c r="C148" s="223" t="s">
        <v>80</v>
      </c>
      <c r="D148" s="223"/>
      <c r="E148" s="224"/>
      <c r="F148" s="224">
        <v>10000</v>
      </c>
      <c r="G148" s="224">
        <f t="shared" si="3"/>
        <v>37941414</v>
      </c>
      <c r="H148" s="223" t="s">
        <v>27</v>
      </c>
      <c r="I148" s="252"/>
      <c r="J148" s="227"/>
      <c r="K148" s="228"/>
      <c r="L148" s="221"/>
      <c r="M148" s="230"/>
      <c r="N148" s="226"/>
      <c r="O148" s="226"/>
    </row>
    <row r="149" spans="1:15" s="243" customFormat="1" ht="15" customHeight="1">
      <c r="A149" s="222">
        <v>44490</v>
      </c>
      <c r="B149" s="228" t="s">
        <v>210</v>
      </c>
      <c r="C149" s="228" t="s">
        <v>186</v>
      </c>
      <c r="D149" s="223" t="s">
        <v>250</v>
      </c>
      <c r="E149" s="224"/>
      <c r="F149" s="224">
        <v>23000</v>
      </c>
      <c r="G149" s="224">
        <f t="shared" si="3"/>
        <v>37918414</v>
      </c>
      <c r="H149" s="223" t="s">
        <v>27</v>
      </c>
      <c r="I149" s="245" t="s">
        <v>192</v>
      </c>
      <c r="J149" s="227" t="s">
        <v>338</v>
      </c>
      <c r="K149" s="228" t="s">
        <v>302</v>
      </c>
      <c r="L149" s="221" t="s">
        <v>161</v>
      </c>
      <c r="M149" s="226"/>
      <c r="N149" s="226"/>
      <c r="O149" s="221"/>
    </row>
    <row r="150" spans="1:15" s="243" customFormat="1" ht="15" customHeight="1">
      <c r="A150" s="222">
        <v>44490</v>
      </c>
      <c r="B150" s="228" t="s">
        <v>211</v>
      </c>
      <c r="C150" s="208" t="s">
        <v>37</v>
      </c>
      <c r="D150" s="223" t="s">
        <v>188</v>
      </c>
      <c r="E150" s="224"/>
      <c r="F150" s="224">
        <v>67000</v>
      </c>
      <c r="G150" s="224">
        <f t="shared" si="3"/>
        <v>37851414</v>
      </c>
      <c r="H150" s="223" t="s">
        <v>27</v>
      </c>
      <c r="I150" s="252" t="s">
        <v>207</v>
      </c>
      <c r="J150" s="226" t="s">
        <v>107</v>
      </c>
      <c r="K150" s="228" t="s">
        <v>303</v>
      </c>
      <c r="L150" s="221" t="s">
        <v>161</v>
      </c>
      <c r="M150" s="238" t="s">
        <v>395</v>
      </c>
      <c r="N150" s="226" t="s">
        <v>311</v>
      </c>
      <c r="O150" s="221"/>
    </row>
    <row r="151" spans="1:15" s="243" customFormat="1" ht="15" hidden="1" customHeight="1">
      <c r="A151" s="222">
        <v>44489</v>
      </c>
      <c r="B151" s="228" t="s">
        <v>258</v>
      </c>
      <c r="C151" s="223" t="s">
        <v>80</v>
      </c>
      <c r="D151" s="224"/>
      <c r="E151" s="224">
        <v>15000</v>
      </c>
      <c r="F151" s="224"/>
      <c r="G151" s="224">
        <f t="shared" si="3"/>
        <v>37866414</v>
      </c>
      <c r="H151" s="223" t="s">
        <v>98</v>
      </c>
      <c r="I151" s="245"/>
      <c r="J151" s="241"/>
      <c r="K151" s="228"/>
      <c r="L151" s="221"/>
      <c r="M151" s="230"/>
      <c r="N151" s="226"/>
      <c r="O151" s="221"/>
    </row>
    <row r="152" spans="1:15" s="243" customFormat="1" ht="15" hidden="1" customHeight="1">
      <c r="A152" s="222">
        <v>44490</v>
      </c>
      <c r="B152" s="223" t="s">
        <v>261</v>
      </c>
      <c r="C152" s="223" t="s">
        <v>80</v>
      </c>
      <c r="D152" s="223"/>
      <c r="E152" s="224">
        <v>10000</v>
      </c>
      <c r="F152" s="226"/>
      <c r="G152" s="224">
        <f t="shared" si="3"/>
        <v>37876414</v>
      </c>
      <c r="H152" s="223" t="s">
        <v>33</v>
      </c>
      <c r="I152" s="245"/>
      <c r="J152" s="241"/>
      <c r="K152" s="228"/>
      <c r="L152" s="221"/>
      <c r="M152" s="226"/>
      <c r="N152" s="226"/>
      <c r="O152" s="221"/>
    </row>
    <row r="153" spans="1:15" s="243" customFormat="1" ht="15" customHeight="1">
      <c r="A153" s="222">
        <v>44490</v>
      </c>
      <c r="B153" s="228" t="s">
        <v>445</v>
      </c>
      <c r="C153" s="228" t="s">
        <v>36</v>
      </c>
      <c r="D153" s="223" t="s">
        <v>6</v>
      </c>
      <c r="E153" s="224"/>
      <c r="F153" s="224">
        <v>15000</v>
      </c>
      <c r="G153" s="224">
        <f t="shared" si="3"/>
        <v>37861414</v>
      </c>
      <c r="H153" s="228" t="s">
        <v>53</v>
      </c>
      <c r="I153" s="252" t="s">
        <v>207</v>
      </c>
      <c r="J153" s="241" t="s">
        <v>107</v>
      </c>
      <c r="K153" s="228" t="s">
        <v>303</v>
      </c>
      <c r="L153" s="221" t="s">
        <v>161</v>
      </c>
      <c r="M153" s="238" t="s">
        <v>396</v>
      </c>
      <c r="N153" s="226" t="s">
        <v>324</v>
      </c>
      <c r="O153" s="221"/>
    </row>
    <row r="154" spans="1:15" s="243" customFormat="1" ht="15" customHeight="1">
      <c r="A154" s="222">
        <v>44490</v>
      </c>
      <c r="B154" s="223" t="s">
        <v>267</v>
      </c>
      <c r="C154" s="223" t="s">
        <v>169</v>
      </c>
      <c r="D154" s="223" t="s">
        <v>6</v>
      </c>
      <c r="E154" s="224"/>
      <c r="F154" s="224">
        <v>60000</v>
      </c>
      <c r="G154" s="224">
        <f t="shared" si="3"/>
        <v>37801414</v>
      </c>
      <c r="H154" s="223" t="s">
        <v>53</v>
      </c>
      <c r="I154" s="245" t="s">
        <v>192</v>
      </c>
      <c r="J154" s="226" t="s">
        <v>107</v>
      </c>
      <c r="K154" s="228" t="s">
        <v>303</v>
      </c>
      <c r="L154" s="221" t="s">
        <v>161</v>
      </c>
      <c r="M154" s="238" t="s">
        <v>397</v>
      </c>
      <c r="N154" s="226" t="s">
        <v>329</v>
      </c>
      <c r="O154" s="221"/>
    </row>
    <row r="155" spans="1:15" s="243" customFormat="1" ht="15" customHeight="1">
      <c r="A155" s="202">
        <v>44490</v>
      </c>
      <c r="B155" s="208" t="s">
        <v>453</v>
      </c>
      <c r="C155" s="208" t="s">
        <v>36</v>
      </c>
      <c r="D155" s="223" t="s">
        <v>6</v>
      </c>
      <c r="E155" s="204"/>
      <c r="F155" s="224">
        <v>4000</v>
      </c>
      <c r="G155" s="224">
        <f t="shared" si="3"/>
        <v>37797414</v>
      </c>
      <c r="H155" s="208" t="s">
        <v>31</v>
      </c>
      <c r="I155" s="252" t="s">
        <v>207</v>
      </c>
      <c r="J155" s="241" t="s">
        <v>107</v>
      </c>
      <c r="K155" s="228" t="s">
        <v>303</v>
      </c>
      <c r="L155" s="221" t="s">
        <v>161</v>
      </c>
      <c r="M155" s="238" t="s">
        <v>398</v>
      </c>
      <c r="N155" s="226" t="s">
        <v>324</v>
      </c>
      <c r="O155" s="203"/>
    </row>
    <row r="156" spans="1:15" s="243" customFormat="1" ht="15" hidden="1" customHeight="1">
      <c r="A156" s="202">
        <v>44490</v>
      </c>
      <c r="B156" s="211" t="s">
        <v>255</v>
      </c>
      <c r="C156" s="223" t="s">
        <v>80</v>
      </c>
      <c r="D156" s="208"/>
      <c r="E156" s="204">
        <v>10000</v>
      </c>
      <c r="F156" s="204"/>
      <c r="G156" s="224">
        <f t="shared" si="3"/>
        <v>37807414</v>
      </c>
      <c r="H156" s="209" t="s">
        <v>163</v>
      </c>
      <c r="I156" s="251"/>
      <c r="J156" s="226"/>
      <c r="K156" s="228"/>
      <c r="L156" s="203"/>
      <c r="M156" s="3"/>
      <c r="N156" s="210"/>
      <c r="O156" s="203"/>
    </row>
    <row r="157" spans="1:15" s="243" customFormat="1" ht="15" customHeight="1">
      <c r="A157" s="202">
        <v>44490</v>
      </c>
      <c r="B157" s="208" t="s">
        <v>327</v>
      </c>
      <c r="C157" s="208" t="s">
        <v>297</v>
      </c>
      <c r="D157" s="208" t="s">
        <v>182</v>
      </c>
      <c r="E157" s="204"/>
      <c r="F157" s="224">
        <v>20000</v>
      </c>
      <c r="G157" s="224">
        <f t="shared" si="3"/>
        <v>37787414</v>
      </c>
      <c r="H157" s="208" t="s">
        <v>179</v>
      </c>
      <c r="I157" s="245" t="s">
        <v>192</v>
      </c>
      <c r="J157" s="227" t="s">
        <v>338</v>
      </c>
      <c r="K157" s="228" t="s">
        <v>302</v>
      </c>
      <c r="L157" s="221" t="s">
        <v>161</v>
      </c>
      <c r="M157" s="210"/>
      <c r="N157" s="210"/>
      <c r="O157" s="203"/>
    </row>
    <row r="158" spans="1:15" s="243" customFormat="1" ht="15" customHeight="1">
      <c r="A158" s="222">
        <v>44491</v>
      </c>
      <c r="B158" s="223" t="s">
        <v>212</v>
      </c>
      <c r="C158" s="228" t="s">
        <v>186</v>
      </c>
      <c r="D158" s="223" t="s">
        <v>250</v>
      </c>
      <c r="E158" s="224"/>
      <c r="F158" s="224">
        <v>39000</v>
      </c>
      <c r="G158" s="224">
        <f t="shared" si="3"/>
        <v>37748414</v>
      </c>
      <c r="H158" s="223" t="s">
        <v>27</v>
      </c>
      <c r="I158" s="245" t="s">
        <v>192</v>
      </c>
      <c r="J158" s="227" t="s">
        <v>338</v>
      </c>
      <c r="K158" s="228" t="s">
        <v>302</v>
      </c>
      <c r="L158" s="221" t="s">
        <v>161</v>
      </c>
      <c r="M158" s="230"/>
      <c r="N158" s="226"/>
      <c r="O158" s="221"/>
    </row>
    <row r="159" spans="1:15" s="243" customFormat="1" ht="15" hidden="1" customHeight="1">
      <c r="A159" s="222">
        <v>44491</v>
      </c>
      <c r="B159" s="223" t="s">
        <v>52</v>
      </c>
      <c r="C159" s="223" t="s">
        <v>80</v>
      </c>
      <c r="D159" s="223"/>
      <c r="E159" s="224"/>
      <c r="F159" s="224">
        <v>10000</v>
      </c>
      <c r="G159" s="224">
        <f t="shared" si="3"/>
        <v>37738414</v>
      </c>
      <c r="H159" s="223" t="s">
        <v>27</v>
      </c>
      <c r="I159" s="252"/>
      <c r="J159" s="227"/>
      <c r="K159" s="228"/>
      <c r="L159" s="221"/>
      <c r="M159" s="230"/>
      <c r="N159" s="226"/>
      <c r="O159" s="221"/>
    </row>
    <row r="160" spans="1:15" s="243" customFormat="1" ht="15" customHeight="1">
      <c r="A160" s="222">
        <v>44491</v>
      </c>
      <c r="B160" s="223" t="s">
        <v>213</v>
      </c>
      <c r="C160" s="223" t="s">
        <v>186</v>
      </c>
      <c r="D160" s="223" t="s">
        <v>250</v>
      </c>
      <c r="E160" s="230"/>
      <c r="F160" s="224">
        <v>150000</v>
      </c>
      <c r="G160" s="224">
        <f t="shared" si="3"/>
        <v>37588414</v>
      </c>
      <c r="H160" s="228" t="s">
        <v>27</v>
      </c>
      <c r="I160" s="245" t="s">
        <v>192</v>
      </c>
      <c r="J160" s="227" t="s">
        <v>338</v>
      </c>
      <c r="K160" s="228" t="s">
        <v>302</v>
      </c>
      <c r="L160" s="221" t="s">
        <v>161</v>
      </c>
      <c r="M160" s="230"/>
      <c r="N160" s="226"/>
      <c r="O160" s="226"/>
    </row>
    <row r="161" spans="1:15" s="243" customFormat="1" ht="15" hidden="1" customHeight="1">
      <c r="A161" s="222">
        <v>44491</v>
      </c>
      <c r="B161" s="228" t="s">
        <v>162</v>
      </c>
      <c r="C161" s="223" t="s">
        <v>80</v>
      </c>
      <c r="D161" s="223"/>
      <c r="E161" s="224"/>
      <c r="F161" s="224">
        <v>10000</v>
      </c>
      <c r="G161" s="224">
        <f t="shared" si="3"/>
        <v>37578414</v>
      </c>
      <c r="H161" s="228" t="s">
        <v>27</v>
      </c>
      <c r="I161" s="252"/>
      <c r="J161" s="241"/>
      <c r="K161" s="228"/>
      <c r="L161" s="221"/>
      <c r="M161" s="230"/>
      <c r="N161" s="226"/>
      <c r="O161" s="221"/>
    </row>
    <row r="162" spans="1:15" s="243" customFormat="1" ht="15" customHeight="1">
      <c r="A162" s="222">
        <v>44491</v>
      </c>
      <c r="B162" s="223" t="s">
        <v>244</v>
      </c>
      <c r="C162" s="228" t="s">
        <v>152</v>
      </c>
      <c r="D162" s="208" t="s">
        <v>182</v>
      </c>
      <c r="E162" s="224"/>
      <c r="F162" s="224">
        <v>200000</v>
      </c>
      <c r="G162" s="224">
        <f t="shared" si="3"/>
        <v>37378414</v>
      </c>
      <c r="H162" s="247" t="s">
        <v>170</v>
      </c>
      <c r="I162" s="238">
        <v>3643544</v>
      </c>
      <c r="J162" s="226" t="s">
        <v>107</v>
      </c>
      <c r="K162" s="228" t="s">
        <v>303</v>
      </c>
      <c r="L162" s="221" t="s">
        <v>161</v>
      </c>
      <c r="M162" s="238" t="s">
        <v>399</v>
      </c>
      <c r="N162" s="226" t="s">
        <v>310</v>
      </c>
      <c r="O162" s="221"/>
    </row>
    <row r="163" spans="1:15" s="243" customFormat="1" ht="15" hidden="1" customHeight="1">
      <c r="A163" s="222">
        <v>44491</v>
      </c>
      <c r="B163" s="223" t="s">
        <v>255</v>
      </c>
      <c r="C163" s="223" t="s">
        <v>80</v>
      </c>
      <c r="D163" s="235"/>
      <c r="E163" s="224">
        <v>10000</v>
      </c>
      <c r="F163" s="224"/>
      <c r="G163" s="224">
        <f t="shared" si="3"/>
        <v>37388414</v>
      </c>
      <c r="H163" s="223" t="s">
        <v>162</v>
      </c>
      <c r="I163" s="252"/>
      <c r="J163" s="227"/>
      <c r="K163" s="228"/>
      <c r="L163" s="221"/>
      <c r="M163" s="230"/>
      <c r="N163" s="226"/>
      <c r="O163" s="221"/>
    </row>
    <row r="164" spans="1:15" s="243" customFormat="1" ht="15" hidden="1" customHeight="1">
      <c r="A164" s="222">
        <v>44491</v>
      </c>
      <c r="B164" s="223" t="s">
        <v>264</v>
      </c>
      <c r="C164" s="223" t="s">
        <v>80</v>
      </c>
      <c r="D164" s="224"/>
      <c r="E164" s="224">
        <v>10000</v>
      </c>
      <c r="F164" s="227"/>
      <c r="G164" s="224">
        <f t="shared" si="3"/>
        <v>37398414</v>
      </c>
      <c r="H164" s="223" t="s">
        <v>52</v>
      </c>
      <c r="I164" s="245"/>
      <c r="J164" s="230"/>
      <c r="K164" s="230"/>
      <c r="L164" s="221"/>
      <c r="M164" s="230"/>
      <c r="N164" s="226"/>
      <c r="O164" s="221"/>
    </row>
    <row r="165" spans="1:15" s="243" customFormat="1" ht="15" customHeight="1">
      <c r="A165" s="202">
        <v>44491</v>
      </c>
      <c r="B165" s="208" t="s">
        <v>298</v>
      </c>
      <c r="C165" s="208" t="s">
        <v>153</v>
      </c>
      <c r="D165" s="208" t="s">
        <v>182</v>
      </c>
      <c r="E165" s="204"/>
      <c r="F165" s="204">
        <v>10193</v>
      </c>
      <c r="G165" s="224">
        <f t="shared" si="3"/>
        <v>37388221</v>
      </c>
      <c r="H165" s="208" t="s">
        <v>179</v>
      </c>
      <c r="I165" s="252" t="s">
        <v>207</v>
      </c>
      <c r="J165" s="227" t="s">
        <v>338</v>
      </c>
      <c r="K165" s="228" t="s">
        <v>302</v>
      </c>
      <c r="L165" s="203" t="s">
        <v>161</v>
      </c>
      <c r="M165" s="203"/>
      <c r="N165" s="210"/>
      <c r="O165" s="203"/>
    </row>
    <row r="166" spans="1:15" s="243" customFormat="1" ht="15" customHeight="1">
      <c r="A166" s="202">
        <v>44491</v>
      </c>
      <c r="B166" s="208" t="s">
        <v>433</v>
      </c>
      <c r="C166" s="208" t="s">
        <v>36</v>
      </c>
      <c r="D166" s="208" t="s">
        <v>182</v>
      </c>
      <c r="E166" s="204"/>
      <c r="F166" s="224">
        <v>10000</v>
      </c>
      <c r="G166" s="224">
        <f t="shared" si="3"/>
        <v>37378221</v>
      </c>
      <c r="H166" s="208" t="s">
        <v>179</v>
      </c>
      <c r="I166" s="252" t="s">
        <v>207</v>
      </c>
      <c r="J166" s="227" t="s">
        <v>338</v>
      </c>
      <c r="K166" s="228" t="s">
        <v>302</v>
      </c>
      <c r="L166" s="203" t="s">
        <v>161</v>
      </c>
      <c r="M166" s="203"/>
      <c r="N166" s="210"/>
      <c r="O166" s="203"/>
    </row>
    <row r="167" spans="1:15" s="243" customFormat="1" ht="15" customHeight="1">
      <c r="A167" s="202">
        <v>44492</v>
      </c>
      <c r="B167" s="208" t="s">
        <v>328</v>
      </c>
      <c r="C167" s="208" t="s">
        <v>297</v>
      </c>
      <c r="D167" s="208" t="s">
        <v>182</v>
      </c>
      <c r="E167" s="204"/>
      <c r="F167" s="224">
        <v>30000</v>
      </c>
      <c r="G167" s="224">
        <f t="shared" si="3"/>
        <v>37348221</v>
      </c>
      <c r="H167" s="208" t="s">
        <v>179</v>
      </c>
      <c r="I167" s="252" t="s">
        <v>207</v>
      </c>
      <c r="J167" s="227" t="s">
        <v>338</v>
      </c>
      <c r="K167" s="228" t="s">
        <v>302</v>
      </c>
      <c r="L167" s="221" t="s">
        <v>161</v>
      </c>
      <c r="M167" s="3"/>
      <c r="N167" s="210"/>
      <c r="O167" s="203"/>
    </row>
    <row r="168" spans="1:15" s="243" customFormat="1" ht="15" customHeight="1">
      <c r="A168" s="222">
        <v>44493</v>
      </c>
      <c r="B168" s="245" t="s">
        <v>268</v>
      </c>
      <c r="C168" s="228" t="s">
        <v>169</v>
      </c>
      <c r="D168" s="223" t="s">
        <v>6</v>
      </c>
      <c r="E168" s="224"/>
      <c r="F168" s="224">
        <v>45000</v>
      </c>
      <c r="G168" s="224">
        <f t="shared" si="3"/>
        <v>37303221</v>
      </c>
      <c r="H168" s="228" t="s">
        <v>53</v>
      </c>
      <c r="I168" s="252" t="s">
        <v>207</v>
      </c>
      <c r="J168" s="226" t="s">
        <v>107</v>
      </c>
      <c r="K168" s="228" t="s">
        <v>303</v>
      </c>
      <c r="L168" s="221" t="s">
        <v>161</v>
      </c>
      <c r="M168" s="238" t="s">
        <v>400</v>
      </c>
      <c r="N168" s="226" t="s">
        <v>329</v>
      </c>
      <c r="O168" s="221"/>
    </row>
    <row r="169" spans="1:15" s="243" customFormat="1" ht="15" customHeight="1">
      <c r="A169" s="222">
        <v>44493</v>
      </c>
      <c r="B169" s="245" t="s">
        <v>446</v>
      </c>
      <c r="C169" s="228" t="s">
        <v>36</v>
      </c>
      <c r="D169" s="223" t="s">
        <v>6</v>
      </c>
      <c r="E169" s="224"/>
      <c r="F169" s="224">
        <v>8000</v>
      </c>
      <c r="G169" s="224">
        <f t="shared" si="3"/>
        <v>37295221</v>
      </c>
      <c r="H169" s="228" t="s">
        <v>53</v>
      </c>
      <c r="I169" s="245" t="s">
        <v>192</v>
      </c>
      <c r="J169" s="241" t="s">
        <v>107</v>
      </c>
      <c r="K169" s="228" t="s">
        <v>303</v>
      </c>
      <c r="L169" s="221" t="s">
        <v>161</v>
      </c>
      <c r="M169" s="238" t="s">
        <v>401</v>
      </c>
      <c r="N169" s="226" t="s">
        <v>324</v>
      </c>
      <c r="O169" s="221"/>
    </row>
    <row r="170" spans="1:15" s="243" customFormat="1" ht="15" customHeight="1">
      <c r="A170" s="202">
        <v>44493</v>
      </c>
      <c r="B170" s="209" t="s">
        <v>337</v>
      </c>
      <c r="C170" s="208" t="s">
        <v>169</v>
      </c>
      <c r="D170" s="223" t="s">
        <v>6</v>
      </c>
      <c r="E170" s="204"/>
      <c r="F170" s="224">
        <v>45000</v>
      </c>
      <c r="G170" s="224">
        <f t="shared" si="3"/>
        <v>37250221</v>
      </c>
      <c r="H170" s="208" t="s">
        <v>31</v>
      </c>
      <c r="I170" s="245" t="s">
        <v>192</v>
      </c>
      <c r="J170" s="226" t="s">
        <v>107</v>
      </c>
      <c r="K170" s="228" t="s">
        <v>303</v>
      </c>
      <c r="L170" s="221" t="s">
        <v>161</v>
      </c>
      <c r="M170" s="238" t="s">
        <v>402</v>
      </c>
      <c r="N170" s="226" t="s">
        <v>329</v>
      </c>
      <c r="O170" s="203"/>
    </row>
    <row r="171" spans="1:15" s="243" customFormat="1" ht="15" customHeight="1">
      <c r="A171" s="202">
        <v>44493</v>
      </c>
      <c r="B171" s="209" t="s">
        <v>454</v>
      </c>
      <c r="C171" s="208" t="s">
        <v>36</v>
      </c>
      <c r="D171" s="223" t="s">
        <v>6</v>
      </c>
      <c r="E171" s="204"/>
      <c r="F171" s="224">
        <v>5000</v>
      </c>
      <c r="G171" s="224">
        <f t="shared" si="3"/>
        <v>37245221</v>
      </c>
      <c r="H171" s="209" t="s">
        <v>31</v>
      </c>
      <c r="I171" s="245" t="s">
        <v>192</v>
      </c>
      <c r="J171" s="241" t="s">
        <v>338</v>
      </c>
      <c r="K171" s="228" t="s">
        <v>302</v>
      </c>
      <c r="L171" s="221" t="s">
        <v>161</v>
      </c>
      <c r="M171" s="230"/>
      <c r="N171" s="226"/>
      <c r="O171" s="203"/>
    </row>
    <row r="172" spans="1:15" s="243" customFormat="1" ht="15" hidden="1" customHeight="1">
      <c r="A172" s="222">
        <v>44494</v>
      </c>
      <c r="B172" s="228" t="s">
        <v>214</v>
      </c>
      <c r="C172" s="223" t="s">
        <v>80</v>
      </c>
      <c r="D172" s="223"/>
      <c r="E172" s="224">
        <v>1000000</v>
      </c>
      <c r="F172" s="224"/>
      <c r="G172" s="224">
        <f t="shared" si="3"/>
        <v>38245221</v>
      </c>
      <c r="H172" s="223" t="s">
        <v>27</v>
      </c>
      <c r="I172" s="252"/>
      <c r="J172" s="241"/>
      <c r="K172" s="228"/>
      <c r="L172" s="221"/>
      <c r="M172" s="230"/>
      <c r="N172" s="226"/>
      <c r="O172" s="221"/>
    </row>
    <row r="173" spans="1:15" s="243" customFormat="1" ht="15" hidden="1" customHeight="1">
      <c r="A173" s="222">
        <v>44494</v>
      </c>
      <c r="B173" s="223" t="s">
        <v>215</v>
      </c>
      <c r="C173" s="223" t="s">
        <v>80</v>
      </c>
      <c r="D173" s="235"/>
      <c r="E173" s="224">
        <v>1000000</v>
      </c>
      <c r="F173" s="224"/>
      <c r="G173" s="224">
        <f t="shared" si="3"/>
        <v>39245221</v>
      </c>
      <c r="H173" s="223" t="s">
        <v>27</v>
      </c>
      <c r="I173" s="252"/>
      <c r="J173" s="227"/>
      <c r="K173" s="228"/>
      <c r="L173" s="221"/>
      <c r="M173" s="230"/>
      <c r="N173" s="226"/>
      <c r="O173" s="221"/>
    </row>
    <row r="174" spans="1:15" s="243" customFormat="1" ht="15" hidden="1" customHeight="1">
      <c r="A174" s="222">
        <v>44494</v>
      </c>
      <c r="B174" s="223" t="s">
        <v>216</v>
      </c>
      <c r="C174" s="223" t="s">
        <v>80</v>
      </c>
      <c r="D174" s="223"/>
      <c r="E174" s="224">
        <v>7600</v>
      </c>
      <c r="F174" s="224"/>
      <c r="G174" s="224">
        <f t="shared" si="3"/>
        <v>39252821</v>
      </c>
      <c r="H174" s="223" t="s">
        <v>27</v>
      </c>
      <c r="I174" s="252"/>
      <c r="J174" s="226"/>
      <c r="K174" s="228"/>
      <c r="L174" s="221"/>
      <c r="M174" s="230"/>
      <c r="N174" s="226"/>
      <c r="O174" s="221"/>
    </row>
    <row r="175" spans="1:15" s="243" customFormat="1" ht="15" hidden="1" customHeight="1">
      <c r="A175" s="222">
        <v>44494</v>
      </c>
      <c r="B175" s="223" t="s">
        <v>180</v>
      </c>
      <c r="C175" s="223" t="s">
        <v>80</v>
      </c>
      <c r="D175" s="235"/>
      <c r="E175" s="224"/>
      <c r="F175" s="224">
        <v>10000</v>
      </c>
      <c r="G175" s="224">
        <f t="shared" si="3"/>
        <v>39242821</v>
      </c>
      <c r="H175" s="223" t="s">
        <v>27</v>
      </c>
      <c r="I175" s="252"/>
      <c r="J175" s="227"/>
      <c r="K175" s="228"/>
      <c r="L175" s="221"/>
      <c r="M175" s="230"/>
      <c r="N175" s="226"/>
      <c r="O175" s="221"/>
    </row>
    <row r="176" spans="1:15" s="243" customFormat="1" ht="15" hidden="1" customHeight="1">
      <c r="A176" s="222">
        <v>44494</v>
      </c>
      <c r="B176" s="223" t="s">
        <v>184</v>
      </c>
      <c r="C176" s="223" t="s">
        <v>80</v>
      </c>
      <c r="D176" s="235"/>
      <c r="E176" s="224"/>
      <c r="F176" s="224">
        <v>76000</v>
      </c>
      <c r="G176" s="224">
        <f t="shared" si="3"/>
        <v>39166821</v>
      </c>
      <c r="H176" s="223" t="s">
        <v>27</v>
      </c>
      <c r="I176" s="252"/>
      <c r="J176" s="227"/>
      <c r="K176" s="228"/>
      <c r="L176" s="221"/>
      <c r="M176" s="230"/>
      <c r="N176" s="226"/>
      <c r="O176" s="221"/>
    </row>
    <row r="177" spans="1:63" s="243" customFormat="1" ht="15" hidden="1" customHeight="1">
      <c r="A177" s="222">
        <v>44494</v>
      </c>
      <c r="B177" s="223" t="s">
        <v>179</v>
      </c>
      <c r="C177" s="223" t="s">
        <v>80</v>
      </c>
      <c r="D177" s="223"/>
      <c r="E177" s="224"/>
      <c r="F177" s="224">
        <v>10000</v>
      </c>
      <c r="G177" s="224">
        <f t="shared" si="3"/>
        <v>39156821</v>
      </c>
      <c r="H177" s="223" t="s">
        <v>27</v>
      </c>
      <c r="I177" s="252"/>
      <c r="J177" s="241"/>
      <c r="K177" s="228"/>
      <c r="L177" s="221"/>
      <c r="M177" s="230"/>
      <c r="N177" s="226"/>
      <c r="O177" s="221"/>
    </row>
    <row r="178" spans="1:63" s="243" customFormat="1" ht="15" customHeight="1">
      <c r="A178" s="222">
        <v>44494</v>
      </c>
      <c r="B178" s="223" t="s">
        <v>323</v>
      </c>
      <c r="C178" s="223" t="s">
        <v>151</v>
      </c>
      <c r="D178" s="223" t="s">
        <v>188</v>
      </c>
      <c r="E178" s="224"/>
      <c r="F178" s="224">
        <v>2280</v>
      </c>
      <c r="G178" s="224">
        <f t="shared" si="3"/>
        <v>39154541</v>
      </c>
      <c r="H178" s="223" t="s">
        <v>27</v>
      </c>
      <c r="I178" s="252" t="s">
        <v>207</v>
      </c>
      <c r="J178" s="227" t="s">
        <v>107</v>
      </c>
      <c r="K178" s="228" t="s">
        <v>303</v>
      </c>
      <c r="L178" s="221" t="s">
        <v>161</v>
      </c>
      <c r="M178" s="238" t="s">
        <v>403</v>
      </c>
      <c r="N178" s="226" t="s">
        <v>304</v>
      </c>
      <c r="O178" s="221"/>
    </row>
    <row r="179" spans="1:63" s="243" customFormat="1" ht="15" hidden="1" customHeight="1">
      <c r="A179" s="222">
        <v>44494</v>
      </c>
      <c r="B179" s="228" t="s">
        <v>33</v>
      </c>
      <c r="C179" s="223" t="s">
        <v>80</v>
      </c>
      <c r="D179" s="235"/>
      <c r="E179" s="224"/>
      <c r="F179" s="224">
        <v>15000</v>
      </c>
      <c r="G179" s="224">
        <f t="shared" si="3"/>
        <v>39139541</v>
      </c>
      <c r="H179" s="223" t="s">
        <v>27</v>
      </c>
      <c r="I179" s="245"/>
      <c r="J179" s="227"/>
      <c r="K179" s="228"/>
      <c r="L179" s="221"/>
      <c r="M179" s="226"/>
      <c r="N179" s="226"/>
      <c r="O179" s="221"/>
    </row>
    <row r="180" spans="1:63" s="243" customFormat="1" ht="15" customHeight="1">
      <c r="A180" s="222">
        <v>44494</v>
      </c>
      <c r="B180" s="228" t="s">
        <v>217</v>
      </c>
      <c r="C180" s="223" t="s">
        <v>144</v>
      </c>
      <c r="D180" s="223" t="s">
        <v>188</v>
      </c>
      <c r="E180" s="224"/>
      <c r="F180" s="224">
        <v>89175</v>
      </c>
      <c r="G180" s="224">
        <f t="shared" si="3"/>
        <v>39050366</v>
      </c>
      <c r="H180" s="223" t="s">
        <v>27</v>
      </c>
      <c r="I180" s="252" t="s">
        <v>207</v>
      </c>
      <c r="J180" s="227" t="s">
        <v>107</v>
      </c>
      <c r="K180" s="238" t="s">
        <v>303</v>
      </c>
      <c r="L180" s="221" t="s">
        <v>161</v>
      </c>
      <c r="M180" s="238" t="s">
        <v>404</v>
      </c>
      <c r="N180" s="226" t="s">
        <v>309</v>
      </c>
      <c r="O180" s="221"/>
    </row>
    <row r="181" spans="1:63" s="243" customFormat="1" ht="15" hidden="1" customHeight="1">
      <c r="A181" s="222">
        <v>44494</v>
      </c>
      <c r="B181" s="228" t="s">
        <v>227</v>
      </c>
      <c r="C181" s="223" t="s">
        <v>80</v>
      </c>
      <c r="D181" s="235"/>
      <c r="E181" s="224"/>
      <c r="F181" s="224">
        <v>1000000</v>
      </c>
      <c r="G181" s="224">
        <f t="shared" si="3"/>
        <v>38050366</v>
      </c>
      <c r="H181" s="247" t="s">
        <v>26</v>
      </c>
      <c r="I181" s="245">
        <v>3654459</v>
      </c>
      <c r="J181" s="226"/>
      <c r="K181" s="228"/>
      <c r="L181" s="221"/>
      <c r="M181" s="230"/>
      <c r="N181" s="226"/>
      <c r="O181" s="221"/>
    </row>
    <row r="182" spans="1:63" s="243" customFormat="1" ht="15" hidden="1" customHeight="1">
      <c r="A182" s="222">
        <v>44494</v>
      </c>
      <c r="B182" s="223" t="s">
        <v>245</v>
      </c>
      <c r="C182" s="223" t="s">
        <v>80</v>
      </c>
      <c r="D182" s="223"/>
      <c r="E182" s="224"/>
      <c r="F182" s="224">
        <v>1000000</v>
      </c>
      <c r="G182" s="224">
        <f t="shared" si="3"/>
        <v>37050366</v>
      </c>
      <c r="H182" s="247" t="s">
        <v>170</v>
      </c>
      <c r="I182" s="238">
        <v>3643545</v>
      </c>
      <c r="J182" s="241"/>
      <c r="K182" s="228"/>
      <c r="L182" s="221"/>
      <c r="M182" s="230"/>
      <c r="N182" s="226"/>
      <c r="O182" s="221"/>
    </row>
    <row r="183" spans="1:63" s="243" customFormat="1" ht="15" customHeight="1">
      <c r="A183" s="222">
        <v>44494</v>
      </c>
      <c r="B183" s="223" t="s">
        <v>246</v>
      </c>
      <c r="C183" s="223" t="s">
        <v>2</v>
      </c>
      <c r="D183" s="208" t="s">
        <v>182</v>
      </c>
      <c r="E183" s="224"/>
      <c r="F183" s="224">
        <v>356500</v>
      </c>
      <c r="G183" s="224">
        <f t="shared" si="3"/>
        <v>36693866</v>
      </c>
      <c r="H183" s="247" t="s">
        <v>170</v>
      </c>
      <c r="I183" s="238">
        <v>3643551</v>
      </c>
      <c r="J183" s="226" t="s">
        <v>107</v>
      </c>
      <c r="K183" s="228" t="s">
        <v>303</v>
      </c>
      <c r="L183" s="221" t="s">
        <v>161</v>
      </c>
      <c r="M183" s="238" t="s">
        <v>405</v>
      </c>
      <c r="N183" s="226" t="s">
        <v>314</v>
      </c>
      <c r="O183" s="221"/>
    </row>
    <row r="184" spans="1:63" s="243" customFormat="1" ht="15" customHeight="1">
      <c r="A184" s="222">
        <v>44494</v>
      </c>
      <c r="B184" s="223" t="s">
        <v>247</v>
      </c>
      <c r="C184" s="223" t="s">
        <v>2</v>
      </c>
      <c r="D184" s="223" t="s">
        <v>4</v>
      </c>
      <c r="E184" s="224"/>
      <c r="F184" s="224">
        <v>275000</v>
      </c>
      <c r="G184" s="224">
        <f t="shared" si="3"/>
        <v>36418866</v>
      </c>
      <c r="H184" s="247" t="s">
        <v>170</v>
      </c>
      <c r="I184" s="238">
        <v>3643547</v>
      </c>
      <c r="J184" s="226" t="s">
        <v>107</v>
      </c>
      <c r="K184" s="228" t="s">
        <v>303</v>
      </c>
      <c r="L184" s="221" t="s">
        <v>161</v>
      </c>
      <c r="M184" s="238" t="s">
        <v>406</v>
      </c>
      <c r="N184" s="226" t="s">
        <v>315</v>
      </c>
      <c r="O184" s="221"/>
    </row>
    <row r="185" spans="1:63" s="243" customFormat="1" ht="15" customHeight="1">
      <c r="A185" s="222">
        <v>44494</v>
      </c>
      <c r="B185" s="223" t="s">
        <v>248</v>
      </c>
      <c r="C185" s="223" t="s">
        <v>2</v>
      </c>
      <c r="D185" s="223" t="s">
        <v>4</v>
      </c>
      <c r="E185" s="224"/>
      <c r="F185" s="224">
        <v>350000</v>
      </c>
      <c r="G185" s="224">
        <f t="shared" si="3"/>
        <v>36068866</v>
      </c>
      <c r="H185" s="247" t="s">
        <v>170</v>
      </c>
      <c r="I185" s="245">
        <v>3643548</v>
      </c>
      <c r="J185" s="226" t="s">
        <v>107</v>
      </c>
      <c r="K185" s="228" t="s">
        <v>303</v>
      </c>
      <c r="L185" s="221" t="s">
        <v>161</v>
      </c>
      <c r="M185" s="238" t="s">
        <v>407</v>
      </c>
      <c r="N185" s="226" t="s">
        <v>315</v>
      </c>
      <c r="O185" s="221"/>
    </row>
    <row r="186" spans="1:63" s="193" customFormat="1" ht="15" customHeight="1">
      <c r="A186" s="222">
        <v>44494</v>
      </c>
      <c r="B186" s="235" t="s">
        <v>249</v>
      </c>
      <c r="C186" s="223" t="s">
        <v>2</v>
      </c>
      <c r="D186" s="223" t="s">
        <v>250</v>
      </c>
      <c r="E186" s="227"/>
      <c r="F186" s="224">
        <v>233039</v>
      </c>
      <c r="G186" s="224">
        <f t="shared" si="3"/>
        <v>35835827</v>
      </c>
      <c r="H186" s="247" t="s">
        <v>170</v>
      </c>
      <c r="I186" s="238">
        <v>3643546</v>
      </c>
      <c r="J186" s="226" t="s">
        <v>107</v>
      </c>
      <c r="K186" s="228" t="s">
        <v>303</v>
      </c>
      <c r="L186" s="221" t="s">
        <v>161</v>
      </c>
      <c r="M186" s="238" t="s">
        <v>408</v>
      </c>
      <c r="N186" s="226" t="s">
        <v>316</v>
      </c>
      <c r="O186" s="221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</row>
    <row r="187" spans="1:63" s="116" customFormat="1" ht="15" customHeight="1">
      <c r="A187" s="222">
        <v>44494</v>
      </c>
      <c r="B187" s="235" t="s">
        <v>251</v>
      </c>
      <c r="C187" s="223" t="s">
        <v>2</v>
      </c>
      <c r="D187" s="223" t="s">
        <v>4</v>
      </c>
      <c r="E187" s="234"/>
      <c r="F187" s="224">
        <v>1311914</v>
      </c>
      <c r="G187" s="224">
        <f t="shared" si="3"/>
        <v>34523913</v>
      </c>
      <c r="H187" s="247" t="s">
        <v>170</v>
      </c>
      <c r="I187" s="238">
        <v>3643550</v>
      </c>
      <c r="J187" s="226" t="s">
        <v>107</v>
      </c>
      <c r="K187" s="228" t="s">
        <v>303</v>
      </c>
      <c r="L187" s="221" t="s">
        <v>161</v>
      </c>
      <c r="M187" s="238" t="s">
        <v>409</v>
      </c>
      <c r="N187" s="226" t="s">
        <v>318</v>
      </c>
      <c r="O187" s="221"/>
    </row>
    <row r="188" spans="1:63" s="116" customFormat="1" ht="15" hidden="1" customHeight="1">
      <c r="A188" s="222">
        <v>44494</v>
      </c>
      <c r="B188" s="245" t="s">
        <v>262</v>
      </c>
      <c r="C188" s="223" t="s">
        <v>80</v>
      </c>
      <c r="D188" s="223"/>
      <c r="E188" s="224">
        <v>15000</v>
      </c>
      <c r="F188" s="224"/>
      <c r="G188" s="224">
        <f t="shared" si="3"/>
        <v>34538913</v>
      </c>
      <c r="H188" s="228" t="s">
        <v>33</v>
      </c>
      <c r="I188" s="245"/>
      <c r="J188" s="241"/>
      <c r="K188" s="228"/>
      <c r="L188" s="221"/>
      <c r="M188" s="230"/>
      <c r="N188" s="226"/>
      <c r="O188" s="221"/>
      <c r="P188" s="193"/>
      <c r="Q188" s="193"/>
      <c r="R188" s="193"/>
      <c r="S188" s="193"/>
      <c r="T188" s="193"/>
      <c r="U188" s="193"/>
      <c r="V188" s="193"/>
      <c r="W188" s="193"/>
      <c r="X188" s="193"/>
      <c r="Y188" s="193"/>
      <c r="Z188" s="193"/>
      <c r="AA188" s="193"/>
      <c r="AB188" s="193"/>
      <c r="AC188" s="193"/>
      <c r="AD188" s="193"/>
      <c r="AE188" s="193"/>
      <c r="AF188" s="193"/>
      <c r="AG188" s="193"/>
      <c r="AH188" s="193"/>
      <c r="AI188" s="193"/>
      <c r="AJ188" s="193"/>
      <c r="AK188" s="193"/>
      <c r="AL188" s="193"/>
      <c r="AM188" s="193"/>
      <c r="AN188" s="193"/>
      <c r="AO188" s="193"/>
      <c r="AP188" s="193"/>
      <c r="AQ188" s="193"/>
      <c r="AR188" s="193"/>
      <c r="AS188" s="193"/>
      <c r="AT188" s="193"/>
      <c r="AU188" s="193"/>
      <c r="AV188" s="193"/>
      <c r="AW188" s="193"/>
      <c r="AX188" s="193"/>
      <c r="AY188" s="193"/>
      <c r="AZ188" s="193"/>
      <c r="BA188" s="193"/>
      <c r="BB188" s="193"/>
      <c r="BC188" s="193"/>
      <c r="BD188" s="193"/>
      <c r="BE188" s="193"/>
      <c r="BF188" s="193"/>
      <c r="BG188" s="193"/>
      <c r="BH188" s="193"/>
      <c r="BI188" s="193"/>
      <c r="BJ188" s="193"/>
      <c r="BK188" s="193"/>
    </row>
    <row r="189" spans="1:63" s="116" customFormat="1" ht="15" hidden="1" customHeight="1">
      <c r="A189" s="222">
        <v>44494</v>
      </c>
      <c r="B189" s="223" t="s">
        <v>265</v>
      </c>
      <c r="C189" s="223" t="s">
        <v>80</v>
      </c>
      <c r="D189" s="223"/>
      <c r="E189" s="224">
        <v>76000</v>
      </c>
      <c r="F189" s="224"/>
      <c r="G189" s="224">
        <f t="shared" si="3"/>
        <v>34614913</v>
      </c>
      <c r="H189" s="223" t="s">
        <v>53</v>
      </c>
      <c r="I189" s="238"/>
      <c r="J189" s="227"/>
      <c r="K189" s="228"/>
      <c r="L189" s="221"/>
      <c r="M189" s="230"/>
      <c r="N189" s="226"/>
      <c r="O189" s="221"/>
      <c r="P189" s="193"/>
      <c r="Q189" s="193"/>
      <c r="R189" s="193"/>
      <c r="S189" s="193"/>
      <c r="T189" s="193"/>
      <c r="U189" s="193"/>
      <c r="V189" s="193"/>
      <c r="W189" s="193"/>
      <c r="X189" s="193"/>
      <c r="Y189" s="193"/>
      <c r="Z189" s="193"/>
      <c r="AA189" s="193"/>
      <c r="AB189" s="193"/>
      <c r="AC189" s="193"/>
      <c r="AD189" s="193"/>
      <c r="AE189" s="193"/>
      <c r="AF189" s="193"/>
      <c r="AG189" s="193"/>
      <c r="AH189" s="193"/>
      <c r="AI189" s="193"/>
      <c r="AJ189" s="193"/>
      <c r="AK189" s="193"/>
      <c r="AL189" s="193"/>
      <c r="AM189" s="193"/>
      <c r="AN189" s="193"/>
      <c r="AO189" s="193"/>
      <c r="AP189" s="193"/>
      <c r="AQ189" s="193"/>
      <c r="AR189" s="193"/>
      <c r="AS189" s="193"/>
      <c r="AT189" s="193"/>
      <c r="AU189" s="193"/>
      <c r="AV189" s="193"/>
      <c r="AW189" s="193"/>
      <c r="AX189" s="193"/>
      <c r="AY189" s="193"/>
      <c r="AZ189" s="193"/>
      <c r="BA189" s="193"/>
      <c r="BB189" s="193"/>
      <c r="BC189" s="193"/>
      <c r="BD189" s="193"/>
      <c r="BE189" s="193"/>
      <c r="BF189" s="193"/>
      <c r="BG189" s="193"/>
      <c r="BH189" s="193"/>
      <c r="BI189" s="193"/>
      <c r="BJ189" s="193"/>
      <c r="BK189" s="193"/>
    </row>
    <row r="190" spans="1:63" s="116" customFormat="1" ht="14.25" customHeight="1">
      <c r="A190" s="222">
        <v>44494</v>
      </c>
      <c r="B190" s="223" t="s">
        <v>274</v>
      </c>
      <c r="C190" s="223" t="s">
        <v>275</v>
      </c>
      <c r="D190" s="223" t="s">
        <v>6</v>
      </c>
      <c r="E190" s="224"/>
      <c r="F190" s="224">
        <v>25000</v>
      </c>
      <c r="G190" s="224">
        <f t="shared" si="3"/>
        <v>34589913</v>
      </c>
      <c r="H190" s="223" t="s">
        <v>53</v>
      </c>
      <c r="I190" s="245" t="s">
        <v>192</v>
      </c>
      <c r="J190" s="227" t="s">
        <v>338</v>
      </c>
      <c r="K190" s="228" t="s">
        <v>302</v>
      </c>
      <c r="L190" s="221" t="s">
        <v>161</v>
      </c>
      <c r="M190" s="230"/>
      <c r="N190" s="226"/>
      <c r="O190" s="221"/>
    </row>
    <row r="191" spans="1:63" s="116" customFormat="1" ht="15" customHeight="1">
      <c r="A191" s="202">
        <v>44494</v>
      </c>
      <c r="B191" s="211" t="s">
        <v>281</v>
      </c>
      <c r="C191" s="208" t="s">
        <v>169</v>
      </c>
      <c r="D191" s="223" t="s">
        <v>6</v>
      </c>
      <c r="E191" s="204"/>
      <c r="F191" s="224">
        <v>15000</v>
      </c>
      <c r="G191" s="224">
        <f t="shared" si="3"/>
        <v>34574913</v>
      </c>
      <c r="H191" s="209" t="s">
        <v>31</v>
      </c>
      <c r="I191" s="245" t="s">
        <v>192</v>
      </c>
      <c r="J191" s="226" t="s">
        <v>107</v>
      </c>
      <c r="K191" s="228" t="s">
        <v>303</v>
      </c>
      <c r="L191" s="221" t="s">
        <v>161</v>
      </c>
      <c r="M191" s="238" t="s">
        <v>410</v>
      </c>
      <c r="N191" s="226" t="s">
        <v>329</v>
      </c>
      <c r="O191" s="209"/>
      <c r="P191" s="193"/>
      <c r="Q191" s="193"/>
      <c r="R191" s="193"/>
      <c r="S191" s="193"/>
      <c r="T191" s="193"/>
      <c r="U191" s="193"/>
      <c r="V191" s="193"/>
      <c r="W191" s="193"/>
      <c r="X191" s="193"/>
      <c r="Y191" s="193"/>
      <c r="Z191" s="193"/>
      <c r="AA191" s="193"/>
      <c r="AB191" s="193"/>
      <c r="AC191" s="193"/>
      <c r="AD191" s="193"/>
      <c r="AE191" s="193"/>
      <c r="AF191" s="193"/>
      <c r="AG191" s="193"/>
      <c r="AH191" s="193"/>
      <c r="AI191" s="193"/>
      <c r="AJ191" s="193"/>
      <c r="AK191" s="193"/>
      <c r="AL191" s="193"/>
      <c r="AM191" s="193"/>
      <c r="AN191" s="193"/>
      <c r="AO191" s="193"/>
      <c r="AP191" s="193"/>
      <c r="AQ191" s="193"/>
      <c r="AR191" s="193"/>
      <c r="AS191" s="193"/>
      <c r="AT191" s="193"/>
      <c r="AU191" s="193"/>
      <c r="AV191" s="193"/>
      <c r="AW191" s="193"/>
      <c r="AX191" s="193"/>
      <c r="AY191" s="193"/>
      <c r="AZ191" s="193"/>
      <c r="BA191" s="193"/>
      <c r="BB191" s="193"/>
      <c r="BC191" s="193"/>
      <c r="BD191" s="193"/>
      <c r="BE191" s="193"/>
      <c r="BF191" s="193"/>
      <c r="BG191" s="193"/>
      <c r="BH191" s="193"/>
      <c r="BI191" s="193"/>
      <c r="BJ191" s="193"/>
      <c r="BK191" s="193"/>
    </row>
    <row r="192" spans="1:63" s="193" customFormat="1" ht="15" customHeight="1">
      <c r="A192" s="202">
        <v>44494</v>
      </c>
      <c r="B192" s="208" t="s">
        <v>455</v>
      </c>
      <c r="C192" s="208" t="s">
        <v>36</v>
      </c>
      <c r="D192" s="223" t="s">
        <v>6</v>
      </c>
      <c r="E192" s="204"/>
      <c r="F192" s="224">
        <v>10000</v>
      </c>
      <c r="G192" s="224">
        <f t="shared" si="3"/>
        <v>34564913</v>
      </c>
      <c r="H192" s="208" t="s">
        <v>31</v>
      </c>
      <c r="I192" s="245" t="s">
        <v>192</v>
      </c>
      <c r="J192" s="241" t="s">
        <v>107</v>
      </c>
      <c r="K192" s="228" t="s">
        <v>303</v>
      </c>
      <c r="L192" s="221" t="s">
        <v>161</v>
      </c>
      <c r="M192" s="238" t="s">
        <v>411</v>
      </c>
      <c r="N192" s="226" t="s">
        <v>324</v>
      </c>
      <c r="O192" s="203"/>
    </row>
    <row r="193" spans="1:63" s="116" customFormat="1" ht="15" hidden="1" customHeight="1">
      <c r="A193" s="202">
        <v>44494</v>
      </c>
      <c r="B193" s="208" t="s">
        <v>255</v>
      </c>
      <c r="C193" s="223" t="s">
        <v>80</v>
      </c>
      <c r="D193" s="208"/>
      <c r="E193" s="204">
        <v>10000</v>
      </c>
      <c r="F193" s="204"/>
      <c r="G193" s="224">
        <f t="shared" si="3"/>
        <v>34574913</v>
      </c>
      <c r="H193" s="208" t="s">
        <v>163</v>
      </c>
      <c r="I193" s="251"/>
      <c r="J193" s="241"/>
      <c r="K193" s="228"/>
      <c r="L193" s="203"/>
      <c r="M193" s="203"/>
      <c r="N193" s="210"/>
      <c r="O193" s="203"/>
    </row>
    <row r="194" spans="1:63" s="116" customFormat="1" ht="15" customHeight="1">
      <c r="A194" s="202">
        <v>44494</v>
      </c>
      <c r="B194" s="211" t="s">
        <v>293</v>
      </c>
      <c r="C194" s="208" t="s">
        <v>153</v>
      </c>
      <c r="D194" s="208" t="s">
        <v>182</v>
      </c>
      <c r="E194" s="204"/>
      <c r="F194" s="224">
        <v>2800</v>
      </c>
      <c r="G194" s="224">
        <f t="shared" si="3"/>
        <v>34572113</v>
      </c>
      <c r="H194" s="209" t="s">
        <v>168</v>
      </c>
      <c r="I194" s="245" t="s">
        <v>192</v>
      </c>
      <c r="J194" s="227" t="s">
        <v>338</v>
      </c>
      <c r="K194" s="228" t="s">
        <v>302</v>
      </c>
      <c r="L194" s="203" t="s">
        <v>161</v>
      </c>
      <c r="M194" s="3"/>
      <c r="N194" s="210"/>
      <c r="O194" s="203"/>
    </row>
    <row r="195" spans="1:63" s="116" customFormat="1" ht="15" hidden="1" customHeight="1">
      <c r="A195" s="202">
        <v>44494</v>
      </c>
      <c r="B195" s="211" t="s">
        <v>296</v>
      </c>
      <c r="C195" s="223" t="s">
        <v>80</v>
      </c>
      <c r="D195" s="214"/>
      <c r="E195" s="204"/>
      <c r="F195" s="204">
        <v>7600</v>
      </c>
      <c r="G195" s="224">
        <f t="shared" si="3"/>
        <v>34564513</v>
      </c>
      <c r="H195" s="209" t="s">
        <v>168</v>
      </c>
      <c r="I195" s="251"/>
      <c r="J195" s="227"/>
      <c r="K195" s="228"/>
      <c r="L195" s="203"/>
      <c r="M195" s="3"/>
      <c r="N195" s="210"/>
      <c r="O195" s="203"/>
    </row>
    <row r="196" spans="1:63" s="116" customFormat="1" ht="15" hidden="1" customHeight="1">
      <c r="A196" s="202">
        <v>44494</v>
      </c>
      <c r="B196" s="208" t="s">
        <v>255</v>
      </c>
      <c r="C196" s="223" t="s">
        <v>80</v>
      </c>
      <c r="D196" s="208"/>
      <c r="E196" s="204">
        <v>10000</v>
      </c>
      <c r="F196" s="204"/>
      <c r="G196" s="224">
        <f t="shared" si="3"/>
        <v>34574513</v>
      </c>
      <c r="H196" s="208" t="s">
        <v>179</v>
      </c>
      <c r="I196" s="251"/>
      <c r="J196" s="227"/>
      <c r="K196" s="228"/>
      <c r="L196" s="203"/>
      <c r="M196" s="203"/>
      <c r="N196" s="210"/>
      <c r="O196" s="203"/>
      <c r="P196" s="193"/>
      <c r="Q196" s="193"/>
      <c r="R196" s="193"/>
      <c r="S196" s="193"/>
      <c r="T196" s="193"/>
      <c r="U196" s="193"/>
      <c r="V196" s="193"/>
      <c r="W196" s="193"/>
      <c r="X196" s="193"/>
      <c r="Y196" s="193"/>
      <c r="Z196" s="193"/>
      <c r="AA196" s="193"/>
      <c r="AB196" s="193"/>
      <c r="AC196" s="193"/>
      <c r="AD196" s="193"/>
      <c r="AE196" s="193"/>
      <c r="AF196" s="193"/>
      <c r="AG196" s="193"/>
      <c r="AH196" s="193"/>
      <c r="AI196" s="193"/>
      <c r="AJ196" s="193"/>
      <c r="AK196" s="193"/>
      <c r="AL196" s="193"/>
      <c r="AM196" s="193"/>
      <c r="AN196" s="193"/>
      <c r="AO196" s="193"/>
      <c r="AP196" s="193"/>
      <c r="AQ196" s="193"/>
      <c r="AR196" s="193"/>
      <c r="AS196" s="193"/>
      <c r="AT196" s="193"/>
      <c r="AU196" s="193"/>
      <c r="AV196" s="193"/>
      <c r="AW196" s="193"/>
      <c r="AX196" s="193"/>
      <c r="AY196" s="193"/>
      <c r="AZ196" s="193"/>
      <c r="BA196" s="193"/>
      <c r="BB196" s="193"/>
      <c r="BC196" s="193"/>
      <c r="BD196" s="193"/>
      <c r="BE196" s="193"/>
      <c r="BF196" s="193"/>
      <c r="BG196" s="193"/>
      <c r="BH196" s="193"/>
      <c r="BI196" s="193"/>
      <c r="BJ196" s="193"/>
      <c r="BK196" s="193"/>
    </row>
    <row r="197" spans="1:63" s="116" customFormat="1" ht="15" hidden="1" customHeight="1">
      <c r="A197" s="222">
        <v>44495</v>
      </c>
      <c r="B197" s="223" t="s">
        <v>180</v>
      </c>
      <c r="C197" s="223" t="s">
        <v>80</v>
      </c>
      <c r="D197" s="223"/>
      <c r="E197" s="224"/>
      <c r="F197" s="224">
        <v>10000</v>
      </c>
      <c r="G197" s="224">
        <f t="shared" si="3"/>
        <v>34564513</v>
      </c>
      <c r="H197" s="223" t="s">
        <v>27</v>
      </c>
      <c r="I197" s="252"/>
      <c r="J197" s="226"/>
      <c r="K197" s="228"/>
      <c r="L197" s="221"/>
      <c r="M197" s="230"/>
      <c r="N197" s="226"/>
      <c r="O197" s="221"/>
      <c r="P197" s="193"/>
      <c r="Q197" s="193"/>
      <c r="R197" s="193"/>
      <c r="S197" s="193"/>
      <c r="T197" s="193"/>
      <c r="U197" s="193"/>
      <c r="V197" s="193"/>
      <c r="W197" s="193"/>
      <c r="X197" s="193"/>
      <c r="Y197" s="193"/>
      <c r="Z197" s="193"/>
      <c r="AA197" s="193"/>
      <c r="AB197" s="193"/>
      <c r="AC197" s="193"/>
      <c r="AD197" s="193"/>
      <c r="AE197" s="193"/>
      <c r="AF197" s="193"/>
      <c r="AG197" s="193"/>
      <c r="AH197" s="193"/>
      <c r="AI197" s="193"/>
      <c r="AJ197" s="193"/>
      <c r="AK197" s="193"/>
      <c r="AL197" s="193"/>
      <c r="AM197" s="193"/>
      <c r="AN197" s="193"/>
      <c r="AO197" s="193"/>
      <c r="AP197" s="193"/>
      <c r="AQ197" s="193"/>
      <c r="AR197" s="193"/>
      <c r="AS197" s="193"/>
      <c r="AT197" s="193"/>
      <c r="AU197" s="193"/>
      <c r="AV197" s="193"/>
      <c r="AW197" s="193"/>
      <c r="AX197" s="193"/>
      <c r="AY197" s="193"/>
      <c r="AZ197" s="193"/>
      <c r="BA197" s="193"/>
      <c r="BB197" s="193"/>
      <c r="BC197" s="193"/>
      <c r="BD197" s="193"/>
      <c r="BE197" s="193"/>
      <c r="BF197" s="193"/>
      <c r="BG197" s="193"/>
      <c r="BH197" s="193"/>
      <c r="BI197" s="193"/>
      <c r="BJ197" s="193"/>
      <c r="BK197" s="193"/>
    </row>
    <row r="198" spans="1:63" s="116" customFormat="1" ht="15" hidden="1" customHeight="1">
      <c r="A198" s="222">
        <v>44495</v>
      </c>
      <c r="B198" s="223" t="s">
        <v>33</v>
      </c>
      <c r="C198" s="223" t="s">
        <v>80</v>
      </c>
      <c r="D198" s="223"/>
      <c r="E198" s="224"/>
      <c r="F198" s="224">
        <v>5000</v>
      </c>
      <c r="G198" s="224">
        <f t="shared" si="3"/>
        <v>34559513</v>
      </c>
      <c r="H198" s="223" t="s">
        <v>27</v>
      </c>
      <c r="I198" s="252"/>
      <c r="J198" s="226"/>
      <c r="K198" s="238"/>
      <c r="L198" s="221"/>
      <c r="M198" s="230"/>
      <c r="N198" s="226"/>
      <c r="O198" s="221"/>
    </row>
    <row r="199" spans="1:63" s="116" customFormat="1" ht="15" hidden="1" customHeight="1">
      <c r="A199" s="222">
        <v>44495</v>
      </c>
      <c r="B199" s="223" t="s">
        <v>179</v>
      </c>
      <c r="C199" s="223" t="s">
        <v>80</v>
      </c>
      <c r="D199" s="223"/>
      <c r="E199" s="224"/>
      <c r="F199" s="224">
        <v>10000</v>
      </c>
      <c r="G199" s="224">
        <f t="shared" si="3"/>
        <v>34549513</v>
      </c>
      <c r="H199" s="223" t="s">
        <v>27</v>
      </c>
      <c r="I199" s="252"/>
      <c r="J199" s="227"/>
      <c r="K199" s="228"/>
      <c r="L199" s="221"/>
      <c r="M199" s="230"/>
      <c r="N199" s="226"/>
      <c r="O199" s="221"/>
      <c r="P199" s="193"/>
      <c r="Q199" s="193"/>
      <c r="R199" s="193"/>
      <c r="S199" s="193"/>
      <c r="T199" s="193"/>
      <c r="U199" s="193"/>
      <c r="V199" s="193"/>
      <c r="W199" s="193"/>
      <c r="X199" s="193"/>
      <c r="Y199" s="193"/>
      <c r="Z199" s="193"/>
      <c r="AA199" s="193"/>
      <c r="AB199" s="193"/>
      <c r="AC199" s="193"/>
      <c r="AD199" s="193"/>
      <c r="AE199" s="193"/>
      <c r="AF199" s="193"/>
      <c r="AG199" s="193"/>
      <c r="AH199" s="193"/>
      <c r="AI199" s="193"/>
      <c r="AJ199" s="193"/>
      <c r="AK199" s="193"/>
      <c r="AL199" s="193"/>
      <c r="AM199" s="193"/>
      <c r="AN199" s="193"/>
      <c r="AO199" s="193"/>
      <c r="AP199" s="193"/>
      <c r="AQ199" s="193"/>
      <c r="AR199" s="193"/>
      <c r="AS199" s="193"/>
      <c r="AT199" s="193"/>
      <c r="AU199" s="193"/>
      <c r="AV199" s="193"/>
      <c r="AW199" s="193"/>
      <c r="AX199" s="193"/>
      <c r="AY199" s="193"/>
      <c r="AZ199" s="193"/>
      <c r="BA199" s="193"/>
      <c r="BB199" s="193"/>
      <c r="BC199" s="193"/>
      <c r="BD199" s="193"/>
      <c r="BE199" s="193"/>
      <c r="BF199" s="193"/>
      <c r="BG199" s="193"/>
      <c r="BH199" s="193"/>
      <c r="BI199" s="193"/>
      <c r="BJ199" s="193"/>
      <c r="BK199" s="193"/>
    </row>
    <row r="200" spans="1:63" s="193" customFormat="1" ht="15" hidden="1" customHeight="1">
      <c r="A200" s="222">
        <v>44495</v>
      </c>
      <c r="B200" s="228" t="s">
        <v>31</v>
      </c>
      <c r="C200" s="223" t="s">
        <v>80</v>
      </c>
      <c r="D200" s="224"/>
      <c r="E200" s="224"/>
      <c r="F200" s="224">
        <v>40000</v>
      </c>
      <c r="G200" s="224">
        <f t="shared" si="3"/>
        <v>34509513</v>
      </c>
      <c r="H200" s="223" t="s">
        <v>27</v>
      </c>
      <c r="I200" s="252"/>
      <c r="J200" s="241"/>
      <c r="K200" s="228"/>
      <c r="L200" s="221"/>
      <c r="M200" s="230"/>
      <c r="N200" s="226"/>
      <c r="O200" s="221"/>
      <c r="P200" s="116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</row>
    <row r="201" spans="1:63" s="116" customFormat="1" ht="15" hidden="1" customHeight="1">
      <c r="A201" s="222">
        <v>44495</v>
      </c>
      <c r="B201" s="245" t="s">
        <v>52</v>
      </c>
      <c r="C201" s="223" t="s">
        <v>80</v>
      </c>
      <c r="D201" s="223"/>
      <c r="E201" s="224"/>
      <c r="F201" s="224">
        <v>10000</v>
      </c>
      <c r="G201" s="224">
        <f t="shared" si="3"/>
        <v>34499513</v>
      </c>
      <c r="H201" s="228" t="s">
        <v>27</v>
      </c>
      <c r="I201" s="252"/>
      <c r="J201" s="227"/>
      <c r="K201" s="228"/>
      <c r="L201" s="221"/>
      <c r="M201" s="230"/>
      <c r="N201" s="226"/>
      <c r="O201" s="221"/>
    </row>
    <row r="202" spans="1:63" s="193" customFormat="1" ht="15" hidden="1" customHeight="1">
      <c r="A202" s="222">
        <v>44495</v>
      </c>
      <c r="B202" s="245" t="s">
        <v>262</v>
      </c>
      <c r="C202" s="223" t="s">
        <v>80</v>
      </c>
      <c r="D202" s="235"/>
      <c r="E202" s="224">
        <v>5000</v>
      </c>
      <c r="F202" s="224"/>
      <c r="G202" s="224">
        <f t="shared" si="3"/>
        <v>34504513</v>
      </c>
      <c r="H202" s="228" t="s">
        <v>33</v>
      </c>
      <c r="I202" s="252"/>
      <c r="J202" s="227"/>
      <c r="K202" s="228"/>
      <c r="L202" s="221"/>
      <c r="M202" s="230"/>
      <c r="N202" s="226"/>
      <c r="O202" s="221"/>
    </row>
    <row r="203" spans="1:63" s="193" customFormat="1" ht="15" customHeight="1">
      <c r="A203" s="222">
        <v>44495</v>
      </c>
      <c r="B203" s="228" t="s">
        <v>339</v>
      </c>
      <c r="C203" s="228" t="s">
        <v>169</v>
      </c>
      <c r="D203" s="208" t="s">
        <v>344</v>
      </c>
      <c r="E203" s="224"/>
      <c r="F203" s="224">
        <v>5000</v>
      </c>
      <c r="G203" s="224">
        <f t="shared" si="3"/>
        <v>34499513</v>
      </c>
      <c r="H203" s="223" t="s">
        <v>52</v>
      </c>
      <c r="I203" s="252" t="s">
        <v>207</v>
      </c>
      <c r="J203" s="227" t="s">
        <v>338</v>
      </c>
      <c r="K203" s="228" t="s">
        <v>302</v>
      </c>
      <c r="L203" s="221" t="s">
        <v>161</v>
      </c>
      <c r="M203" s="230"/>
      <c r="N203" s="226"/>
      <c r="O203" s="221"/>
      <c r="P203" s="116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</row>
    <row r="204" spans="1:63" s="116" customFormat="1" ht="15" hidden="1" customHeight="1">
      <c r="A204" s="222">
        <v>44495</v>
      </c>
      <c r="B204" s="228" t="s">
        <v>264</v>
      </c>
      <c r="C204" s="223" t="s">
        <v>80</v>
      </c>
      <c r="D204" s="224"/>
      <c r="E204" s="224">
        <v>10000</v>
      </c>
      <c r="F204" s="224"/>
      <c r="G204" s="224">
        <f t="shared" si="3"/>
        <v>34509513</v>
      </c>
      <c r="H204" s="223" t="s">
        <v>52</v>
      </c>
      <c r="I204" s="245"/>
      <c r="J204" s="241"/>
      <c r="K204" s="228"/>
      <c r="L204" s="221"/>
      <c r="M204" s="230"/>
      <c r="N204" s="226"/>
      <c r="O204" s="221"/>
    </row>
    <row r="205" spans="1:63" s="116" customFormat="1" ht="15" customHeight="1">
      <c r="A205" s="222">
        <v>44495</v>
      </c>
      <c r="B205" s="223" t="s">
        <v>269</v>
      </c>
      <c r="C205" s="223" t="s">
        <v>169</v>
      </c>
      <c r="D205" s="223" t="s">
        <v>6</v>
      </c>
      <c r="E205" s="224"/>
      <c r="F205" s="224">
        <v>30000</v>
      </c>
      <c r="G205" s="224">
        <f t="shared" si="3"/>
        <v>34479513</v>
      </c>
      <c r="H205" s="223" t="s">
        <v>53</v>
      </c>
      <c r="I205" s="252" t="s">
        <v>207</v>
      </c>
      <c r="J205" s="226" t="s">
        <v>107</v>
      </c>
      <c r="K205" s="228" t="s">
        <v>303</v>
      </c>
      <c r="L205" s="221" t="s">
        <v>161</v>
      </c>
      <c r="M205" s="238" t="s">
        <v>412</v>
      </c>
      <c r="N205" s="226" t="s">
        <v>329</v>
      </c>
      <c r="O205" s="221"/>
      <c r="P205" s="193"/>
      <c r="Q205" s="193"/>
      <c r="R205" s="193"/>
      <c r="S205" s="193"/>
      <c r="T205" s="193"/>
      <c r="U205" s="193"/>
      <c r="V205" s="193"/>
      <c r="W205" s="193"/>
      <c r="X205" s="193"/>
      <c r="Y205" s="193"/>
      <c r="Z205" s="193"/>
      <c r="AA205" s="193"/>
      <c r="AB205" s="193"/>
      <c r="AC205" s="193"/>
      <c r="AD205" s="193"/>
      <c r="AE205" s="193"/>
      <c r="AF205" s="193"/>
      <c r="AG205" s="193"/>
      <c r="AH205" s="193"/>
      <c r="AI205" s="193"/>
      <c r="AJ205" s="193"/>
      <c r="AK205" s="193"/>
      <c r="AL205" s="193"/>
      <c r="AM205" s="193"/>
      <c r="AN205" s="193"/>
      <c r="AO205" s="193"/>
      <c r="AP205" s="193"/>
      <c r="AQ205" s="193"/>
      <c r="AR205" s="193"/>
      <c r="AS205" s="193"/>
      <c r="AT205" s="193"/>
      <c r="AU205" s="193"/>
      <c r="AV205" s="193"/>
      <c r="AW205" s="193"/>
      <c r="AX205" s="193"/>
      <c r="AY205" s="193"/>
      <c r="AZ205" s="193"/>
      <c r="BA205" s="193"/>
      <c r="BB205" s="193"/>
      <c r="BC205" s="193"/>
      <c r="BD205" s="193"/>
      <c r="BE205" s="193"/>
      <c r="BF205" s="193"/>
      <c r="BG205" s="193"/>
      <c r="BH205" s="193"/>
      <c r="BI205" s="193"/>
      <c r="BJ205" s="193"/>
      <c r="BK205" s="193"/>
    </row>
    <row r="206" spans="1:63" s="116" customFormat="1" ht="15" customHeight="1">
      <c r="A206" s="222">
        <v>44495</v>
      </c>
      <c r="B206" s="223" t="s">
        <v>447</v>
      </c>
      <c r="C206" s="223" t="s">
        <v>36</v>
      </c>
      <c r="D206" s="223" t="s">
        <v>6</v>
      </c>
      <c r="E206" s="224"/>
      <c r="F206" s="224">
        <v>10000</v>
      </c>
      <c r="G206" s="224">
        <f t="shared" si="3"/>
        <v>34469513</v>
      </c>
      <c r="H206" s="223" t="s">
        <v>53</v>
      </c>
      <c r="I206" s="252" t="s">
        <v>207</v>
      </c>
      <c r="J206" s="241" t="s">
        <v>107</v>
      </c>
      <c r="K206" s="228" t="s">
        <v>303</v>
      </c>
      <c r="L206" s="221" t="s">
        <v>161</v>
      </c>
      <c r="M206" s="238" t="s">
        <v>414</v>
      </c>
      <c r="N206" s="226" t="s">
        <v>324</v>
      </c>
      <c r="O206" s="221"/>
      <c r="P206" s="193"/>
      <c r="Q206" s="193"/>
      <c r="R206" s="193"/>
      <c r="S206" s="193"/>
      <c r="T206" s="193"/>
      <c r="U206" s="193"/>
      <c r="V206" s="193"/>
      <c r="W206" s="193"/>
      <c r="X206" s="193"/>
      <c r="Y206" s="193"/>
      <c r="Z206" s="193"/>
      <c r="AA206" s="193"/>
      <c r="AB206" s="193"/>
      <c r="AC206" s="193"/>
      <c r="AD206" s="193"/>
      <c r="AE206" s="193"/>
      <c r="AF206" s="193"/>
      <c r="AG206" s="193"/>
      <c r="AH206" s="193"/>
      <c r="AI206" s="193"/>
      <c r="AJ206" s="193"/>
      <c r="AK206" s="193"/>
      <c r="AL206" s="193"/>
      <c r="AM206" s="193"/>
      <c r="AN206" s="193"/>
      <c r="AO206" s="193"/>
      <c r="AP206" s="193"/>
      <c r="AQ206" s="193"/>
      <c r="AR206" s="193"/>
      <c r="AS206" s="193"/>
      <c r="AT206" s="193"/>
      <c r="AU206" s="193"/>
      <c r="AV206" s="193"/>
      <c r="AW206" s="193"/>
      <c r="AX206" s="193"/>
      <c r="AY206" s="193"/>
      <c r="AZ206" s="193"/>
      <c r="BA206" s="193"/>
      <c r="BB206" s="193"/>
      <c r="BC206" s="193"/>
      <c r="BD206" s="193"/>
      <c r="BE206" s="193"/>
      <c r="BF206" s="193"/>
      <c r="BG206" s="193"/>
      <c r="BH206" s="193"/>
      <c r="BI206" s="193"/>
      <c r="BJ206" s="193"/>
      <c r="BK206" s="193"/>
    </row>
    <row r="207" spans="1:63" s="193" customFormat="1" ht="15" customHeight="1">
      <c r="A207" s="222">
        <v>44495</v>
      </c>
      <c r="B207" s="228" t="s">
        <v>271</v>
      </c>
      <c r="C207" s="223" t="s">
        <v>36</v>
      </c>
      <c r="D207" s="223" t="s">
        <v>6</v>
      </c>
      <c r="E207" s="224"/>
      <c r="F207" s="224">
        <v>10000</v>
      </c>
      <c r="G207" s="224">
        <f t="shared" si="3"/>
        <v>34459513</v>
      </c>
      <c r="H207" s="223" t="s">
        <v>53</v>
      </c>
      <c r="I207" s="252" t="s">
        <v>207</v>
      </c>
      <c r="J207" s="241" t="s">
        <v>107</v>
      </c>
      <c r="K207" s="228" t="s">
        <v>303</v>
      </c>
      <c r="L207" s="221" t="s">
        <v>161</v>
      </c>
      <c r="M207" s="238" t="s">
        <v>415</v>
      </c>
      <c r="N207" s="226" t="s">
        <v>324</v>
      </c>
      <c r="O207" s="221"/>
    </row>
    <row r="208" spans="1:63" s="193" customFormat="1" ht="15" customHeight="1">
      <c r="A208" s="222">
        <v>44496</v>
      </c>
      <c r="B208" s="223" t="s">
        <v>270</v>
      </c>
      <c r="C208" s="223" t="s">
        <v>36</v>
      </c>
      <c r="D208" s="223" t="s">
        <v>6</v>
      </c>
      <c r="E208" s="224"/>
      <c r="F208" s="224">
        <v>8000</v>
      </c>
      <c r="G208" s="224">
        <f t="shared" ref="G208:G252" si="4">+G207+E208-F208</f>
        <v>34451513</v>
      </c>
      <c r="H208" s="223" t="s">
        <v>53</v>
      </c>
      <c r="I208" s="252" t="s">
        <v>207</v>
      </c>
      <c r="J208" s="241" t="s">
        <v>107</v>
      </c>
      <c r="K208" s="228" t="s">
        <v>303</v>
      </c>
      <c r="L208" s="221" t="s">
        <v>161</v>
      </c>
      <c r="M208" s="238" t="s">
        <v>413</v>
      </c>
      <c r="N208" s="226" t="s">
        <v>324</v>
      </c>
      <c r="O208" s="221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/>
      <c r="BH208" s="116"/>
      <c r="BI208" s="116"/>
      <c r="BJ208" s="116"/>
      <c r="BK208" s="116"/>
    </row>
    <row r="209" spans="1:63" s="116" customFormat="1" ht="15" hidden="1" customHeight="1">
      <c r="A209" s="202">
        <v>44495</v>
      </c>
      <c r="B209" s="208" t="s">
        <v>276</v>
      </c>
      <c r="C209" s="223" t="s">
        <v>80</v>
      </c>
      <c r="D209" s="208"/>
      <c r="E209" s="204">
        <v>40000</v>
      </c>
      <c r="F209" s="204"/>
      <c r="G209" s="224">
        <f t="shared" si="4"/>
        <v>34491513</v>
      </c>
      <c r="H209" s="208" t="s">
        <v>31</v>
      </c>
      <c r="I209" s="251"/>
      <c r="J209" s="207"/>
      <c r="K209" s="209"/>
      <c r="L209" s="203"/>
      <c r="M209" s="203"/>
      <c r="N209" s="210"/>
      <c r="O209" s="203"/>
      <c r="P209" s="193"/>
      <c r="Q209" s="193"/>
      <c r="R209" s="193"/>
      <c r="S209" s="193"/>
      <c r="T209" s="193"/>
      <c r="U209" s="193"/>
      <c r="V209" s="193"/>
      <c r="W209" s="193"/>
      <c r="X209" s="193"/>
      <c r="Y209" s="193"/>
      <c r="Z209" s="193"/>
      <c r="AA209" s="193"/>
      <c r="AB209" s="193"/>
      <c r="AC209" s="193"/>
      <c r="AD209" s="193"/>
      <c r="AE209" s="193"/>
      <c r="AF209" s="193"/>
      <c r="AG209" s="193"/>
      <c r="AH209" s="193"/>
      <c r="AI209" s="193"/>
      <c r="AJ209" s="193"/>
      <c r="AK209" s="193"/>
      <c r="AL209" s="193"/>
      <c r="AM209" s="193"/>
      <c r="AN209" s="193"/>
      <c r="AO209" s="193"/>
      <c r="AP209" s="193"/>
      <c r="AQ209" s="193"/>
      <c r="AR209" s="193"/>
      <c r="AS209" s="193"/>
      <c r="AT209" s="193"/>
      <c r="AU209" s="193"/>
      <c r="AV209" s="193"/>
      <c r="AW209" s="193"/>
      <c r="AX209" s="193"/>
      <c r="AY209" s="193"/>
      <c r="AZ209" s="193"/>
      <c r="BA209" s="193"/>
      <c r="BB209" s="193"/>
      <c r="BC209" s="193"/>
      <c r="BD209" s="193"/>
      <c r="BE209" s="193"/>
      <c r="BF209" s="193"/>
      <c r="BG209" s="193"/>
      <c r="BH209" s="193"/>
      <c r="BI209" s="193"/>
      <c r="BJ209" s="193"/>
      <c r="BK209" s="193"/>
    </row>
    <row r="210" spans="1:63" s="193" customFormat="1" ht="15" customHeight="1">
      <c r="A210" s="202">
        <v>44495</v>
      </c>
      <c r="B210" s="208" t="s">
        <v>283</v>
      </c>
      <c r="C210" s="223" t="s">
        <v>275</v>
      </c>
      <c r="D210" s="223" t="s">
        <v>6</v>
      </c>
      <c r="E210" s="204"/>
      <c r="F210" s="224">
        <v>50500</v>
      </c>
      <c r="G210" s="224">
        <f t="shared" si="4"/>
        <v>34441013</v>
      </c>
      <c r="H210" s="208" t="s">
        <v>31</v>
      </c>
      <c r="I210" s="245" t="s">
        <v>192</v>
      </c>
      <c r="J210" s="227" t="s">
        <v>338</v>
      </c>
      <c r="K210" s="228" t="s">
        <v>302</v>
      </c>
      <c r="L210" s="203" t="s">
        <v>161</v>
      </c>
      <c r="M210" s="210"/>
      <c r="N210" s="210"/>
      <c r="O210" s="203"/>
    </row>
    <row r="211" spans="1:63" s="193" customFormat="1" ht="15.75" hidden="1">
      <c r="A211" s="202">
        <v>44495</v>
      </c>
      <c r="B211" s="208" t="s">
        <v>255</v>
      </c>
      <c r="C211" s="223" t="s">
        <v>80</v>
      </c>
      <c r="D211" s="208"/>
      <c r="E211" s="204">
        <v>10000</v>
      </c>
      <c r="F211" s="204"/>
      <c r="G211" s="224">
        <f t="shared" si="4"/>
        <v>34451013</v>
      </c>
      <c r="H211" s="208" t="s">
        <v>163</v>
      </c>
      <c r="I211" s="251"/>
      <c r="J211" s="241"/>
      <c r="K211" s="228"/>
      <c r="L211" s="203"/>
      <c r="M211" s="3"/>
      <c r="N211" s="210"/>
      <c r="O211" s="203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  <c r="BG211" s="116"/>
      <c r="BH211" s="116"/>
      <c r="BI211" s="116"/>
      <c r="BJ211" s="116"/>
      <c r="BK211" s="116"/>
    </row>
    <row r="212" spans="1:63" s="116" customFormat="1" ht="15.75" hidden="1">
      <c r="A212" s="202">
        <v>44495</v>
      </c>
      <c r="B212" s="208" t="s">
        <v>255</v>
      </c>
      <c r="C212" s="223" t="s">
        <v>80</v>
      </c>
      <c r="D212" s="208"/>
      <c r="E212" s="204">
        <v>10000</v>
      </c>
      <c r="F212" s="204"/>
      <c r="G212" s="224">
        <f t="shared" si="4"/>
        <v>34461013</v>
      </c>
      <c r="H212" s="208" t="s">
        <v>179</v>
      </c>
      <c r="I212" s="251"/>
      <c r="J212" s="227"/>
      <c r="K212" s="228"/>
      <c r="L212" s="203"/>
      <c r="M212" s="210"/>
      <c r="N212" s="210"/>
      <c r="O212" s="203"/>
    </row>
    <row r="213" spans="1:63" s="193" customFormat="1">
      <c r="A213" s="202">
        <v>44495</v>
      </c>
      <c r="B213" s="208" t="s">
        <v>346</v>
      </c>
      <c r="C213" s="228" t="s">
        <v>169</v>
      </c>
      <c r="D213" s="208" t="s">
        <v>344</v>
      </c>
      <c r="E213" s="204"/>
      <c r="F213" s="224">
        <v>5000</v>
      </c>
      <c r="G213" s="224">
        <f t="shared" si="4"/>
        <v>34456013</v>
      </c>
      <c r="H213" s="208" t="s">
        <v>179</v>
      </c>
      <c r="I213" s="252" t="s">
        <v>207</v>
      </c>
      <c r="J213" s="227" t="s">
        <v>338</v>
      </c>
      <c r="K213" s="228" t="s">
        <v>302</v>
      </c>
      <c r="L213" s="203" t="s">
        <v>161</v>
      </c>
      <c r="M213" s="210"/>
      <c r="N213" s="210"/>
      <c r="O213" s="203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  <c r="BG213" s="116"/>
      <c r="BH213" s="116"/>
      <c r="BI213" s="116"/>
      <c r="BJ213" s="116"/>
      <c r="BK213" s="116"/>
    </row>
    <row r="214" spans="1:63" s="193" customFormat="1" ht="16.5" customHeight="1">
      <c r="A214" s="222">
        <v>44496</v>
      </c>
      <c r="B214" s="228" t="s">
        <v>218</v>
      </c>
      <c r="C214" s="223" t="s">
        <v>321</v>
      </c>
      <c r="D214" s="208" t="s">
        <v>182</v>
      </c>
      <c r="E214" s="224"/>
      <c r="F214" s="224">
        <v>5000</v>
      </c>
      <c r="G214" s="224">
        <f t="shared" si="4"/>
        <v>34451013</v>
      </c>
      <c r="H214" s="228" t="s">
        <v>27</v>
      </c>
      <c r="I214" s="252" t="s">
        <v>207</v>
      </c>
      <c r="J214" s="226" t="s">
        <v>107</v>
      </c>
      <c r="K214" s="228" t="s">
        <v>303</v>
      </c>
      <c r="L214" s="221" t="s">
        <v>161</v>
      </c>
      <c r="M214" s="238" t="s">
        <v>416</v>
      </c>
      <c r="N214" s="226" t="s">
        <v>322</v>
      </c>
      <c r="O214" s="221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  <c r="BG214" s="116"/>
      <c r="BH214" s="116"/>
      <c r="BI214" s="116"/>
      <c r="BJ214" s="116"/>
      <c r="BK214" s="116"/>
    </row>
    <row r="215" spans="1:63" s="116" customFormat="1" hidden="1">
      <c r="A215" s="222">
        <v>44496</v>
      </c>
      <c r="B215" s="223" t="s">
        <v>33</v>
      </c>
      <c r="C215" s="223" t="s">
        <v>80</v>
      </c>
      <c r="D215" s="224"/>
      <c r="E215" s="230"/>
      <c r="F215" s="224">
        <v>15000</v>
      </c>
      <c r="G215" s="224">
        <f t="shared" si="4"/>
        <v>34436013</v>
      </c>
      <c r="H215" s="223" t="s">
        <v>27</v>
      </c>
      <c r="I215" s="252"/>
      <c r="J215" s="241"/>
      <c r="K215" s="238"/>
      <c r="L215" s="221"/>
      <c r="M215" s="230"/>
      <c r="N215" s="226"/>
      <c r="O215" s="221"/>
    </row>
    <row r="216" spans="1:63" s="116" customFormat="1" hidden="1">
      <c r="A216" s="222">
        <v>44496</v>
      </c>
      <c r="B216" s="223" t="s">
        <v>52</v>
      </c>
      <c r="C216" s="223" t="s">
        <v>80</v>
      </c>
      <c r="D216" s="223"/>
      <c r="E216" s="230"/>
      <c r="F216" s="224">
        <v>15000</v>
      </c>
      <c r="G216" s="224">
        <f t="shared" si="4"/>
        <v>34421013</v>
      </c>
      <c r="H216" s="228" t="s">
        <v>27</v>
      </c>
      <c r="I216" s="252"/>
      <c r="J216" s="226"/>
      <c r="K216" s="228"/>
      <c r="L216" s="221"/>
      <c r="M216" s="230"/>
      <c r="N216" s="226"/>
      <c r="O216" s="221"/>
    </row>
    <row r="217" spans="1:63" s="116" customFormat="1" ht="15" hidden="1" customHeight="1">
      <c r="A217" s="222">
        <v>44496</v>
      </c>
      <c r="B217" s="245" t="s">
        <v>179</v>
      </c>
      <c r="C217" s="223" t="s">
        <v>80</v>
      </c>
      <c r="D217" s="223"/>
      <c r="E217" s="224"/>
      <c r="F217" s="224">
        <v>15000</v>
      </c>
      <c r="G217" s="224">
        <f t="shared" si="4"/>
        <v>34406013</v>
      </c>
      <c r="H217" s="223" t="s">
        <v>27</v>
      </c>
      <c r="I217" s="252"/>
      <c r="J217" s="226"/>
      <c r="K217" s="228"/>
      <c r="L217" s="221"/>
      <c r="M217" s="230"/>
      <c r="N217" s="226"/>
      <c r="O217" s="221"/>
      <c r="P217" s="193"/>
      <c r="Q217" s="193"/>
      <c r="R217" s="193"/>
      <c r="S217" s="193"/>
      <c r="T217" s="193"/>
      <c r="U217" s="193"/>
      <c r="V217" s="193"/>
      <c r="W217" s="193"/>
      <c r="X217" s="193"/>
      <c r="Y217" s="193"/>
      <c r="Z217" s="193"/>
      <c r="AA217" s="193"/>
      <c r="AB217" s="193"/>
      <c r="AC217" s="193"/>
      <c r="AD217" s="193"/>
      <c r="AE217" s="193"/>
      <c r="AF217" s="193"/>
      <c r="AG217" s="193"/>
      <c r="AH217" s="193"/>
      <c r="AI217" s="193"/>
      <c r="AJ217" s="193"/>
      <c r="AK217" s="193"/>
      <c r="AL217" s="193"/>
      <c r="AM217" s="193"/>
      <c r="AN217" s="193"/>
      <c r="AO217" s="193"/>
      <c r="AP217" s="193"/>
      <c r="AQ217" s="193"/>
      <c r="AR217" s="193"/>
      <c r="AS217" s="193"/>
      <c r="AT217" s="193"/>
      <c r="AU217" s="193"/>
      <c r="AV217" s="193"/>
      <c r="AW217" s="193"/>
      <c r="AX217" s="193"/>
      <c r="AY217" s="193"/>
      <c r="AZ217" s="193"/>
      <c r="BA217" s="193"/>
      <c r="BB217" s="193"/>
      <c r="BC217" s="193"/>
      <c r="BD217" s="193"/>
      <c r="BE217" s="193"/>
      <c r="BF217" s="193"/>
      <c r="BG217" s="193"/>
      <c r="BH217" s="193"/>
      <c r="BI217" s="193"/>
      <c r="BJ217" s="193"/>
      <c r="BK217" s="193"/>
    </row>
    <row r="218" spans="1:63" s="193" customFormat="1" ht="15" hidden="1" customHeight="1">
      <c r="A218" s="222">
        <v>44496</v>
      </c>
      <c r="B218" s="223" t="s">
        <v>184</v>
      </c>
      <c r="C218" s="223" t="s">
        <v>80</v>
      </c>
      <c r="D218" s="224"/>
      <c r="E218" s="224"/>
      <c r="F218" s="224">
        <v>15000</v>
      </c>
      <c r="G218" s="224">
        <f t="shared" si="4"/>
        <v>34391013</v>
      </c>
      <c r="H218" s="223" t="s">
        <v>27</v>
      </c>
      <c r="I218" s="252"/>
      <c r="J218" s="241"/>
      <c r="K218" s="238"/>
      <c r="L218" s="221"/>
      <c r="M218" s="230"/>
      <c r="N218" s="226"/>
      <c r="O218" s="221"/>
    </row>
    <row r="219" spans="1:63" s="116" customFormat="1" ht="15" hidden="1" customHeight="1">
      <c r="A219" s="222">
        <v>44496</v>
      </c>
      <c r="B219" s="228" t="s">
        <v>180</v>
      </c>
      <c r="C219" s="223" t="s">
        <v>80</v>
      </c>
      <c r="D219" s="224"/>
      <c r="E219" s="224"/>
      <c r="F219" s="224">
        <v>85000</v>
      </c>
      <c r="G219" s="224">
        <f t="shared" si="4"/>
        <v>34306013</v>
      </c>
      <c r="H219" s="223" t="s">
        <v>27</v>
      </c>
      <c r="I219" s="252"/>
      <c r="J219" s="241"/>
      <c r="K219" s="228"/>
      <c r="L219" s="221"/>
      <c r="M219" s="230"/>
      <c r="N219" s="226"/>
      <c r="O219" s="221"/>
      <c r="P219" s="193"/>
      <c r="Q219" s="193"/>
      <c r="R219" s="193"/>
      <c r="S219" s="193"/>
      <c r="T219" s="193"/>
      <c r="U219" s="193"/>
      <c r="V219" s="193"/>
      <c r="W219" s="193"/>
      <c r="X219" s="193"/>
      <c r="Y219" s="193"/>
      <c r="Z219" s="193"/>
      <c r="AA219" s="193"/>
      <c r="AB219" s="193"/>
      <c r="AC219" s="193"/>
      <c r="AD219" s="193"/>
      <c r="AE219" s="193"/>
      <c r="AF219" s="193"/>
      <c r="AG219" s="193"/>
      <c r="AH219" s="193"/>
      <c r="AI219" s="193"/>
      <c r="AJ219" s="193"/>
      <c r="AK219" s="193"/>
      <c r="AL219" s="193"/>
      <c r="AM219" s="193"/>
      <c r="AN219" s="193"/>
      <c r="AO219" s="193"/>
      <c r="AP219" s="193"/>
      <c r="AQ219" s="193"/>
      <c r="AR219" s="193"/>
      <c r="AS219" s="193"/>
      <c r="AT219" s="193"/>
      <c r="AU219" s="193"/>
      <c r="AV219" s="193"/>
      <c r="AW219" s="193"/>
      <c r="AX219" s="193"/>
      <c r="AY219" s="193"/>
      <c r="AZ219" s="193"/>
      <c r="BA219" s="193"/>
      <c r="BB219" s="193"/>
      <c r="BC219" s="193"/>
      <c r="BD219" s="193"/>
      <c r="BE219" s="193"/>
      <c r="BF219" s="193"/>
      <c r="BG219" s="193"/>
      <c r="BH219" s="193"/>
      <c r="BI219" s="193"/>
      <c r="BJ219" s="193"/>
      <c r="BK219" s="193"/>
    </row>
    <row r="220" spans="1:63" s="193" customFormat="1" ht="15" customHeight="1">
      <c r="A220" s="222">
        <v>44496</v>
      </c>
      <c r="B220" s="223" t="s">
        <v>350</v>
      </c>
      <c r="C220" s="228" t="s">
        <v>152</v>
      </c>
      <c r="D220" s="208" t="s">
        <v>182</v>
      </c>
      <c r="E220" s="224"/>
      <c r="F220" s="224">
        <v>76000</v>
      </c>
      <c r="G220" s="224">
        <f t="shared" si="4"/>
        <v>34230013</v>
      </c>
      <c r="H220" s="223" t="s">
        <v>27</v>
      </c>
      <c r="I220" s="252" t="s">
        <v>207</v>
      </c>
      <c r="J220" s="227" t="s">
        <v>107</v>
      </c>
      <c r="K220" s="228" t="s">
        <v>303</v>
      </c>
      <c r="L220" s="221" t="s">
        <v>161</v>
      </c>
      <c r="M220" s="238" t="s">
        <v>417</v>
      </c>
      <c r="N220" s="226" t="s">
        <v>310</v>
      </c>
      <c r="O220" s="221"/>
    </row>
    <row r="221" spans="1:63" s="116" customFormat="1" ht="15" hidden="1" customHeight="1">
      <c r="A221" s="222">
        <v>44496</v>
      </c>
      <c r="B221" s="228" t="s">
        <v>261</v>
      </c>
      <c r="C221" s="223" t="s">
        <v>80</v>
      </c>
      <c r="D221" s="235"/>
      <c r="E221" s="224">
        <v>15000</v>
      </c>
      <c r="F221" s="224"/>
      <c r="G221" s="224">
        <f t="shared" si="4"/>
        <v>34245013</v>
      </c>
      <c r="H221" s="223" t="s">
        <v>33</v>
      </c>
      <c r="I221" s="252"/>
      <c r="J221" s="227"/>
      <c r="K221" s="228"/>
      <c r="L221" s="221"/>
      <c r="M221" s="230"/>
      <c r="N221" s="226"/>
      <c r="O221" s="221"/>
      <c r="P221" s="193"/>
      <c r="Q221" s="193"/>
      <c r="R221" s="193"/>
      <c r="S221" s="193"/>
      <c r="T221" s="193"/>
      <c r="U221" s="193"/>
      <c r="V221" s="193"/>
      <c r="W221" s="193"/>
      <c r="X221" s="193"/>
      <c r="Y221" s="193"/>
      <c r="Z221" s="193"/>
      <c r="AA221" s="193"/>
      <c r="AB221" s="193"/>
      <c r="AC221" s="193"/>
      <c r="AD221" s="193"/>
      <c r="AE221" s="193"/>
      <c r="AF221" s="193"/>
      <c r="AG221" s="193"/>
      <c r="AH221" s="193"/>
      <c r="AI221" s="193"/>
      <c r="AJ221" s="193"/>
      <c r="AK221" s="193"/>
      <c r="AL221" s="193"/>
      <c r="AM221" s="193"/>
      <c r="AN221" s="193"/>
      <c r="AO221" s="193"/>
      <c r="AP221" s="193"/>
      <c r="AQ221" s="193"/>
      <c r="AR221" s="193"/>
      <c r="AS221" s="193"/>
      <c r="AT221" s="193"/>
      <c r="AU221" s="193"/>
      <c r="AV221" s="193"/>
      <c r="AW221" s="193"/>
      <c r="AX221" s="193"/>
      <c r="AY221" s="193"/>
      <c r="AZ221" s="193"/>
      <c r="BA221" s="193"/>
      <c r="BB221" s="193"/>
      <c r="BC221" s="193"/>
      <c r="BD221" s="193"/>
      <c r="BE221" s="193"/>
      <c r="BF221" s="193"/>
      <c r="BG221" s="193"/>
      <c r="BH221" s="193"/>
      <c r="BI221" s="193"/>
      <c r="BJ221" s="193"/>
      <c r="BK221" s="193"/>
    </row>
    <row r="222" spans="1:63" s="116" customFormat="1" ht="15" customHeight="1">
      <c r="A222" s="222">
        <v>44496</v>
      </c>
      <c r="B222" s="223" t="s">
        <v>343</v>
      </c>
      <c r="C222" s="228" t="s">
        <v>169</v>
      </c>
      <c r="D222" s="208" t="s">
        <v>344</v>
      </c>
      <c r="E222" s="224"/>
      <c r="F222" s="224">
        <v>5000</v>
      </c>
      <c r="G222" s="224">
        <f t="shared" si="4"/>
        <v>34240013</v>
      </c>
      <c r="H222" s="223" t="s">
        <v>33</v>
      </c>
      <c r="I222" s="252" t="s">
        <v>207</v>
      </c>
      <c r="J222" s="227" t="s">
        <v>338</v>
      </c>
      <c r="K222" s="228" t="s">
        <v>302</v>
      </c>
      <c r="L222" s="221" t="s">
        <v>161</v>
      </c>
      <c r="M222" s="230"/>
      <c r="N222" s="226"/>
      <c r="O222" s="221"/>
      <c r="P222" s="193"/>
      <c r="Q222" s="193"/>
      <c r="R222" s="193"/>
      <c r="S222" s="193"/>
      <c r="T222" s="193"/>
      <c r="U222" s="193"/>
      <c r="V222" s="193"/>
      <c r="W222" s="193"/>
      <c r="X222" s="193"/>
      <c r="Y222" s="193"/>
      <c r="Z222" s="193"/>
      <c r="AA222" s="193"/>
      <c r="AB222" s="193"/>
      <c r="AC222" s="193"/>
      <c r="AD222" s="193"/>
      <c r="AE222" s="193"/>
      <c r="AF222" s="193"/>
      <c r="AG222" s="193"/>
      <c r="AH222" s="193"/>
      <c r="AI222" s="193"/>
      <c r="AJ222" s="193"/>
      <c r="AK222" s="193"/>
      <c r="AL222" s="193"/>
      <c r="AM222" s="193"/>
      <c r="AN222" s="193"/>
      <c r="AO222" s="193"/>
      <c r="AP222" s="193"/>
      <c r="AQ222" s="193"/>
      <c r="AR222" s="193"/>
      <c r="AS222" s="193"/>
      <c r="AT222" s="193"/>
      <c r="AU222" s="193"/>
      <c r="AV222" s="193"/>
      <c r="AW222" s="193"/>
      <c r="AX222" s="193"/>
      <c r="AY222" s="193"/>
      <c r="AZ222" s="193"/>
      <c r="BA222" s="193"/>
      <c r="BB222" s="193"/>
      <c r="BC222" s="193"/>
      <c r="BD222" s="193"/>
      <c r="BE222" s="193"/>
      <c r="BF222" s="193"/>
      <c r="BG222" s="193"/>
      <c r="BH222" s="193"/>
      <c r="BI222" s="193"/>
      <c r="BJ222" s="193"/>
      <c r="BK222" s="193"/>
    </row>
    <row r="223" spans="1:63" s="193" customFormat="1" ht="15" hidden="1" customHeight="1">
      <c r="A223" s="222">
        <v>44496</v>
      </c>
      <c r="B223" s="228" t="s">
        <v>264</v>
      </c>
      <c r="C223" s="223" t="s">
        <v>80</v>
      </c>
      <c r="D223" s="224"/>
      <c r="E223" s="224">
        <v>15000</v>
      </c>
      <c r="F223" s="224"/>
      <c r="G223" s="224">
        <f t="shared" si="4"/>
        <v>34255013</v>
      </c>
      <c r="H223" s="223" t="s">
        <v>52</v>
      </c>
      <c r="I223" s="245"/>
      <c r="J223" s="241"/>
      <c r="K223" s="228"/>
      <c r="L223" s="221"/>
      <c r="M223" s="230"/>
      <c r="N223" s="226"/>
      <c r="O223" s="221"/>
    </row>
    <row r="224" spans="1:63" s="193" customFormat="1" ht="15" customHeight="1">
      <c r="A224" s="222">
        <v>44496</v>
      </c>
      <c r="B224" s="228" t="s">
        <v>340</v>
      </c>
      <c r="C224" s="228" t="s">
        <v>169</v>
      </c>
      <c r="D224" s="208" t="s">
        <v>344</v>
      </c>
      <c r="E224" s="224"/>
      <c r="F224" s="224">
        <v>5000</v>
      </c>
      <c r="G224" s="224">
        <f t="shared" si="4"/>
        <v>34250013</v>
      </c>
      <c r="H224" s="223" t="s">
        <v>52</v>
      </c>
      <c r="I224" s="252" t="s">
        <v>207</v>
      </c>
      <c r="J224" s="227" t="s">
        <v>338</v>
      </c>
      <c r="K224" s="228" t="s">
        <v>302</v>
      </c>
      <c r="L224" s="221" t="s">
        <v>161</v>
      </c>
      <c r="M224" s="230"/>
      <c r="N224" s="226"/>
      <c r="O224" s="221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</row>
    <row r="225" spans="1:63" s="116" customFormat="1" ht="15" customHeight="1">
      <c r="A225" s="222">
        <v>44496</v>
      </c>
      <c r="B225" s="228" t="s">
        <v>341</v>
      </c>
      <c r="C225" s="228" t="s">
        <v>169</v>
      </c>
      <c r="D225" s="208" t="s">
        <v>344</v>
      </c>
      <c r="E225" s="224"/>
      <c r="F225" s="224">
        <v>5000</v>
      </c>
      <c r="G225" s="224">
        <f t="shared" si="4"/>
        <v>34245013</v>
      </c>
      <c r="H225" s="223" t="s">
        <v>52</v>
      </c>
      <c r="I225" s="252" t="s">
        <v>207</v>
      </c>
      <c r="J225" s="227" t="s">
        <v>338</v>
      </c>
      <c r="K225" s="228" t="s">
        <v>302</v>
      </c>
      <c r="L225" s="221" t="s">
        <v>161</v>
      </c>
      <c r="M225" s="230"/>
      <c r="N225" s="226"/>
      <c r="O225" s="221"/>
    </row>
    <row r="226" spans="1:63" s="116" customFormat="1" ht="15" customHeight="1">
      <c r="A226" s="222">
        <v>44496</v>
      </c>
      <c r="B226" s="245" t="s">
        <v>342</v>
      </c>
      <c r="C226" s="228" t="s">
        <v>36</v>
      </c>
      <c r="D226" s="223" t="s">
        <v>4</v>
      </c>
      <c r="E226" s="224"/>
      <c r="F226" s="224">
        <v>25700</v>
      </c>
      <c r="G226" s="224">
        <f t="shared" si="4"/>
        <v>34219313</v>
      </c>
      <c r="H226" s="228" t="s">
        <v>52</v>
      </c>
      <c r="I226" s="245" t="s">
        <v>192</v>
      </c>
      <c r="J226" s="241" t="s">
        <v>107</v>
      </c>
      <c r="K226" s="228" t="s">
        <v>303</v>
      </c>
      <c r="L226" s="221" t="s">
        <v>161</v>
      </c>
      <c r="M226" s="238" t="s">
        <v>418</v>
      </c>
      <c r="N226" s="226" t="s">
        <v>324</v>
      </c>
      <c r="O226" s="221"/>
    </row>
    <row r="227" spans="1:63" s="193" customFormat="1" ht="15" customHeight="1">
      <c r="A227" s="222">
        <v>44496</v>
      </c>
      <c r="B227" s="223" t="s">
        <v>272</v>
      </c>
      <c r="C227" s="223" t="s">
        <v>169</v>
      </c>
      <c r="D227" s="223" t="s">
        <v>6</v>
      </c>
      <c r="E227" s="224"/>
      <c r="F227" s="224">
        <v>15000</v>
      </c>
      <c r="G227" s="224">
        <f t="shared" si="4"/>
        <v>34204313</v>
      </c>
      <c r="H227" s="223" t="s">
        <v>53</v>
      </c>
      <c r="I227" s="252" t="s">
        <v>207</v>
      </c>
      <c r="J227" s="226" t="s">
        <v>107</v>
      </c>
      <c r="K227" s="228" t="s">
        <v>303</v>
      </c>
      <c r="L227" s="221" t="s">
        <v>161</v>
      </c>
      <c r="M227" s="238" t="s">
        <v>419</v>
      </c>
      <c r="N227" s="226" t="s">
        <v>329</v>
      </c>
      <c r="O227" s="221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</row>
    <row r="228" spans="1:63" s="116" customFormat="1" ht="15" hidden="1" customHeight="1">
      <c r="A228" s="222">
        <v>44496</v>
      </c>
      <c r="B228" s="223" t="s">
        <v>265</v>
      </c>
      <c r="C228" s="223" t="s">
        <v>80</v>
      </c>
      <c r="D228" s="223"/>
      <c r="E228" s="224">
        <v>15000</v>
      </c>
      <c r="F228" s="224"/>
      <c r="G228" s="224">
        <f t="shared" si="4"/>
        <v>34219313</v>
      </c>
      <c r="H228" s="223" t="s">
        <v>53</v>
      </c>
      <c r="I228" s="238"/>
      <c r="J228" s="226"/>
      <c r="K228" s="238"/>
      <c r="L228" s="221"/>
      <c r="M228" s="230"/>
      <c r="N228" s="226"/>
      <c r="O228" s="221"/>
    </row>
    <row r="229" spans="1:63" s="193" customFormat="1" ht="15" hidden="1" customHeight="1">
      <c r="A229" s="202">
        <v>44496</v>
      </c>
      <c r="B229" s="208" t="s">
        <v>255</v>
      </c>
      <c r="C229" s="223" t="s">
        <v>80</v>
      </c>
      <c r="D229" s="208"/>
      <c r="E229" s="204">
        <v>85000</v>
      </c>
      <c r="F229" s="204"/>
      <c r="G229" s="224">
        <f t="shared" si="4"/>
        <v>34304313</v>
      </c>
      <c r="H229" s="208" t="s">
        <v>163</v>
      </c>
      <c r="I229" s="251"/>
      <c r="J229" s="227"/>
      <c r="K229" s="238"/>
      <c r="L229" s="203"/>
      <c r="M229" s="210"/>
      <c r="N229" s="210"/>
      <c r="O229" s="203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</row>
    <row r="230" spans="1:63" s="116" customFormat="1" ht="15" customHeight="1">
      <c r="A230" s="202">
        <v>44496</v>
      </c>
      <c r="B230" s="208" t="s">
        <v>437</v>
      </c>
      <c r="C230" s="208" t="s">
        <v>36</v>
      </c>
      <c r="D230" s="208" t="s">
        <v>182</v>
      </c>
      <c r="E230" s="204"/>
      <c r="F230" s="224">
        <v>10000</v>
      </c>
      <c r="G230" s="224">
        <f t="shared" si="4"/>
        <v>34294313</v>
      </c>
      <c r="H230" s="208" t="s">
        <v>163</v>
      </c>
      <c r="I230" s="252" t="s">
        <v>207</v>
      </c>
      <c r="J230" s="227" t="s">
        <v>338</v>
      </c>
      <c r="K230" s="228" t="s">
        <v>302</v>
      </c>
      <c r="L230" s="203" t="s">
        <v>161</v>
      </c>
      <c r="M230" s="210"/>
      <c r="N230" s="210"/>
      <c r="O230" s="203"/>
    </row>
    <row r="231" spans="1:63" s="116" customFormat="1" ht="15" customHeight="1">
      <c r="A231" s="202">
        <v>44496</v>
      </c>
      <c r="B231" s="208" t="s">
        <v>345</v>
      </c>
      <c r="C231" s="228" t="s">
        <v>169</v>
      </c>
      <c r="D231" s="208" t="s">
        <v>344</v>
      </c>
      <c r="E231" s="204"/>
      <c r="F231" s="224">
        <v>2500</v>
      </c>
      <c r="G231" s="224">
        <f t="shared" si="4"/>
        <v>34291813</v>
      </c>
      <c r="H231" s="208" t="s">
        <v>163</v>
      </c>
      <c r="I231" s="252" t="s">
        <v>207</v>
      </c>
      <c r="J231" s="227" t="s">
        <v>338</v>
      </c>
      <c r="K231" s="228" t="s">
        <v>302</v>
      </c>
      <c r="L231" s="203" t="s">
        <v>161</v>
      </c>
      <c r="M231" s="203"/>
      <c r="N231" s="210"/>
      <c r="O231" s="203"/>
    </row>
    <row r="232" spans="1:63" s="116" customFormat="1" ht="15" hidden="1" customHeight="1">
      <c r="A232" s="202">
        <v>44496</v>
      </c>
      <c r="B232" s="208" t="s">
        <v>255</v>
      </c>
      <c r="C232" s="223" t="s">
        <v>80</v>
      </c>
      <c r="D232" s="208"/>
      <c r="E232" s="204">
        <v>15000</v>
      </c>
      <c r="F232" s="204"/>
      <c r="G232" s="224">
        <f t="shared" si="4"/>
        <v>34306813</v>
      </c>
      <c r="H232" s="208" t="s">
        <v>179</v>
      </c>
      <c r="I232" s="251"/>
      <c r="J232" s="227"/>
      <c r="K232" s="228"/>
      <c r="L232" s="203"/>
      <c r="M232" s="203"/>
      <c r="N232" s="210"/>
      <c r="O232" s="203"/>
    </row>
    <row r="233" spans="1:63" s="116" customFormat="1" ht="15" customHeight="1">
      <c r="A233" s="202">
        <v>44496</v>
      </c>
      <c r="B233" s="208" t="s">
        <v>347</v>
      </c>
      <c r="C233" s="228" t="s">
        <v>169</v>
      </c>
      <c r="D233" s="208" t="s">
        <v>344</v>
      </c>
      <c r="E233" s="204"/>
      <c r="F233" s="224">
        <v>5000</v>
      </c>
      <c r="G233" s="224">
        <f t="shared" si="4"/>
        <v>34301813</v>
      </c>
      <c r="H233" s="208" t="s">
        <v>179</v>
      </c>
      <c r="I233" s="252" t="s">
        <v>207</v>
      </c>
      <c r="J233" s="227" t="s">
        <v>338</v>
      </c>
      <c r="K233" s="228" t="s">
        <v>302</v>
      </c>
      <c r="L233" s="203" t="s">
        <v>161</v>
      </c>
      <c r="M233" s="203"/>
      <c r="N233" s="210"/>
      <c r="O233" s="203"/>
      <c r="P233" s="193"/>
      <c r="Q233" s="193"/>
      <c r="R233" s="193"/>
      <c r="S233" s="193"/>
      <c r="T233" s="193"/>
      <c r="U233" s="193"/>
      <c r="V233" s="193"/>
      <c r="W233" s="193"/>
      <c r="X233" s="193"/>
      <c r="Y233" s="193"/>
      <c r="Z233" s="193"/>
      <c r="AA233" s="193"/>
      <c r="AB233" s="193"/>
      <c r="AC233" s="193"/>
      <c r="AD233" s="193"/>
      <c r="AE233" s="193"/>
      <c r="AF233" s="193"/>
      <c r="AG233" s="193"/>
      <c r="AH233" s="193"/>
      <c r="AI233" s="193"/>
      <c r="AJ233" s="193"/>
      <c r="AK233" s="193"/>
      <c r="AL233" s="193"/>
      <c r="AM233" s="193"/>
      <c r="AN233" s="193"/>
      <c r="AO233" s="193"/>
      <c r="AP233" s="193"/>
      <c r="AQ233" s="193"/>
      <c r="AR233" s="193"/>
      <c r="AS233" s="193"/>
      <c r="AT233" s="193"/>
      <c r="AU233" s="193"/>
      <c r="AV233" s="193"/>
      <c r="AW233" s="193"/>
      <c r="AX233" s="193"/>
      <c r="AY233" s="193"/>
      <c r="AZ233" s="193"/>
      <c r="BA233" s="193"/>
      <c r="BB233" s="193"/>
      <c r="BC233" s="193"/>
      <c r="BD233" s="193"/>
      <c r="BE233" s="193"/>
      <c r="BF233" s="193"/>
      <c r="BG233" s="193"/>
      <c r="BH233" s="193"/>
      <c r="BI233" s="193"/>
      <c r="BJ233" s="193"/>
      <c r="BK233" s="193"/>
    </row>
    <row r="234" spans="1:63" s="116" customFormat="1" ht="15" customHeight="1">
      <c r="A234" s="222">
        <v>44497</v>
      </c>
      <c r="B234" s="228" t="s">
        <v>219</v>
      </c>
      <c r="C234" s="208" t="s">
        <v>37</v>
      </c>
      <c r="D234" s="223" t="s">
        <v>188</v>
      </c>
      <c r="E234" s="224"/>
      <c r="F234" s="224">
        <v>20850</v>
      </c>
      <c r="G234" s="224">
        <f t="shared" si="4"/>
        <v>34280963</v>
      </c>
      <c r="H234" s="228" t="s">
        <v>27</v>
      </c>
      <c r="I234" s="252" t="s">
        <v>207</v>
      </c>
      <c r="J234" s="226" t="s">
        <v>107</v>
      </c>
      <c r="K234" s="228" t="s">
        <v>303</v>
      </c>
      <c r="L234" s="221" t="s">
        <v>161</v>
      </c>
      <c r="M234" s="238" t="s">
        <v>420</v>
      </c>
      <c r="N234" s="226" t="s">
        <v>311</v>
      </c>
      <c r="O234" s="221"/>
      <c r="P234" s="193"/>
      <c r="Q234" s="193"/>
      <c r="R234" s="193"/>
      <c r="S234" s="193"/>
      <c r="T234" s="193"/>
      <c r="U234" s="193"/>
      <c r="V234" s="193"/>
      <c r="W234" s="193"/>
      <c r="X234" s="193"/>
      <c r="Y234" s="193"/>
      <c r="Z234" s="193"/>
      <c r="AA234" s="193"/>
      <c r="AB234" s="193"/>
      <c r="AC234" s="193"/>
      <c r="AD234" s="193"/>
      <c r="AE234" s="193"/>
      <c r="AF234" s="193"/>
      <c r="AG234" s="193"/>
      <c r="AH234" s="193"/>
      <c r="AI234" s="193"/>
      <c r="AJ234" s="193"/>
      <c r="AK234" s="193"/>
      <c r="AL234" s="193"/>
      <c r="AM234" s="193"/>
      <c r="AN234" s="193"/>
      <c r="AO234" s="193"/>
      <c r="AP234" s="193"/>
      <c r="AQ234" s="193"/>
      <c r="AR234" s="193"/>
      <c r="AS234" s="193"/>
      <c r="AT234" s="193"/>
      <c r="AU234" s="193"/>
      <c r="AV234" s="193"/>
      <c r="AW234" s="193"/>
      <c r="AX234" s="193"/>
      <c r="AY234" s="193"/>
      <c r="AZ234" s="193"/>
      <c r="BA234" s="193"/>
      <c r="BB234" s="193"/>
      <c r="BC234" s="193"/>
      <c r="BD234" s="193"/>
      <c r="BE234" s="193"/>
      <c r="BF234" s="193"/>
      <c r="BG234" s="193"/>
      <c r="BH234" s="193"/>
      <c r="BI234" s="193"/>
      <c r="BJ234" s="193"/>
      <c r="BK234" s="193"/>
    </row>
    <row r="235" spans="1:63" s="116" customFormat="1" ht="15" customHeight="1">
      <c r="A235" s="222">
        <v>44497</v>
      </c>
      <c r="B235" s="223" t="s">
        <v>220</v>
      </c>
      <c r="C235" s="228" t="s">
        <v>186</v>
      </c>
      <c r="D235" s="223" t="s">
        <v>250</v>
      </c>
      <c r="E235" s="224"/>
      <c r="F235" s="224">
        <v>39000</v>
      </c>
      <c r="G235" s="224">
        <f t="shared" si="4"/>
        <v>34241963</v>
      </c>
      <c r="H235" s="223" t="s">
        <v>27</v>
      </c>
      <c r="I235" s="245" t="s">
        <v>192</v>
      </c>
      <c r="J235" s="227" t="s">
        <v>338</v>
      </c>
      <c r="K235" s="228" t="s">
        <v>302</v>
      </c>
      <c r="L235" s="221" t="s">
        <v>161</v>
      </c>
      <c r="M235" s="230"/>
      <c r="N235" s="226"/>
      <c r="O235" s="221"/>
      <c r="P235" s="193"/>
      <c r="Q235" s="193"/>
      <c r="R235" s="193"/>
      <c r="S235" s="193"/>
      <c r="T235" s="193"/>
      <c r="U235" s="193"/>
      <c r="V235" s="193"/>
      <c r="W235" s="193"/>
      <c r="X235" s="193"/>
      <c r="Y235" s="193"/>
      <c r="Z235" s="193"/>
      <c r="AA235" s="193"/>
      <c r="AB235" s="193"/>
      <c r="AC235" s="193"/>
      <c r="AD235" s="193"/>
      <c r="AE235" s="193"/>
      <c r="AF235" s="193"/>
      <c r="AG235" s="193"/>
      <c r="AH235" s="193"/>
      <c r="AI235" s="193"/>
      <c r="AJ235" s="193"/>
      <c r="AK235" s="193"/>
      <c r="AL235" s="193"/>
      <c r="AM235" s="193"/>
      <c r="AN235" s="193"/>
      <c r="AO235" s="193"/>
      <c r="AP235" s="193"/>
      <c r="AQ235" s="193"/>
      <c r="AR235" s="193"/>
      <c r="AS235" s="193"/>
      <c r="AT235" s="193"/>
      <c r="AU235" s="193"/>
      <c r="AV235" s="193"/>
      <c r="AW235" s="193"/>
      <c r="AX235" s="193"/>
      <c r="AY235" s="193"/>
      <c r="AZ235" s="193"/>
      <c r="BA235" s="193"/>
      <c r="BB235" s="193"/>
      <c r="BC235" s="193"/>
      <c r="BD235" s="193"/>
      <c r="BE235" s="193"/>
      <c r="BF235" s="193"/>
      <c r="BG235" s="193"/>
      <c r="BH235" s="193"/>
      <c r="BI235" s="193"/>
      <c r="BJ235" s="193"/>
      <c r="BK235" s="193"/>
    </row>
    <row r="236" spans="1:63" s="116" customFormat="1" ht="15" customHeight="1">
      <c r="A236" s="222">
        <v>44497</v>
      </c>
      <c r="B236" s="228" t="s">
        <v>228</v>
      </c>
      <c r="C236" s="223" t="s">
        <v>5</v>
      </c>
      <c r="D236" s="223" t="s">
        <v>188</v>
      </c>
      <c r="E236" s="224"/>
      <c r="F236" s="224">
        <v>260000</v>
      </c>
      <c r="G236" s="224">
        <f t="shared" si="4"/>
        <v>33981963</v>
      </c>
      <c r="H236" s="247" t="s">
        <v>26</v>
      </c>
      <c r="I236" s="245">
        <v>3654461</v>
      </c>
      <c r="J236" s="227" t="s">
        <v>338</v>
      </c>
      <c r="K236" s="228" t="s">
        <v>302</v>
      </c>
      <c r="L236" s="221" t="s">
        <v>161</v>
      </c>
      <c r="M236" s="230"/>
      <c r="N236" s="226"/>
      <c r="O236" s="221"/>
    </row>
    <row r="237" spans="1:63" s="116" customFormat="1" ht="15" customHeight="1">
      <c r="A237" s="202">
        <v>44496</v>
      </c>
      <c r="B237" s="208" t="s">
        <v>288</v>
      </c>
      <c r="C237" s="208" t="s">
        <v>169</v>
      </c>
      <c r="D237" s="208" t="s">
        <v>182</v>
      </c>
      <c r="E237" s="204"/>
      <c r="F237" s="224">
        <v>17000</v>
      </c>
      <c r="G237" s="224">
        <f t="shared" si="4"/>
        <v>33964963</v>
      </c>
      <c r="H237" s="208" t="s">
        <v>163</v>
      </c>
      <c r="I237" s="245" t="s">
        <v>192</v>
      </c>
      <c r="J237" s="227" t="s">
        <v>338</v>
      </c>
      <c r="K237" s="228" t="s">
        <v>302</v>
      </c>
      <c r="L237" s="221" t="s">
        <v>161</v>
      </c>
      <c r="M237" s="203"/>
      <c r="N237" s="210"/>
      <c r="O237" s="203"/>
    </row>
    <row r="238" spans="1:63" s="116" customFormat="1" ht="16.5" customHeight="1">
      <c r="A238" s="222">
        <v>44497</v>
      </c>
      <c r="B238" s="228" t="s">
        <v>259</v>
      </c>
      <c r="C238" s="228" t="s">
        <v>36</v>
      </c>
      <c r="D238" s="223" t="s">
        <v>4</v>
      </c>
      <c r="E238" s="224"/>
      <c r="F238" s="224">
        <v>18500</v>
      </c>
      <c r="G238" s="224">
        <f t="shared" si="4"/>
        <v>33946463</v>
      </c>
      <c r="H238" s="223" t="s">
        <v>98</v>
      </c>
      <c r="I238" s="245" t="s">
        <v>192</v>
      </c>
      <c r="J238" s="241" t="s">
        <v>107</v>
      </c>
      <c r="K238" s="228" t="s">
        <v>303</v>
      </c>
      <c r="L238" s="221" t="s">
        <v>161</v>
      </c>
      <c r="M238" s="238" t="s">
        <v>421</v>
      </c>
      <c r="N238" s="226" t="s">
        <v>324</v>
      </c>
      <c r="O238" s="221"/>
      <c r="P238" s="193"/>
      <c r="Q238" s="193"/>
      <c r="R238" s="193"/>
      <c r="S238" s="193"/>
      <c r="T238" s="193"/>
      <c r="U238" s="193"/>
      <c r="V238" s="193"/>
      <c r="W238" s="193"/>
      <c r="X238" s="193"/>
      <c r="Y238" s="193"/>
      <c r="Z238" s="193"/>
      <c r="AA238" s="193"/>
      <c r="AB238" s="193"/>
      <c r="AC238" s="193"/>
      <c r="AD238" s="193"/>
      <c r="AE238" s="193"/>
      <c r="AF238" s="193"/>
      <c r="AG238" s="193"/>
      <c r="AH238" s="193"/>
      <c r="AI238" s="193"/>
      <c r="AJ238" s="193"/>
      <c r="AK238" s="193"/>
      <c r="AL238" s="193"/>
      <c r="AM238" s="193"/>
      <c r="AN238" s="193"/>
      <c r="AO238" s="193"/>
      <c r="AP238" s="193"/>
      <c r="AQ238" s="193"/>
      <c r="AR238" s="193"/>
      <c r="AS238" s="193"/>
      <c r="AT238" s="193"/>
      <c r="AU238" s="193"/>
      <c r="AV238" s="193"/>
      <c r="AW238" s="193"/>
      <c r="AX238" s="193"/>
      <c r="AY238" s="193"/>
      <c r="AZ238" s="193"/>
      <c r="BA238" s="193"/>
      <c r="BB238" s="193"/>
      <c r="BC238" s="193"/>
      <c r="BD238" s="193"/>
      <c r="BE238" s="193"/>
      <c r="BF238" s="193"/>
      <c r="BG238" s="193"/>
      <c r="BH238" s="193"/>
      <c r="BI238" s="193"/>
      <c r="BJ238" s="193"/>
      <c r="BK238" s="193"/>
    </row>
    <row r="239" spans="1:63" s="116" customFormat="1" ht="15" customHeight="1">
      <c r="A239" s="222">
        <v>44497</v>
      </c>
      <c r="B239" s="223" t="s">
        <v>263</v>
      </c>
      <c r="C239" s="223" t="s">
        <v>36</v>
      </c>
      <c r="D239" s="223" t="s">
        <v>250</v>
      </c>
      <c r="E239" s="224"/>
      <c r="F239" s="224">
        <v>50900</v>
      </c>
      <c r="G239" s="224">
        <f t="shared" si="4"/>
        <v>33895563</v>
      </c>
      <c r="H239" s="223" t="s">
        <v>33</v>
      </c>
      <c r="I239" s="245" t="s">
        <v>192</v>
      </c>
      <c r="J239" s="241" t="s">
        <v>107</v>
      </c>
      <c r="K239" s="228" t="s">
        <v>303</v>
      </c>
      <c r="L239" s="221" t="s">
        <v>161</v>
      </c>
      <c r="M239" s="238" t="s">
        <v>422</v>
      </c>
      <c r="N239" s="226" t="s">
        <v>324</v>
      </c>
      <c r="O239" s="221"/>
    </row>
    <row r="240" spans="1:63" s="116" customFormat="1" ht="15" customHeight="1">
      <c r="A240" s="222">
        <v>44497</v>
      </c>
      <c r="B240" s="223" t="s">
        <v>273</v>
      </c>
      <c r="C240" s="223" t="s">
        <v>36</v>
      </c>
      <c r="D240" s="223" t="s">
        <v>6</v>
      </c>
      <c r="E240" s="224"/>
      <c r="F240" s="224">
        <v>71000</v>
      </c>
      <c r="G240" s="224">
        <f t="shared" si="4"/>
        <v>33824563</v>
      </c>
      <c r="H240" s="223" t="s">
        <v>53</v>
      </c>
      <c r="I240" s="245" t="s">
        <v>192</v>
      </c>
      <c r="J240" s="241" t="s">
        <v>107</v>
      </c>
      <c r="K240" s="228" t="s">
        <v>303</v>
      </c>
      <c r="L240" s="221" t="s">
        <v>161</v>
      </c>
      <c r="M240" s="238" t="s">
        <v>423</v>
      </c>
      <c r="N240" s="226" t="s">
        <v>324</v>
      </c>
      <c r="O240" s="221"/>
    </row>
    <row r="241" spans="1:63" s="193" customFormat="1" ht="15" customHeight="1">
      <c r="A241" s="202">
        <v>44497</v>
      </c>
      <c r="B241" s="208" t="s">
        <v>282</v>
      </c>
      <c r="C241" s="208" t="s">
        <v>36</v>
      </c>
      <c r="D241" s="223" t="s">
        <v>6</v>
      </c>
      <c r="E241" s="204"/>
      <c r="F241" s="224">
        <v>58300</v>
      </c>
      <c r="G241" s="224">
        <f t="shared" si="4"/>
        <v>33766263</v>
      </c>
      <c r="H241" s="208" t="s">
        <v>31</v>
      </c>
      <c r="I241" s="245" t="s">
        <v>192</v>
      </c>
      <c r="J241" s="241" t="s">
        <v>107</v>
      </c>
      <c r="K241" s="228" t="s">
        <v>303</v>
      </c>
      <c r="L241" s="221" t="s">
        <v>161</v>
      </c>
      <c r="M241" s="238" t="s">
        <v>424</v>
      </c>
      <c r="N241" s="226" t="s">
        <v>324</v>
      </c>
      <c r="O241" s="203"/>
    </row>
    <row r="242" spans="1:63" s="193" customFormat="1" ht="15" customHeight="1">
      <c r="A242" s="202">
        <v>44497</v>
      </c>
      <c r="B242" s="208" t="s">
        <v>440</v>
      </c>
      <c r="C242" s="208" t="s">
        <v>169</v>
      </c>
      <c r="D242" s="208" t="s">
        <v>182</v>
      </c>
      <c r="E242" s="204"/>
      <c r="F242" s="224">
        <v>20000</v>
      </c>
      <c r="G242" s="224">
        <f t="shared" si="4"/>
        <v>33746263</v>
      </c>
      <c r="H242" s="208" t="s">
        <v>163</v>
      </c>
      <c r="I242" s="245" t="s">
        <v>192</v>
      </c>
      <c r="J242" s="227" t="s">
        <v>338</v>
      </c>
      <c r="K242" s="228" t="s">
        <v>302</v>
      </c>
      <c r="L242" s="221" t="s">
        <v>161</v>
      </c>
      <c r="M242" s="210"/>
      <c r="N242" s="210"/>
      <c r="O242" s="203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</row>
    <row r="243" spans="1:63" s="193" customFormat="1" ht="15" customHeight="1">
      <c r="A243" s="202">
        <v>44497</v>
      </c>
      <c r="B243" s="208" t="s">
        <v>287</v>
      </c>
      <c r="C243" s="208" t="s">
        <v>153</v>
      </c>
      <c r="D243" s="208" t="s">
        <v>182</v>
      </c>
      <c r="E243" s="204"/>
      <c r="F243" s="204">
        <v>4000</v>
      </c>
      <c r="G243" s="224">
        <f t="shared" si="4"/>
        <v>33742263</v>
      </c>
      <c r="H243" s="208" t="s">
        <v>163</v>
      </c>
      <c r="I243" s="245" t="s">
        <v>192</v>
      </c>
      <c r="J243" s="227" t="s">
        <v>338</v>
      </c>
      <c r="K243" s="228" t="s">
        <v>302</v>
      </c>
      <c r="L243" s="203" t="s">
        <v>161</v>
      </c>
      <c r="M243" s="203"/>
      <c r="N243" s="210"/>
      <c r="O243" s="203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</row>
    <row r="244" spans="1:63" s="116" customFormat="1" ht="15" hidden="1" customHeight="1">
      <c r="A244" s="222">
        <v>44498</v>
      </c>
      <c r="B244" s="223" t="s">
        <v>179</v>
      </c>
      <c r="C244" s="223" t="s">
        <v>80</v>
      </c>
      <c r="D244" s="223"/>
      <c r="E244" s="224"/>
      <c r="F244" s="224">
        <v>10000</v>
      </c>
      <c r="G244" s="224">
        <f t="shared" si="4"/>
        <v>33732263</v>
      </c>
      <c r="H244" s="223" t="s">
        <v>27</v>
      </c>
      <c r="I244" s="252"/>
      <c r="J244" s="241"/>
      <c r="K244" s="228"/>
      <c r="L244" s="221"/>
      <c r="M244" s="230"/>
      <c r="N244" s="226"/>
      <c r="O244" s="221"/>
    </row>
    <row r="245" spans="1:63" s="116" customFormat="1" ht="15" customHeight="1">
      <c r="A245" s="222">
        <v>44498</v>
      </c>
      <c r="B245" s="223" t="s">
        <v>221</v>
      </c>
      <c r="C245" s="223" t="s">
        <v>5</v>
      </c>
      <c r="D245" s="223" t="s">
        <v>188</v>
      </c>
      <c r="E245" s="224"/>
      <c r="F245" s="224">
        <v>75625</v>
      </c>
      <c r="G245" s="224">
        <f t="shared" si="4"/>
        <v>33656638</v>
      </c>
      <c r="H245" s="223" t="s">
        <v>27</v>
      </c>
      <c r="I245" s="252" t="s">
        <v>207</v>
      </c>
      <c r="J245" s="227" t="s">
        <v>338</v>
      </c>
      <c r="K245" s="228" t="s">
        <v>302</v>
      </c>
      <c r="L245" s="221" t="s">
        <v>161</v>
      </c>
      <c r="M245" s="230"/>
      <c r="N245" s="226"/>
      <c r="O245" s="221"/>
    </row>
    <row r="246" spans="1:63" s="116" customFormat="1" ht="15" customHeight="1">
      <c r="A246" s="222">
        <v>44498</v>
      </c>
      <c r="B246" s="223" t="s">
        <v>222</v>
      </c>
      <c r="C246" s="223" t="s">
        <v>186</v>
      </c>
      <c r="D246" s="223" t="s">
        <v>250</v>
      </c>
      <c r="E246" s="224"/>
      <c r="F246" s="224">
        <v>20000</v>
      </c>
      <c r="G246" s="224">
        <f t="shared" si="4"/>
        <v>33636638</v>
      </c>
      <c r="H246" s="223" t="s">
        <v>27</v>
      </c>
      <c r="I246" s="245" t="s">
        <v>192</v>
      </c>
      <c r="J246" s="227" t="s">
        <v>338</v>
      </c>
      <c r="K246" s="228" t="s">
        <v>302</v>
      </c>
      <c r="L246" s="221" t="s">
        <v>161</v>
      </c>
      <c r="M246" s="230"/>
      <c r="N246" s="226"/>
      <c r="O246" s="221"/>
      <c r="P246" s="193"/>
      <c r="Q246" s="193"/>
      <c r="R246" s="193"/>
      <c r="S246" s="193"/>
      <c r="T246" s="193"/>
      <c r="U246" s="193"/>
      <c r="V246" s="193"/>
      <c r="W246" s="193"/>
      <c r="X246" s="193"/>
      <c r="Y246" s="193"/>
      <c r="Z246" s="193"/>
      <c r="AA246" s="193"/>
      <c r="AB246" s="193"/>
      <c r="AC246" s="193"/>
      <c r="AD246" s="193"/>
      <c r="AE246" s="193"/>
      <c r="AF246" s="193"/>
      <c r="AG246" s="193"/>
      <c r="AH246" s="193"/>
      <c r="AI246" s="193"/>
      <c r="AJ246" s="193"/>
      <c r="AK246" s="193"/>
      <c r="AL246" s="193"/>
      <c r="AM246" s="193"/>
      <c r="AN246" s="193"/>
      <c r="AO246" s="193"/>
      <c r="AP246" s="193"/>
      <c r="AQ246" s="193"/>
      <c r="AR246" s="193"/>
      <c r="AS246" s="193"/>
      <c r="AT246" s="193"/>
      <c r="AU246" s="193"/>
      <c r="AV246" s="193"/>
      <c r="AW246" s="193"/>
      <c r="AX246" s="193"/>
      <c r="AY246" s="193"/>
      <c r="AZ246" s="193"/>
      <c r="BA246" s="193"/>
      <c r="BB246" s="193"/>
      <c r="BC246" s="193"/>
      <c r="BD246" s="193"/>
      <c r="BE246" s="193"/>
      <c r="BF246" s="193"/>
      <c r="BG246" s="193"/>
      <c r="BH246" s="193"/>
      <c r="BI246" s="193"/>
      <c r="BJ246" s="193"/>
      <c r="BK246" s="193"/>
    </row>
    <row r="247" spans="1:63" s="193" customFormat="1" ht="15" customHeight="1">
      <c r="A247" s="222">
        <v>44498</v>
      </c>
      <c r="B247" s="223" t="s">
        <v>223</v>
      </c>
      <c r="C247" s="228" t="s">
        <v>186</v>
      </c>
      <c r="D247" s="208" t="s">
        <v>182</v>
      </c>
      <c r="E247" s="224"/>
      <c r="F247" s="224">
        <v>40000</v>
      </c>
      <c r="G247" s="224">
        <f t="shared" si="4"/>
        <v>33596638</v>
      </c>
      <c r="H247" s="223" t="s">
        <v>27</v>
      </c>
      <c r="I247" s="245" t="s">
        <v>192</v>
      </c>
      <c r="J247" s="227" t="s">
        <v>338</v>
      </c>
      <c r="K247" s="228" t="s">
        <v>302</v>
      </c>
      <c r="L247" s="221" t="s">
        <v>161</v>
      </c>
      <c r="M247" s="230"/>
      <c r="N247" s="226"/>
      <c r="O247" s="221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</row>
    <row r="248" spans="1:63" s="193" customFormat="1" ht="15" customHeight="1">
      <c r="A248" s="222">
        <v>44498</v>
      </c>
      <c r="B248" s="246" t="s">
        <v>252</v>
      </c>
      <c r="C248" s="223" t="s">
        <v>2</v>
      </c>
      <c r="D248" s="223" t="s">
        <v>6</v>
      </c>
      <c r="E248" s="224"/>
      <c r="F248" s="224">
        <v>440000</v>
      </c>
      <c r="G248" s="224">
        <f t="shared" si="4"/>
        <v>33156638</v>
      </c>
      <c r="H248" s="247" t="s">
        <v>170</v>
      </c>
      <c r="I248" s="238">
        <v>3643555</v>
      </c>
      <c r="J248" s="226" t="s">
        <v>107</v>
      </c>
      <c r="K248" s="228" t="s">
        <v>303</v>
      </c>
      <c r="L248" s="221" t="s">
        <v>161</v>
      </c>
      <c r="M248" s="238" t="s">
        <v>425</v>
      </c>
      <c r="N248" s="226" t="s">
        <v>317</v>
      </c>
      <c r="O248" s="221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</row>
    <row r="249" spans="1:63" s="193" customFormat="1" ht="15" customHeight="1">
      <c r="A249" s="222">
        <v>44498</v>
      </c>
      <c r="B249" s="228" t="s">
        <v>253</v>
      </c>
      <c r="C249" s="223" t="s">
        <v>2</v>
      </c>
      <c r="D249" s="223" t="s">
        <v>6</v>
      </c>
      <c r="E249" s="224"/>
      <c r="F249" s="224">
        <v>235000</v>
      </c>
      <c r="G249" s="224">
        <f t="shared" si="4"/>
        <v>32921638</v>
      </c>
      <c r="H249" s="247" t="s">
        <v>170</v>
      </c>
      <c r="I249" s="238">
        <v>3643556</v>
      </c>
      <c r="J249" s="226" t="s">
        <v>107</v>
      </c>
      <c r="K249" s="228" t="s">
        <v>303</v>
      </c>
      <c r="L249" s="221" t="s">
        <v>161</v>
      </c>
      <c r="M249" s="238" t="s">
        <v>426</v>
      </c>
      <c r="N249" s="226" t="s">
        <v>317</v>
      </c>
      <c r="O249" s="221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</row>
    <row r="250" spans="1:63" s="116" customFormat="1" ht="15" customHeight="1">
      <c r="A250" s="222">
        <v>44498</v>
      </c>
      <c r="B250" s="228" t="s">
        <v>254</v>
      </c>
      <c r="C250" s="223" t="s">
        <v>3</v>
      </c>
      <c r="D250" s="223" t="s">
        <v>188</v>
      </c>
      <c r="E250" s="224"/>
      <c r="F250" s="224">
        <v>500000</v>
      </c>
      <c r="G250" s="224">
        <f t="shared" si="4"/>
        <v>32421638</v>
      </c>
      <c r="H250" s="247" t="s">
        <v>170</v>
      </c>
      <c r="I250" s="245">
        <v>3643552</v>
      </c>
      <c r="J250" s="226" t="s">
        <v>107</v>
      </c>
      <c r="K250" s="228" t="s">
        <v>303</v>
      </c>
      <c r="L250" s="221" t="s">
        <v>161</v>
      </c>
      <c r="M250" s="238" t="s">
        <v>427</v>
      </c>
      <c r="N250" s="226" t="s">
        <v>319</v>
      </c>
      <c r="O250" s="221"/>
    </row>
    <row r="251" spans="1:63" s="116" customFormat="1" ht="15" customHeight="1">
      <c r="A251" s="222">
        <v>44498</v>
      </c>
      <c r="B251" s="223" t="s">
        <v>256</v>
      </c>
      <c r="C251" s="223" t="s">
        <v>36</v>
      </c>
      <c r="D251" s="223" t="s">
        <v>4</v>
      </c>
      <c r="E251" s="224"/>
      <c r="F251" s="224">
        <v>8200</v>
      </c>
      <c r="G251" s="224">
        <f t="shared" si="4"/>
        <v>32413438</v>
      </c>
      <c r="H251" s="223" t="s">
        <v>162</v>
      </c>
      <c r="I251" s="245" t="s">
        <v>192</v>
      </c>
      <c r="J251" s="241" t="s">
        <v>107</v>
      </c>
      <c r="K251" s="228" t="s">
        <v>303</v>
      </c>
      <c r="L251" s="221" t="s">
        <v>161</v>
      </c>
      <c r="M251" s="238" t="s">
        <v>428</v>
      </c>
      <c r="N251" s="226" t="s">
        <v>324</v>
      </c>
      <c r="O251" s="221"/>
    </row>
    <row r="252" spans="1:63" s="193" customFormat="1" ht="15" customHeight="1">
      <c r="A252" s="222">
        <v>44498</v>
      </c>
      <c r="B252" s="223" t="s">
        <v>260</v>
      </c>
      <c r="C252" s="228" t="s">
        <v>36</v>
      </c>
      <c r="D252" s="223" t="s">
        <v>4</v>
      </c>
      <c r="E252" s="230"/>
      <c r="F252" s="224">
        <v>28000</v>
      </c>
      <c r="G252" s="224">
        <f t="shared" si="4"/>
        <v>32385438</v>
      </c>
      <c r="H252" s="223" t="s">
        <v>118</v>
      </c>
      <c r="I252" s="245" t="s">
        <v>192</v>
      </c>
      <c r="J252" s="241" t="s">
        <v>107</v>
      </c>
      <c r="K252" s="228" t="s">
        <v>303</v>
      </c>
      <c r="L252" s="221" t="s">
        <v>161</v>
      </c>
      <c r="M252" s="238" t="s">
        <v>429</v>
      </c>
      <c r="N252" s="226" t="s">
        <v>324</v>
      </c>
      <c r="O252" s="221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</row>
    <row r="253" spans="1:63" s="193" customFormat="1" ht="15" customHeight="1">
      <c r="A253" s="202">
        <v>44498</v>
      </c>
      <c r="B253" s="211" t="s">
        <v>326</v>
      </c>
      <c r="C253" s="216" t="s">
        <v>169</v>
      </c>
      <c r="D253" s="208" t="s">
        <v>182</v>
      </c>
      <c r="E253" s="204"/>
      <c r="F253" s="224">
        <v>30000</v>
      </c>
      <c r="G253" s="224">
        <f t="shared" ref="G253:G259" si="5">+G252+E253-F253</f>
        <v>32355438</v>
      </c>
      <c r="H253" s="209" t="s">
        <v>163</v>
      </c>
      <c r="I253" s="252" t="s">
        <v>207</v>
      </c>
      <c r="J253" s="227" t="s">
        <v>338</v>
      </c>
      <c r="K253" s="228" t="s">
        <v>302</v>
      </c>
      <c r="L253" s="221" t="s">
        <v>161</v>
      </c>
      <c r="M253" s="3"/>
      <c r="N253" s="210"/>
      <c r="O253" s="203"/>
    </row>
    <row r="254" spans="1:63" s="116" customFormat="1" ht="15" hidden="1" customHeight="1">
      <c r="A254" s="202">
        <v>44498</v>
      </c>
      <c r="B254" s="208" t="s">
        <v>255</v>
      </c>
      <c r="C254" s="223" t="s">
        <v>80</v>
      </c>
      <c r="D254" s="208"/>
      <c r="E254" s="204">
        <v>10000</v>
      </c>
      <c r="F254" s="204"/>
      <c r="G254" s="224">
        <f t="shared" si="5"/>
        <v>32365438</v>
      </c>
      <c r="H254" s="208" t="s">
        <v>179</v>
      </c>
      <c r="I254" s="251"/>
      <c r="J254" s="227"/>
      <c r="K254" s="228"/>
      <c r="L254" s="203"/>
      <c r="M254" s="203"/>
      <c r="N254" s="210"/>
      <c r="O254" s="203"/>
      <c r="P254" s="193"/>
      <c r="Q254" s="193"/>
      <c r="R254" s="193"/>
      <c r="S254" s="193"/>
      <c r="T254" s="193"/>
      <c r="U254" s="193"/>
      <c r="V254" s="193"/>
      <c r="W254" s="193"/>
      <c r="X254" s="193"/>
      <c r="Y254" s="193"/>
      <c r="Z254" s="193"/>
      <c r="AA254" s="193"/>
      <c r="AB254" s="193"/>
      <c r="AC254" s="193"/>
      <c r="AD254" s="193"/>
      <c r="AE254" s="193"/>
      <c r="AF254" s="193"/>
      <c r="AG254" s="193"/>
      <c r="AH254" s="193"/>
      <c r="AI254" s="193"/>
      <c r="AJ254" s="193"/>
      <c r="AK254" s="193"/>
      <c r="AL254" s="193"/>
      <c r="AM254" s="193"/>
      <c r="AN254" s="193"/>
      <c r="AO254" s="193"/>
      <c r="AP254" s="193"/>
      <c r="AQ254" s="193"/>
      <c r="AR254" s="193"/>
      <c r="AS254" s="193"/>
      <c r="AT254" s="193"/>
      <c r="AU254" s="193"/>
      <c r="AV254" s="193"/>
      <c r="AW254" s="193"/>
      <c r="AX254" s="193"/>
      <c r="AY254" s="193"/>
      <c r="AZ254" s="193"/>
      <c r="BA254" s="193"/>
      <c r="BB254" s="193"/>
      <c r="BC254" s="193"/>
      <c r="BD254" s="193"/>
      <c r="BE254" s="193"/>
      <c r="BF254" s="193"/>
      <c r="BG254" s="193"/>
      <c r="BH254" s="193"/>
      <c r="BI254" s="193"/>
      <c r="BJ254" s="193"/>
      <c r="BK254" s="193"/>
    </row>
    <row r="255" spans="1:63" s="116" customFormat="1" ht="15" customHeight="1">
      <c r="A255" s="202">
        <v>44498</v>
      </c>
      <c r="B255" s="208" t="s">
        <v>299</v>
      </c>
      <c r="C255" s="208" t="s">
        <v>36</v>
      </c>
      <c r="D255" s="208" t="s">
        <v>182</v>
      </c>
      <c r="E255" s="204"/>
      <c r="F255" s="224">
        <v>69500</v>
      </c>
      <c r="G255" s="224">
        <f t="shared" si="5"/>
        <v>32295938</v>
      </c>
      <c r="H255" s="208" t="s">
        <v>179</v>
      </c>
      <c r="I255" s="245" t="s">
        <v>192</v>
      </c>
      <c r="J255" s="227" t="s">
        <v>338</v>
      </c>
      <c r="K255" s="228" t="s">
        <v>302</v>
      </c>
      <c r="L255" s="203" t="s">
        <v>161</v>
      </c>
      <c r="M255" s="3"/>
      <c r="N255" s="210"/>
      <c r="O255" s="203"/>
      <c r="P255" s="193"/>
      <c r="Q255" s="193"/>
      <c r="R255" s="193"/>
      <c r="S255" s="193"/>
      <c r="T255" s="193"/>
      <c r="U255" s="193"/>
      <c r="V255" s="193"/>
      <c r="W255" s="193"/>
      <c r="X255" s="193"/>
      <c r="Y255" s="193"/>
      <c r="Z255" s="193"/>
      <c r="AA255" s="193"/>
      <c r="AB255" s="193"/>
      <c r="AC255" s="193"/>
      <c r="AD255" s="193"/>
      <c r="AE255" s="193"/>
      <c r="AF255" s="193"/>
      <c r="AG255" s="193"/>
      <c r="AH255" s="193"/>
      <c r="AI255" s="193"/>
      <c r="AJ255" s="193"/>
      <c r="AK255" s="193"/>
      <c r="AL255" s="193"/>
      <c r="AM255" s="193"/>
      <c r="AN255" s="193"/>
      <c r="AO255" s="193"/>
      <c r="AP255" s="193"/>
      <c r="AQ255" s="193"/>
      <c r="AR255" s="193"/>
      <c r="AS255" s="193"/>
      <c r="AT255" s="193"/>
      <c r="AU255" s="193"/>
      <c r="AV255" s="193"/>
      <c r="AW255" s="193"/>
      <c r="AX255" s="193"/>
      <c r="AY255" s="193"/>
      <c r="AZ255" s="193"/>
      <c r="BA255" s="193"/>
      <c r="BB255" s="193"/>
      <c r="BC255" s="193"/>
      <c r="BD255" s="193"/>
      <c r="BE255" s="193"/>
      <c r="BF255" s="193"/>
      <c r="BG255" s="193"/>
      <c r="BH255" s="193"/>
      <c r="BI255" s="193"/>
      <c r="BJ255" s="193"/>
      <c r="BK255" s="193"/>
    </row>
    <row r="256" spans="1:63" s="116" customFormat="1" ht="15" customHeight="1">
      <c r="A256" s="202">
        <v>44498</v>
      </c>
      <c r="B256" s="208" t="s">
        <v>300</v>
      </c>
      <c r="C256" s="208" t="s">
        <v>297</v>
      </c>
      <c r="D256" s="208" t="s">
        <v>182</v>
      </c>
      <c r="E256" s="204"/>
      <c r="F256" s="224">
        <v>19000</v>
      </c>
      <c r="G256" s="224">
        <f t="shared" si="5"/>
        <v>32276938</v>
      </c>
      <c r="H256" s="208" t="s">
        <v>179</v>
      </c>
      <c r="I256" s="245" t="s">
        <v>192</v>
      </c>
      <c r="J256" s="227" t="s">
        <v>338</v>
      </c>
      <c r="K256" s="228" t="s">
        <v>302</v>
      </c>
      <c r="L256" s="221" t="s">
        <v>161</v>
      </c>
      <c r="M256" s="3"/>
      <c r="N256" s="210"/>
      <c r="O256" s="203"/>
      <c r="P256" s="193"/>
      <c r="Q256" s="193"/>
      <c r="R256" s="193"/>
      <c r="S256" s="193"/>
      <c r="T256" s="193"/>
      <c r="U256" s="193"/>
      <c r="V256" s="193"/>
      <c r="W256" s="193"/>
      <c r="X256" s="193"/>
      <c r="Y256" s="193"/>
      <c r="Z256" s="193"/>
      <c r="AA256" s="193"/>
      <c r="AB256" s="193"/>
      <c r="AC256" s="193"/>
      <c r="AD256" s="193"/>
      <c r="AE256" s="193"/>
      <c r="AF256" s="193"/>
      <c r="AG256" s="193"/>
      <c r="AH256" s="193"/>
      <c r="AI256" s="193"/>
      <c r="AJ256" s="193"/>
      <c r="AK256" s="193"/>
      <c r="AL256" s="193"/>
      <c r="AM256" s="193"/>
      <c r="AN256" s="193"/>
      <c r="AO256" s="193"/>
      <c r="AP256" s="193"/>
      <c r="AQ256" s="193"/>
      <c r="AR256" s="193"/>
      <c r="AS256" s="193"/>
      <c r="AT256" s="193"/>
      <c r="AU256" s="193"/>
      <c r="AV256" s="193"/>
      <c r="AW256" s="193"/>
      <c r="AX256" s="193"/>
      <c r="AY256" s="193"/>
      <c r="AZ256" s="193"/>
      <c r="BA256" s="193"/>
      <c r="BB256" s="193"/>
      <c r="BC256" s="193"/>
      <c r="BD256" s="193"/>
      <c r="BE256" s="193"/>
      <c r="BF256" s="193"/>
      <c r="BG256" s="193"/>
      <c r="BH256" s="193"/>
      <c r="BI256" s="193"/>
      <c r="BJ256" s="193"/>
      <c r="BK256" s="193"/>
    </row>
    <row r="257" spans="1:63" s="116" customFormat="1" ht="15" customHeight="1">
      <c r="A257" s="202">
        <v>44498</v>
      </c>
      <c r="B257" s="208" t="s">
        <v>301</v>
      </c>
      <c r="C257" s="208" t="s">
        <v>153</v>
      </c>
      <c r="D257" s="208" t="s">
        <v>182</v>
      </c>
      <c r="E257" s="204"/>
      <c r="F257" s="224">
        <v>4550</v>
      </c>
      <c r="G257" s="224">
        <f t="shared" si="5"/>
        <v>32272388</v>
      </c>
      <c r="H257" s="208" t="s">
        <v>179</v>
      </c>
      <c r="I257" s="245" t="s">
        <v>192</v>
      </c>
      <c r="J257" s="227" t="s">
        <v>338</v>
      </c>
      <c r="K257" s="228" t="s">
        <v>302</v>
      </c>
      <c r="L257" s="203" t="s">
        <v>161</v>
      </c>
      <c r="M257" s="3"/>
      <c r="N257" s="210"/>
      <c r="O257" s="203"/>
    </row>
    <row r="258" spans="1:63" s="116" customFormat="1" ht="15" customHeight="1">
      <c r="A258" s="202">
        <v>44499</v>
      </c>
      <c r="B258" s="211" t="s">
        <v>436</v>
      </c>
      <c r="C258" s="208" t="s">
        <v>36</v>
      </c>
      <c r="D258" s="208" t="s">
        <v>182</v>
      </c>
      <c r="E258" s="204"/>
      <c r="F258" s="224">
        <v>10000</v>
      </c>
      <c r="G258" s="224">
        <f t="shared" si="5"/>
        <v>32262388</v>
      </c>
      <c r="H258" s="209" t="s">
        <v>163</v>
      </c>
      <c r="I258" s="252" t="s">
        <v>207</v>
      </c>
      <c r="J258" s="227" t="s">
        <v>338</v>
      </c>
      <c r="K258" s="228" t="s">
        <v>302</v>
      </c>
      <c r="L258" s="203" t="s">
        <v>161</v>
      </c>
      <c r="M258" s="3"/>
      <c r="N258" s="210"/>
      <c r="O258" s="203"/>
    </row>
    <row r="259" spans="1:63" s="116" customFormat="1" ht="15" customHeight="1">
      <c r="A259" s="202">
        <v>44499</v>
      </c>
      <c r="B259" s="208" t="s">
        <v>286</v>
      </c>
      <c r="C259" s="208" t="s">
        <v>36</v>
      </c>
      <c r="D259" s="208" t="s">
        <v>182</v>
      </c>
      <c r="E259" s="204"/>
      <c r="F259" s="224">
        <v>67400</v>
      </c>
      <c r="G259" s="224">
        <f t="shared" si="5"/>
        <v>32194988</v>
      </c>
      <c r="H259" s="208" t="s">
        <v>163</v>
      </c>
      <c r="I259" s="245" t="s">
        <v>192</v>
      </c>
      <c r="J259" s="227" t="s">
        <v>338</v>
      </c>
      <c r="K259" s="228" t="s">
        <v>302</v>
      </c>
      <c r="L259" s="203" t="s">
        <v>161</v>
      </c>
      <c r="M259" s="3"/>
      <c r="N259" s="210"/>
      <c r="O259" s="203"/>
    </row>
    <row r="260" spans="1:63" s="116" customFormat="1" ht="15" customHeight="1">
      <c r="A260" s="202"/>
      <c r="B260" s="208"/>
      <c r="C260" s="208"/>
      <c r="D260" s="208"/>
      <c r="E260" s="204"/>
      <c r="F260" s="224"/>
      <c r="G260" s="204"/>
      <c r="H260" s="208"/>
      <c r="I260" s="251"/>
      <c r="J260" s="227"/>
      <c r="K260" s="228"/>
      <c r="L260" s="203"/>
      <c r="M260" s="3"/>
      <c r="N260" s="210"/>
      <c r="O260" s="203"/>
    </row>
    <row r="261" spans="1:63" s="193" customFormat="1" ht="15" customHeight="1">
      <c r="A261" s="202"/>
      <c r="B261" s="208"/>
      <c r="C261" s="208"/>
      <c r="D261" s="208"/>
      <c r="E261" s="204"/>
      <c r="F261" s="224"/>
      <c r="G261" s="204"/>
      <c r="H261" s="208"/>
      <c r="I261" s="251"/>
      <c r="J261" s="227"/>
      <c r="K261" s="228"/>
      <c r="L261" s="203"/>
      <c r="M261" s="3"/>
      <c r="N261" s="210"/>
      <c r="O261" s="203"/>
    </row>
    <row r="262" spans="1:63" s="116" customFormat="1" ht="15" customHeight="1">
      <c r="A262" s="202"/>
      <c r="B262" s="208"/>
      <c r="C262" s="208"/>
      <c r="D262" s="208"/>
      <c r="E262" s="204"/>
      <c r="F262" s="224"/>
      <c r="G262" s="204"/>
      <c r="H262" s="208"/>
      <c r="I262" s="251"/>
      <c r="J262" s="227"/>
      <c r="K262" s="228"/>
      <c r="L262" s="203"/>
      <c r="M262" s="210"/>
      <c r="N262" s="210"/>
      <c r="O262" s="203"/>
    </row>
    <row r="263" spans="1:63" s="116" customFormat="1" ht="15" customHeight="1">
      <c r="A263" s="202"/>
      <c r="B263" s="208"/>
      <c r="C263" s="208"/>
      <c r="D263" s="208"/>
      <c r="E263" s="204"/>
      <c r="F263" s="224"/>
      <c r="G263" s="204"/>
      <c r="H263" s="208"/>
      <c r="I263" s="251"/>
      <c r="J263" s="227"/>
      <c r="K263" s="228"/>
      <c r="L263" s="203"/>
      <c r="M263" s="3"/>
      <c r="N263" s="210"/>
      <c r="O263" s="203"/>
    </row>
    <row r="264" spans="1:63" s="116" customFormat="1" ht="15" customHeight="1">
      <c r="A264" s="202"/>
      <c r="B264" s="208"/>
      <c r="C264" s="208"/>
      <c r="D264" s="208"/>
      <c r="E264" s="204"/>
      <c r="F264" s="224"/>
      <c r="G264" s="204"/>
      <c r="H264" s="208"/>
      <c r="I264" s="251"/>
      <c r="J264" s="227"/>
      <c r="K264" s="228"/>
      <c r="L264" s="203"/>
      <c r="M264" s="3"/>
      <c r="N264" s="210"/>
      <c r="O264" s="203"/>
    </row>
    <row r="265" spans="1:63" s="116" customFormat="1" ht="15" customHeight="1">
      <c r="A265" s="202"/>
      <c r="B265" s="208"/>
      <c r="C265" s="208"/>
      <c r="D265" s="208"/>
      <c r="E265" s="204"/>
      <c r="F265" s="224"/>
      <c r="G265" s="204"/>
      <c r="H265" s="208"/>
      <c r="I265" s="251"/>
      <c r="J265" s="227"/>
      <c r="K265" s="228"/>
      <c r="L265" s="203"/>
      <c r="M265" s="210"/>
      <c r="N265" s="210"/>
      <c r="O265" s="203"/>
      <c r="P265" s="193"/>
      <c r="Q265" s="193"/>
      <c r="R265" s="193"/>
      <c r="S265" s="193"/>
      <c r="T265" s="193"/>
      <c r="U265" s="193"/>
      <c r="V265" s="193"/>
      <c r="W265" s="193"/>
      <c r="X265" s="193"/>
      <c r="Y265" s="193"/>
      <c r="Z265" s="193"/>
      <c r="AA265" s="193"/>
      <c r="AB265" s="193"/>
      <c r="AC265" s="193"/>
      <c r="AD265" s="193"/>
      <c r="AE265" s="193"/>
      <c r="AF265" s="193"/>
      <c r="AG265" s="193"/>
      <c r="AH265" s="193"/>
      <c r="AI265" s="193"/>
      <c r="AJ265" s="193"/>
      <c r="AK265" s="193"/>
      <c r="AL265" s="193"/>
      <c r="AM265" s="193"/>
      <c r="AN265" s="193"/>
      <c r="AO265" s="193"/>
      <c r="AP265" s="193"/>
      <c r="AQ265" s="193"/>
      <c r="AR265" s="193"/>
      <c r="AS265" s="193"/>
      <c r="AT265" s="193"/>
      <c r="AU265" s="193"/>
      <c r="AV265" s="193"/>
      <c r="AW265" s="193"/>
      <c r="AX265" s="193"/>
      <c r="AY265" s="193"/>
      <c r="AZ265" s="193"/>
      <c r="BA265" s="193"/>
      <c r="BB265" s="193"/>
      <c r="BC265" s="193"/>
      <c r="BD265" s="193"/>
      <c r="BE265" s="193"/>
      <c r="BF265" s="193"/>
      <c r="BG265" s="193"/>
      <c r="BH265" s="193"/>
      <c r="BI265" s="193"/>
      <c r="BJ265" s="193"/>
      <c r="BK265" s="193"/>
    </row>
    <row r="266" spans="1:63" s="116" customFormat="1" ht="15" customHeight="1">
      <c r="A266" s="202"/>
      <c r="B266" s="209"/>
      <c r="C266" s="209"/>
      <c r="D266" s="209"/>
      <c r="E266" s="204"/>
      <c r="F266" s="224"/>
      <c r="G266" s="204"/>
      <c r="H266" s="208"/>
      <c r="I266" s="251"/>
      <c r="J266" s="227"/>
      <c r="K266" s="228"/>
      <c r="L266" s="203"/>
      <c r="M266" s="203"/>
      <c r="N266" s="210"/>
      <c r="O266" s="203"/>
    </row>
    <row r="267" spans="1:63" s="116" customFormat="1" ht="15" customHeight="1">
      <c r="A267" s="202"/>
      <c r="B267" s="209"/>
      <c r="C267" s="208"/>
      <c r="D267" s="212"/>
      <c r="E267" s="204"/>
      <c r="F267" s="224"/>
      <c r="G267" s="204"/>
      <c r="H267" s="208"/>
      <c r="I267" s="251"/>
      <c r="J267" s="227"/>
      <c r="K267" s="228"/>
      <c r="L267" s="203"/>
      <c r="M267" s="210"/>
      <c r="N267" s="210"/>
      <c r="O267" s="203"/>
    </row>
    <row r="268" spans="1:63" s="116" customFormat="1" ht="15" customHeight="1">
      <c r="A268" s="202"/>
      <c r="B268" s="209"/>
      <c r="C268" s="208"/>
      <c r="D268" s="212"/>
      <c r="E268" s="204"/>
      <c r="F268" s="224"/>
      <c r="G268" s="204"/>
      <c r="H268" s="208"/>
      <c r="I268" s="251"/>
      <c r="J268" s="227"/>
      <c r="K268" s="228"/>
      <c r="L268" s="203"/>
      <c r="M268" s="210"/>
      <c r="N268" s="210"/>
      <c r="O268" s="203"/>
      <c r="P268" s="193"/>
      <c r="Q268" s="193"/>
      <c r="R268" s="193"/>
      <c r="S268" s="193"/>
      <c r="T268" s="193"/>
      <c r="U268" s="193"/>
      <c r="V268" s="193"/>
      <c r="W268" s="193"/>
      <c r="X268" s="193"/>
      <c r="Y268" s="193"/>
      <c r="Z268" s="193"/>
      <c r="AA268" s="193"/>
      <c r="AB268" s="193"/>
      <c r="AC268" s="193"/>
      <c r="AD268" s="193"/>
      <c r="AE268" s="193"/>
      <c r="AF268" s="193"/>
      <c r="AG268" s="193"/>
      <c r="AH268" s="193"/>
      <c r="AI268" s="193"/>
      <c r="AJ268" s="193"/>
      <c r="AK268" s="193"/>
      <c r="AL268" s="193"/>
      <c r="AM268" s="193"/>
      <c r="AN268" s="193"/>
      <c r="AO268" s="193"/>
      <c r="AP268" s="193"/>
      <c r="AQ268" s="193"/>
      <c r="AR268" s="193"/>
      <c r="AS268" s="193"/>
      <c r="AT268" s="193"/>
      <c r="AU268" s="193"/>
      <c r="AV268" s="193"/>
      <c r="AW268" s="193"/>
      <c r="AX268" s="193"/>
      <c r="AY268" s="193"/>
      <c r="AZ268" s="193"/>
      <c r="BA268" s="193"/>
      <c r="BB268" s="193"/>
      <c r="BC268" s="193"/>
      <c r="BD268" s="193"/>
      <c r="BE268" s="193"/>
      <c r="BF268" s="193"/>
      <c r="BG268" s="193"/>
      <c r="BH268" s="193"/>
      <c r="BI268" s="193"/>
      <c r="BJ268" s="193"/>
      <c r="BK268" s="193"/>
    </row>
    <row r="269" spans="1:63" s="193" customFormat="1" ht="15" customHeight="1">
      <c r="A269" s="202"/>
      <c r="B269" s="208"/>
      <c r="C269" s="208"/>
      <c r="D269" s="208"/>
      <c r="E269" s="204"/>
      <c r="F269" s="224"/>
      <c r="G269" s="204"/>
      <c r="H269" s="209"/>
      <c r="I269" s="251"/>
      <c r="J269" s="227"/>
      <c r="K269" s="228"/>
      <c r="L269" s="203"/>
      <c r="M269" s="3"/>
      <c r="N269" s="210"/>
      <c r="O269" s="203"/>
      <c r="P269" s="116"/>
      <c r="Q269" s="116"/>
      <c r="R269" s="116"/>
      <c r="S269" s="116"/>
      <c r="T269" s="116"/>
      <c r="U269" s="116"/>
      <c r="V269" s="116"/>
      <c r="W269" s="116"/>
      <c r="X269" s="116"/>
      <c r="Y269" s="116"/>
      <c r="Z269" s="116"/>
      <c r="AA269" s="116"/>
      <c r="AB269" s="116"/>
      <c r="AC269" s="116"/>
      <c r="AD269" s="116"/>
      <c r="AE269" s="116"/>
      <c r="AF269" s="116"/>
      <c r="AG269" s="116"/>
      <c r="AH269" s="116"/>
      <c r="AI269" s="116"/>
      <c r="AJ269" s="116"/>
      <c r="AK269" s="116"/>
      <c r="AL269" s="116"/>
      <c r="AM269" s="116"/>
      <c r="AN269" s="116"/>
      <c r="AO269" s="116"/>
      <c r="AP269" s="116"/>
      <c r="AQ269" s="116"/>
      <c r="AR269" s="116"/>
      <c r="AS269" s="116"/>
      <c r="AT269" s="116"/>
      <c r="AU269" s="116"/>
      <c r="AV269" s="116"/>
      <c r="AW269" s="116"/>
      <c r="AX269" s="116"/>
      <c r="AY269" s="116"/>
      <c r="AZ269" s="116"/>
      <c r="BA269" s="116"/>
      <c r="BB269" s="116"/>
      <c r="BC269" s="116"/>
      <c r="BD269" s="116"/>
      <c r="BE269" s="116"/>
      <c r="BF269" s="116"/>
      <c r="BG269" s="116"/>
      <c r="BH269" s="116"/>
      <c r="BI269" s="116"/>
      <c r="BJ269" s="116"/>
      <c r="BK269" s="116"/>
    </row>
    <row r="270" spans="1:63" s="193" customFormat="1" ht="15" customHeight="1">
      <c r="A270" s="202"/>
      <c r="B270" s="209"/>
      <c r="C270" s="208"/>
      <c r="D270" s="203"/>
      <c r="E270" s="204"/>
      <c r="F270" s="224"/>
      <c r="G270" s="204"/>
      <c r="H270" s="209"/>
      <c r="I270" s="251"/>
      <c r="J270" s="227"/>
      <c r="K270" s="228"/>
      <c r="L270" s="203"/>
      <c r="M270" s="210"/>
      <c r="N270" s="210"/>
      <c r="O270" s="203"/>
    </row>
    <row r="271" spans="1:63" s="193" customFormat="1" ht="15" customHeight="1">
      <c r="A271" s="202"/>
      <c r="B271" s="208"/>
      <c r="C271" s="208"/>
      <c r="D271" s="208"/>
      <c r="E271" s="204"/>
      <c r="F271" s="224"/>
      <c r="G271" s="204"/>
      <c r="H271" s="208"/>
      <c r="I271" s="251"/>
      <c r="J271" s="227"/>
      <c r="K271" s="228"/>
      <c r="L271" s="203"/>
      <c r="M271" s="210"/>
      <c r="N271" s="210"/>
      <c r="O271" s="203"/>
    </row>
    <row r="272" spans="1:63" s="193" customFormat="1" ht="15" customHeight="1">
      <c r="A272" s="202"/>
      <c r="B272" s="208"/>
      <c r="C272" s="208"/>
      <c r="D272" s="208"/>
      <c r="E272" s="204"/>
      <c r="F272" s="224"/>
      <c r="G272" s="204"/>
      <c r="H272" s="208"/>
      <c r="I272" s="251"/>
      <c r="J272" s="227"/>
      <c r="K272" s="228"/>
      <c r="L272" s="203"/>
      <c r="M272" s="210"/>
      <c r="N272" s="210"/>
      <c r="O272" s="203"/>
    </row>
    <row r="273" spans="1:63" s="116" customFormat="1" ht="15" customHeight="1">
      <c r="A273" s="202"/>
      <c r="B273" s="208"/>
      <c r="C273" s="208"/>
      <c r="D273" s="208"/>
      <c r="E273" s="204"/>
      <c r="F273" s="224"/>
      <c r="G273" s="204"/>
      <c r="H273" s="208"/>
      <c r="I273" s="251"/>
      <c r="J273" s="227"/>
      <c r="K273" s="228"/>
      <c r="L273" s="203"/>
      <c r="M273" s="210"/>
      <c r="N273" s="210"/>
      <c r="O273" s="203"/>
      <c r="P273" s="193"/>
      <c r="Q273" s="193"/>
      <c r="R273" s="193"/>
      <c r="S273" s="193"/>
      <c r="T273" s="193"/>
      <c r="U273" s="193"/>
      <c r="V273" s="193"/>
      <c r="W273" s="193"/>
      <c r="X273" s="193"/>
      <c r="Y273" s="193"/>
      <c r="Z273" s="193"/>
      <c r="AA273" s="193"/>
      <c r="AB273" s="193"/>
      <c r="AC273" s="193"/>
      <c r="AD273" s="193"/>
      <c r="AE273" s="193"/>
      <c r="AF273" s="193"/>
      <c r="AG273" s="193"/>
      <c r="AH273" s="193"/>
      <c r="AI273" s="193"/>
      <c r="AJ273" s="193"/>
      <c r="AK273" s="193"/>
      <c r="AL273" s="193"/>
      <c r="AM273" s="193"/>
      <c r="AN273" s="193"/>
      <c r="AO273" s="193"/>
      <c r="AP273" s="193"/>
      <c r="AQ273" s="193"/>
      <c r="AR273" s="193"/>
      <c r="AS273" s="193"/>
      <c r="AT273" s="193"/>
      <c r="AU273" s="193"/>
      <c r="AV273" s="193"/>
      <c r="AW273" s="193"/>
      <c r="AX273" s="193"/>
      <c r="AY273" s="193"/>
      <c r="AZ273" s="193"/>
      <c r="BA273" s="193"/>
      <c r="BB273" s="193"/>
      <c r="BC273" s="193"/>
      <c r="BD273" s="193"/>
      <c r="BE273" s="193"/>
      <c r="BF273" s="193"/>
      <c r="BG273" s="193"/>
      <c r="BH273" s="193"/>
      <c r="BI273" s="193"/>
      <c r="BJ273" s="193"/>
      <c r="BK273" s="193"/>
    </row>
    <row r="274" spans="1:63" s="116" customFormat="1" ht="15" customHeight="1">
      <c r="A274" s="202"/>
      <c r="B274" s="208"/>
      <c r="C274" s="208"/>
      <c r="D274" s="208"/>
      <c r="E274" s="204"/>
      <c r="F274" s="224"/>
      <c r="G274" s="204"/>
      <c r="H274" s="208"/>
      <c r="I274" s="251"/>
      <c r="J274" s="241"/>
      <c r="K274" s="228"/>
      <c r="L274" s="203"/>
      <c r="M274" s="3"/>
      <c r="N274" s="210"/>
      <c r="O274" s="203"/>
      <c r="P274" s="193"/>
      <c r="Q274" s="193"/>
      <c r="R274" s="193"/>
      <c r="S274" s="193"/>
      <c r="T274" s="193"/>
      <c r="U274" s="193"/>
      <c r="V274" s="193"/>
      <c r="W274" s="193"/>
      <c r="X274" s="193"/>
      <c r="Y274" s="193"/>
      <c r="Z274" s="193"/>
      <c r="AA274" s="193"/>
      <c r="AB274" s="193"/>
      <c r="AC274" s="193"/>
      <c r="AD274" s="193"/>
      <c r="AE274" s="193"/>
      <c r="AF274" s="193"/>
      <c r="AG274" s="193"/>
      <c r="AH274" s="193"/>
      <c r="AI274" s="193"/>
      <c r="AJ274" s="193"/>
      <c r="AK274" s="193"/>
      <c r="AL274" s="193"/>
      <c r="AM274" s="193"/>
      <c r="AN274" s="193"/>
      <c r="AO274" s="193"/>
      <c r="AP274" s="193"/>
      <c r="AQ274" s="193"/>
      <c r="AR274" s="193"/>
      <c r="AS274" s="193"/>
      <c r="AT274" s="193"/>
      <c r="AU274" s="193"/>
      <c r="AV274" s="193"/>
      <c r="AW274" s="193"/>
      <c r="AX274" s="193"/>
      <c r="AY274" s="193"/>
      <c r="AZ274" s="193"/>
      <c r="BA274" s="193"/>
      <c r="BB274" s="193"/>
      <c r="BC274" s="193"/>
      <c r="BD274" s="193"/>
      <c r="BE274" s="193"/>
      <c r="BF274" s="193"/>
      <c r="BG274" s="193"/>
      <c r="BH274" s="193"/>
      <c r="BI274" s="193"/>
      <c r="BJ274" s="193"/>
      <c r="BK274" s="193"/>
    </row>
    <row r="275" spans="1:63" s="193" customFormat="1" ht="15" customHeight="1">
      <c r="A275" s="202"/>
      <c r="B275" s="208"/>
      <c r="C275" s="208"/>
      <c r="D275" s="208"/>
      <c r="E275" s="204"/>
      <c r="F275" s="224"/>
      <c r="G275" s="204"/>
      <c r="H275" s="208"/>
      <c r="I275" s="251"/>
      <c r="J275" s="227"/>
      <c r="K275" s="228"/>
      <c r="L275" s="203"/>
      <c r="M275" s="210"/>
      <c r="N275" s="210"/>
      <c r="O275" s="203"/>
    </row>
    <row r="276" spans="1:63" s="116" customFormat="1" ht="15" customHeight="1">
      <c r="A276" s="202"/>
      <c r="B276" s="208"/>
      <c r="C276" s="208"/>
      <c r="D276" s="208"/>
      <c r="E276" s="204"/>
      <c r="F276" s="224"/>
      <c r="G276" s="204"/>
      <c r="H276" s="208"/>
      <c r="I276" s="251"/>
      <c r="J276" s="227"/>
      <c r="K276" s="228"/>
      <c r="L276" s="203"/>
      <c r="M276" s="210"/>
      <c r="N276" s="210"/>
      <c r="O276" s="203"/>
      <c r="P276" s="193"/>
      <c r="Q276" s="193"/>
      <c r="R276" s="193"/>
      <c r="S276" s="193"/>
      <c r="T276" s="193"/>
      <c r="U276" s="193"/>
      <c r="V276" s="193"/>
      <c r="W276" s="193"/>
      <c r="X276" s="193"/>
      <c r="Y276" s="193"/>
      <c r="Z276" s="193"/>
      <c r="AA276" s="193"/>
      <c r="AB276" s="193"/>
      <c r="AC276" s="193"/>
      <c r="AD276" s="193"/>
      <c r="AE276" s="193"/>
      <c r="AF276" s="193"/>
      <c r="AG276" s="193"/>
      <c r="AH276" s="193"/>
      <c r="AI276" s="193"/>
      <c r="AJ276" s="193"/>
      <c r="AK276" s="193"/>
      <c r="AL276" s="193"/>
      <c r="AM276" s="193"/>
      <c r="AN276" s="193"/>
      <c r="AO276" s="193"/>
      <c r="AP276" s="193"/>
      <c r="AQ276" s="193"/>
      <c r="AR276" s="193"/>
      <c r="AS276" s="193"/>
      <c r="AT276" s="193"/>
      <c r="AU276" s="193"/>
      <c r="AV276" s="193"/>
      <c r="AW276" s="193"/>
      <c r="AX276" s="193"/>
      <c r="AY276" s="193"/>
      <c r="AZ276" s="193"/>
      <c r="BA276" s="193"/>
      <c r="BB276" s="193"/>
      <c r="BC276" s="193"/>
      <c r="BD276" s="193"/>
      <c r="BE276" s="193"/>
      <c r="BF276" s="193"/>
      <c r="BG276" s="193"/>
      <c r="BH276" s="193"/>
      <c r="BI276" s="193"/>
      <c r="BJ276" s="193"/>
      <c r="BK276" s="193"/>
    </row>
    <row r="277" spans="1:63" s="116" customFormat="1" ht="15" customHeight="1">
      <c r="A277" s="202"/>
      <c r="B277" s="208"/>
      <c r="C277" s="208"/>
      <c r="D277" s="208"/>
      <c r="E277" s="204"/>
      <c r="F277" s="224"/>
      <c r="G277" s="204"/>
      <c r="H277" s="208"/>
      <c r="I277" s="251"/>
      <c r="J277" s="227"/>
      <c r="K277" s="228"/>
      <c r="L277" s="203"/>
      <c r="M277" s="203"/>
      <c r="N277" s="210"/>
      <c r="O277" s="203"/>
    </row>
    <row r="278" spans="1:63" s="116" customFormat="1" ht="15" customHeight="1">
      <c r="A278" s="202"/>
      <c r="B278" s="208"/>
      <c r="C278" s="208"/>
      <c r="D278" s="208"/>
      <c r="E278" s="204"/>
      <c r="F278" s="224"/>
      <c r="G278" s="204"/>
      <c r="H278" s="208"/>
      <c r="I278" s="251"/>
      <c r="J278" s="227"/>
      <c r="K278" s="228"/>
      <c r="L278" s="203"/>
      <c r="M278" s="210"/>
      <c r="N278" s="210"/>
      <c r="O278" s="203"/>
      <c r="P278" s="193"/>
      <c r="Q278" s="193"/>
      <c r="R278" s="193"/>
      <c r="S278" s="193"/>
      <c r="T278" s="193"/>
      <c r="U278" s="193"/>
      <c r="V278" s="193"/>
      <c r="W278" s="193"/>
      <c r="X278" s="193"/>
      <c r="Y278" s="193"/>
      <c r="Z278" s="193"/>
      <c r="AA278" s="193"/>
      <c r="AB278" s="193"/>
      <c r="AC278" s="193"/>
      <c r="AD278" s="193"/>
      <c r="AE278" s="193"/>
      <c r="AF278" s="193"/>
      <c r="AG278" s="193"/>
      <c r="AH278" s="193"/>
      <c r="AI278" s="193"/>
      <c r="AJ278" s="193"/>
      <c r="AK278" s="193"/>
      <c r="AL278" s="193"/>
      <c r="AM278" s="193"/>
      <c r="AN278" s="193"/>
      <c r="AO278" s="193"/>
      <c r="AP278" s="193"/>
      <c r="AQ278" s="193"/>
      <c r="AR278" s="193"/>
      <c r="AS278" s="193"/>
      <c r="AT278" s="193"/>
      <c r="AU278" s="193"/>
      <c r="AV278" s="193"/>
      <c r="AW278" s="193"/>
      <c r="AX278" s="193"/>
      <c r="AY278" s="193"/>
      <c r="AZ278" s="193"/>
      <c r="BA278" s="193"/>
      <c r="BB278" s="193"/>
      <c r="BC278" s="193"/>
      <c r="BD278" s="193"/>
      <c r="BE278" s="193"/>
      <c r="BF278" s="193"/>
      <c r="BG278" s="193"/>
      <c r="BH278" s="193"/>
      <c r="BI278" s="193"/>
      <c r="BJ278" s="193"/>
      <c r="BK278" s="193"/>
    </row>
    <row r="279" spans="1:63" s="116" customFormat="1" ht="15" customHeight="1">
      <c r="A279" s="202"/>
      <c r="B279" s="209"/>
      <c r="C279" s="208"/>
      <c r="D279" s="209"/>
      <c r="E279" s="204"/>
      <c r="F279" s="224"/>
      <c r="G279" s="213"/>
      <c r="H279" s="208"/>
      <c r="I279" s="251"/>
      <c r="J279" s="227"/>
      <c r="K279" s="238"/>
      <c r="L279" s="203"/>
      <c r="M279" s="210"/>
      <c r="N279" s="210"/>
      <c r="O279" s="203"/>
    </row>
    <row r="280" spans="1:63" s="116" customFormat="1" ht="15" customHeight="1">
      <c r="A280" s="202"/>
      <c r="B280" s="209"/>
      <c r="C280" s="209"/>
      <c r="D280" s="212"/>
      <c r="E280" s="204"/>
      <c r="F280" s="224"/>
      <c r="G280" s="204"/>
      <c r="H280" s="209"/>
      <c r="I280" s="251"/>
      <c r="J280" s="227"/>
      <c r="K280" s="228"/>
      <c r="L280" s="203"/>
      <c r="M280" s="3"/>
      <c r="N280" s="210"/>
      <c r="O280" s="203"/>
    </row>
    <row r="281" spans="1:63" s="116" customFormat="1" ht="15" customHeight="1">
      <c r="A281" s="202"/>
      <c r="B281" s="209"/>
      <c r="C281" s="209"/>
      <c r="D281" s="212"/>
      <c r="E281" s="204"/>
      <c r="F281" s="224"/>
      <c r="G281" s="204"/>
      <c r="H281" s="209"/>
      <c r="I281" s="251"/>
      <c r="J281" s="227"/>
      <c r="K281" s="228"/>
      <c r="L281" s="203"/>
      <c r="M281" s="210"/>
      <c r="N281" s="210"/>
      <c r="O281" s="203"/>
    </row>
    <row r="282" spans="1:63" s="116" customFormat="1" ht="15" customHeight="1">
      <c r="A282" s="202"/>
      <c r="B282" s="211"/>
      <c r="C282" s="208"/>
      <c r="D282" s="214"/>
      <c r="E282" s="204"/>
      <c r="F282" s="224"/>
      <c r="G282" s="204"/>
      <c r="H282" s="209"/>
      <c r="I282" s="251"/>
      <c r="J282" s="227"/>
      <c r="K282" s="228"/>
      <c r="L282" s="203"/>
      <c r="M282" s="203"/>
      <c r="N282" s="210"/>
      <c r="O282" s="203"/>
      <c r="P282" s="193"/>
      <c r="Q282" s="193"/>
      <c r="R282" s="193"/>
      <c r="S282" s="193"/>
      <c r="T282" s="193"/>
      <c r="U282" s="193"/>
      <c r="V282" s="193"/>
      <c r="W282" s="193"/>
      <c r="X282" s="193"/>
      <c r="Y282" s="193"/>
      <c r="Z282" s="193"/>
      <c r="AA282" s="193"/>
      <c r="AB282" s="193"/>
      <c r="AC282" s="193"/>
      <c r="AD282" s="193"/>
      <c r="AE282" s="193"/>
      <c r="AF282" s="193"/>
      <c r="AG282" s="193"/>
      <c r="AH282" s="193"/>
      <c r="AI282" s="193"/>
      <c r="AJ282" s="193"/>
      <c r="AK282" s="193"/>
      <c r="AL282" s="193"/>
      <c r="AM282" s="193"/>
      <c r="AN282" s="193"/>
      <c r="AO282" s="193"/>
      <c r="AP282" s="193"/>
      <c r="AQ282" s="193"/>
      <c r="AR282" s="193"/>
      <c r="AS282" s="193"/>
      <c r="AT282" s="193"/>
      <c r="AU282" s="193"/>
      <c r="AV282" s="193"/>
      <c r="AW282" s="193"/>
      <c r="AX282" s="193"/>
      <c r="AY282" s="193"/>
      <c r="AZ282" s="193"/>
      <c r="BA282" s="193"/>
      <c r="BB282" s="193"/>
      <c r="BC282" s="193"/>
      <c r="BD282" s="193"/>
      <c r="BE282" s="193"/>
      <c r="BF282" s="193"/>
      <c r="BG282" s="193"/>
      <c r="BH282" s="193"/>
      <c r="BI282" s="193"/>
      <c r="BJ282" s="193"/>
      <c r="BK282" s="193"/>
    </row>
    <row r="283" spans="1:63" s="116" customFormat="1" ht="15" customHeight="1">
      <c r="A283" s="202"/>
      <c r="B283" s="208"/>
      <c r="C283" s="208"/>
      <c r="D283" s="208"/>
      <c r="E283" s="204"/>
      <c r="F283" s="224"/>
      <c r="G283" s="204"/>
      <c r="H283" s="208"/>
      <c r="I283" s="251"/>
      <c r="J283" s="227"/>
      <c r="K283" s="228"/>
      <c r="L283" s="203"/>
      <c r="M283" s="3"/>
      <c r="N283" s="210"/>
      <c r="O283" s="203"/>
      <c r="P283" s="193"/>
      <c r="Q283" s="193"/>
      <c r="R283" s="193"/>
      <c r="S283" s="193"/>
      <c r="T283" s="193"/>
      <c r="U283" s="193"/>
      <c r="V283" s="193"/>
      <c r="W283" s="193"/>
      <c r="X283" s="193"/>
      <c r="Y283" s="193"/>
      <c r="Z283" s="193"/>
      <c r="AA283" s="193"/>
      <c r="AB283" s="193"/>
      <c r="AC283" s="193"/>
      <c r="AD283" s="193"/>
      <c r="AE283" s="193"/>
      <c r="AF283" s="193"/>
      <c r="AG283" s="193"/>
      <c r="AH283" s="193"/>
      <c r="AI283" s="193"/>
      <c r="AJ283" s="193"/>
      <c r="AK283" s="193"/>
      <c r="AL283" s="193"/>
      <c r="AM283" s="193"/>
      <c r="AN283" s="193"/>
      <c r="AO283" s="193"/>
      <c r="AP283" s="193"/>
      <c r="AQ283" s="193"/>
      <c r="AR283" s="193"/>
      <c r="AS283" s="193"/>
      <c r="AT283" s="193"/>
      <c r="AU283" s="193"/>
      <c r="AV283" s="193"/>
      <c r="AW283" s="193"/>
      <c r="AX283" s="193"/>
      <c r="AY283" s="193"/>
      <c r="AZ283" s="193"/>
      <c r="BA283" s="193"/>
      <c r="BB283" s="193"/>
      <c r="BC283" s="193"/>
      <c r="BD283" s="193"/>
      <c r="BE283" s="193"/>
      <c r="BF283" s="193"/>
      <c r="BG283" s="193"/>
      <c r="BH283" s="193"/>
      <c r="BI283" s="193"/>
      <c r="BJ283" s="193"/>
      <c r="BK283" s="193"/>
    </row>
    <row r="284" spans="1:63" s="193" customFormat="1" ht="15" customHeight="1">
      <c r="A284" s="202"/>
      <c r="B284" s="208"/>
      <c r="C284" s="208"/>
      <c r="D284" s="208"/>
      <c r="E284" s="204"/>
      <c r="F284" s="224"/>
      <c r="G284" s="204"/>
      <c r="H284" s="208"/>
      <c r="I284" s="251"/>
      <c r="J284" s="227"/>
      <c r="K284" s="228"/>
      <c r="L284" s="203"/>
      <c r="M284" s="203"/>
      <c r="N284" s="210"/>
      <c r="O284" s="203"/>
      <c r="P284" s="116"/>
      <c r="Q284" s="116"/>
      <c r="R284" s="116"/>
      <c r="S284" s="116"/>
      <c r="T284" s="116"/>
      <c r="U284" s="116"/>
      <c r="V284" s="116"/>
      <c r="W284" s="116"/>
      <c r="X284" s="116"/>
      <c r="Y284" s="116"/>
      <c r="Z284" s="116"/>
      <c r="AA284" s="116"/>
      <c r="AB284" s="116"/>
      <c r="AC284" s="116"/>
      <c r="AD284" s="116"/>
      <c r="AE284" s="116"/>
      <c r="AF284" s="116"/>
      <c r="AG284" s="116"/>
      <c r="AH284" s="116"/>
      <c r="AI284" s="116"/>
      <c r="AJ284" s="116"/>
      <c r="AK284" s="116"/>
      <c r="AL284" s="116"/>
      <c r="AM284" s="116"/>
      <c r="AN284" s="116"/>
      <c r="AO284" s="116"/>
      <c r="AP284" s="116"/>
      <c r="AQ284" s="116"/>
      <c r="AR284" s="116"/>
      <c r="AS284" s="116"/>
      <c r="AT284" s="116"/>
      <c r="AU284" s="116"/>
      <c r="AV284" s="116"/>
      <c r="AW284" s="116"/>
      <c r="AX284" s="116"/>
      <c r="AY284" s="116"/>
      <c r="AZ284" s="116"/>
      <c r="BA284" s="116"/>
      <c r="BB284" s="116"/>
      <c r="BC284" s="116"/>
      <c r="BD284" s="116"/>
      <c r="BE284" s="116"/>
      <c r="BF284" s="116"/>
      <c r="BG284" s="116"/>
      <c r="BH284" s="116"/>
      <c r="BI284" s="116"/>
      <c r="BJ284" s="116"/>
      <c r="BK284" s="116"/>
    </row>
    <row r="285" spans="1:63" s="193" customFormat="1" ht="15" customHeight="1">
      <c r="A285" s="202"/>
      <c r="B285" s="208"/>
      <c r="C285" s="208"/>
      <c r="D285" s="208"/>
      <c r="E285" s="204"/>
      <c r="F285" s="224"/>
      <c r="G285" s="204"/>
      <c r="H285" s="208"/>
      <c r="I285" s="251"/>
      <c r="J285" s="227"/>
      <c r="K285" s="228"/>
      <c r="L285" s="203"/>
      <c r="M285" s="203"/>
      <c r="N285" s="210"/>
      <c r="O285" s="210"/>
      <c r="P285" s="116"/>
      <c r="Q285" s="116"/>
      <c r="R285" s="116"/>
      <c r="S285" s="116"/>
      <c r="T285" s="116"/>
      <c r="U285" s="116"/>
      <c r="V285" s="116"/>
      <c r="W285" s="116"/>
      <c r="X285" s="116"/>
      <c r="Y285" s="116"/>
      <c r="Z285" s="116"/>
      <c r="AA285" s="116"/>
      <c r="AB285" s="116"/>
      <c r="AC285" s="116"/>
      <c r="AD285" s="116"/>
      <c r="AE285" s="116"/>
      <c r="AF285" s="116"/>
      <c r="AG285" s="116"/>
      <c r="AH285" s="116"/>
      <c r="AI285" s="116"/>
      <c r="AJ285" s="116"/>
      <c r="AK285" s="116"/>
      <c r="AL285" s="116"/>
      <c r="AM285" s="116"/>
      <c r="AN285" s="116"/>
      <c r="AO285" s="116"/>
      <c r="AP285" s="116"/>
      <c r="AQ285" s="116"/>
      <c r="AR285" s="116"/>
      <c r="AS285" s="116"/>
      <c r="AT285" s="116"/>
      <c r="AU285" s="116"/>
      <c r="AV285" s="116"/>
      <c r="AW285" s="116"/>
      <c r="AX285" s="116"/>
      <c r="AY285" s="116"/>
      <c r="AZ285" s="116"/>
      <c r="BA285" s="116"/>
      <c r="BB285" s="116"/>
      <c r="BC285" s="116"/>
      <c r="BD285" s="116"/>
      <c r="BE285" s="116"/>
      <c r="BF285" s="116"/>
      <c r="BG285" s="116"/>
      <c r="BH285" s="116"/>
      <c r="BI285" s="116"/>
      <c r="BJ285" s="116"/>
      <c r="BK285" s="116"/>
    </row>
    <row r="286" spans="1:63" s="193" customFormat="1" ht="15" customHeight="1">
      <c r="A286" s="202"/>
      <c r="B286" s="208"/>
      <c r="C286" s="208"/>
      <c r="D286" s="208"/>
      <c r="E286" s="204"/>
      <c r="F286" s="224"/>
      <c r="G286" s="204"/>
      <c r="H286" s="208"/>
      <c r="I286" s="251"/>
      <c r="J286" s="227"/>
      <c r="K286" s="228"/>
      <c r="L286" s="203"/>
      <c r="M286" s="203"/>
      <c r="N286" s="210"/>
      <c r="O286" s="203"/>
      <c r="P286" s="116"/>
      <c r="Q286" s="116"/>
      <c r="R286" s="116"/>
      <c r="S286" s="116"/>
      <c r="T286" s="116"/>
      <c r="U286" s="116"/>
      <c r="V286" s="116"/>
      <c r="W286" s="116"/>
      <c r="X286" s="116"/>
      <c r="Y286" s="116"/>
      <c r="Z286" s="116"/>
      <c r="AA286" s="116"/>
      <c r="AB286" s="116"/>
      <c r="AC286" s="116"/>
      <c r="AD286" s="116"/>
      <c r="AE286" s="116"/>
      <c r="AF286" s="116"/>
      <c r="AG286" s="116"/>
      <c r="AH286" s="116"/>
      <c r="AI286" s="116"/>
      <c r="AJ286" s="116"/>
      <c r="AK286" s="116"/>
      <c r="AL286" s="116"/>
      <c r="AM286" s="116"/>
      <c r="AN286" s="116"/>
      <c r="AO286" s="116"/>
      <c r="AP286" s="116"/>
      <c r="AQ286" s="116"/>
      <c r="AR286" s="116"/>
      <c r="AS286" s="116"/>
      <c r="AT286" s="116"/>
      <c r="AU286" s="116"/>
      <c r="AV286" s="116"/>
      <c r="AW286" s="116"/>
      <c r="AX286" s="116"/>
      <c r="AY286" s="116"/>
      <c r="AZ286" s="116"/>
      <c r="BA286" s="116"/>
      <c r="BB286" s="116"/>
      <c r="BC286" s="116"/>
      <c r="BD286" s="116"/>
      <c r="BE286" s="116"/>
      <c r="BF286" s="116"/>
      <c r="BG286" s="116"/>
      <c r="BH286" s="116"/>
      <c r="BI286" s="116"/>
      <c r="BJ286" s="116"/>
      <c r="BK286" s="116"/>
    </row>
    <row r="287" spans="1:63" s="193" customFormat="1" ht="15" customHeight="1">
      <c r="A287" s="202"/>
      <c r="B287" s="208"/>
      <c r="C287" s="208"/>
      <c r="D287" s="208"/>
      <c r="E287" s="204"/>
      <c r="F287" s="224"/>
      <c r="G287" s="204"/>
      <c r="H287" s="208"/>
      <c r="I287" s="251"/>
      <c r="J287" s="227"/>
      <c r="K287" s="228"/>
      <c r="L287" s="203"/>
      <c r="M287" s="3"/>
      <c r="N287" s="210"/>
      <c r="O287" s="221"/>
      <c r="P287" s="116"/>
      <c r="Q287" s="116"/>
      <c r="R287" s="116"/>
      <c r="S287" s="116"/>
      <c r="T287" s="116"/>
      <c r="U287" s="116"/>
      <c r="V287" s="116"/>
      <c r="W287" s="116"/>
      <c r="X287" s="116"/>
      <c r="Y287" s="116"/>
      <c r="Z287" s="116"/>
      <c r="AA287" s="116"/>
      <c r="AB287" s="116"/>
      <c r="AC287" s="116"/>
      <c r="AD287" s="116"/>
      <c r="AE287" s="116"/>
      <c r="AF287" s="116"/>
      <c r="AG287" s="116"/>
      <c r="AH287" s="116"/>
      <c r="AI287" s="116"/>
      <c r="AJ287" s="116"/>
      <c r="AK287" s="116"/>
      <c r="AL287" s="116"/>
      <c r="AM287" s="116"/>
      <c r="AN287" s="116"/>
      <c r="AO287" s="116"/>
      <c r="AP287" s="116"/>
      <c r="AQ287" s="116"/>
      <c r="AR287" s="116"/>
      <c r="AS287" s="116"/>
      <c r="AT287" s="116"/>
      <c r="AU287" s="116"/>
      <c r="AV287" s="116"/>
      <c r="AW287" s="116"/>
      <c r="AX287" s="116"/>
      <c r="AY287" s="116"/>
      <c r="AZ287" s="116"/>
      <c r="BA287" s="116"/>
      <c r="BB287" s="116"/>
      <c r="BC287" s="116"/>
      <c r="BD287" s="116"/>
      <c r="BE287" s="116"/>
      <c r="BF287" s="116"/>
      <c r="BG287" s="116"/>
      <c r="BH287" s="116"/>
      <c r="BI287" s="116"/>
      <c r="BJ287" s="116"/>
      <c r="BK287" s="116"/>
    </row>
    <row r="288" spans="1:63" s="193" customFormat="1" ht="15" customHeight="1">
      <c r="A288" s="202"/>
      <c r="B288" s="208"/>
      <c r="C288" s="208"/>
      <c r="D288" s="208"/>
      <c r="E288" s="204"/>
      <c r="F288" s="224"/>
      <c r="G288" s="204"/>
      <c r="H288" s="208"/>
      <c r="I288" s="251"/>
      <c r="J288" s="227"/>
      <c r="K288" s="228"/>
      <c r="L288" s="203"/>
      <c r="M288" s="210"/>
      <c r="N288" s="210"/>
      <c r="O288" s="203"/>
    </row>
    <row r="289" spans="1:63" s="116" customFormat="1" ht="15" customHeight="1">
      <c r="A289" s="202"/>
      <c r="B289" s="208"/>
      <c r="C289" s="209"/>
      <c r="D289" s="208"/>
      <c r="E289" s="204"/>
      <c r="F289" s="224"/>
      <c r="G289" s="204"/>
      <c r="H289" s="208"/>
      <c r="I289" s="251"/>
      <c r="J289" s="227"/>
      <c r="K289" s="228"/>
      <c r="L289" s="203"/>
      <c r="M289" s="210"/>
      <c r="N289" s="210"/>
      <c r="O289" s="209"/>
      <c r="P289" s="193"/>
      <c r="Q289" s="193"/>
      <c r="R289" s="193"/>
      <c r="S289" s="193"/>
      <c r="T289" s="193"/>
      <c r="U289" s="193"/>
      <c r="V289" s="193"/>
      <c r="W289" s="193"/>
      <c r="X289" s="193"/>
      <c r="Y289" s="193"/>
      <c r="Z289" s="193"/>
      <c r="AA289" s="193"/>
      <c r="AB289" s="193"/>
      <c r="AC289" s="193"/>
      <c r="AD289" s="193"/>
      <c r="AE289" s="193"/>
      <c r="AF289" s="193"/>
      <c r="AG289" s="193"/>
      <c r="AH289" s="193"/>
      <c r="AI289" s="193"/>
      <c r="AJ289" s="193"/>
      <c r="AK289" s="193"/>
      <c r="AL289" s="193"/>
      <c r="AM289" s="193"/>
      <c r="AN289" s="193"/>
      <c r="AO289" s="193"/>
      <c r="AP289" s="193"/>
      <c r="AQ289" s="193"/>
      <c r="AR289" s="193"/>
      <c r="AS289" s="193"/>
      <c r="AT289" s="193"/>
      <c r="AU289" s="193"/>
      <c r="AV289" s="193"/>
      <c r="AW289" s="193"/>
      <c r="AX289" s="193"/>
      <c r="AY289" s="193"/>
      <c r="AZ289" s="193"/>
      <c r="BA289" s="193"/>
      <c r="BB289" s="193"/>
      <c r="BC289" s="193"/>
      <c r="BD289" s="193"/>
      <c r="BE289" s="193"/>
      <c r="BF289" s="193"/>
      <c r="BG289" s="193"/>
      <c r="BH289" s="193"/>
      <c r="BI289" s="193"/>
      <c r="BJ289" s="193"/>
      <c r="BK289" s="193"/>
    </row>
    <row r="290" spans="1:63" s="193" customFormat="1" ht="15" customHeight="1">
      <c r="A290" s="202"/>
      <c r="B290" s="209"/>
      <c r="C290" s="209"/>
      <c r="D290" s="209"/>
      <c r="E290" s="204"/>
      <c r="F290" s="224"/>
      <c r="G290" s="204"/>
      <c r="H290" s="208"/>
      <c r="I290" s="251"/>
      <c r="J290" s="227"/>
      <c r="K290" s="238"/>
      <c r="L290" s="203"/>
      <c r="M290" s="3"/>
      <c r="N290" s="210"/>
      <c r="O290" s="203"/>
    </row>
    <row r="291" spans="1:63" s="116" customFormat="1" ht="15" customHeight="1">
      <c r="A291" s="202"/>
      <c r="B291" s="209"/>
      <c r="C291" s="208"/>
      <c r="D291" s="209"/>
      <c r="E291" s="204"/>
      <c r="F291" s="224"/>
      <c r="G291" s="213"/>
      <c r="H291" s="208"/>
      <c r="I291" s="251"/>
      <c r="J291" s="227"/>
      <c r="K291" s="238"/>
      <c r="L291" s="203"/>
      <c r="M291" s="203"/>
      <c r="N291" s="210"/>
      <c r="O291" s="203"/>
    </row>
    <row r="292" spans="1:63" s="193" customFormat="1" ht="15" customHeight="1">
      <c r="A292" s="202"/>
      <c r="B292" s="215"/>
      <c r="C292" s="215"/>
      <c r="D292" s="215"/>
      <c r="E292" s="204"/>
      <c r="F292" s="224"/>
      <c r="G292" s="204"/>
      <c r="H292" s="208"/>
      <c r="I292" s="251"/>
      <c r="J292" s="227"/>
      <c r="K292" s="238"/>
      <c r="L292" s="203"/>
      <c r="M292" s="3"/>
      <c r="N292" s="210"/>
      <c r="O292" s="203"/>
      <c r="P292" s="116"/>
      <c r="Q292" s="116"/>
      <c r="R292" s="116"/>
      <c r="S292" s="116"/>
      <c r="T292" s="116"/>
      <c r="U292" s="116"/>
      <c r="V292" s="116"/>
      <c r="W292" s="116"/>
      <c r="X292" s="116"/>
      <c r="Y292" s="116"/>
      <c r="Z292" s="116"/>
      <c r="AA292" s="116"/>
      <c r="AB292" s="116"/>
      <c r="AC292" s="116"/>
      <c r="AD292" s="116"/>
      <c r="AE292" s="116"/>
      <c r="AF292" s="116"/>
      <c r="AG292" s="116"/>
      <c r="AH292" s="116"/>
      <c r="AI292" s="116"/>
      <c r="AJ292" s="116"/>
      <c r="AK292" s="116"/>
      <c r="AL292" s="116"/>
      <c r="AM292" s="116"/>
      <c r="AN292" s="116"/>
      <c r="AO292" s="116"/>
      <c r="AP292" s="116"/>
      <c r="AQ292" s="116"/>
      <c r="AR292" s="116"/>
      <c r="AS292" s="116"/>
      <c r="AT292" s="116"/>
      <c r="AU292" s="116"/>
      <c r="AV292" s="116"/>
      <c r="AW292" s="116"/>
      <c r="AX292" s="116"/>
      <c r="AY292" s="116"/>
      <c r="AZ292" s="116"/>
      <c r="BA292" s="116"/>
      <c r="BB292" s="116"/>
      <c r="BC292" s="116"/>
      <c r="BD292" s="116"/>
      <c r="BE292" s="116"/>
      <c r="BF292" s="116"/>
      <c r="BG292" s="116"/>
      <c r="BH292" s="116"/>
      <c r="BI292" s="116"/>
      <c r="BJ292" s="116"/>
      <c r="BK292" s="116"/>
    </row>
    <row r="293" spans="1:63" s="116" customFormat="1" ht="15" customHeight="1">
      <c r="A293" s="202"/>
      <c r="B293" s="208"/>
      <c r="C293" s="208"/>
      <c r="D293" s="208"/>
      <c r="E293" s="204"/>
      <c r="F293" s="224"/>
      <c r="G293" s="204"/>
      <c r="H293" s="208"/>
      <c r="I293" s="251"/>
      <c r="J293" s="227"/>
      <c r="K293" s="228"/>
      <c r="L293" s="203"/>
      <c r="M293" s="203"/>
      <c r="N293" s="210"/>
      <c r="O293" s="203"/>
      <c r="P293" s="193"/>
      <c r="Q293" s="193"/>
      <c r="R293" s="193"/>
      <c r="S293" s="193"/>
      <c r="T293" s="193"/>
      <c r="U293" s="193"/>
      <c r="V293" s="193"/>
      <c r="W293" s="193"/>
      <c r="X293" s="193"/>
      <c r="Y293" s="193"/>
      <c r="Z293" s="193"/>
      <c r="AA293" s="193"/>
      <c r="AB293" s="193"/>
      <c r="AC293" s="193"/>
      <c r="AD293" s="193"/>
      <c r="AE293" s="193"/>
      <c r="AF293" s="193"/>
      <c r="AG293" s="193"/>
      <c r="AH293" s="193"/>
      <c r="AI293" s="193"/>
      <c r="AJ293" s="193"/>
      <c r="AK293" s="193"/>
      <c r="AL293" s="193"/>
      <c r="AM293" s="193"/>
      <c r="AN293" s="193"/>
      <c r="AO293" s="193"/>
      <c r="AP293" s="193"/>
      <c r="AQ293" s="193"/>
      <c r="AR293" s="193"/>
      <c r="AS293" s="193"/>
      <c r="AT293" s="193"/>
      <c r="AU293" s="193"/>
      <c r="AV293" s="193"/>
      <c r="AW293" s="193"/>
      <c r="AX293" s="193"/>
      <c r="AY293" s="193"/>
      <c r="AZ293" s="193"/>
      <c r="BA293" s="193"/>
      <c r="BB293" s="193"/>
      <c r="BC293" s="193"/>
      <c r="BD293" s="193"/>
      <c r="BE293" s="193"/>
      <c r="BF293" s="193"/>
      <c r="BG293" s="193"/>
      <c r="BH293" s="193"/>
      <c r="BI293" s="193"/>
      <c r="BJ293" s="193"/>
      <c r="BK293" s="193"/>
    </row>
    <row r="294" spans="1:63" s="193" customFormat="1" ht="15" customHeight="1">
      <c r="A294" s="202"/>
      <c r="B294" s="208"/>
      <c r="C294" s="208"/>
      <c r="D294" s="208"/>
      <c r="E294" s="204"/>
      <c r="F294" s="224"/>
      <c r="G294" s="204"/>
      <c r="H294" s="208"/>
      <c r="I294" s="251"/>
      <c r="J294" s="227"/>
      <c r="K294" s="238"/>
      <c r="L294" s="203"/>
      <c r="M294" s="3"/>
      <c r="N294" s="210"/>
      <c r="O294" s="203"/>
      <c r="P294" s="116"/>
      <c r="Q294" s="116"/>
      <c r="R294" s="116"/>
      <c r="S294" s="116"/>
      <c r="T294" s="116"/>
      <c r="U294" s="116"/>
      <c r="V294" s="116"/>
      <c r="W294" s="116"/>
      <c r="X294" s="116"/>
      <c r="Y294" s="116"/>
      <c r="Z294" s="116"/>
      <c r="AA294" s="116"/>
      <c r="AB294" s="116"/>
      <c r="AC294" s="116"/>
      <c r="AD294" s="116"/>
      <c r="AE294" s="116"/>
      <c r="AF294" s="116"/>
      <c r="AG294" s="116"/>
      <c r="AH294" s="116"/>
      <c r="AI294" s="116"/>
      <c r="AJ294" s="116"/>
      <c r="AK294" s="116"/>
      <c r="AL294" s="116"/>
      <c r="AM294" s="116"/>
      <c r="AN294" s="116"/>
      <c r="AO294" s="116"/>
      <c r="AP294" s="116"/>
      <c r="AQ294" s="116"/>
      <c r="AR294" s="116"/>
      <c r="AS294" s="116"/>
      <c r="AT294" s="116"/>
      <c r="AU294" s="116"/>
      <c r="AV294" s="116"/>
      <c r="AW294" s="116"/>
      <c r="AX294" s="116"/>
      <c r="AY294" s="116"/>
      <c r="AZ294" s="116"/>
      <c r="BA294" s="116"/>
      <c r="BB294" s="116"/>
      <c r="BC294" s="116"/>
      <c r="BD294" s="116"/>
      <c r="BE294" s="116"/>
      <c r="BF294" s="116"/>
      <c r="BG294" s="116"/>
      <c r="BH294" s="116"/>
      <c r="BI294" s="116"/>
      <c r="BJ294" s="116"/>
      <c r="BK294" s="116"/>
    </row>
    <row r="295" spans="1:63" s="116" customFormat="1" ht="15" customHeight="1">
      <c r="A295" s="202"/>
      <c r="B295" s="209"/>
      <c r="C295" s="209"/>
      <c r="D295" s="212"/>
      <c r="E295" s="204"/>
      <c r="F295" s="224"/>
      <c r="G295" s="204"/>
      <c r="H295" s="209"/>
      <c r="I295" s="251"/>
      <c r="J295" s="227"/>
      <c r="K295" s="228"/>
      <c r="L295" s="203"/>
      <c r="M295" s="203"/>
      <c r="N295" s="210"/>
      <c r="O295" s="203"/>
    </row>
    <row r="296" spans="1:63" s="193" customFormat="1" ht="15" customHeight="1">
      <c r="A296" s="202"/>
      <c r="B296" s="208"/>
      <c r="C296" s="208"/>
      <c r="D296" s="208"/>
      <c r="E296" s="204"/>
      <c r="F296" s="224"/>
      <c r="G296" s="204"/>
      <c r="H296" s="208"/>
      <c r="I296" s="251"/>
      <c r="J296" s="227"/>
      <c r="K296" s="228"/>
      <c r="L296" s="203"/>
      <c r="M296" s="210"/>
      <c r="N296" s="210"/>
      <c r="O296" s="203"/>
    </row>
    <row r="297" spans="1:63" s="193" customFormat="1" ht="15" customHeight="1">
      <c r="A297" s="202"/>
      <c r="B297" s="208"/>
      <c r="C297" s="208"/>
      <c r="D297" s="208"/>
      <c r="E297" s="204"/>
      <c r="F297" s="224"/>
      <c r="G297" s="204"/>
      <c r="H297" s="209"/>
      <c r="I297" s="251"/>
      <c r="J297" s="227"/>
      <c r="K297" s="228"/>
      <c r="L297" s="203"/>
      <c r="M297" s="203"/>
      <c r="N297" s="210"/>
      <c r="O297" s="210"/>
      <c r="P297" s="116"/>
      <c r="Q297" s="116"/>
      <c r="R297" s="116"/>
      <c r="S297" s="116"/>
      <c r="T297" s="116"/>
      <c r="U297" s="116"/>
      <c r="V297" s="116"/>
      <c r="W297" s="116"/>
      <c r="X297" s="116"/>
      <c r="Y297" s="116"/>
      <c r="Z297" s="116"/>
      <c r="AA297" s="116"/>
      <c r="AB297" s="116"/>
      <c r="AC297" s="116"/>
      <c r="AD297" s="116"/>
      <c r="AE297" s="116"/>
      <c r="AF297" s="116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116"/>
      <c r="AQ297" s="116"/>
      <c r="AR297" s="116"/>
      <c r="AS297" s="116"/>
      <c r="AT297" s="116"/>
      <c r="AU297" s="116"/>
      <c r="AV297" s="116"/>
      <c r="AW297" s="116"/>
      <c r="AX297" s="116"/>
      <c r="AY297" s="116"/>
      <c r="AZ297" s="116"/>
      <c r="BA297" s="116"/>
      <c r="BB297" s="116"/>
      <c r="BC297" s="116"/>
      <c r="BD297" s="116"/>
      <c r="BE297" s="116"/>
      <c r="BF297" s="116"/>
      <c r="BG297" s="116"/>
      <c r="BH297" s="116"/>
      <c r="BI297" s="116"/>
      <c r="BJ297" s="116"/>
      <c r="BK297" s="116"/>
    </row>
    <row r="298" spans="1:63" s="193" customFormat="1" ht="15" customHeight="1">
      <c r="A298" s="202"/>
      <c r="B298" s="208"/>
      <c r="C298" s="208"/>
      <c r="D298" s="208"/>
      <c r="E298" s="204"/>
      <c r="F298" s="224"/>
      <c r="G298" s="204"/>
      <c r="H298" s="208"/>
      <c r="I298" s="251"/>
      <c r="J298" s="227"/>
      <c r="K298" s="228"/>
      <c r="L298" s="203"/>
      <c r="M298" s="3"/>
      <c r="N298" s="210"/>
      <c r="O298" s="203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  <c r="Z298" s="116"/>
      <c r="AA298" s="116"/>
      <c r="AB298" s="116"/>
      <c r="AC298" s="116"/>
      <c r="AD298" s="116"/>
      <c r="AE298" s="116"/>
      <c r="AF298" s="116"/>
      <c r="AG298" s="116"/>
      <c r="AH298" s="116"/>
      <c r="AI298" s="116"/>
      <c r="AJ298" s="116"/>
      <c r="AK298" s="116"/>
      <c r="AL298" s="116"/>
      <c r="AM298" s="116"/>
      <c r="AN298" s="116"/>
      <c r="AO298" s="116"/>
      <c r="AP298" s="116"/>
      <c r="AQ298" s="116"/>
      <c r="AR298" s="116"/>
      <c r="AS298" s="116"/>
      <c r="AT298" s="116"/>
      <c r="AU298" s="116"/>
      <c r="AV298" s="116"/>
      <c r="AW298" s="116"/>
      <c r="AX298" s="116"/>
      <c r="AY298" s="116"/>
      <c r="AZ298" s="116"/>
      <c r="BA298" s="116"/>
      <c r="BB298" s="116"/>
      <c r="BC298" s="116"/>
      <c r="BD298" s="116"/>
      <c r="BE298" s="116"/>
      <c r="BF298" s="116"/>
      <c r="BG298" s="116"/>
      <c r="BH298" s="116"/>
      <c r="BI298" s="116"/>
      <c r="BJ298" s="116"/>
      <c r="BK298" s="116"/>
    </row>
    <row r="299" spans="1:63" s="116" customFormat="1" ht="15" customHeight="1">
      <c r="A299" s="202"/>
      <c r="B299" s="208"/>
      <c r="C299" s="208"/>
      <c r="D299" s="208"/>
      <c r="E299" s="204"/>
      <c r="F299" s="224"/>
      <c r="G299" s="204"/>
      <c r="H299" s="208"/>
      <c r="I299" s="251"/>
      <c r="J299" s="227"/>
      <c r="K299" s="238"/>
      <c r="L299" s="203"/>
      <c r="M299" s="3"/>
      <c r="N299" s="210"/>
      <c r="O299" s="209"/>
    </row>
    <row r="300" spans="1:63" s="116" customFormat="1" ht="15" customHeight="1">
      <c r="A300" s="202"/>
      <c r="B300" s="209"/>
      <c r="C300" s="209"/>
      <c r="D300" s="212"/>
      <c r="E300" s="204"/>
      <c r="F300" s="224"/>
      <c r="G300" s="204"/>
      <c r="H300" s="208"/>
      <c r="I300" s="251"/>
      <c r="J300" s="227"/>
      <c r="K300" s="228"/>
      <c r="L300" s="203"/>
      <c r="M300" s="203"/>
      <c r="N300" s="210"/>
      <c r="O300" s="203"/>
    </row>
    <row r="301" spans="1:63" s="193" customFormat="1" ht="15" customHeight="1">
      <c r="A301" s="202"/>
      <c r="B301" s="209"/>
      <c r="C301" s="209"/>
      <c r="D301" s="212"/>
      <c r="E301" s="204"/>
      <c r="F301" s="224"/>
      <c r="G301" s="204"/>
      <c r="H301" s="208"/>
      <c r="I301" s="251"/>
      <c r="J301" s="227"/>
      <c r="K301" s="238"/>
      <c r="L301" s="203"/>
      <c r="M301" s="3"/>
      <c r="N301" s="210"/>
      <c r="O301" s="203"/>
    </row>
    <row r="302" spans="1:63" s="116" customFormat="1" ht="15" customHeight="1">
      <c r="A302" s="202"/>
      <c r="B302" s="209"/>
      <c r="C302" s="209"/>
      <c r="D302" s="212"/>
      <c r="E302" s="204"/>
      <c r="F302" s="224"/>
      <c r="G302" s="204"/>
      <c r="H302" s="209"/>
      <c r="I302" s="251"/>
      <c r="J302" s="227"/>
      <c r="K302" s="228"/>
      <c r="L302" s="203"/>
      <c r="M302" s="3"/>
      <c r="N302" s="210"/>
      <c r="O302" s="203"/>
    </row>
    <row r="303" spans="1:63" s="116" customFormat="1" ht="15" customHeight="1">
      <c r="A303" s="202"/>
      <c r="B303" s="209"/>
      <c r="C303" s="209"/>
      <c r="D303" s="212"/>
      <c r="E303" s="204"/>
      <c r="F303" s="224"/>
      <c r="G303" s="204"/>
      <c r="H303" s="209"/>
      <c r="I303" s="251"/>
      <c r="J303" s="227"/>
      <c r="K303" s="238"/>
      <c r="L303" s="203"/>
      <c r="M303" s="3"/>
      <c r="N303" s="210"/>
      <c r="O303" s="203"/>
    </row>
    <row r="304" spans="1:63" s="193" customFormat="1" ht="15" customHeight="1">
      <c r="A304" s="202"/>
      <c r="B304" s="209"/>
      <c r="C304" s="209"/>
      <c r="D304" s="212"/>
      <c r="E304" s="204"/>
      <c r="F304" s="224"/>
      <c r="G304" s="204"/>
      <c r="H304" s="209"/>
      <c r="I304" s="251"/>
      <c r="J304" s="227"/>
      <c r="K304" s="238"/>
      <c r="L304" s="203"/>
      <c r="M304" s="3"/>
      <c r="N304" s="210"/>
      <c r="O304" s="209"/>
      <c r="P304" s="116"/>
      <c r="Q304" s="116"/>
      <c r="R304" s="116"/>
      <c r="S304" s="116"/>
      <c r="T304" s="116"/>
      <c r="U304" s="116"/>
      <c r="V304" s="116"/>
      <c r="W304" s="116"/>
      <c r="X304" s="116"/>
      <c r="Y304" s="116"/>
      <c r="Z304" s="116"/>
      <c r="AA304" s="116"/>
      <c r="AB304" s="116"/>
      <c r="AC304" s="116"/>
      <c r="AD304" s="116"/>
      <c r="AE304" s="116"/>
      <c r="AF304" s="116"/>
      <c r="AG304" s="116"/>
      <c r="AH304" s="116"/>
      <c r="AI304" s="116"/>
      <c r="AJ304" s="116"/>
      <c r="AK304" s="116"/>
      <c r="AL304" s="116"/>
      <c r="AM304" s="116"/>
      <c r="AN304" s="116"/>
      <c r="AO304" s="116"/>
      <c r="AP304" s="116"/>
      <c r="AQ304" s="116"/>
      <c r="AR304" s="116"/>
      <c r="AS304" s="116"/>
      <c r="AT304" s="116"/>
      <c r="AU304" s="116"/>
      <c r="AV304" s="116"/>
      <c r="AW304" s="116"/>
      <c r="AX304" s="116"/>
      <c r="AY304" s="116"/>
      <c r="AZ304" s="116"/>
      <c r="BA304" s="116"/>
      <c r="BB304" s="116"/>
      <c r="BC304" s="116"/>
      <c r="BD304" s="116"/>
      <c r="BE304" s="116"/>
      <c r="BF304" s="116"/>
      <c r="BG304" s="116"/>
      <c r="BH304" s="116"/>
      <c r="BI304" s="116"/>
      <c r="BJ304" s="116"/>
      <c r="BK304" s="116"/>
    </row>
    <row r="305" spans="1:15" s="116" customFormat="1" ht="15" customHeight="1">
      <c r="A305" s="217"/>
      <c r="B305" s="208"/>
      <c r="C305" s="208"/>
      <c r="D305" s="208"/>
      <c r="E305" s="204"/>
      <c r="F305" s="224"/>
      <c r="G305" s="204"/>
      <c r="H305" s="218"/>
      <c r="I305" s="211"/>
      <c r="J305" s="227"/>
      <c r="K305" s="228"/>
      <c r="L305" s="203"/>
      <c r="M305" s="203"/>
      <c r="N305" s="210"/>
      <c r="O305" s="203"/>
    </row>
    <row r="306" spans="1:15" s="116" customFormat="1" ht="15" customHeight="1">
      <c r="A306" s="217"/>
      <c r="B306" s="208"/>
      <c r="C306" s="208"/>
      <c r="D306" s="208"/>
      <c r="E306" s="204"/>
      <c r="F306" s="224"/>
      <c r="G306" s="204"/>
      <c r="H306" s="208"/>
      <c r="I306" s="211"/>
      <c r="J306" s="227"/>
      <c r="K306" s="228"/>
      <c r="L306" s="203"/>
      <c r="M306" s="203"/>
      <c r="N306" s="210"/>
      <c r="O306" s="203"/>
    </row>
    <row r="307" spans="1:15" s="116" customFormat="1" ht="15" customHeight="1">
      <c r="A307" s="202"/>
      <c r="B307" s="208"/>
      <c r="C307" s="208"/>
      <c r="D307" s="219"/>
      <c r="E307" s="204"/>
      <c r="F307" s="225"/>
      <c r="G307" s="204"/>
      <c r="H307" s="209"/>
      <c r="I307" s="211"/>
      <c r="J307" s="227"/>
      <c r="K307" s="228"/>
      <c r="L307" s="203"/>
      <c r="M307" s="210"/>
      <c r="N307" s="210"/>
      <c r="O307" s="203"/>
    </row>
    <row r="308" spans="1:15" s="116" customFormat="1" ht="15" customHeight="1">
      <c r="A308" s="202"/>
      <c r="B308" s="208"/>
      <c r="C308" s="208"/>
      <c r="D308" s="219"/>
      <c r="E308" s="204"/>
      <c r="F308" s="225"/>
      <c r="G308" s="204"/>
      <c r="H308" s="209"/>
      <c r="I308" s="211"/>
      <c r="J308" s="227"/>
      <c r="K308" s="228"/>
      <c r="L308" s="203"/>
      <c r="M308" s="210"/>
      <c r="N308" s="210"/>
      <c r="O308" s="203"/>
    </row>
    <row r="309" spans="1:15" s="116" customFormat="1" ht="15" customHeight="1">
      <c r="A309" s="222"/>
      <c r="B309" s="223"/>
      <c r="C309" s="223"/>
      <c r="D309" s="223"/>
      <c r="E309" s="224"/>
      <c r="F309" s="225"/>
      <c r="G309" s="224"/>
      <c r="H309" s="223"/>
      <c r="I309" s="245"/>
      <c r="J309" s="227"/>
      <c r="K309" s="228"/>
      <c r="L309" s="221"/>
      <c r="M309" s="221"/>
      <c r="N309" s="226"/>
      <c r="O309" s="221"/>
    </row>
    <row r="310" spans="1:15" s="193" customFormat="1" ht="15" customHeight="1">
      <c r="A310" s="222"/>
      <c r="B310" s="223"/>
      <c r="C310" s="229"/>
      <c r="D310" s="229"/>
      <c r="E310" s="224"/>
      <c r="F310" s="225"/>
      <c r="G310" s="224"/>
      <c r="H310" s="223"/>
      <c r="I310" s="245"/>
      <c r="J310" s="227"/>
      <c r="K310" s="228"/>
      <c r="L310" s="221"/>
      <c r="M310" s="221"/>
      <c r="N310" s="226"/>
      <c r="O310" s="221"/>
    </row>
    <row r="311" spans="1:15" s="193" customFormat="1" ht="15" customHeight="1">
      <c r="A311" s="222"/>
      <c r="B311" s="223"/>
      <c r="C311" s="223"/>
      <c r="D311" s="229"/>
      <c r="E311" s="224"/>
      <c r="F311" s="225"/>
      <c r="G311" s="224"/>
      <c r="H311" s="223"/>
      <c r="I311" s="245"/>
      <c r="J311" s="227"/>
      <c r="K311" s="228"/>
      <c r="L311" s="221"/>
      <c r="M311" s="226"/>
      <c r="N311" s="226"/>
      <c r="O311" s="221"/>
    </row>
    <row r="312" spans="1:15" s="116" customFormat="1" ht="15" customHeight="1">
      <c r="A312" s="222"/>
      <c r="B312" s="223"/>
      <c r="C312" s="223"/>
      <c r="D312" s="223"/>
      <c r="E312" s="224"/>
      <c r="F312" s="225"/>
      <c r="G312" s="224"/>
      <c r="H312" s="228"/>
      <c r="I312" s="245"/>
      <c r="J312" s="227"/>
      <c r="K312" s="228"/>
      <c r="L312" s="221"/>
      <c r="M312" s="221"/>
      <c r="N312" s="226"/>
      <c r="O312" s="221"/>
    </row>
    <row r="313" spans="1:15" s="124" customFormat="1" ht="22.5" customHeight="1">
      <c r="A313" s="125"/>
      <c r="B313" s="125"/>
      <c r="C313" s="125"/>
      <c r="D313" s="125"/>
      <c r="E313" s="129"/>
      <c r="F313" s="261"/>
      <c r="G313" s="126"/>
      <c r="H313" s="126"/>
      <c r="I313" s="253"/>
      <c r="J313" s="242"/>
      <c r="K313" s="239"/>
      <c r="L313" s="125"/>
      <c r="M313" s="125"/>
      <c r="N313" s="125"/>
      <c r="O313" s="125"/>
    </row>
  </sheetData>
  <autoFilter ref="A11:O259">
    <filterColumn colId="2">
      <filters>
        <filter val="Bank Fees"/>
        <filter val="Bonus"/>
        <filter val="Court Fees"/>
        <filter val="Equipement"/>
        <filter val="Grant"/>
        <filter val="Internet"/>
        <filter val="Jail Visits"/>
        <filter val="Lawyer Fees"/>
        <filter val="Office Materials"/>
        <filter val="Personnel"/>
        <filter val="Rent &amp; Utilities"/>
        <filter val="Services"/>
        <filter val="Telephone"/>
        <filter val="Transfer Fees"/>
        <filter val="Transport"/>
        <filter val="Travel Subsistence"/>
        <filter val="Trust Bulding"/>
      </filters>
    </filterColumn>
    <filterColumn colId="7"/>
    <filterColumn colId="9"/>
    <filterColumn colId="10"/>
    <filterColumn colId="13"/>
    <sortState ref="A16:O252">
      <sortCondition ref="A11:A259"/>
    </sortState>
  </autoFilter>
  <sortState ref="A12:P196">
    <sortCondition ref="M18"/>
  </sortState>
  <mergeCells count="1">
    <mergeCell ref="A1:O1"/>
  </mergeCells>
  <dataValidations count="5">
    <dataValidation type="list" allowBlank="1" showInputMessage="1" showErrorMessage="1" sqref="C310">
      <formula1>$M$9:$M$13</formula1>
    </dataValidation>
    <dataValidation type="list" allowBlank="1" showInputMessage="1" showErrorMessage="1" sqref="C277 C280:C281 C275">
      <formula1>$N$3780:$N$3800</formula1>
    </dataValidation>
    <dataValidation type="list" allowBlank="1" showInputMessage="1" showErrorMessage="1" sqref="C286 C292 C290">
      <formula1>$N$27:$N$575</formula1>
    </dataValidation>
    <dataValidation type="list" allowBlank="1" showInputMessage="1" showErrorMessage="1" sqref="C263:C264 C242 C246 C238:C239 C236 C251:C253">
      <formula1>$N$21:$N$1083</formula1>
    </dataValidation>
    <dataValidation type="list" allowBlank="1" showInputMessage="1" showErrorMessage="1" sqref="C148">
      <formula1>$N$11:$N$17</formula1>
    </dataValidation>
  </dataValidations>
  <pageMargins left="0.7" right="0.7" top="0.75" bottom="0.75" header="0.3" footer="0.3"/>
  <pageSetup paperSize="9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6000000}">
          <x14:formula1>
            <xm:f>'C:\RALFF\COMPTA AOÜT\compta ok\[Compta_21_08_20_ Herick _Harmonisée(3).xlsx]Feuil1'!#REF!</xm:f>
          </x14:formula1>
          <xm:sqref>C135 C24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Récapitulatif</vt:lpstr>
      <vt:lpstr>Donateurs</vt:lpstr>
      <vt:lpstr>Feuil5</vt:lpstr>
      <vt:lpstr>DATA  Octobre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CJ2018-3</cp:lastModifiedBy>
  <cp:lastPrinted>2021-06-11T09:45:49Z</cp:lastPrinted>
  <dcterms:created xsi:type="dcterms:W3CDTF">2020-09-02T13:35:58Z</dcterms:created>
  <dcterms:modified xsi:type="dcterms:W3CDTF">2022-01-19T09:38:38Z</dcterms:modified>
</cp:coreProperties>
</file>