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 tabRatio="553"/>
  </bookViews>
  <sheets>
    <sheet name="Récapitulatif" sheetId="16" r:id="rId1"/>
    <sheet name="Donateurs" sheetId="131" r:id="rId2"/>
    <sheet name="Feuil3" sheetId="133" r:id="rId3"/>
    <sheet name="Feuil5" sheetId="135" r:id="rId4"/>
    <sheet name="Feuil1" sheetId="136" r:id="rId5"/>
    <sheet name="DATA  Janvier 2022" sheetId="9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5" hidden="1">'DATA  Janvier 2022'!$A$11:$P$441</definedName>
  </definedNames>
  <calcPr calcId="124519"/>
  <pivotCaches>
    <pivotCache cacheId="111" r:id="rId18"/>
    <pivotCache cacheId="112" r:id="rId19"/>
  </pivotCache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16" i="133"/>
  <c r="AT7"/>
  <c r="AT8"/>
  <c r="AT9"/>
  <c r="AT10"/>
  <c r="AT11"/>
  <c r="AT12"/>
  <c r="AT13"/>
  <c r="AT14"/>
  <c r="AT15"/>
  <c r="AT6"/>
  <c r="AU7"/>
  <c r="AV7" s="1"/>
  <c r="AU8"/>
  <c r="AV8" s="1"/>
  <c r="AU9"/>
  <c r="AV9" s="1"/>
  <c r="AU10"/>
  <c r="AV10" s="1"/>
  <c r="AU11"/>
  <c r="AV11" s="1"/>
  <c r="AU12"/>
  <c r="AV12" s="1"/>
  <c r="AU13"/>
  <c r="AV13" s="1"/>
  <c r="AU14"/>
  <c r="AV14" s="1"/>
  <c r="AU15"/>
  <c r="AV15" s="1"/>
  <c r="AU16"/>
  <c r="AV16" s="1"/>
  <c r="AU6"/>
  <c r="AV6" s="1"/>
  <c r="AS7"/>
  <c r="AS8"/>
  <c r="AS9"/>
  <c r="AS10"/>
  <c r="AS11"/>
  <c r="AS12"/>
  <c r="AS13"/>
  <c r="AS14"/>
  <c r="AS15"/>
  <c r="AS16"/>
  <c r="AS6"/>
  <c r="AW8"/>
  <c r="AV17" l="1"/>
  <c r="AW17"/>
  <c r="AT17"/>
  <c r="AU17"/>
  <c r="AV19"/>
  <c r="AU19" l="1"/>
  <c r="C42" i="16" l="1"/>
  <c r="C41"/>
  <c r="C39"/>
  <c r="C37"/>
  <c r="C36"/>
  <c r="C35"/>
  <c r="C34"/>
  <c r="C33"/>
  <c r="C32"/>
  <c r="C31"/>
  <c r="C30"/>
  <c r="C29"/>
  <c r="C28"/>
  <c r="C27"/>
  <c r="A28"/>
  <c r="A29" s="1"/>
  <c r="A30" s="1"/>
  <c r="A31" s="1"/>
  <c r="A32" s="1"/>
  <c r="A33" s="1"/>
  <c r="O16"/>
  <c r="N16"/>
  <c r="M16"/>
  <c r="L16"/>
  <c r="H16"/>
  <c r="C16"/>
  <c r="A19" s="1"/>
  <c r="G15"/>
  <c r="F15"/>
  <c r="H37" s="1"/>
  <c r="E15"/>
  <c r="I37" s="1"/>
  <c r="D15"/>
  <c r="E37" s="1"/>
  <c r="A15"/>
  <c r="G14"/>
  <c r="F14"/>
  <c r="H36" s="1"/>
  <c r="E14"/>
  <c r="I36" s="1"/>
  <c r="D14"/>
  <c r="A14"/>
  <c r="G13"/>
  <c r="F13"/>
  <c r="H35" s="1"/>
  <c r="E13"/>
  <c r="I35" s="1"/>
  <c r="D13"/>
  <c r="E35" s="1"/>
  <c r="A13"/>
  <c r="G12"/>
  <c r="F12"/>
  <c r="H34" s="1"/>
  <c r="E12"/>
  <c r="I34" s="1"/>
  <c r="D12"/>
  <c r="E34" s="1"/>
  <c r="A12"/>
  <c r="G11"/>
  <c r="F11"/>
  <c r="H33" s="1"/>
  <c r="E11"/>
  <c r="I33" s="1"/>
  <c r="D11"/>
  <c r="E33" s="1"/>
  <c r="A11"/>
  <c r="G10"/>
  <c r="F10"/>
  <c r="H32" s="1"/>
  <c r="E10"/>
  <c r="I32" s="1"/>
  <c r="D10"/>
  <c r="A10"/>
  <c r="G9"/>
  <c r="F9"/>
  <c r="H31" s="1"/>
  <c r="E9"/>
  <c r="I31" s="1"/>
  <c r="D9"/>
  <c r="E31" s="1"/>
  <c r="A9"/>
  <c r="G8"/>
  <c r="F8"/>
  <c r="H30" s="1"/>
  <c r="E8"/>
  <c r="I30" s="1"/>
  <c r="D8"/>
  <c r="E30" s="1"/>
  <c r="A8"/>
  <c r="G7"/>
  <c r="F7"/>
  <c r="H29" s="1"/>
  <c r="E7"/>
  <c r="I29" s="1"/>
  <c r="D7"/>
  <c r="E29" s="1"/>
  <c r="A7"/>
  <c r="G6"/>
  <c r="F6"/>
  <c r="H28" s="1"/>
  <c r="E6"/>
  <c r="I28" s="1"/>
  <c r="D6"/>
  <c r="A6"/>
  <c r="G5"/>
  <c r="F5"/>
  <c r="H39" s="1"/>
  <c r="E5"/>
  <c r="I39" s="1"/>
  <c r="D5"/>
  <c r="E39" s="1"/>
  <c r="A5"/>
  <c r="G4"/>
  <c r="D42" s="1"/>
  <c r="F4"/>
  <c r="H42" s="1"/>
  <c r="E4"/>
  <c r="I42" s="1"/>
  <c r="D4"/>
  <c r="A4"/>
  <c r="G3"/>
  <c r="D41" s="1"/>
  <c r="F3"/>
  <c r="H41" s="1"/>
  <c r="E3"/>
  <c r="I41" s="1"/>
  <c r="D3"/>
  <c r="A3"/>
  <c r="G2"/>
  <c r="F2"/>
  <c r="H27" s="1"/>
  <c r="E2"/>
  <c r="I27" s="1"/>
  <c r="D2"/>
  <c r="E27" s="1"/>
  <c r="A2"/>
  <c r="E58"/>
  <c r="G16" l="1"/>
  <c r="B19" s="1"/>
  <c r="I4"/>
  <c r="J4" s="1"/>
  <c r="I3"/>
  <c r="J3" s="1"/>
  <c r="C43"/>
  <c r="J42"/>
  <c r="I6"/>
  <c r="J6" s="1"/>
  <c r="J30"/>
  <c r="I10"/>
  <c r="J10" s="1"/>
  <c r="J34"/>
  <c r="I14"/>
  <c r="J14" s="1"/>
  <c r="F16"/>
  <c r="J27"/>
  <c r="I43"/>
  <c r="J39"/>
  <c r="J31"/>
  <c r="J35"/>
  <c r="A35"/>
  <c r="A34"/>
  <c r="A36" s="1"/>
  <c r="A37" s="1"/>
  <c r="A39" s="1"/>
  <c r="A41" s="1"/>
  <c r="A42" s="1"/>
  <c r="J41"/>
  <c r="K41" s="1"/>
  <c r="J29"/>
  <c r="J33"/>
  <c r="J37"/>
  <c r="I7"/>
  <c r="J7" s="1"/>
  <c r="I11"/>
  <c r="J11" s="1"/>
  <c r="I15"/>
  <c r="J15" s="1"/>
  <c r="E16"/>
  <c r="C19" s="1"/>
  <c r="E28"/>
  <c r="J28" s="1"/>
  <c r="E32"/>
  <c r="J32" s="1"/>
  <c r="K32" s="1"/>
  <c r="E36"/>
  <c r="J36" s="1"/>
  <c r="I8"/>
  <c r="J8" s="1"/>
  <c r="I12"/>
  <c r="J12" s="1"/>
  <c r="D16"/>
  <c r="I5"/>
  <c r="J5" s="1"/>
  <c r="I9"/>
  <c r="J9" s="1"/>
  <c r="I13"/>
  <c r="J13" s="1"/>
  <c r="I2"/>
  <c r="J2" s="1"/>
  <c r="N63"/>
  <c r="M63"/>
  <c r="O63"/>
  <c r="L63"/>
  <c r="D60"/>
  <c r="D19" l="1"/>
  <c r="K28"/>
  <c r="K42"/>
  <c r="K37"/>
  <c r="G18"/>
  <c r="K36"/>
  <c r="I16"/>
  <c r="K34"/>
  <c r="K27"/>
  <c r="K39"/>
  <c r="K31"/>
  <c r="J43"/>
  <c r="K29"/>
  <c r="K33"/>
  <c r="K30"/>
  <c r="K35"/>
  <c r="J16" l="1"/>
  <c r="I17"/>
  <c r="E19"/>
  <c r="K43"/>
  <c r="C90" l="1"/>
  <c r="C89"/>
  <c r="C87"/>
  <c r="C85"/>
  <c r="C84"/>
  <c r="C83"/>
  <c r="C82"/>
  <c r="C81"/>
  <c r="C80"/>
  <c r="C79"/>
  <c r="C78"/>
  <c r="C77"/>
  <c r="C76"/>
  <c r="C75"/>
  <c r="A75"/>
  <c r="A76" s="1"/>
  <c r="A77" s="1"/>
  <c r="A78" s="1"/>
  <c r="A79" s="1"/>
  <c r="A80" s="1"/>
  <c r="A81" s="1"/>
  <c r="C74"/>
  <c r="H63"/>
  <c r="C63"/>
  <c r="A66" s="1"/>
  <c r="G62"/>
  <c r="F62"/>
  <c r="H85" s="1"/>
  <c r="E62"/>
  <c r="I85" s="1"/>
  <c r="D62"/>
  <c r="E85" s="1"/>
  <c r="A62"/>
  <c r="G61"/>
  <c r="F61"/>
  <c r="H84" s="1"/>
  <c r="E61"/>
  <c r="I84" s="1"/>
  <c r="D61"/>
  <c r="A61"/>
  <c r="G60"/>
  <c r="F60"/>
  <c r="H83" s="1"/>
  <c r="E60"/>
  <c r="A60"/>
  <c r="G59"/>
  <c r="F59"/>
  <c r="H82" s="1"/>
  <c r="E59"/>
  <c r="I82" s="1"/>
  <c r="D59"/>
  <c r="E82" s="1"/>
  <c r="A59"/>
  <c r="G58"/>
  <c r="F58"/>
  <c r="H81" s="1"/>
  <c r="I81"/>
  <c r="D58"/>
  <c r="E81" s="1"/>
  <c r="A58"/>
  <c r="G57"/>
  <c r="F57"/>
  <c r="H80" s="1"/>
  <c r="E57"/>
  <c r="I80" s="1"/>
  <c r="D57"/>
  <c r="A57"/>
  <c r="G56"/>
  <c r="F56"/>
  <c r="H79" s="1"/>
  <c r="E56"/>
  <c r="I79" s="1"/>
  <c r="D56"/>
  <c r="E79" s="1"/>
  <c r="A56"/>
  <c r="G55"/>
  <c r="F55"/>
  <c r="H78" s="1"/>
  <c r="E55"/>
  <c r="I78" s="1"/>
  <c r="D55"/>
  <c r="E78" s="1"/>
  <c r="A55"/>
  <c r="G54"/>
  <c r="F54"/>
  <c r="H77" s="1"/>
  <c r="E54"/>
  <c r="I77" s="1"/>
  <c r="D54"/>
  <c r="E77" s="1"/>
  <c r="A54"/>
  <c r="G53"/>
  <c r="F53"/>
  <c r="H76" s="1"/>
  <c r="E53"/>
  <c r="I76" s="1"/>
  <c r="D53"/>
  <c r="A53"/>
  <c r="G52"/>
  <c r="F52"/>
  <c r="H87" s="1"/>
  <c r="E52"/>
  <c r="I87" s="1"/>
  <c r="D52"/>
  <c r="E87" s="1"/>
  <c r="A52"/>
  <c r="G51"/>
  <c r="D90" s="1"/>
  <c r="F51"/>
  <c r="H90" s="1"/>
  <c r="E51"/>
  <c r="I90" s="1"/>
  <c r="D51"/>
  <c r="A51"/>
  <c r="G50"/>
  <c r="D89" s="1"/>
  <c r="F50"/>
  <c r="H89" s="1"/>
  <c r="E50"/>
  <c r="I89" s="1"/>
  <c r="D50"/>
  <c r="A50"/>
  <c r="G49"/>
  <c r="F49"/>
  <c r="H75" s="1"/>
  <c r="E49"/>
  <c r="I75" s="1"/>
  <c r="D49"/>
  <c r="E75" s="1"/>
  <c r="A49"/>
  <c r="G48"/>
  <c r="F48"/>
  <c r="E48"/>
  <c r="I74" s="1"/>
  <c r="D48"/>
  <c r="E74" s="1"/>
  <c r="A48"/>
  <c r="I83" l="1"/>
  <c r="I91" s="1"/>
  <c r="I60"/>
  <c r="J60" s="1"/>
  <c r="I53"/>
  <c r="J53" s="1"/>
  <c r="J79"/>
  <c r="G63"/>
  <c r="B66" s="1"/>
  <c r="C91"/>
  <c r="I61"/>
  <c r="J61" s="1"/>
  <c r="J87"/>
  <c r="I57"/>
  <c r="J57" s="1"/>
  <c r="I51"/>
  <c r="J51" s="1"/>
  <c r="F63"/>
  <c r="I50"/>
  <c r="J50" s="1"/>
  <c r="E83"/>
  <c r="H74"/>
  <c r="J90"/>
  <c r="J78"/>
  <c r="J82"/>
  <c r="J74"/>
  <c r="J89"/>
  <c r="J77"/>
  <c r="J81"/>
  <c r="J85"/>
  <c r="J75"/>
  <c r="A83"/>
  <c r="A82"/>
  <c r="A84" s="1"/>
  <c r="A85" s="1"/>
  <c r="A87" s="1"/>
  <c r="A89" s="1"/>
  <c r="A90" s="1"/>
  <c r="I55"/>
  <c r="J55" s="1"/>
  <c r="D63"/>
  <c r="I54"/>
  <c r="J54" s="1"/>
  <c r="I58"/>
  <c r="J58" s="1"/>
  <c r="I62"/>
  <c r="J62" s="1"/>
  <c r="E63"/>
  <c r="C66" s="1"/>
  <c r="E76"/>
  <c r="J76" s="1"/>
  <c r="E80"/>
  <c r="J80" s="1"/>
  <c r="E84"/>
  <c r="J84" s="1"/>
  <c r="I59"/>
  <c r="J59" s="1"/>
  <c r="I48"/>
  <c r="I52"/>
  <c r="J52" s="1"/>
  <c r="I56"/>
  <c r="J56" s="1"/>
  <c r="I49"/>
  <c r="J49" s="1"/>
  <c r="C138"/>
  <c r="C137"/>
  <c r="C135"/>
  <c r="C129"/>
  <c r="C130"/>
  <c r="C131"/>
  <c r="C132"/>
  <c r="C133"/>
  <c r="C128"/>
  <c r="C127"/>
  <c r="C126"/>
  <c r="C125"/>
  <c r="C124"/>
  <c r="C123"/>
  <c r="C122"/>
  <c r="C111"/>
  <c r="K89" l="1"/>
  <c r="D66"/>
  <c r="J83"/>
  <c r="K83" s="1"/>
  <c r="K76"/>
  <c r="K84"/>
  <c r="K90"/>
  <c r="K80"/>
  <c r="G65"/>
  <c r="K74"/>
  <c r="K81"/>
  <c r="K82"/>
  <c r="K87"/>
  <c r="K85"/>
  <c r="K79"/>
  <c r="K75"/>
  <c r="I63"/>
  <c r="J48"/>
  <c r="K77"/>
  <c r="K78"/>
  <c r="C139"/>
  <c r="A109"/>
  <c r="A110"/>
  <c r="J91" l="1"/>
  <c r="K91" s="1"/>
  <c r="J63"/>
  <c r="I64"/>
  <c r="E66"/>
  <c r="G12" i="95" l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A123" i="16"/>
  <c r="A124" s="1"/>
  <c r="A125" s="1"/>
  <c r="A126" s="1"/>
  <c r="A127" s="1"/>
  <c r="A128" s="1"/>
  <c r="A129" s="1"/>
  <c r="C147"/>
  <c r="E183"/>
  <c r="H111"/>
  <c r="D96"/>
  <c r="E122" s="1"/>
  <c r="D97"/>
  <c r="E123" s="1"/>
  <c r="D98"/>
  <c r="D99"/>
  <c r="D100"/>
  <c r="D101"/>
  <c r="E124" s="1"/>
  <c r="D102"/>
  <c r="E125" s="1"/>
  <c r="D103"/>
  <c r="E126" s="1"/>
  <c r="D104"/>
  <c r="E127" s="1"/>
  <c r="D105"/>
  <c r="E128" s="1"/>
  <c r="D106"/>
  <c r="E129" s="1"/>
  <c r="D107"/>
  <c r="E130" s="1"/>
  <c r="D108"/>
  <c r="E131" s="1"/>
  <c r="D109"/>
  <c r="E132" s="1"/>
  <c r="E135" l="1"/>
  <c r="A131"/>
  <c r="A130"/>
  <c r="A132" s="1"/>
  <c r="A133" s="1"/>
  <c r="A135" s="1"/>
  <c r="A137" s="1"/>
  <c r="A138" s="1"/>
  <c r="E147"/>
  <c r="G109" l="1"/>
  <c r="G108"/>
  <c r="F108"/>
  <c r="H131" s="1"/>
  <c r="E96" l="1"/>
  <c r="I122" s="1"/>
  <c r="F96"/>
  <c r="H122" s="1"/>
  <c r="G96"/>
  <c r="G97"/>
  <c r="D162" s="1"/>
  <c r="G98"/>
  <c r="A107"/>
  <c r="A108"/>
  <c r="A96"/>
  <c r="E108"/>
  <c r="I131" s="1"/>
  <c r="J131" s="1"/>
  <c r="E156"/>
  <c r="H156"/>
  <c r="C156"/>
  <c r="J122" l="1"/>
  <c r="D163"/>
  <c r="D137"/>
  <c r="I156"/>
  <c r="J156" s="1"/>
  <c r="I108"/>
  <c r="J108" s="1"/>
  <c r="I147"/>
  <c r="I96"/>
  <c r="H147"/>
  <c r="J147" l="1"/>
  <c r="K147" s="1"/>
  <c r="K122"/>
  <c r="K131"/>
  <c r="K156"/>
  <c r="J96"/>
  <c r="C163" l="1"/>
  <c r="C162"/>
  <c r="C160"/>
  <c r="C158"/>
  <c r="C157"/>
  <c r="C155"/>
  <c r="C154"/>
  <c r="C153"/>
  <c r="C152"/>
  <c r="C151"/>
  <c r="C150"/>
  <c r="C149"/>
  <c r="A149"/>
  <c r="A150" s="1"/>
  <c r="A151" s="1"/>
  <c r="A152" s="1"/>
  <c r="A153" s="1"/>
  <c r="A154" s="1"/>
  <c r="C148"/>
  <c r="A114"/>
  <c r="G110"/>
  <c r="F110"/>
  <c r="E110"/>
  <c r="D110"/>
  <c r="E133" s="1"/>
  <c r="F109"/>
  <c r="E109"/>
  <c r="E157"/>
  <c r="G107"/>
  <c r="F107"/>
  <c r="E107"/>
  <c r="G106"/>
  <c r="F106"/>
  <c r="E106"/>
  <c r="A106"/>
  <c r="G105"/>
  <c r="F105"/>
  <c r="E105"/>
  <c r="E153"/>
  <c r="A105"/>
  <c r="G104"/>
  <c r="F104"/>
  <c r="E104"/>
  <c r="E152"/>
  <c r="A104"/>
  <c r="G103"/>
  <c r="F103"/>
  <c r="E103"/>
  <c r="E151"/>
  <c r="A103"/>
  <c r="G102"/>
  <c r="F102"/>
  <c r="E102"/>
  <c r="A102"/>
  <c r="G101"/>
  <c r="F101"/>
  <c r="E101"/>
  <c r="E149"/>
  <c r="A101"/>
  <c r="G100"/>
  <c r="F100"/>
  <c r="E100"/>
  <c r="E148"/>
  <c r="A100"/>
  <c r="G99"/>
  <c r="D138" s="1"/>
  <c r="F99"/>
  <c r="E99"/>
  <c r="I138" s="1"/>
  <c r="A99"/>
  <c r="F98"/>
  <c r="E98"/>
  <c r="A98"/>
  <c r="F97"/>
  <c r="H123" s="1"/>
  <c r="E97"/>
  <c r="I123" s="1"/>
  <c r="A97"/>
  <c r="H163" l="1"/>
  <c r="H137"/>
  <c r="H148"/>
  <c r="H135"/>
  <c r="I149"/>
  <c r="I124"/>
  <c r="I150"/>
  <c r="I125"/>
  <c r="J123"/>
  <c r="I163"/>
  <c r="I137"/>
  <c r="H160"/>
  <c r="H138"/>
  <c r="J138" s="1"/>
  <c r="I148"/>
  <c r="I135"/>
  <c r="I100"/>
  <c r="J100" s="1"/>
  <c r="H149"/>
  <c r="J149" s="1"/>
  <c r="H124"/>
  <c r="J124" s="1"/>
  <c r="H150"/>
  <c r="H125"/>
  <c r="J125" s="1"/>
  <c r="I151"/>
  <c r="I126"/>
  <c r="H152"/>
  <c r="H127"/>
  <c r="I153"/>
  <c r="I128"/>
  <c r="I154"/>
  <c r="I129"/>
  <c r="H155"/>
  <c r="H130"/>
  <c r="H157"/>
  <c r="H132"/>
  <c r="I158"/>
  <c r="I133"/>
  <c r="H151"/>
  <c r="H126"/>
  <c r="I152"/>
  <c r="I127"/>
  <c r="H153"/>
  <c r="H128"/>
  <c r="H154"/>
  <c r="H129"/>
  <c r="I155"/>
  <c r="I130"/>
  <c r="I157"/>
  <c r="I132"/>
  <c r="H158"/>
  <c r="H133"/>
  <c r="A155"/>
  <c r="A157" s="1"/>
  <c r="A158" s="1"/>
  <c r="A160" s="1"/>
  <c r="A162" s="1"/>
  <c r="A163" s="1"/>
  <c r="A156"/>
  <c r="I160"/>
  <c r="I99"/>
  <c r="J99" s="1"/>
  <c r="E158"/>
  <c r="D111"/>
  <c r="F111"/>
  <c r="I162"/>
  <c r="E111"/>
  <c r="C114" s="1"/>
  <c r="G111"/>
  <c r="B114" s="1"/>
  <c r="E160"/>
  <c r="C164"/>
  <c r="I97"/>
  <c r="I98"/>
  <c r="J98" s="1"/>
  <c r="I102"/>
  <c r="J102" s="1"/>
  <c r="I106"/>
  <c r="J106" s="1"/>
  <c r="I107"/>
  <c r="J107" s="1"/>
  <c r="I109"/>
  <c r="J109" s="1"/>
  <c r="I104"/>
  <c r="J104" s="1"/>
  <c r="I103"/>
  <c r="J103" s="1"/>
  <c r="I110"/>
  <c r="J110" s="1"/>
  <c r="E150"/>
  <c r="E154"/>
  <c r="E155"/>
  <c r="H162"/>
  <c r="I105"/>
  <c r="J105" s="1"/>
  <c r="I101"/>
  <c r="J101" s="1"/>
  <c r="C183"/>
  <c r="J150" l="1"/>
  <c r="J157"/>
  <c r="K157" s="1"/>
  <c r="J153"/>
  <c r="J151"/>
  <c r="K151" s="1"/>
  <c r="J133"/>
  <c r="J128"/>
  <c r="K128" s="1"/>
  <c r="J126"/>
  <c r="K126" s="1"/>
  <c r="J158"/>
  <c r="K158" s="1"/>
  <c r="J163"/>
  <c r="K163" s="1"/>
  <c r="J154"/>
  <c r="K154" s="1"/>
  <c r="J162"/>
  <c r="K162" s="1"/>
  <c r="J152"/>
  <c r="K152" s="1"/>
  <c r="J148"/>
  <c r="J129"/>
  <c r="J155"/>
  <c r="K155" s="1"/>
  <c r="I139"/>
  <c r="D114"/>
  <c r="I164"/>
  <c r="K138"/>
  <c r="K123"/>
  <c r="K133"/>
  <c r="K129"/>
  <c r="J132"/>
  <c r="K132" s="1"/>
  <c r="J130"/>
  <c r="K130" s="1"/>
  <c r="J127"/>
  <c r="K127" s="1"/>
  <c r="K125"/>
  <c r="K124"/>
  <c r="J135"/>
  <c r="K135" s="1"/>
  <c r="J137"/>
  <c r="K137" s="1"/>
  <c r="G113"/>
  <c r="J160"/>
  <c r="K160" s="1"/>
  <c r="J97"/>
  <c r="I111"/>
  <c r="K150"/>
  <c r="K153"/>
  <c r="K148"/>
  <c r="K149"/>
  <c r="E174"/>
  <c r="E173"/>
  <c r="E172"/>
  <c r="J164" l="1"/>
  <c r="K164" s="1"/>
  <c r="I112"/>
  <c r="J139"/>
  <c r="K139" s="1"/>
  <c r="E114"/>
  <c r="J111"/>
  <c r="A173" l="1"/>
  <c r="A174" s="1"/>
  <c r="A175" s="1"/>
  <c r="A176" s="1"/>
  <c r="A177" s="1"/>
  <c r="A178" s="1"/>
  <c r="A179" s="1"/>
  <c r="A180" s="1"/>
  <c r="C186"/>
  <c r="C185"/>
  <c r="C181"/>
  <c r="C180"/>
  <c r="C179"/>
  <c r="C178"/>
  <c r="C177"/>
  <c r="C176"/>
  <c r="C175"/>
  <c r="C174"/>
  <c r="C173"/>
  <c r="C172"/>
  <c r="H181"/>
  <c r="I181"/>
  <c r="E181"/>
  <c r="H180"/>
  <c r="I180"/>
  <c r="H179"/>
  <c r="I179"/>
  <c r="E179"/>
  <c r="H178"/>
  <c r="I178"/>
  <c r="E178"/>
  <c r="H177"/>
  <c r="I177"/>
  <c r="H176"/>
  <c r="I176"/>
  <c r="E176"/>
  <c r="H175"/>
  <c r="I175"/>
  <c r="E175"/>
  <c r="H174"/>
  <c r="I174"/>
  <c r="H173"/>
  <c r="I173"/>
  <c r="H172"/>
  <c r="I172"/>
  <c r="H183"/>
  <c r="I183"/>
  <c r="H186"/>
  <c r="I186"/>
  <c r="I185"/>
  <c r="C5" i="95"/>
  <c r="A181" i="16" l="1"/>
  <c r="A183" s="1"/>
  <c r="A185" s="1"/>
  <c r="A186" s="1"/>
  <c r="J186"/>
  <c r="J178"/>
  <c r="J181"/>
  <c r="C187"/>
  <c r="J174"/>
  <c r="J172"/>
  <c r="J187" s="1"/>
  <c r="K187" s="1"/>
  <c r="J183"/>
  <c r="I187"/>
  <c r="J175"/>
  <c r="J179"/>
  <c r="J176"/>
  <c r="J173"/>
  <c r="E180"/>
  <c r="J180" s="1"/>
  <c r="E177"/>
  <c r="J177" s="1"/>
  <c r="H185"/>
  <c r="J185" s="1"/>
  <c r="C6" i="95"/>
  <c r="C7" s="1"/>
  <c r="D7" l="1"/>
  <c r="E6"/>
  <c r="K177" i="16"/>
  <c r="K180"/>
  <c r="K185"/>
  <c r="K181"/>
  <c r="K173"/>
  <c r="K183"/>
  <c r="K179"/>
  <c r="K174"/>
  <c r="K186"/>
  <c r="K176"/>
  <c r="K178"/>
  <c r="K172"/>
  <c r="K175"/>
  <c r="C209" l="1"/>
  <c r="C195"/>
  <c r="C204"/>
  <c r="I200" l="1"/>
  <c r="I201"/>
  <c r="I202"/>
  <c r="I203"/>
  <c r="I204"/>
  <c r="I205"/>
  <c r="I199"/>
  <c r="I198"/>
  <c r="I209"/>
  <c r="H204"/>
  <c r="E204"/>
  <c r="J204" l="1"/>
  <c r="K204" l="1"/>
  <c r="C210" l="1"/>
  <c r="C207"/>
  <c r="C205"/>
  <c r="C203"/>
  <c r="C202"/>
  <c r="C201"/>
  <c r="C200"/>
  <c r="C199"/>
  <c r="C198"/>
  <c r="C197"/>
  <c r="C196"/>
  <c r="H209"/>
  <c r="J209" s="1"/>
  <c r="C230"/>
  <c r="K209" l="1"/>
  <c r="C211"/>
  <c r="C233"/>
  <c r="J233" s="1"/>
  <c r="K233" s="1"/>
  <c r="C232"/>
  <c r="J232" s="1"/>
  <c r="K232" s="1"/>
  <c r="J230"/>
  <c r="C220"/>
  <c r="J220" s="1"/>
  <c r="C221"/>
  <c r="J221" s="1"/>
  <c r="C222"/>
  <c r="J222" s="1"/>
  <c r="C223"/>
  <c r="J223" s="1"/>
  <c r="C224"/>
  <c r="J224" s="1"/>
  <c r="C225"/>
  <c r="J225" s="1"/>
  <c r="C226"/>
  <c r="J226" s="1"/>
  <c r="C227"/>
  <c r="C228"/>
  <c r="J228" s="1"/>
  <c r="C219"/>
  <c r="J219" s="1"/>
  <c r="I234"/>
  <c r="J227"/>
  <c r="C234" l="1"/>
  <c r="J234"/>
  <c r="G235" s="1"/>
  <c r="K225" l="1"/>
  <c r="K221"/>
  <c r="K230"/>
  <c r="K228" l="1"/>
  <c r="K220"/>
  <c r="K219"/>
  <c r="K226"/>
  <c r="K222"/>
  <c r="K223"/>
  <c r="K224"/>
  <c r="K227"/>
  <c r="K234" l="1"/>
  <c r="F246" l="1"/>
  <c r="H245"/>
  <c r="F244"/>
  <c r="C254" l="1"/>
  <c r="J254" s="1"/>
  <c r="C253"/>
  <c r="J253" s="1"/>
  <c r="C252"/>
  <c r="J252" s="1"/>
  <c r="C251"/>
  <c r="J251" s="1"/>
  <c r="C250"/>
  <c r="J250" s="1"/>
  <c r="C249"/>
  <c r="J249" s="1"/>
  <c r="C248"/>
  <c r="J248" s="1"/>
  <c r="C247"/>
  <c r="J247" s="1"/>
  <c r="C246"/>
  <c r="J246" s="1"/>
  <c r="C245"/>
  <c r="J245" s="1"/>
  <c r="C244"/>
  <c r="J244" s="1"/>
  <c r="C243"/>
  <c r="J243" s="1"/>
  <c r="C256"/>
  <c r="J256" s="1"/>
  <c r="C259"/>
  <c r="J259" s="1"/>
  <c r="I260"/>
  <c r="C286"/>
  <c r="C258" l="1"/>
  <c r="J258" s="1"/>
  <c r="J260" s="1"/>
  <c r="C260" l="1"/>
  <c r="I286" l="1"/>
  <c r="J285" l="1"/>
  <c r="J284"/>
  <c r="J282"/>
  <c r="J280"/>
  <c r="J279"/>
  <c r="J278"/>
  <c r="J277"/>
  <c r="J276"/>
  <c r="J275"/>
  <c r="J274"/>
  <c r="J273"/>
  <c r="J272"/>
  <c r="J271"/>
  <c r="J270"/>
  <c r="J269"/>
  <c r="J268"/>
  <c r="J286" l="1"/>
  <c r="J305" l="1"/>
  <c r="J304"/>
  <c r="J303"/>
  <c r="J302"/>
  <c r="J301"/>
  <c r="J300"/>
  <c r="J299"/>
  <c r="J297"/>
  <c r="J294"/>
  <c r="J308"/>
  <c r="J311"/>
  <c r="J310"/>
  <c r="I312"/>
  <c r="J298"/>
  <c r="C312" l="1"/>
  <c r="J296"/>
  <c r="J295"/>
  <c r="J306"/>
  <c r="J312" l="1"/>
  <c r="F332" l="1"/>
  <c r="H332"/>
  <c r="F323"/>
  <c r="H322"/>
  <c r="F321"/>
  <c r="I338"/>
  <c r="J332" l="1"/>
  <c r="J331"/>
  <c r="J330"/>
  <c r="J329"/>
  <c r="J328"/>
  <c r="J327"/>
  <c r="J326"/>
  <c r="J325"/>
  <c r="J324"/>
  <c r="J323"/>
  <c r="J322"/>
  <c r="J321"/>
  <c r="J334"/>
  <c r="J337"/>
  <c r="J336"/>
  <c r="J320" l="1"/>
  <c r="J338" s="1"/>
  <c r="C338"/>
  <c r="I367" l="1"/>
  <c r="J361"/>
  <c r="J347" l="1"/>
  <c r="J360" l="1"/>
  <c r="J359"/>
  <c r="J358"/>
  <c r="J357"/>
  <c r="J356"/>
  <c r="J355"/>
  <c r="J354"/>
  <c r="J353"/>
  <c r="J352"/>
  <c r="J351"/>
  <c r="J350"/>
  <c r="J349"/>
  <c r="C363"/>
  <c r="J363" s="1"/>
  <c r="C366"/>
  <c r="J366" s="1"/>
  <c r="C365"/>
  <c r="J365" s="1"/>
  <c r="C394"/>
  <c r="J348" l="1"/>
  <c r="J367" s="1"/>
  <c r="C367"/>
  <c r="J407" l="1"/>
  <c r="J388" l="1"/>
  <c r="J387"/>
  <c r="J386"/>
  <c r="J385"/>
  <c r="J384"/>
  <c r="J383"/>
  <c r="J382"/>
  <c r="J381"/>
  <c r="J380"/>
  <c r="J379"/>
  <c r="J378"/>
  <c r="J377"/>
  <c r="J376"/>
  <c r="J390"/>
  <c r="J393"/>
  <c r="J392"/>
  <c r="I394"/>
  <c r="J375" l="1"/>
  <c r="J394" s="1"/>
  <c r="I422" l="1"/>
  <c r="J415" l="1"/>
  <c r="J412" l="1"/>
  <c r="J408"/>
  <c r="J404"/>
  <c r="J418"/>
  <c r="J420"/>
  <c r="J421"/>
  <c r="J414"/>
  <c r="J413"/>
  <c r="J411"/>
  <c r="J410"/>
  <c r="J409"/>
  <c r="J406"/>
  <c r="J405"/>
  <c r="J403"/>
  <c r="J416" l="1"/>
  <c r="J422" s="1"/>
  <c r="K422" s="1"/>
  <c r="C339" l="1"/>
  <c r="C313"/>
  <c r="J439"/>
  <c r="J440" l="1"/>
  <c r="J438"/>
  <c r="J437"/>
  <c r="J436"/>
  <c r="J435"/>
  <c r="J434"/>
  <c r="J433"/>
  <c r="J432"/>
  <c r="J431"/>
  <c r="J430"/>
  <c r="J444"/>
  <c r="J447"/>
  <c r="J446"/>
  <c r="J442" l="1"/>
  <c r="J441"/>
  <c r="J448" l="1"/>
  <c r="J466" l="1"/>
  <c r="F456" l="1"/>
  <c r="J490"/>
  <c r="J493"/>
  <c r="J474"/>
  <c r="J473"/>
  <c r="J472"/>
  <c r="C465" l="1"/>
  <c r="J465" s="1"/>
  <c r="C464"/>
  <c r="J464" s="1"/>
  <c r="C463"/>
  <c r="J463" s="1"/>
  <c r="C462"/>
  <c r="J462" s="1"/>
  <c r="C461"/>
  <c r="J461" s="1"/>
  <c r="J460"/>
  <c r="C459"/>
  <c r="J459" s="1"/>
  <c r="C458"/>
  <c r="J458" s="1"/>
  <c r="C457"/>
  <c r="J457" s="1"/>
  <c r="C456"/>
  <c r="J456" s="1"/>
  <c r="C468"/>
  <c r="J468" s="1"/>
  <c r="C471"/>
  <c r="J471" s="1"/>
  <c r="C470" l="1"/>
  <c r="J470" s="1"/>
  <c r="J475" s="1"/>
  <c r="J501" l="1"/>
  <c r="J500"/>
  <c r="J499"/>
  <c r="J552"/>
  <c r="J525"/>
  <c r="J524"/>
  <c r="J522"/>
  <c r="E520"/>
  <c r="J520" s="1"/>
  <c r="E519"/>
  <c r="J519" s="1"/>
  <c r="E517"/>
  <c r="J517" s="1"/>
  <c r="H516"/>
  <c r="E516"/>
  <c r="F515"/>
  <c r="E515"/>
  <c r="E514"/>
  <c r="J514" s="1"/>
  <c r="I513"/>
  <c r="H513"/>
  <c r="E513"/>
  <c r="I512"/>
  <c r="E512"/>
  <c r="H511"/>
  <c r="E511"/>
  <c r="I510"/>
  <c r="J502"/>
  <c r="J486"/>
  <c r="J498"/>
  <c r="B486" l="1"/>
  <c r="B490"/>
  <c r="B491"/>
  <c r="B484"/>
  <c r="B487"/>
  <c r="B488"/>
  <c r="B485"/>
  <c r="B489"/>
  <c r="J485"/>
  <c r="I527"/>
  <c r="J512"/>
  <c r="J495"/>
  <c r="J511"/>
  <c r="J483"/>
  <c r="J489"/>
  <c r="J484"/>
  <c r="J497"/>
  <c r="J492"/>
  <c r="J515"/>
  <c r="J513"/>
  <c r="J516"/>
  <c r="J510"/>
  <c r="J488" l="1"/>
  <c r="J487"/>
  <c r="J491"/>
  <c r="C518"/>
  <c r="J503" l="1"/>
  <c r="C527"/>
  <c r="J518"/>
  <c r="J527" s="1"/>
  <c r="K256" l="1"/>
  <c r="K243"/>
  <c r="K259"/>
  <c r="K249"/>
  <c r="K254"/>
  <c r="K253"/>
  <c r="K325" l="1"/>
  <c r="K247"/>
  <c r="K276"/>
  <c r="K250"/>
  <c r="K245"/>
  <c r="K277"/>
  <c r="K251"/>
  <c r="K246"/>
  <c r="K244"/>
  <c r="K274"/>
  <c r="K248"/>
  <c r="K278"/>
  <c r="K273"/>
  <c r="K326"/>
  <c r="K322"/>
  <c r="K337"/>
  <c r="K285"/>
  <c r="K272"/>
  <c r="K324"/>
  <c r="K279"/>
  <c r="K331"/>
  <c r="K280"/>
  <c r="K332"/>
  <c r="K327"/>
  <c r="K275"/>
  <c r="K334"/>
  <c r="K282"/>
  <c r="K258"/>
  <c r="K321"/>
  <c r="K329"/>
  <c r="K320"/>
  <c r="K328"/>
  <c r="K271"/>
  <c r="K269"/>
  <c r="K270"/>
  <c r="K323"/>
  <c r="K268"/>
  <c r="K330" l="1"/>
  <c r="K252"/>
  <c r="K336"/>
  <c r="K284"/>
  <c r="K260" l="1"/>
  <c r="K338"/>
  <c r="K475"/>
  <c r="K286"/>
  <c r="H195" l="1"/>
  <c r="H196"/>
  <c r="H207"/>
  <c r="H197"/>
  <c r="I207"/>
  <c r="H210"/>
  <c r="H201"/>
  <c r="H200"/>
  <c r="H198"/>
  <c r="H202"/>
  <c r="J202" s="1"/>
  <c r="I195"/>
  <c r="H199"/>
  <c r="I210"/>
  <c r="H203"/>
  <c r="H205"/>
  <c r="I197"/>
  <c r="E201"/>
  <c r="E200"/>
  <c r="E199"/>
  <c r="I196"/>
  <c r="E203"/>
  <c r="K202" l="1"/>
  <c r="J210"/>
  <c r="K210" s="1"/>
  <c r="J197"/>
  <c r="K197" s="1"/>
  <c r="E198"/>
  <c r="J198" s="1"/>
  <c r="K198" s="1"/>
  <c r="E196"/>
  <c r="J196" s="1"/>
  <c r="E205"/>
  <c r="J205" s="1"/>
  <c r="K205" s="1"/>
  <c r="I211"/>
  <c r="J200"/>
  <c r="J203"/>
  <c r="J199"/>
  <c r="E195"/>
  <c r="J195" s="1"/>
  <c r="J201"/>
  <c r="J207"/>
  <c r="K200" l="1"/>
  <c r="K207"/>
  <c r="K196"/>
  <c r="K195"/>
  <c r="J211"/>
  <c r="K199"/>
  <c r="K201"/>
  <c r="K203"/>
  <c r="G212" l="1"/>
  <c r="K211"/>
  <c r="G104" i="95" l="1"/>
  <c r="G105" l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</calcChain>
</file>

<file path=xl/comments1.xml><?xml version="1.0" encoding="utf-8"?>
<comments xmlns="http://schemas.openxmlformats.org/spreadsheetml/2006/main">
  <authors>
    <author>CJ2018-3</author>
  </authors>
  <commentList>
    <comment ref="A146" authorId="0">
      <text>
        <r>
          <rPr>
            <b/>
            <sz val="9"/>
            <color indexed="81"/>
            <rFont val="Tahoma"/>
            <family val="2"/>
          </rPr>
          <t>CJ2018-3:</t>
        </r>
        <r>
          <rPr>
            <sz val="9"/>
            <color indexed="81"/>
            <rFont val="Tahoma"/>
            <family val="2"/>
          </rPr>
          <t xml:space="preserve">
Probleme de connexion le 21-01-22 reçu recupéré le 24-01-22
</t>
        </r>
      </text>
    </comment>
  </commentList>
</comments>
</file>

<file path=xl/sharedStrings.xml><?xml version="1.0" encoding="utf-8"?>
<sst xmlns="http://schemas.openxmlformats.org/spreadsheetml/2006/main" count="2870" uniqueCount="512">
  <si>
    <t>Date</t>
  </si>
  <si>
    <t>Département</t>
  </si>
  <si>
    <t>Management</t>
  </si>
  <si>
    <t>Services</t>
  </si>
  <si>
    <t>Investigation</t>
  </si>
  <si>
    <t>Perrine ODIER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</si>
  <si>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</si>
  <si>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</si>
  <si>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</si>
  <si>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</si>
  <si>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</si>
  <si>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</si>
  <si>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</si>
  <si>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</si>
  <si>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</si>
  <si>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</si>
  <si>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</si>
  <si>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</si>
  <si>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</si>
  <si>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</si>
  <si>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</si>
  <si>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</si>
  <si>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</si>
  <si>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</si>
  <si>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</si>
  <si>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Caisse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</si>
  <si>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</si>
  <si>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</si>
  <si>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</si>
  <si>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</si>
  <si>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</si>
  <si>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</si>
  <si>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</si>
  <si>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</si>
  <si>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</si>
  <si>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Office Materials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</si>
  <si>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</si>
  <si>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</si>
  <si>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</si>
  <si>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</si>
  <si>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</si>
  <si>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</si>
  <si>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</si>
  <si>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</si>
  <si>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</si>
  <si>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</si>
  <si>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</si>
  <si>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</si>
  <si>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>Crépin</t>
  </si>
  <si>
    <t>i23c</t>
  </si>
  <si>
    <t>Perrine Odier</t>
  </si>
  <si>
    <t>TOTAL</t>
  </si>
  <si>
    <t>DIFFERENCE</t>
  </si>
  <si>
    <r>
      <t xml:space="preserve">Monnaie de tenue de compte: </t>
    </r>
    <r>
      <rPr>
        <b/>
        <sz val="10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</si>
  <si>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</si>
  <si>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</si>
  <si>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</si>
  <si>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</si>
  <si>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</si>
  <si>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</si>
  <si>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</si>
  <si>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</si>
  <si>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</si>
  <si>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</si>
  <si>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</si>
  <si>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</si>
  <si>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</si>
  <si>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</si>
  <si>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</si>
  <si>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</si>
  <si>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</si>
  <si>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</si>
  <si>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</si>
  <si>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</si>
  <si>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</si>
  <si>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</si>
  <si>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</si>
  <si>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</si>
  <si>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</si>
  <si>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</si>
  <si>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</si>
  <si>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</si>
  <si>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</si>
  <si>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</si>
  <si>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</si>
  <si>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</si>
  <si>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</si>
  <si>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</si>
  <si>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</si>
  <si>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</si>
  <si>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</si>
  <si>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</si>
  <si>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</si>
  <si>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Naftali</t>
  </si>
  <si>
    <t>Merveille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</si>
  <si>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</si>
  <si>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</si>
  <si>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</si>
  <si>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</si>
  <si>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</si>
  <si>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</si>
  <si>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</si>
  <si>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T44</t>
  </si>
  <si>
    <t>UE</t>
  </si>
  <si>
    <t>DECEMBRE</t>
  </si>
  <si>
    <t>Balance au          01 Décembre 2020</t>
  </si>
  <si>
    <t>Balance au 31 Décembre 2020</t>
  </si>
  <si>
    <t>BALANCE CAISSES ET BANQUE AU 31 Décembre 2020</t>
  </si>
  <si>
    <t>Hérick/Geisner</t>
  </si>
  <si>
    <t>JANVIER</t>
  </si>
  <si>
    <t>BALANCE CAISSES ET BANQUE AU 31 JANVIER 2021</t>
  </si>
  <si>
    <t>Balance au          01 Janvier 2021</t>
  </si>
  <si>
    <t>Balance au 31 Janvier 2021</t>
  </si>
  <si>
    <t>Hérick/Crépin</t>
  </si>
  <si>
    <t>Tiffany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</si>
  <si>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</si>
  <si>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</si>
  <si>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</si>
  <si>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</si>
  <si>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</si>
  <si>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BALANCE CAISSES ET BANQUE AU 31 Mars  2021</t>
  </si>
  <si>
    <t>MARS</t>
  </si>
  <si>
    <t>Balance au          01 Mars  2021</t>
  </si>
  <si>
    <t>Balance au 31 Mars 2021</t>
  </si>
  <si>
    <t>Activiste</t>
  </si>
  <si>
    <t>BALANCE CAISSES ET BANQUE AU 30 AVRIL  2021</t>
  </si>
  <si>
    <t>Balance au          01 Avril  2021</t>
  </si>
  <si>
    <t>Balance au 30 Avril 2021</t>
  </si>
  <si>
    <t>AVRIL</t>
  </si>
  <si>
    <t>Étiquettes de lignes</t>
  </si>
  <si>
    <t>Total général</t>
  </si>
  <si>
    <t>Étiquettes de colonnes</t>
  </si>
  <si>
    <t>BALANCE CAISSES ET BANQUE AU 30  Mai  2021</t>
  </si>
  <si>
    <t>Balance au          01 Mai  2021</t>
  </si>
  <si>
    <t>Balance au 30 Mai 2021</t>
  </si>
  <si>
    <t>MAI</t>
  </si>
  <si>
    <t>Somme de Spent</t>
  </si>
  <si>
    <t>Total Somme de Received</t>
  </si>
  <si>
    <t>Somme de Received</t>
  </si>
  <si>
    <t>Total Somme de Spent</t>
  </si>
  <si>
    <t>Internet</t>
  </si>
  <si>
    <t>BALANCE CAISSES ET BANQUE AU 30  Juin  2021</t>
  </si>
  <si>
    <t>Balance au 30 Juin  2021</t>
  </si>
  <si>
    <t>Balance au          01 Juin  2021</t>
  </si>
  <si>
    <t>JUIN</t>
  </si>
  <si>
    <t>Lawyer Fees</t>
  </si>
  <si>
    <t>Jail Visits</t>
  </si>
  <si>
    <t>BALANCE CAISSES ET BANQUE AU 31 Juillet  2021</t>
  </si>
  <si>
    <t>Balance au          01 Juillet  2021</t>
  </si>
  <si>
    <t>Balance au 31 Juillet  2021</t>
  </si>
  <si>
    <t>AOUT</t>
  </si>
  <si>
    <t>Balance au          01 Août 2021</t>
  </si>
  <si>
    <t>BALANCE CAISSES ET BANQUE AU 31 Août  2021</t>
  </si>
  <si>
    <t>Balance au 31 Août 2021</t>
  </si>
  <si>
    <t>Grace</t>
  </si>
  <si>
    <t>Godfré</t>
  </si>
  <si>
    <t>BALANCE CAISSES ET BANQUE AU 30 Septembre 2021</t>
  </si>
  <si>
    <t>Balance a   01 Septembre 2021</t>
  </si>
  <si>
    <t>Serdroque</t>
  </si>
  <si>
    <t>Travel Subsistence</t>
  </si>
  <si>
    <t>BCI-Sous Compte</t>
  </si>
  <si>
    <t>Balance a   01 Octobre 2021</t>
  </si>
  <si>
    <t>Balance au 31 Octobre 2021</t>
  </si>
  <si>
    <t>Balance au 31 Septembre 2021</t>
  </si>
  <si>
    <t>BALANCE CAISSES ET BANQUE AU 31 Octobre 2021</t>
  </si>
  <si>
    <t>Axel</t>
  </si>
  <si>
    <t>Legal</t>
  </si>
  <si>
    <t>Media</t>
  </si>
  <si>
    <t>Wildcat</t>
  </si>
  <si>
    <t>BCI-</t>
  </si>
  <si>
    <t>BALANCE 30 Novembre 2021</t>
  </si>
  <si>
    <t>BALANCE 01 Novembre 2021</t>
  </si>
  <si>
    <t>BALANCE CAISSES ET BANQUE AU 30 Novembre 2021</t>
  </si>
  <si>
    <t>TOTAL RECU EN Novembre</t>
  </si>
  <si>
    <t>Balance a   01 Novembre 2021</t>
  </si>
  <si>
    <t>B52</t>
  </si>
  <si>
    <t>Flight</t>
  </si>
  <si>
    <t>TOTAL DEPENSE EN NOVEMBRE</t>
  </si>
  <si>
    <t>Solde au 01/12/2021</t>
  </si>
  <si>
    <t>BALANCE 01 Décembre 2021</t>
  </si>
  <si>
    <t>TOTAL RECU EN DECEMBRE</t>
  </si>
  <si>
    <t>TOTAL DEPENSE EN DECEMBRE</t>
  </si>
  <si>
    <t>Balance a   01 Décembre 2021</t>
  </si>
  <si>
    <t>Balance au 31 Décembre 2021</t>
  </si>
  <si>
    <t>Balance au 30 Novembre 2021</t>
  </si>
  <si>
    <t>Personnel</t>
  </si>
  <si>
    <t>Telephone</t>
  </si>
  <si>
    <t>Transfer Fees</t>
  </si>
  <si>
    <t>CONGO</t>
  </si>
  <si>
    <t xml:space="preserve">Versement </t>
  </si>
  <si>
    <t>BALANCE CAISSES ET BANQUE AU 31 Décembre 2021</t>
  </si>
  <si>
    <t>Equipement</t>
  </si>
  <si>
    <t>BALANCE 31 Décembre 2021</t>
  </si>
  <si>
    <t>Rent &amp; Utilities</t>
  </si>
  <si>
    <t>RAPPORT FINANCIER JANVIER 2022</t>
  </si>
  <si>
    <t>BALANCE 01 Janvier 2022</t>
  </si>
  <si>
    <t>TOTAL DEPENSE EN JANVIER</t>
  </si>
  <si>
    <t>TOTAL RECU EN JANVIER</t>
  </si>
  <si>
    <t>BALANCE 31 Janvier 2022</t>
  </si>
  <si>
    <t>BALANCE CAISSES ET BANQUE AU 31 Janvier 2022</t>
  </si>
  <si>
    <t>Balance au 31 Janvier 2022</t>
  </si>
  <si>
    <t>Balance a   01 Janvier 2022</t>
  </si>
  <si>
    <t>I23</t>
  </si>
  <si>
    <t>Achat credit  teléphonique MTN/PALF/Prémière partie Janvier 2022/Management</t>
  </si>
  <si>
    <t xml:space="preserve">Management </t>
  </si>
  <si>
    <t>Achat credit  teléphonique MTN/PALF/Prémière partie Janvier 2022/Légal</t>
  </si>
  <si>
    <t>Achat credit  teléphonique MTN/PALF/Prémière partie Janvier 2022/Investigation</t>
  </si>
  <si>
    <t>Achat credit  teléphonique MTN/PALF/Prémière partie Janvier 2022/iInvestigation Volontaire</t>
  </si>
  <si>
    <t>Achat credit  teléphonique Airtel/PALF/Prémière partie Janvier 2022/Management</t>
  </si>
  <si>
    <t>Achat credit  teléphonique Airtel/PALF/Prémière partie Janvier 2022/Légal</t>
  </si>
  <si>
    <t>Achat credit  teléphonique Airtel/PALF/Prémière partie Janvier 2022/Investigation</t>
  </si>
  <si>
    <t>Achat credit  teléphonique Airtel/PALF/Prémière partie Janvier 2022/Investigation Vonlontaire</t>
  </si>
  <si>
    <t>BCI-3643595/56</t>
  </si>
  <si>
    <t>BCI-3654467/34</t>
  </si>
  <si>
    <t>Frais de mission à dolisie du 06 au 08 Janvier 2022 maitre SCRUTIN MOUYETI/cas NZIHOU Arly</t>
  </si>
  <si>
    <t>Achat cartons Rame papier,encreur,desagrafeur et enveloppe DL</t>
  </si>
  <si>
    <t>Office</t>
  </si>
  <si>
    <t>Oui</t>
  </si>
  <si>
    <t>Frais de Transfert Charden Farell/I23,P29 et B52</t>
  </si>
  <si>
    <t>Reglement facture E²C/ période Novembre-Décembre 2021/bureau PALF</t>
  </si>
  <si>
    <t>Frais de Transfert Charden Farell/Crépin</t>
  </si>
  <si>
    <t>Godfre</t>
  </si>
  <si>
    <t>Recharge bouteille de gaz /cuisine bureau</t>
  </si>
  <si>
    <t>I23c</t>
  </si>
  <si>
    <t>Achat credit  teléphonique MTN/PALF/Deuxième partie Janvier 2022/Management</t>
  </si>
  <si>
    <t>Achat credit  teléphonique MTN/PALF/Deuxième partie Janvier 2022/Légal</t>
  </si>
  <si>
    <t>Achat credit  teléphonique MTN/PALF/Deuxième partie Janvier 2022/Investigation</t>
  </si>
  <si>
    <t>Achat credit  teléphonique MTN/PALF/Deuxième partie Janvier 2022/iInvestigation Volontaire</t>
  </si>
  <si>
    <t>Achat credit  teléphonique Airtel/PALF/Deuxième partie Janvier 2022/Management</t>
  </si>
  <si>
    <t>Achat credit  teléphonique Airtel/PALF/Deuxième partie Janvier 2022/Légal</t>
  </si>
  <si>
    <t>Achat credit  teléphonique Airtel/PALF/Deuxième partie Janvier 2022/Investigation</t>
  </si>
  <si>
    <t>Achat credit  teléphonique Airtel/PALF/Deuxième partie Janvier 2022/Investigation Vonlontaire</t>
  </si>
  <si>
    <t xml:space="preserve">Crépin/Avance sur salaire </t>
  </si>
  <si>
    <t>Achat lait sucre café et produits de nettoyage</t>
  </si>
  <si>
    <t>Godfre/Avance sur salaire</t>
  </si>
  <si>
    <t>Frais de mission à dolisie du 23 au 25 Janvier 2022 maitre SCRUTIN MOUYETI/Suivi juridique</t>
  </si>
  <si>
    <t>Tiffany/remboursement frais achat Divers equipements de bureau</t>
  </si>
  <si>
    <t>Reglément Facture Congo Telecom Redevance Février 2022</t>
  </si>
  <si>
    <t>BCI-3643601/56</t>
  </si>
  <si>
    <t>Grace/Remboursement frais téléphone</t>
  </si>
  <si>
    <t>Crepin</t>
  </si>
  <si>
    <t>Frais de transfert charden farell/P29</t>
  </si>
  <si>
    <t>Retour Caisse Crépin /Avance Salaire recu le 18/01/22</t>
  </si>
  <si>
    <t>Achat 02 cartouches d'encre/imprimante RICOH</t>
  </si>
  <si>
    <t>Paiement salaire mois de janvier 2022/Evariste LELOUSSI</t>
  </si>
  <si>
    <t>Décharge</t>
  </si>
  <si>
    <t>Reglement loyer mois de Décembre 2021/Bureau PALF</t>
  </si>
  <si>
    <t>Retrait especes/appro caisse/bord n°3643595</t>
  </si>
  <si>
    <t>Paiement CNSS quatrième trimestre/OCTOBRE,NOVEMBRE ET DECEMBRE 2021/Grace</t>
  </si>
  <si>
    <t>Paiement CNSS quatrième trimestre/OCTOBRE,NOVEMBRE ET DECEMBRE 2021/Crepin</t>
  </si>
  <si>
    <t>Paiement CNSS quatrième trimestre/OCTOBRE,NOVEMBRE ET DECEMBRE 2021/Merveille</t>
  </si>
  <si>
    <t>Paiement CNSS quatrième trimestre/OCTOBRE,NOVEMBRE ET DECEMBRE 2021/Evariste</t>
  </si>
  <si>
    <t>Paiement CNSS quatrième trimestre/OCTOBRE,NOVEMBRE ET DECEMBRE 2021/Godfre</t>
  </si>
  <si>
    <t>Fond Reçu de UE</t>
  </si>
  <si>
    <t>Grant</t>
  </si>
  <si>
    <t>Retrait especes/appro caisse/bord n°3643601</t>
  </si>
  <si>
    <t>Paiment Salaire Mois de Décembre 2021/Tiffany GOBERT</t>
  </si>
  <si>
    <t>Paiment Salaire Mois de Janvier 2022/Tiffany GOBERT</t>
  </si>
  <si>
    <t>Paiment Salaire Mois de Janvier 2022/Merveille MAHANGA</t>
  </si>
  <si>
    <t>Paiment Salaire Mois Janvier 2022/Grace MOLENDE</t>
  </si>
  <si>
    <t>Paiment Salaire Mois Janvier 2022/Godfré MALONGA</t>
  </si>
  <si>
    <t>Paiment Salaire Mois Janvier /Crépin IBOUILI IBOUILI</t>
  </si>
  <si>
    <t>Reglement facture honoraire du mois de Janvier 2022/I23C/chq n°3643608</t>
  </si>
  <si>
    <t>Reglement facture honoraire du mois de Janvier 2022/P29/chq n°3643609</t>
  </si>
  <si>
    <t>Relevé</t>
  </si>
  <si>
    <t>Cumul frais bancaire Janvier 2022/Compte 34</t>
  </si>
  <si>
    <t>Reglement Facture Gardiennage Mois de Décembre 2021</t>
  </si>
  <si>
    <t>Retrait especes/appro caisse/bord n°3654467</t>
  </si>
  <si>
    <t>Cumul Frais de transport local du mois de Janvier 2021/Grace</t>
  </si>
  <si>
    <t>Reçu caisse</t>
  </si>
  <si>
    <t>Cumul frais de transport local mois de Janvier 2022/Merveille</t>
  </si>
  <si>
    <t xml:space="preserve">Travel Expenses </t>
  </si>
  <si>
    <t>Achat 02 PC Ultra LENOVO IdealPad 314IGL</t>
  </si>
  <si>
    <t>Versement Caisse/ Tiffany</t>
  </si>
  <si>
    <t>Cumul frais transport local mois de Janvier 2022/Tiffany</t>
  </si>
  <si>
    <t>Reçu de caisse</t>
  </si>
  <si>
    <t>CREPIN-CONGO Food-Allowance du 06 au 08/01/2022 à Dolisie</t>
  </si>
  <si>
    <t>Frais de retrait de l'ordonnace d'instruction</t>
  </si>
  <si>
    <t>Court Fees</t>
  </si>
  <si>
    <t>Cumul frais de Jail Visites Janvier 2022/Crépin</t>
  </si>
  <si>
    <t>CREPIN-CONGO 02 Nuitées à Dolisie du 06 au 08/01/2022</t>
  </si>
  <si>
    <t>Reçu de caisse (avance sur salaire)</t>
  </si>
  <si>
    <t>Frais d'expédition du jugement</t>
  </si>
  <si>
    <t>Frais d'acte d'appel cas Ndovo Jonas</t>
  </si>
  <si>
    <t>Retour à la caisse</t>
  </si>
  <si>
    <t>Cumul frais de Transport Local Mois Janvier 2022/Crépin</t>
  </si>
  <si>
    <t>Reçu Caisse</t>
  </si>
  <si>
    <t>Achat billet aller ( BZV-Dolisie)/Godfré</t>
  </si>
  <si>
    <t>GODFRE - CONGO Food Allowance du 13 au 15/01/2022 Dolisie</t>
  </si>
  <si>
    <t>GODFRE - CONGO Frais d'hotel ( deux nuitées) du 13 au 15/01/2022 Dolisie</t>
  </si>
  <si>
    <t>Achat billet retour (Dolisie-Brazzaville)/Godfré</t>
  </si>
  <si>
    <t>Reçu Caisse/Avance sur Salaire</t>
  </si>
  <si>
    <t>Achat billet aller (Brazzaville-Dolisie)/Godfré</t>
  </si>
  <si>
    <t>GODFRE - CONGO Food Allowance du 23 au 25 Janvier 2022 Dolisie</t>
  </si>
  <si>
    <t>Frais d'appel, expédition et inventaire cas NZIHOU Arly ( TGI de Dolisie)</t>
  </si>
  <si>
    <t>GODFRE - CONGO Frais d'hotel ( deux nuitées) du 23 au 25/01/2022 Dolisie</t>
  </si>
  <si>
    <t>Achat billet retour (Dolisie- BZV)/Godfré</t>
  </si>
  <si>
    <t>GODFRE - CONGO Food Allowance du 27 au 29 Janvier 2022 Dolisie</t>
  </si>
  <si>
    <t>Cumul frais de Jail Visits du mois de Janvier 2022/Godfré</t>
  </si>
  <si>
    <t>GODFRE - CONGO Frais d'hotel ( deux nuitées) du 27 au29/01/2022 Dolisie</t>
  </si>
  <si>
    <t>Achat billet retour Dolisie-Brazzaville/Godfré</t>
  </si>
  <si>
    <t>Cumul frais de transport local janvier 2022/Godfré</t>
  </si>
  <si>
    <t>reçu de caisse</t>
  </si>
  <si>
    <t>versement</t>
  </si>
  <si>
    <t>achat billet Brazzaville-pointe noire/B52</t>
  </si>
  <si>
    <t>B52- CONGO food allowance du 04 au 12 /01/2022 Pointe Noire-Sibiti-Lekana</t>
  </si>
  <si>
    <t>Travel subsistence</t>
  </si>
  <si>
    <t>B52- CONGO frais d'hôtel du 04 au 07/01/2022 - Pointe Noire</t>
  </si>
  <si>
    <t>achat billet pointe noire-sibiti/B52</t>
  </si>
  <si>
    <t>achat billet sibiti-zanaga/B52</t>
  </si>
  <si>
    <t>B52- CONGO frais d'hôtel du 07 au 09/01/2022-Sibiti</t>
  </si>
  <si>
    <t>B52- CONGO frais d'hôtel du 9 au 11/01/2022-Zanaga</t>
  </si>
  <si>
    <t>achat billet zanaga-sibiti/B52</t>
  </si>
  <si>
    <t>achat billet sibiti- loudima pour une correspondance/B52</t>
  </si>
  <si>
    <t>achat billet loudima-Brazzaville/B52</t>
  </si>
  <si>
    <t>Achat billet Brazzaville-loudima/B52</t>
  </si>
  <si>
    <t>Achat billet loudima-sibiti/B52</t>
  </si>
  <si>
    <t>B52- CONGO frais d'hôtel du 25au 26/01/2022-Sibiti</t>
  </si>
  <si>
    <t>achat billet sibiti-zanaga /B52</t>
  </si>
  <si>
    <t>B52- CONGO Frais d'hôtel du 26au28/01/2022-Zanaga</t>
  </si>
  <si>
    <t>B52- CONGO food allowance du 25 au 29/01/2022-Sibiti-Zanaga</t>
  </si>
  <si>
    <t>achat billet zanga-sibiti/B52</t>
  </si>
  <si>
    <t>Cumul frais de ration journalière Janvier 2022/B52</t>
  </si>
  <si>
    <t>Trust building</t>
  </si>
  <si>
    <t>B52- CONGO Frais d'hôtel du 28 au 29/01/2022-Sibiti</t>
  </si>
  <si>
    <t>achat billet sibiti-loudima/B52</t>
  </si>
  <si>
    <t>Cumul frais de transport local Janvier 2022/B52</t>
  </si>
  <si>
    <t>Réçu de caisse</t>
  </si>
  <si>
    <t>Achat billet Pointe Noire-Les SARAS (départ pour Les Saras)/I23C</t>
  </si>
  <si>
    <t>Taxi Les SARAS-Dolisie (départ pour Dolisie)/I23C</t>
  </si>
  <si>
    <t>Achat billet Dolisie-Brazzaville /I23C</t>
  </si>
  <si>
    <t>Taxi Brazza-Inoni Falaise (départ pour Inoni)/I23C</t>
  </si>
  <si>
    <t>I23C - CONGO Food allowance mission Inoni-Ngabé du 25 au 27 janvier 2022</t>
  </si>
  <si>
    <t>Taxi moto Inoni-Ngabé (départ pour Ngabé)/I23C</t>
  </si>
  <si>
    <t>Cumul Frais Trust Building du Mois de Janvier 2022/I23C</t>
  </si>
  <si>
    <t>I23C - CONGO Paiement hotel une nuitée du 25 au 26 janvier 2022-Ngabé</t>
  </si>
  <si>
    <t>Taxi moto Ngabé-Inoni (retour à Inoni)/I23C</t>
  </si>
  <si>
    <t>I23C - CONGO Paiement Hôtel du 26 au 27 janvier 2022-Inoni</t>
  </si>
  <si>
    <t>Cumul frais de transport local janvier 2022/I23C</t>
  </si>
  <si>
    <t>Recu de caisse</t>
  </si>
  <si>
    <t>P29 - CONGO Food allowance mission du 04 au 12/01/2022 Cuvette-Cuvette Ouest</t>
  </si>
  <si>
    <t>P29 - CONGO Paiement 3 nuitées du 04  au 07/01/2022 -Makoua</t>
  </si>
  <si>
    <t>P29 - CONGO Paiement 2 nuitées du 07 au 09/01/2022-Etoumbi</t>
  </si>
  <si>
    <t>P29 - CONGO Paiement 3 nuitées du 09 au 12/01/2022-Makoua</t>
  </si>
  <si>
    <t xml:space="preserve">P29 - CONGO Food allowance mission du 18 au 19/01/2022- île Mbamu </t>
  </si>
  <si>
    <t>P29 - CONGO Paiement d'une nuitée du 18 au 19/01/2022- île Mbamu (Village Lisanga)</t>
  </si>
  <si>
    <t>P29 - CONGO Food allowance mission du 24 au 30/01/2022-Gamboma-Oyo-Owando</t>
  </si>
  <si>
    <t>P29 - CONGO Paiement de 3 nuitées du 24 au 27/01/2022-Owando</t>
  </si>
  <si>
    <t>Cumul Frais de Trust Building du Mois Janvier 2022/P29</t>
  </si>
  <si>
    <t>Cumul Frais de Transport Local du Mois Janvier  2022/P29</t>
  </si>
  <si>
    <t>P29 - CONGO Paiement 1 nuitée du 29 au 30/01/2022-Gaboma</t>
  </si>
  <si>
    <t>Retour Caisse sur Achat Telephone/Grace</t>
  </si>
  <si>
    <t>Bank Fees</t>
  </si>
  <si>
    <t>Frais bancaire Compte 56</t>
  </si>
  <si>
    <t>Acompte  honoraires contrat n°41/Brazzaville/Me SCRUTIN MOUYETI cas NGATSE Serge /3643610</t>
  </si>
  <si>
    <t>Paiement Honoraire Me LOCKO CHRISTIAN/Mois de Janvier 2022</t>
  </si>
  <si>
    <t>Billet: Brazzaville-Dolissie/Crépin</t>
  </si>
  <si>
    <t>Billet: Dolisie-Brazzaville/Crépin</t>
  </si>
  <si>
    <t>RALFF</t>
  </si>
  <si>
    <t>PALF</t>
  </si>
  <si>
    <t>5.6</t>
  </si>
  <si>
    <t>3.2</t>
  </si>
  <si>
    <t>4.5</t>
  </si>
  <si>
    <t>5.2.2</t>
  </si>
  <si>
    <t>5.2.1</t>
  </si>
  <si>
    <t>4.3</t>
  </si>
  <si>
    <t>1.1.2.1</t>
  </si>
  <si>
    <t>1.1.1.9</t>
  </si>
  <si>
    <t>1.1.1.4</t>
  </si>
  <si>
    <t>1.1.1.7</t>
  </si>
  <si>
    <t>1.1.1.1</t>
  </si>
  <si>
    <t>4.2</t>
  </si>
  <si>
    <t>4.4</t>
  </si>
  <si>
    <t>4.6</t>
  </si>
  <si>
    <t>2.2</t>
  </si>
  <si>
    <t>Frais expedition courrier au Gabon (pièces comptables RALFF Mois de novembre 2021)</t>
  </si>
  <si>
    <t>2.1</t>
  </si>
  <si>
    <t>Frais Test COVID Aéroport / Tiffany</t>
  </si>
  <si>
    <t>1.3.2</t>
  </si>
  <si>
    <t>Names</t>
  </si>
  <si>
    <t>B52- CONGO frais d'hôtel du 11 au 12/01/2022-Sibiti</t>
  </si>
  <si>
    <t>Cumul frais de Trust Building mois de  Janvier 2022/B52</t>
  </si>
  <si>
    <t>I23C - CONGO Paiement Hôtel 1 nuitée du 21 au 22 Janvier 2022-Inoni</t>
  </si>
  <si>
    <t>Taxi Inoni Falaise - Brazzaville (rétour à Brazza)/I23C</t>
  </si>
  <si>
    <t>I23C - CONGO Food allowance mission du 21 au 22 Janvier 2022-Inoni</t>
  </si>
  <si>
    <t>Taxi Brazzaville-Inoni (départ pour Inoni)/I23C</t>
  </si>
  <si>
    <t>I23C - CONGO Paiement Hôtel 09 au 12/01/2021-Dolisie</t>
  </si>
  <si>
    <t>Achat billet Brazzaville-Pointe Noire (cfr mission PN)/I23C</t>
  </si>
  <si>
    <t>I23C - CONGO Paiement hôtel 5 nuitées du 4 au 9/1/2022 Pointe Noire</t>
  </si>
  <si>
    <t>I23C - CONGO Food allowance mission du 4 au 12/1/2022-PNR-Nzassi-les Saras-Dolisie</t>
  </si>
  <si>
    <t>P29 - CONGO Paiement 2 nuitées du 27 au 29/01/2022-OYO</t>
  </si>
  <si>
    <t xml:space="preserve">Achat 01 Enceinte Baladeur Sans Fil JBLG </t>
  </si>
  <si>
    <t>Achat 01 Smartphone Xiaomi Redmi Note 9 Pro 6,667</t>
  </si>
  <si>
    <t>Reglement prestation Entretien bureau Mois de Janvier 2022/Odile</t>
  </si>
  <si>
    <t>Taxi NZASSI La frontière-Pointe Noire (retour à PN)/I23C</t>
  </si>
  <si>
    <t>Taxi Pointe Noire - NZASSI La frontière (prospection)/I23C</t>
  </si>
  <si>
    <t>Frais de supplément bagage (Equipement PALF) / Tiffany</t>
  </si>
  <si>
    <t>Achat billet brazzaville-makoua/P29</t>
  </si>
  <si>
    <t>Achat billet makoua-etoumbi/P29</t>
  </si>
  <si>
    <t>Achat billet etoumbi-makoua/P29</t>
  </si>
  <si>
    <t>Achat billet owando-brazzaville/P29</t>
  </si>
  <si>
    <t>Achat billet brazzaville-owando/P29</t>
  </si>
  <si>
    <t>Achat billet owando-oyo/P29</t>
  </si>
  <si>
    <t>Achat billet oyo-gamboma/P29</t>
  </si>
  <si>
    <t>Achat billet gamboma-brazzaville/P29</t>
  </si>
  <si>
    <t>RALFF-CO2883</t>
  </si>
  <si>
    <t>RALFF-CO2884</t>
  </si>
  <si>
    <t>RALFF-CO2885</t>
  </si>
  <si>
    <t>RALFF-CO2886</t>
  </si>
  <si>
    <t>RALFF-CO2887</t>
  </si>
  <si>
    <t>RALFF-CO2888</t>
  </si>
  <si>
    <t>RALFF-CO2889</t>
  </si>
  <si>
    <t>RALFF-CO2890</t>
  </si>
  <si>
    <t>RALFF-CO2891</t>
  </si>
  <si>
    <t>RALFF-CO2892</t>
  </si>
  <si>
    <t>RALFF-CO2893</t>
  </si>
  <si>
    <t>RALFF-CO2894</t>
  </si>
  <si>
    <t>RALFF-CO2895</t>
  </si>
  <si>
    <t>RALFF-CO2896</t>
  </si>
  <si>
    <t>RALFF-CO2897</t>
  </si>
  <si>
    <t>RALFF-CO2898</t>
  </si>
  <si>
    <t>RALFF-CO2899</t>
  </si>
  <si>
    <t>RALFF-CO2900</t>
  </si>
  <si>
    <t>RALFF-CO2901</t>
  </si>
  <si>
    <t>RALFF-CO2902</t>
  </si>
  <si>
    <t>RALFF-CO2903</t>
  </si>
  <si>
    <t>RALFF-CO2904</t>
  </si>
  <si>
    <t>RALFF-CO2905</t>
  </si>
  <si>
    <t>RALFF-CO2906</t>
  </si>
  <si>
    <t>RALFF-CO2907</t>
  </si>
  <si>
    <t>RALFF-CO2908</t>
  </si>
  <si>
    <t>RALFF-CO2909</t>
  </si>
  <si>
    <t>RALFF-CO2910</t>
  </si>
  <si>
    <t>RALFF-CO2911</t>
  </si>
  <si>
    <t>RALFF-CO2912</t>
  </si>
  <si>
    <t>RALFF-CO2913</t>
  </si>
  <si>
    <t>RALFF-CO2914</t>
  </si>
  <si>
    <t>RALFF-CO2915</t>
  </si>
  <si>
    <t>RALFF-CO2916</t>
  </si>
  <si>
    <t>RALFF-CO2917</t>
  </si>
  <si>
    <t>RALFF-CO2918</t>
  </si>
  <si>
    <t>RALFF-CO2919</t>
  </si>
  <si>
    <t>RALFF-CO2920</t>
  </si>
  <si>
    <t>RALFF-CO2921</t>
  </si>
  <si>
    <t>RALFF-CO2922</t>
  </si>
  <si>
    <t>RALFF-CO2923</t>
  </si>
  <si>
    <t>RALFF-CO2924</t>
  </si>
  <si>
    <t>RALFF-CO2925</t>
  </si>
  <si>
    <t>RALFF-CO2926</t>
  </si>
  <si>
    <t>RALFF-CO2927</t>
  </si>
  <si>
    <t>RALFF-CO2928</t>
  </si>
  <si>
    <t>RALFF-CO2929</t>
  </si>
  <si>
    <t>RALFF-CO2930</t>
  </si>
  <si>
    <t>RALFF-CO2931</t>
  </si>
  <si>
    <t>RALFF-CO2932</t>
  </si>
  <si>
    <t>RALFF-CO2933</t>
  </si>
  <si>
    <t>RALFF-CO2934</t>
  </si>
  <si>
    <t>RALFF-CO2935</t>
  </si>
  <si>
    <t>RALFF-CO2936</t>
  </si>
  <si>
    <t>RALFF-CO2937</t>
  </si>
  <si>
    <t>RALFF-CO2938</t>
  </si>
  <si>
    <t>RALFF-CO2939</t>
  </si>
  <si>
    <t>RALFF-CO2940</t>
  </si>
  <si>
    <t>RALFF-CO2941</t>
  </si>
  <si>
    <t>RALFF-CO2942</t>
  </si>
  <si>
    <t>RALFF-CO2943</t>
  </si>
  <si>
    <t>RALFF-CO2944</t>
  </si>
  <si>
    <t>RALFF-CO2945</t>
  </si>
  <si>
    <t>RALFF-CO2946</t>
  </si>
  <si>
    <t>RALFF-CO2947</t>
  </si>
  <si>
    <t>RALFF-CO2948</t>
  </si>
  <si>
    <t>RALFF-CO2949</t>
  </si>
  <si>
    <t>RALFF-CO2950</t>
  </si>
  <si>
    <t>RALFF-CO2951</t>
  </si>
  <si>
    <t>RALFF-CO2952</t>
  </si>
  <si>
    <t>RALFF-CO2953</t>
  </si>
  <si>
    <t>RALFF-CO2954</t>
  </si>
  <si>
    <t>RALFF-CO2955</t>
  </si>
  <si>
    <t>RALFF-CO2956</t>
  </si>
  <si>
    <t>RALFF-CO2957</t>
  </si>
  <si>
    <t>RALFF-CO2958</t>
  </si>
  <si>
    <t>RALFF-CO2959</t>
  </si>
  <si>
    <t>RALFF-CO2960</t>
  </si>
  <si>
    <t>RALFF-CO2961</t>
  </si>
  <si>
    <t>RALFF-CO2962</t>
  </si>
  <si>
    <t>RALFF-CO2963</t>
  </si>
  <si>
    <t>RALFF-CO2964</t>
  </si>
  <si>
    <t>RALFF-CO2965</t>
  </si>
  <si>
    <t>RALFF-CO2966</t>
  </si>
  <si>
    <t>RALFF-CO2967</t>
  </si>
  <si>
    <t>RALFF-CO2968</t>
  </si>
  <si>
    <t>RALFF-CO2969</t>
  </si>
  <si>
    <t>RALFF-CO2970</t>
  </si>
  <si>
    <t>RALFF-CO2971</t>
  </si>
  <si>
    <t>RALFF-CO2972</t>
  </si>
  <si>
    <t>RALFF-CO2973</t>
  </si>
  <si>
    <t>RALFF-CO2974</t>
  </si>
  <si>
    <t>RALFF-CO2975</t>
  </si>
  <si>
    <t>RALFF-CO2976</t>
  </si>
  <si>
    <t>RALFF-CO2977</t>
  </si>
  <si>
    <t>RALFF-CO2978</t>
  </si>
  <si>
    <t>RALFF-CO2979</t>
  </si>
  <si>
    <t>RALFF-CO2980</t>
  </si>
  <si>
    <t>RALFF-CO2981</t>
  </si>
  <si>
    <t>RALFF-CO2982</t>
  </si>
  <si>
    <t>RALFF-CO2983</t>
  </si>
  <si>
    <t>RALFF-CO2984</t>
  </si>
  <si>
    <t>RALFF-CO2985</t>
  </si>
  <si>
    <t>RALFF-CO2986</t>
  </si>
  <si>
    <t>RALFF-CO2987</t>
  </si>
  <si>
    <t>RALFF-CO2988</t>
  </si>
  <si>
    <t>(vide)</t>
  </si>
</sst>
</file>

<file path=xl/styles.xml><?xml version="1.0" encoding="utf-8"?>
<styleSheet xmlns="http://schemas.openxmlformats.org/spreadsheetml/2006/main">
  <numFmts count="9">
    <numFmt numFmtId="41" formatCode="_-* #,##0\ _F_C_F_A_-;\-* #,##0\ _F_C_F_A_-;_-* &quot;-&quot;\ _F_C_F_A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\ _€_-;\-* #,##0\ _€_-;_-* &quot;-&quot;??\ _€_-;_-@"/>
    <numFmt numFmtId="167" formatCode="[$-409]d\-mmm\-yy;@"/>
    <numFmt numFmtId="168" formatCode="[$-40C]0"/>
    <numFmt numFmtId="169" formatCode="&quot; &quot;#,##0&quot;    &quot;;&quot;-&quot;#,##0&quot;    &quot;;&quot; -&quot;#&quot;    &quot;;&quot; &quot;@&quot; &quot;"/>
    <numFmt numFmtId="170" formatCode="[$-40C]General"/>
    <numFmt numFmtId="171" formatCode="[$]d\ mmm\ yyyy;@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2"/>
      <color theme="1"/>
      <name val="Arial Narrow"/>
      <family val="2"/>
    </font>
    <font>
      <sz val="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2"/>
      <name val="Arial Narrow"/>
      <family val="2"/>
    </font>
    <font>
      <sz val="12"/>
      <color theme="0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8"/>
      <color rgb="FFFF0000"/>
      <name val="Calibri"/>
      <family val="2"/>
      <scheme val="minor"/>
    </font>
    <font>
      <b/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0" fillId="0" borderId="0"/>
    <xf numFmtId="41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23" fillId="0" borderId="0" applyBorder="0" applyProtection="0"/>
  </cellStyleXfs>
  <cellXfs count="39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11" fillId="6" borderId="1" xfId="3" applyNumberFormat="1" applyFont="1" applyFill="1" applyBorder="1"/>
    <xf numFmtId="0" fontId="11" fillId="6" borderId="1" xfId="3" applyFont="1" applyFill="1" applyBorder="1"/>
    <xf numFmtId="0" fontId="12" fillId="0" borderId="1" xfId="0" applyFont="1" applyFill="1" applyBorder="1" applyAlignment="1"/>
    <xf numFmtId="165" fontId="0" fillId="0" borderId="0" xfId="0" applyNumberFormat="1" applyAlignment="1">
      <alignment vertical="center"/>
    </xf>
    <xf numFmtId="0" fontId="12" fillId="0" borderId="0" xfId="0" applyFont="1" applyFill="1" applyBorder="1" applyAlignment="1"/>
    <xf numFmtId="0" fontId="13" fillId="0" borderId="0" xfId="0" applyFont="1" applyBorder="1" applyAlignment="1">
      <alignment vertical="center"/>
    </xf>
    <xf numFmtId="165" fontId="14" fillId="0" borderId="0" xfId="1" applyNumberFormat="1" applyFont="1" applyBorder="1" applyProtection="1">
      <protection locked="0"/>
    </xf>
    <xf numFmtId="165" fontId="15" fillId="0" borderId="0" xfId="1" applyNumberFormat="1" applyFont="1" applyBorder="1" applyProtection="1">
      <protection locked="0"/>
    </xf>
    <xf numFmtId="165" fontId="12" fillId="0" borderId="0" xfId="0" applyNumberFormat="1" applyFont="1" applyFill="1" applyBorder="1" applyAlignment="1"/>
    <xf numFmtId="165" fontId="13" fillId="0" borderId="0" xfId="0" applyNumberFormat="1" applyFont="1" applyBorder="1" applyAlignment="1">
      <alignment vertical="center"/>
    </xf>
    <xf numFmtId="0" fontId="16" fillId="0" borderId="0" xfId="0" applyFont="1" applyAlignment="1"/>
    <xf numFmtId="0" fontId="4" fillId="0" borderId="0" xfId="0" applyFont="1" applyAlignment="1"/>
    <xf numFmtId="0" fontId="5" fillId="7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/>
    <xf numFmtId="165" fontId="4" fillId="0" borderId="0" xfId="1" applyNumberFormat="1" applyFont="1" applyFill="1" applyProtection="1"/>
    <xf numFmtId="165" fontId="5" fillId="0" borderId="3" xfId="1" applyNumberFormat="1" applyFont="1" applyFill="1" applyBorder="1" applyAlignment="1" applyProtection="1">
      <alignment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4" fillId="10" borderId="4" xfId="1" applyNumberFormat="1" applyFont="1" applyFill="1" applyBorder="1" applyAlignment="1" applyProtection="1">
      <alignment horizontal="center" vertical="center"/>
    </xf>
    <xf numFmtId="0" fontId="18" fillId="10" borderId="5" xfId="0" applyFont="1" applyFill="1" applyBorder="1" applyAlignment="1"/>
    <xf numFmtId="165" fontId="4" fillId="10" borderId="5" xfId="1" applyNumberFormat="1" applyFont="1" applyFill="1" applyBorder="1" applyProtection="1"/>
    <xf numFmtId="165" fontId="4" fillId="10" borderId="5" xfId="0" applyNumberFormat="1" applyFont="1" applyFill="1" applyBorder="1" applyAlignment="1"/>
    <xf numFmtId="165" fontId="4" fillId="0" borderId="3" xfId="1" applyNumberFormat="1" applyFont="1" applyBorder="1" applyProtection="1"/>
    <xf numFmtId="165" fontId="0" fillId="0" borderId="1" xfId="1" applyNumberFormat="1" applyFont="1" applyFill="1" applyBorder="1" applyProtection="1"/>
    <xf numFmtId="165" fontId="4" fillId="0" borderId="6" xfId="1" applyNumberFormat="1" applyFont="1" applyFill="1" applyBorder="1" applyProtection="1"/>
    <xf numFmtId="165" fontId="4" fillId="0" borderId="1" xfId="0" applyNumberFormat="1" applyFont="1" applyFill="1" applyBorder="1" applyAlignment="1"/>
    <xf numFmtId="165" fontId="4" fillId="0" borderId="1" xfId="1" applyNumberFormat="1" applyFont="1" applyFill="1" applyBorder="1" applyProtection="1"/>
    <xf numFmtId="165" fontId="19" fillId="0" borderId="1" xfId="1" applyNumberFormat="1" applyFont="1" applyFill="1" applyBorder="1" applyProtection="1"/>
    <xf numFmtId="165" fontId="1" fillId="0" borderId="1" xfId="1" applyNumberFormat="1" applyFont="1" applyFill="1" applyBorder="1" applyProtection="1"/>
    <xf numFmtId="165" fontId="5" fillId="10" borderId="4" xfId="1" applyNumberFormat="1" applyFont="1" applyFill="1" applyBorder="1" applyAlignment="1" applyProtection="1">
      <alignment horizontal="left"/>
    </xf>
    <xf numFmtId="165" fontId="5" fillId="10" borderId="5" xfId="1" applyNumberFormat="1" applyFont="1" applyFill="1" applyBorder="1" applyAlignment="1" applyProtection="1">
      <alignment horizontal="left"/>
    </xf>
    <xf numFmtId="165" fontId="4" fillId="10" borderId="1" xfId="0" applyNumberFormat="1" applyFont="1" applyFill="1" applyBorder="1" applyAlignment="1"/>
    <xf numFmtId="0" fontId="5" fillId="0" borderId="4" xfId="0" applyFont="1" applyFill="1" applyBorder="1" applyAlignment="1"/>
    <xf numFmtId="165" fontId="4" fillId="0" borderId="1" xfId="1" applyNumberFormat="1" applyFont="1" applyFill="1" applyBorder="1" applyAlignment="1" applyProtection="1"/>
    <xf numFmtId="165" fontId="4" fillId="0" borderId="6" xfId="1" applyNumberFormat="1" applyFont="1" applyBorder="1" applyProtection="1"/>
    <xf numFmtId="165" fontId="20" fillId="0" borderId="1" xfId="1" applyNumberFormat="1" applyFont="1" applyBorder="1" applyProtection="1"/>
    <xf numFmtId="165" fontId="20" fillId="0" borderId="0" xfId="1" applyNumberFormat="1" applyFont="1" applyProtection="1"/>
    <xf numFmtId="165" fontId="10" fillId="0" borderId="1" xfId="0" applyNumberFormat="1" applyFont="1" applyBorder="1" applyAlignment="1"/>
    <xf numFmtId="0" fontId="18" fillId="10" borderId="4" xfId="0" applyFont="1" applyFill="1" applyBorder="1" applyAlignment="1"/>
    <xf numFmtId="165" fontId="0" fillId="0" borderId="1" xfId="1" applyNumberFormat="1" applyFont="1" applyBorder="1" applyProtection="1"/>
    <xf numFmtId="165" fontId="4" fillId="0" borderId="1" xfId="0" applyNumberFormat="1" applyFont="1" applyBorder="1" applyAlignment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5" fontId="16" fillId="0" borderId="6" xfId="1" applyNumberFormat="1" applyFont="1" applyBorder="1" applyProtection="1"/>
    <xf numFmtId="165" fontId="19" fillId="0" borderId="6" xfId="1" applyNumberFormat="1" applyFont="1" applyBorder="1" applyProtection="1"/>
    <xf numFmtId="165" fontId="19" fillId="0" borderId="1" xfId="1" applyNumberFormat="1" applyFont="1" applyBorder="1" applyAlignment="1" applyProtection="1">
      <alignment vertical="center"/>
    </xf>
    <xf numFmtId="165" fontId="19" fillId="5" borderId="1" xfId="1" applyNumberFormat="1" applyFont="1" applyFill="1" applyBorder="1" applyProtection="1"/>
    <xf numFmtId="165" fontId="9" fillId="0" borderId="3" xfId="1" applyNumberFormat="1" applyFont="1" applyFill="1" applyBorder="1" applyProtection="1"/>
    <xf numFmtId="165" fontId="19" fillId="5" borderId="1" xfId="1" applyNumberFormat="1" applyFont="1" applyFill="1" applyBorder="1" applyAlignment="1" applyProtection="1">
      <alignment vertical="center"/>
    </xf>
    <xf numFmtId="165" fontId="1" fillId="0" borderId="0" xfId="1" applyNumberFormat="1" applyFont="1" applyFill="1" applyProtection="1"/>
    <xf numFmtId="165" fontId="19" fillId="0" borderId="1" xfId="1" applyNumberFormat="1" applyFont="1" applyFill="1" applyBorder="1" applyAlignment="1" applyProtection="1">
      <alignment horizontal="center" vertical="center"/>
    </xf>
    <xf numFmtId="165" fontId="8" fillId="0" borderId="6" xfId="1" applyNumberFormat="1" applyFont="1" applyFill="1" applyBorder="1" applyProtection="1"/>
    <xf numFmtId="165" fontId="21" fillId="0" borderId="0" xfId="1" applyNumberFormat="1" applyFont="1" applyBorder="1" applyProtection="1">
      <protection locked="0"/>
    </xf>
    <xf numFmtId="0" fontId="6" fillId="0" borderId="1" xfId="0" applyFont="1" applyFill="1" applyBorder="1" applyAlignment="1"/>
    <xf numFmtId="0" fontId="22" fillId="0" borderId="1" xfId="0" applyFont="1" applyBorder="1" applyAlignment="1">
      <alignment vertical="center"/>
    </xf>
    <xf numFmtId="165" fontId="23" fillId="0" borderId="1" xfId="1" applyNumberFormat="1" applyFont="1" applyBorder="1" applyProtection="1">
      <protection locked="0"/>
    </xf>
    <xf numFmtId="165" fontId="24" fillId="0" borderId="1" xfId="1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7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13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4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65" fontId="4" fillId="0" borderId="0" xfId="1" applyNumberFormat="1" applyFont="1" applyFill="1" applyBorder="1" applyProtection="1"/>
    <xf numFmtId="165" fontId="4" fillId="17" borderId="4" xfId="1" applyNumberFormat="1" applyFont="1" applyFill="1" applyBorder="1" applyAlignment="1" applyProtection="1">
      <alignment horizontal="center" vertical="center"/>
    </xf>
    <xf numFmtId="0" fontId="18" fillId="17" borderId="5" xfId="0" applyFont="1" applyFill="1" applyBorder="1" applyAlignment="1"/>
    <xf numFmtId="165" fontId="4" fillId="17" borderId="5" xfId="1" applyNumberFormat="1" applyFont="1" applyFill="1" applyBorder="1" applyProtection="1"/>
    <xf numFmtId="165" fontId="4" fillId="17" borderId="5" xfId="0" applyNumberFormat="1" applyFont="1" applyFill="1" applyBorder="1" applyAlignment="1"/>
    <xf numFmtId="165" fontId="4" fillId="0" borderId="3" xfId="1" applyNumberFormat="1" applyFont="1" applyFill="1" applyBorder="1" applyProtection="1"/>
    <xf numFmtId="165" fontId="24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horizontal="center" vertical="center"/>
    </xf>
    <xf numFmtId="165" fontId="23" fillId="0" borderId="1" xfId="1" applyNumberFormat="1" applyFont="1" applyFill="1" applyBorder="1" applyProtection="1"/>
    <xf numFmtId="165" fontId="28" fillId="0" borderId="1" xfId="1" applyNumberFormat="1" applyFont="1" applyFill="1" applyBorder="1" applyProtection="1"/>
    <xf numFmtId="165" fontId="23" fillId="0" borderId="0" xfId="1" applyNumberFormat="1" applyFont="1" applyFill="1" applyBorder="1" applyProtection="1"/>
    <xf numFmtId="165" fontId="5" fillId="17" borderId="4" xfId="1" applyNumberFormat="1" applyFont="1" applyFill="1" applyBorder="1" applyAlignment="1" applyProtection="1">
      <alignment horizontal="left"/>
    </xf>
    <xf numFmtId="165" fontId="5" fillId="17" borderId="5" xfId="1" applyNumberFormat="1" applyFont="1" applyFill="1" applyBorder="1" applyAlignment="1" applyProtection="1">
      <alignment horizontal="left"/>
    </xf>
    <xf numFmtId="165" fontId="4" fillId="17" borderId="1" xfId="0" applyNumberFormat="1" applyFont="1" applyFill="1" applyBorder="1" applyAlignment="1"/>
    <xf numFmtId="165" fontId="29" fillId="0" borderId="1" xfId="1" applyNumberFormat="1" applyFont="1" applyFill="1" applyBorder="1" applyProtection="1"/>
    <xf numFmtId="3" fontId="24" fillId="0" borderId="1" xfId="0" applyNumberFormat="1" applyFont="1" applyFill="1" applyBorder="1" applyAlignment="1">
      <alignment vertical="center"/>
    </xf>
    <xf numFmtId="165" fontId="29" fillId="0" borderId="0" xfId="1" applyNumberFormat="1" applyFont="1" applyFill="1" applyBorder="1" applyProtection="1"/>
    <xf numFmtId="165" fontId="10" fillId="0" borderId="1" xfId="0" applyNumberFormat="1" applyFont="1" applyFill="1" applyBorder="1" applyAlignment="1"/>
    <xf numFmtId="0" fontId="18" fillId="17" borderId="4" xfId="0" applyFont="1" applyFill="1" applyBorder="1" applyAlignment="1"/>
    <xf numFmtId="165" fontId="30" fillId="0" borderId="3" xfId="1" applyNumberFormat="1" applyFont="1" applyFill="1" applyBorder="1" applyProtection="1"/>
    <xf numFmtId="165" fontId="28" fillId="0" borderId="6" xfId="1" applyNumberFormat="1" applyFont="1" applyFill="1" applyBorder="1" applyProtection="1"/>
    <xf numFmtId="165" fontId="28" fillId="18" borderId="1" xfId="1" applyNumberFormat="1" applyFont="1" applyFill="1" applyBorder="1" applyProtection="1"/>
    <xf numFmtId="165" fontId="28" fillId="18" borderId="1" xfId="1" applyNumberFormat="1" applyFont="1" applyFill="1" applyBorder="1" applyAlignment="1" applyProtection="1">
      <alignment vertical="center"/>
    </xf>
    <xf numFmtId="165" fontId="31" fillId="0" borderId="6" xfId="1" applyNumberFormat="1" applyFont="1" applyFill="1" applyBorder="1" applyProtection="1"/>
    <xf numFmtId="165" fontId="31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vertical="center"/>
    </xf>
    <xf numFmtId="165" fontId="24" fillId="0" borderId="0" xfId="0" applyNumberFormat="1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6" fillId="0" borderId="1" xfId="0" applyFont="1" applyFill="1" applyBorder="1" applyAlignment="1"/>
    <xf numFmtId="165" fontId="19" fillId="0" borderId="6" xfId="1" applyNumberFormat="1" applyFont="1" applyFill="1" applyBorder="1" applyProtection="1"/>
    <xf numFmtId="165" fontId="19" fillId="0" borderId="1" xfId="0" applyNumberFormat="1" applyFont="1" applyFill="1" applyBorder="1" applyAlignment="1"/>
    <xf numFmtId="165" fontId="7" fillId="0" borderId="0" xfId="0" applyNumberFormat="1" applyFont="1" applyAlignment="1">
      <alignment vertical="center"/>
    </xf>
    <xf numFmtId="165" fontId="8" fillId="0" borderId="6" xfId="1" applyNumberFormat="1" applyFont="1" applyBorder="1" applyProtection="1"/>
    <xf numFmtId="165" fontId="8" fillId="0" borderId="1" xfId="1" applyNumberFormat="1" applyFont="1" applyFill="1" applyBorder="1" applyProtection="1"/>
    <xf numFmtId="165" fontId="32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7" fillId="22" borderId="0" xfId="0" applyNumberFormat="1" applyFont="1" applyFill="1" applyAlignment="1">
      <alignment vertical="center"/>
    </xf>
    <xf numFmtId="165" fontId="4" fillId="3" borderId="3" xfId="1" applyNumberFormat="1" applyFont="1" applyFill="1" applyBorder="1" applyProtection="1"/>
    <xf numFmtId="0" fontId="12" fillId="3" borderId="1" xfId="0" applyFont="1" applyFill="1" applyBorder="1" applyAlignment="1"/>
    <xf numFmtId="165" fontId="0" fillId="3" borderId="1" xfId="1" applyNumberFormat="1" applyFont="1" applyFill="1" applyBorder="1" applyProtection="1"/>
    <xf numFmtId="165" fontId="4" fillId="3" borderId="1" xfId="1" applyNumberFormat="1" applyFont="1" applyFill="1" applyBorder="1" applyProtection="1"/>
    <xf numFmtId="165" fontId="4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5" fontId="1" fillId="3" borderId="1" xfId="1" applyNumberFormat="1" applyFont="1" applyFill="1" applyBorder="1" applyProtection="1"/>
    <xf numFmtId="165" fontId="4" fillId="3" borderId="1" xfId="0" applyNumberFormat="1" applyFont="1" applyFill="1" applyBorder="1" applyAlignme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6" fillId="21" borderId="1" xfId="0" applyFont="1" applyFill="1" applyBorder="1" applyAlignment="1"/>
    <xf numFmtId="0" fontId="22" fillId="21" borderId="1" xfId="0" applyFont="1" applyFill="1" applyBorder="1" applyAlignment="1">
      <alignment vertical="center"/>
    </xf>
    <xf numFmtId="165" fontId="23" fillId="21" borderId="1" xfId="1" applyNumberFormat="1" applyFont="1" applyFill="1" applyBorder="1" applyProtection="1">
      <protection locked="0"/>
    </xf>
    <xf numFmtId="165" fontId="24" fillId="21" borderId="1" xfId="1" applyNumberFormat="1" applyFont="1" applyFill="1" applyBorder="1" applyProtection="1">
      <protection locked="0"/>
    </xf>
    <xf numFmtId="165" fontId="4" fillId="5" borderId="1" xfId="1" applyNumberFormat="1" applyFont="1" applyFill="1" applyBorder="1" applyProtection="1"/>
    <xf numFmtId="165" fontId="19" fillId="21" borderId="1" xfId="1" applyNumberFormat="1" applyFont="1" applyFill="1" applyBorder="1" applyProtection="1"/>
    <xf numFmtId="165" fontId="4" fillId="21" borderId="1" xfId="0" applyNumberFormat="1" applyFont="1" applyFill="1" applyBorder="1" applyAlignment="1"/>
    <xf numFmtId="165" fontId="4" fillId="0" borderId="1" xfId="1" applyNumberFormat="1" applyFont="1" applyBorder="1" applyProtection="1"/>
    <xf numFmtId="165" fontId="4" fillId="21" borderId="1" xfId="1" applyNumberFormat="1" applyFont="1" applyFill="1" applyBorder="1" applyProtection="1"/>
    <xf numFmtId="165" fontId="19" fillId="5" borderId="1" xfId="0" applyNumberFormat="1" applyFont="1" applyFill="1" applyBorder="1" applyAlignment="1"/>
    <xf numFmtId="165" fontId="19" fillId="0" borderId="1" xfId="1" applyNumberFormat="1" applyFont="1" applyBorder="1" applyProtection="1"/>
    <xf numFmtId="165" fontId="19" fillId="0" borderId="0" xfId="1" applyNumberFormat="1" applyFont="1" applyProtection="1"/>
    <xf numFmtId="0" fontId="5" fillId="0" borderId="1" xfId="0" applyFont="1" applyFill="1" applyBorder="1" applyAlignment="1"/>
    <xf numFmtId="0" fontId="5" fillId="5" borderId="1" xfId="0" applyFont="1" applyFill="1" applyBorder="1" applyAlignment="1"/>
    <xf numFmtId="0" fontId="5" fillId="21" borderId="1" xfId="0" applyFont="1" applyFill="1" applyBorder="1" applyAlignment="1"/>
    <xf numFmtId="0" fontId="19" fillId="5" borderId="1" xfId="0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165" fontId="19" fillId="0" borderId="3" xfId="1" applyNumberFormat="1" applyFont="1" applyFill="1" applyBorder="1" applyProtection="1"/>
    <xf numFmtId="0" fontId="33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35" fillId="0" borderId="0" xfId="1" applyNumberFormat="1" applyFont="1" applyBorder="1" applyProtection="1">
      <protection locked="0"/>
    </xf>
    <xf numFmtId="165" fontId="8" fillId="0" borderId="1" xfId="1" applyNumberFormat="1" applyFont="1" applyFill="1" applyBorder="1" applyAlignment="1" applyProtection="1">
      <alignment horizontal="center" vertical="center"/>
    </xf>
    <xf numFmtId="165" fontId="8" fillId="5" borderId="1" xfId="1" applyNumberFormat="1" applyFont="1" applyFill="1" applyBorder="1" applyProtection="1"/>
    <xf numFmtId="165" fontId="8" fillId="21" borderId="1" xfId="1" applyNumberFormat="1" applyFont="1" applyFill="1" applyBorder="1" applyProtection="1"/>
    <xf numFmtId="0" fontId="8" fillId="5" borderId="1" xfId="0" applyFont="1" applyFill="1" applyBorder="1" applyAlignment="1">
      <alignment vertical="center"/>
    </xf>
    <xf numFmtId="165" fontId="8" fillId="0" borderId="1" xfId="1" applyNumberFormat="1" applyFont="1" applyBorder="1" applyProtection="1"/>
    <xf numFmtId="165" fontId="34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40" fillId="0" borderId="4" xfId="0" applyFont="1" applyFill="1" applyBorder="1" applyAlignment="1"/>
    <xf numFmtId="165" fontId="19" fillId="0" borderId="1" xfId="0" applyNumberFormat="1" applyFont="1" applyBorder="1" applyAlignment="1"/>
    <xf numFmtId="0" fontId="40" fillId="0" borderId="0" xfId="0" applyFont="1" applyFill="1" applyBorder="1" applyAlignment="1"/>
    <xf numFmtId="0" fontId="40" fillId="0" borderId="1" xfId="0" applyFont="1" applyFill="1" applyBorder="1" applyAlignment="1"/>
    <xf numFmtId="165" fontId="19" fillId="0" borderId="3" xfId="1" applyNumberFormat="1" applyFont="1" applyBorder="1" applyProtection="1"/>
    <xf numFmtId="165" fontId="1" fillId="0" borderId="1" xfId="1" applyNumberFormat="1" applyFont="1" applyBorder="1" applyProtection="1"/>
    <xf numFmtId="165" fontId="19" fillId="22" borderId="1" xfId="0" applyNumberFormat="1" applyFont="1" applyFill="1" applyBorder="1" applyAlignment="1"/>
    <xf numFmtId="0" fontId="1" fillId="0" borderId="1" xfId="0" applyFont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165" fontId="15" fillId="0" borderId="0" xfId="1" applyNumberFormat="1" applyFont="1" applyFill="1" applyBorder="1" applyProtection="1">
      <protection locked="0"/>
    </xf>
    <xf numFmtId="165" fontId="14" fillId="0" borderId="0" xfId="1" applyNumberFormat="1" applyFont="1" applyFill="1" applyBorder="1" applyProtection="1">
      <protection locked="0"/>
    </xf>
    <xf numFmtId="165" fontId="13" fillId="0" borderId="0" xfId="0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165" fontId="24" fillId="0" borderId="1" xfId="1" applyNumberFormat="1" applyFont="1" applyFill="1" applyBorder="1" applyProtection="1">
      <protection locked="0"/>
    </xf>
    <xf numFmtId="165" fontId="19" fillId="21" borderId="1" xfId="1" applyNumberFormat="1" applyFont="1" applyFill="1" applyBorder="1" applyAlignment="1" applyProtection="1">
      <alignment horizontal="center"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168" fontId="36" fillId="0" borderId="1" xfId="2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1" xfId="0" applyFont="1" applyFill="1" applyBorder="1" applyAlignment="1">
      <alignment vertical="center"/>
    </xf>
    <xf numFmtId="14" fontId="41" fillId="0" borderId="1" xfId="3" applyNumberFormat="1" applyFont="1" applyFill="1" applyBorder="1"/>
    <xf numFmtId="165" fontId="5" fillId="0" borderId="3" xfId="1" applyNumberFormat="1" applyFont="1" applyFill="1" applyBorder="1" applyAlignment="1" applyProtection="1">
      <alignment horizontal="center" vertical="center" wrapText="1"/>
    </xf>
    <xf numFmtId="14" fontId="36" fillId="0" borderId="1" xfId="0" applyNumberFormat="1" applyFont="1" applyFill="1" applyBorder="1" applyAlignment="1">
      <alignment vertical="center"/>
    </xf>
    <xf numFmtId="3" fontId="36" fillId="0" borderId="1" xfId="1" applyNumberFormat="1" applyFont="1" applyFill="1" applyBorder="1" applyAlignment="1" applyProtection="1">
      <alignment horizontal="right"/>
    </xf>
    <xf numFmtId="0" fontId="36" fillId="5" borderId="1" xfId="0" applyFont="1" applyFill="1" applyBorder="1" applyAlignment="1">
      <alignment vertical="center"/>
    </xf>
    <xf numFmtId="0" fontId="36" fillId="19" borderId="1" xfId="0" applyFont="1" applyFill="1" applyBorder="1" applyAlignment="1">
      <alignment vertical="center"/>
    </xf>
    <xf numFmtId="0" fontId="36" fillId="23" borderId="1" xfId="0" applyFont="1" applyFill="1" applyBorder="1" applyAlignment="1">
      <alignment vertical="center"/>
    </xf>
    <xf numFmtId="41" fontId="36" fillId="23" borderId="1" xfId="4" applyFont="1" applyFill="1" applyBorder="1" applyAlignment="1">
      <alignment vertical="center"/>
    </xf>
    <xf numFmtId="3" fontId="36" fillId="0" borderId="1" xfId="1" applyNumberFormat="1" applyFont="1" applyFill="1" applyBorder="1" applyAlignment="1" applyProtection="1">
      <alignment horizontal="right" vertical="center"/>
    </xf>
    <xf numFmtId="165" fontId="36" fillId="0" borderId="1" xfId="1" applyNumberFormat="1" applyFont="1" applyFill="1" applyBorder="1" applyAlignment="1" applyProtection="1">
      <alignment vertical="center"/>
    </xf>
    <xf numFmtId="0" fontId="42" fillId="21" borderId="1" xfId="0" applyFont="1" applyFill="1" applyBorder="1" applyAlignment="1">
      <alignment vertical="center"/>
    </xf>
    <xf numFmtId="165" fontId="36" fillId="0" borderId="1" xfId="0" applyNumberFormat="1" applyFont="1" applyFill="1" applyBorder="1" applyAlignment="1">
      <alignment vertical="center"/>
    </xf>
    <xf numFmtId="165" fontId="43" fillId="0" borderId="1" xfId="0" applyNumberFormat="1" applyFont="1" applyFill="1" applyBorder="1" applyAlignment="1">
      <alignment vertical="center"/>
    </xf>
    <xf numFmtId="165" fontId="36" fillId="0" borderId="1" xfId="1" applyNumberFormat="1" applyFont="1" applyFill="1" applyBorder="1" applyAlignment="1">
      <alignment vertical="center"/>
    </xf>
    <xf numFmtId="166" fontId="36" fillId="0" borderId="1" xfId="0" applyNumberFormat="1" applyFont="1" applyFill="1" applyBorder="1" applyAlignment="1">
      <alignment vertical="center"/>
    </xf>
    <xf numFmtId="0" fontId="36" fillId="12" borderId="1" xfId="0" applyFont="1" applyFill="1" applyBorder="1" applyAlignment="1">
      <alignment vertical="center"/>
    </xf>
    <xf numFmtId="165" fontId="36" fillId="12" borderId="1" xfId="1" applyNumberFormat="1" applyFont="1" applyFill="1" applyBorder="1" applyAlignment="1" applyProtection="1">
      <alignment vertical="center"/>
    </xf>
    <xf numFmtId="0" fontId="36" fillId="12" borderId="1" xfId="0" applyFont="1" applyFill="1" applyBorder="1" applyAlignment="1">
      <alignment horizontal="left" vertical="center"/>
    </xf>
    <xf numFmtId="0" fontId="36" fillId="0" borderId="1" xfId="2" applyFont="1" applyFill="1" applyBorder="1" applyAlignment="1">
      <alignment vertical="center"/>
    </xf>
    <xf numFmtId="168" fontId="36" fillId="0" borderId="1" xfId="2" applyNumberFormat="1" applyFont="1" applyFill="1" applyBorder="1" applyAlignment="1">
      <alignment vertical="center" wrapText="1"/>
    </xf>
    <xf numFmtId="0" fontId="36" fillId="0" borderId="1" xfId="2" applyFont="1" applyFill="1" applyBorder="1" applyAlignment="1" applyProtection="1">
      <alignment vertical="center"/>
    </xf>
    <xf numFmtId="168" fontId="36" fillId="0" borderId="1" xfId="2" applyNumberFormat="1" applyFont="1" applyFill="1" applyBorder="1" applyAlignment="1" applyProtection="1">
      <alignment vertical="center"/>
    </xf>
    <xf numFmtId="168" fontId="36" fillId="0" borderId="1" xfId="2" applyNumberFormat="1" applyFont="1" applyFill="1" applyBorder="1" applyAlignment="1" applyProtection="1">
      <alignment vertical="center" wrapText="1"/>
    </xf>
    <xf numFmtId="165" fontId="36" fillId="0" borderId="1" xfId="1" applyNumberFormat="1" applyFont="1" applyFill="1" applyBorder="1" applyAlignment="1">
      <alignment horizontal="left" vertical="center" wrapText="1"/>
    </xf>
    <xf numFmtId="165" fontId="36" fillId="0" borderId="1" xfId="1" applyNumberFormat="1" applyFont="1" applyFill="1" applyBorder="1" applyAlignment="1">
      <alignment horizontal="right"/>
    </xf>
    <xf numFmtId="169" fontId="36" fillId="0" borderId="1" xfId="6" applyNumberFormat="1" applyFont="1" applyFill="1" applyBorder="1" applyAlignment="1">
      <alignment horizontal="right" wrapText="1"/>
    </xf>
    <xf numFmtId="0" fontId="36" fillId="0" borderId="1" xfId="0" applyFont="1" applyFill="1" applyBorder="1" applyAlignment="1">
      <alignment horizontal="right"/>
    </xf>
    <xf numFmtId="169" fontId="36" fillId="0" borderId="1" xfId="6" applyNumberFormat="1" applyFont="1" applyFill="1" applyBorder="1" applyAlignment="1" applyProtection="1">
      <alignment horizontal="right" wrapText="1"/>
    </xf>
    <xf numFmtId="165" fontId="36" fillId="0" borderId="1" xfId="0" applyNumberFormat="1" applyFont="1" applyFill="1" applyBorder="1" applyAlignment="1">
      <alignment horizontal="left" vertical="center"/>
    </xf>
    <xf numFmtId="0" fontId="36" fillId="0" borderId="1" xfId="2" applyFont="1" applyFill="1" applyBorder="1" applyAlignment="1">
      <alignment horizontal="left" vertical="center"/>
    </xf>
    <xf numFmtId="0" fontId="36" fillId="0" borderId="1" xfId="2" applyFont="1" applyFill="1" applyBorder="1" applyAlignment="1" applyProtection="1">
      <alignment horizontal="left" vertical="center"/>
    </xf>
    <xf numFmtId="3" fontId="36" fillId="12" borderId="1" xfId="1" applyNumberFormat="1" applyFont="1" applyFill="1" applyBorder="1" applyAlignment="1" applyProtection="1">
      <alignment horizontal="right"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/>
    <xf numFmtId="165" fontId="36" fillId="0" borderId="1" xfId="1" applyNumberFormat="1" applyFont="1" applyFill="1" applyBorder="1" applyAlignment="1">
      <alignment horizontal="right" vertical="center"/>
    </xf>
    <xf numFmtId="165" fontId="36" fillId="0" borderId="1" xfId="0" applyNumberFormat="1" applyFont="1" applyFill="1" applyBorder="1" applyAlignment="1">
      <alignment horizontal="right" vertical="center"/>
    </xf>
    <xf numFmtId="0" fontId="36" fillId="0" borderId="1" xfId="0" applyFont="1" applyFill="1" applyBorder="1" applyAlignment="1">
      <alignment horizontal="right" vertical="center"/>
    </xf>
    <xf numFmtId="169" fontId="36" fillId="0" borderId="1" xfId="6" applyNumberFormat="1" applyFont="1" applyFill="1" applyBorder="1" applyAlignment="1">
      <alignment horizontal="right" vertical="center" wrapText="1"/>
    </xf>
    <xf numFmtId="169" fontId="36" fillId="0" borderId="1" xfId="6" applyNumberFormat="1" applyFont="1" applyFill="1" applyBorder="1" applyAlignment="1" applyProtection="1">
      <alignment horizontal="right" vertical="center" wrapText="1"/>
    </xf>
    <xf numFmtId="169" fontId="36" fillId="0" borderId="1" xfId="6" applyNumberFormat="1" applyFont="1" applyFill="1" applyBorder="1" applyAlignment="1">
      <alignment horizontal="right" vertical="center"/>
    </xf>
    <xf numFmtId="0" fontId="36" fillId="0" borderId="1" xfId="2" applyFont="1" applyFill="1" applyBorder="1" applyAlignment="1" applyProtection="1"/>
    <xf numFmtId="0" fontId="36" fillId="0" borderId="1" xfId="0" applyFont="1" applyFill="1" applyBorder="1" applyAlignment="1"/>
    <xf numFmtId="0" fontId="36" fillId="0" borderId="1" xfId="0" applyFont="1" applyBorder="1" applyAlignment="1">
      <alignment vertical="center"/>
    </xf>
    <xf numFmtId="0" fontId="36" fillId="0" borderId="1" xfId="0" applyFont="1" applyBorder="1"/>
    <xf numFmtId="165" fontId="36" fillId="0" borderId="1" xfId="1" applyNumberFormat="1" applyFont="1" applyBorder="1"/>
    <xf numFmtId="0" fontId="36" fillId="0" borderId="1" xfId="0" applyFont="1" applyBorder="1" applyAlignment="1"/>
    <xf numFmtId="168" fontId="36" fillId="0" borderId="1" xfId="2" applyNumberFormat="1" applyFont="1" applyFill="1" applyBorder="1" applyAlignment="1">
      <alignment vertical="top"/>
    </xf>
    <xf numFmtId="170" fontId="36" fillId="0" borderId="1" xfId="2" applyNumberFormat="1" applyFont="1" applyFill="1" applyBorder="1" applyAlignment="1">
      <alignment vertical="top"/>
    </xf>
    <xf numFmtId="169" fontId="36" fillId="0" borderId="1" xfId="6" applyNumberFormat="1" applyFont="1" applyFill="1" applyBorder="1" applyAlignment="1">
      <alignment vertical="top"/>
    </xf>
    <xf numFmtId="169" fontId="36" fillId="0" borderId="1" xfId="6" applyNumberFormat="1" applyFont="1" applyFill="1" applyBorder="1" applyAlignment="1">
      <alignment horizontal="right" vertical="top" wrapText="1"/>
    </xf>
    <xf numFmtId="170" fontId="36" fillId="0" borderId="1" xfId="2" applyNumberFormat="1" applyFont="1" applyFill="1" applyBorder="1" applyAlignment="1"/>
    <xf numFmtId="171" fontId="36" fillId="0" borderId="1" xfId="0" applyNumberFormat="1" applyFont="1" applyFill="1" applyBorder="1" applyAlignment="1">
      <alignment horizontal="center" vertical="center"/>
    </xf>
    <xf numFmtId="171" fontId="36" fillId="0" borderId="1" xfId="2" applyNumberFormat="1" applyFont="1" applyFill="1" applyBorder="1" applyAlignment="1">
      <alignment horizontal="center" vertical="center" wrapText="1"/>
    </xf>
    <xf numFmtId="171" fontId="36" fillId="0" borderId="1" xfId="0" applyNumberFormat="1" applyFont="1" applyFill="1" applyBorder="1" applyAlignment="1">
      <alignment horizontal="center"/>
    </xf>
    <xf numFmtId="171" fontId="36" fillId="0" borderId="1" xfId="2" applyNumberFormat="1" applyFont="1" applyFill="1" applyBorder="1" applyAlignment="1">
      <alignment horizontal="center" vertical="center"/>
    </xf>
    <xf numFmtId="171" fontId="36" fillId="0" borderId="1" xfId="0" applyNumberFormat="1" applyFont="1" applyBorder="1" applyAlignment="1">
      <alignment horizontal="center"/>
    </xf>
    <xf numFmtId="171" fontId="36" fillId="0" borderId="1" xfId="2" applyNumberFormat="1" applyFont="1" applyFill="1" applyBorder="1" applyAlignment="1" applyProtection="1">
      <alignment horizontal="center" vertical="center" wrapText="1"/>
    </xf>
    <xf numFmtId="171" fontId="36" fillId="0" borderId="1" xfId="2" applyNumberFormat="1" applyFont="1" applyFill="1" applyBorder="1" applyAlignment="1">
      <alignment horizontal="center"/>
    </xf>
    <xf numFmtId="3" fontId="36" fillId="0" borderId="1" xfId="1" applyNumberFormat="1" applyFont="1" applyFill="1" applyBorder="1" applyAlignment="1" applyProtection="1"/>
    <xf numFmtId="165" fontId="36" fillId="0" borderId="1" xfId="1" applyNumberFormat="1" applyFont="1" applyFill="1" applyBorder="1" applyAlignment="1"/>
    <xf numFmtId="165" fontId="36" fillId="0" borderId="1" xfId="0" applyNumberFormat="1" applyFont="1" applyFill="1" applyBorder="1" applyAlignment="1"/>
    <xf numFmtId="165" fontId="36" fillId="0" borderId="1" xfId="1" applyNumberFormat="1" applyFont="1" applyBorder="1" applyAlignment="1"/>
    <xf numFmtId="169" fontId="36" fillId="0" borderId="1" xfId="6" applyNumberFormat="1" applyFont="1" applyFill="1" applyBorder="1" applyAlignment="1" applyProtection="1">
      <alignment wrapText="1"/>
    </xf>
    <xf numFmtId="169" fontId="36" fillId="0" borderId="1" xfId="6" applyNumberFormat="1" applyFont="1" applyFill="1" applyBorder="1" applyAlignment="1">
      <alignment wrapText="1"/>
    </xf>
    <xf numFmtId="169" fontId="36" fillId="0" borderId="1" xfId="6" applyNumberFormat="1" applyFont="1" applyFill="1" applyBorder="1" applyAlignment="1"/>
    <xf numFmtId="168" fontId="36" fillId="0" borderId="1" xfId="2" applyNumberFormat="1" applyFont="1" applyFill="1" applyBorder="1" applyAlignment="1">
      <alignment wrapText="1"/>
    </xf>
    <xf numFmtId="0" fontId="36" fillId="0" borderId="1" xfId="0" applyFont="1" applyBorder="1" applyAlignment="1">
      <alignment horizontal="center" vertical="center"/>
    </xf>
    <xf numFmtId="0" fontId="36" fillId="12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171" fontId="36" fillId="12" borderId="1" xfId="0" applyNumberFormat="1" applyFont="1" applyFill="1" applyBorder="1" applyAlignment="1">
      <alignment horizontal="center" vertical="center"/>
    </xf>
    <xf numFmtId="3" fontId="34" fillId="0" borderId="0" xfId="0" applyNumberFormat="1" applyFont="1"/>
    <xf numFmtId="3" fontId="44" fillId="24" borderId="1" xfId="1" applyNumberFormat="1" applyFont="1" applyFill="1" applyBorder="1" applyAlignment="1" applyProtection="1">
      <alignment horizontal="right" vertical="center"/>
    </xf>
    <xf numFmtId="0" fontId="45" fillId="0" borderId="0" xfId="0" applyFont="1"/>
    <xf numFmtId="0" fontId="43" fillId="0" borderId="1" xfId="0" applyFont="1" applyFill="1" applyBorder="1" applyAlignment="1">
      <alignment vertical="center"/>
    </xf>
    <xf numFmtId="170" fontId="43" fillId="0" borderId="1" xfId="2" applyNumberFormat="1" applyFont="1" applyFill="1" applyBorder="1" applyAlignment="1"/>
    <xf numFmtId="0" fontId="43" fillId="0" borderId="1" xfId="0" applyFont="1" applyFill="1" applyBorder="1"/>
    <xf numFmtId="165" fontId="5" fillId="0" borderId="3" xfId="1" applyNumberFormat="1" applyFont="1" applyFill="1" applyBorder="1" applyAlignment="1" applyProtection="1">
      <alignment horizontal="center" vertical="center" wrapText="1"/>
    </xf>
    <xf numFmtId="171" fontId="43" fillId="0" borderId="1" xfId="2" applyNumberFormat="1" applyFont="1" applyFill="1" applyBorder="1" applyAlignment="1">
      <alignment horizontal="center" vertical="center" wrapText="1"/>
    </xf>
    <xf numFmtId="168" fontId="43" fillId="0" borderId="1" xfId="2" applyNumberFormat="1" applyFont="1" applyFill="1" applyBorder="1" applyAlignment="1">
      <alignment vertical="center"/>
    </xf>
    <xf numFmtId="169" fontId="43" fillId="0" borderId="1" xfId="6" applyNumberFormat="1" applyFont="1" applyFill="1" applyBorder="1" applyAlignment="1">
      <alignment horizontal="right" vertical="center" wrapText="1"/>
    </xf>
    <xf numFmtId="169" fontId="43" fillId="0" borderId="1" xfId="6" applyNumberFormat="1" applyFont="1" applyFill="1" applyBorder="1" applyAlignment="1">
      <alignment horizontal="right" wrapText="1"/>
    </xf>
    <xf numFmtId="165" fontId="43" fillId="0" borderId="1" xfId="1" applyNumberFormat="1" applyFont="1" applyFill="1" applyBorder="1" applyAlignment="1">
      <alignment vertical="center"/>
    </xf>
    <xf numFmtId="168" fontId="43" fillId="0" borderId="1" xfId="2" applyNumberFormat="1" applyFont="1" applyFill="1" applyBorder="1" applyAlignment="1">
      <alignment vertical="center" wrapText="1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3" fillId="0" borderId="1" xfId="2" applyFont="1" applyFill="1" applyBorder="1" applyAlignment="1">
      <alignment vertical="center"/>
    </xf>
    <xf numFmtId="171" fontId="43" fillId="0" borderId="1" xfId="0" applyNumberFormat="1" applyFont="1" applyFill="1" applyBorder="1" applyAlignment="1">
      <alignment horizontal="center" vertical="center"/>
    </xf>
    <xf numFmtId="165" fontId="43" fillId="0" borderId="1" xfId="1" applyNumberFormat="1" applyFont="1" applyFill="1" applyBorder="1" applyAlignment="1">
      <alignment horizontal="right" vertical="center"/>
    </xf>
    <xf numFmtId="0" fontId="43" fillId="0" borderId="1" xfId="0" applyFont="1" applyFill="1" applyBorder="1" applyAlignment="1">
      <alignment horizontal="right"/>
    </xf>
    <xf numFmtId="165" fontId="43" fillId="0" borderId="1" xfId="1" applyNumberFormat="1" applyFont="1" applyFill="1" applyBorder="1" applyAlignment="1">
      <alignment horizontal="left"/>
    </xf>
    <xf numFmtId="171" fontId="43" fillId="0" borderId="1" xfId="2" applyNumberFormat="1" applyFont="1" applyFill="1" applyBorder="1" applyAlignment="1">
      <alignment horizontal="center" vertical="center"/>
    </xf>
    <xf numFmtId="165" fontId="43" fillId="0" borderId="1" xfId="0" applyNumberFormat="1" applyFont="1" applyFill="1" applyBorder="1" applyAlignment="1">
      <alignment horizontal="right" vertical="center"/>
    </xf>
    <xf numFmtId="0" fontId="43" fillId="0" borderId="1" xfId="0" applyFont="1" applyBorder="1" applyAlignment="1">
      <alignment vertical="center"/>
    </xf>
    <xf numFmtId="0" fontId="43" fillId="0" borderId="1" xfId="0" applyFont="1" applyBorder="1"/>
    <xf numFmtId="0" fontId="43" fillId="0" borderId="1" xfId="2" applyFont="1" applyFill="1" applyBorder="1" applyAlignment="1" applyProtection="1"/>
    <xf numFmtId="0" fontId="43" fillId="0" borderId="1" xfId="2" applyFont="1" applyFill="1" applyBorder="1" applyAlignment="1" applyProtection="1">
      <alignment vertical="center"/>
    </xf>
    <xf numFmtId="0" fontId="43" fillId="0" borderId="1" xfId="0" applyFont="1" applyFill="1" applyBorder="1" applyAlignment="1">
      <alignment horizontal="right" vertical="center"/>
    </xf>
    <xf numFmtId="165" fontId="43" fillId="0" borderId="1" xfId="1" applyNumberFormat="1" applyFont="1" applyFill="1" applyBorder="1" applyAlignment="1">
      <alignment horizontal="right"/>
    </xf>
    <xf numFmtId="165" fontId="43" fillId="0" borderId="1" xfId="0" applyNumberFormat="1" applyFont="1" applyFill="1" applyBorder="1" applyAlignment="1">
      <alignment horizontal="right"/>
    </xf>
    <xf numFmtId="171" fontId="43" fillId="0" borderId="1" xfId="2" applyNumberFormat="1" applyFont="1" applyFill="1" applyBorder="1" applyAlignment="1" applyProtection="1">
      <alignment horizontal="center" vertical="center" wrapText="1"/>
    </xf>
    <xf numFmtId="168" fontId="43" fillId="0" borderId="1" xfId="0" applyNumberFormat="1" applyFont="1" applyFill="1" applyBorder="1" applyAlignment="1">
      <alignment vertical="center"/>
    </xf>
    <xf numFmtId="169" fontId="43" fillId="0" borderId="1" xfId="6" applyNumberFormat="1" applyFont="1" applyFill="1" applyBorder="1" applyAlignment="1" applyProtection="1">
      <alignment horizontal="right" vertical="center" wrapText="1"/>
    </xf>
    <xf numFmtId="169" fontId="43" fillId="0" borderId="1" xfId="6" applyNumberFormat="1" applyFont="1" applyFill="1" applyBorder="1" applyAlignment="1" applyProtection="1">
      <alignment horizontal="right" wrapText="1"/>
    </xf>
    <xf numFmtId="168" fontId="43" fillId="0" borderId="1" xfId="2" applyNumberFormat="1" applyFont="1" applyFill="1" applyBorder="1" applyAlignment="1" applyProtection="1">
      <alignment vertical="center" wrapText="1"/>
    </xf>
    <xf numFmtId="0" fontId="43" fillId="0" borderId="1" xfId="2" applyFont="1" applyFill="1" applyBorder="1" applyAlignment="1">
      <alignment horizontal="left" vertical="center"/>
    </xf>
    <xf numFmtId="168" fontId="43" fillId="0" borderId="1" xfId="2" applyNumberFormat="1" applyFont="1" applyFill="1" applyBorder="1" applyAlignment="1" applyProtection="1">
      <alignment vertical="center"/>
    </xf>
    <xf numFmtId="3" fontId="43" fillId="0" borderId="1" xfId="1" applyNumberFormat="1" applyFont="1" applyFill="1" applyBorder="1" applyAlignment="1" applyProtection="1">
      <alignment horizontal="right" vertical="center"/>
    </xf>
    <xf numFmtId="3" fontId="43" fillId="0" borderId="1" xfId="1" applyNumberFormat="1" applyFont="1" applyFill="1" applyBorder="1" applyAlignment="1" applyProtection="1">
      <alignment horizontal="right"/>
    </xf>
    <xf numFmtId="171" fontId="43" fillId="0" borderId="1" xfId="0" applyNumberFormat="1" applyFont="1" applyFill="1" applyBorder="1" applyAlignment="1">
      <alignment horizontal="center"/>
    </xf>
    <xf numFmtId="171" fontId="43" fillId="0" borderId="1" xfId="2" applyNumberFormat="1" applyFont="1" applyFill="1" applyBorder="1" applyAlignment="1">
      <alignment horizontal="center"/>
    </xf>
    <xf numFmtId="168" fontId="43" fillId="0" borderId="1" xfId="2" applyNumberFormat="1" applyFont="1" applyFill="1" applyBorder="1" applyAlignment="1">
      <alignment vertical="top"/>
    </xf>
    <xf numFmtId="170" fontId="43" fillId="0" borderId="1" xfId="2" applyNumberFormat="1" applyFont="1" applyFill="1" applyBorder="1" applyAlignment="1">
      <alignment vertical="top"/>
    </xf>
    <xf numFmtId="169" fontId="43" fillId="0" borderId="1" xfId="6" applyNumberFormat="1" applyFont="1" applyFill="1" applyBorder="1" applyAlignment="1">
      <alignment horizontal="right" vertical="top" wrapText="1"/>
    </xf>
    <xf numFmtId="169" fontId="43" fillId="0" borderId="1" xfId="6" applyNumberFormat="1" applyFont="1" applyFill="1" applyBorder="1" applyAlignment="1">
      <alignment vertical="top"/>
    </xf>
    <xf numFmtId="170" fontId="43" fillId="0" borderId="1" xfId="2" applyNumberFormat="1" applyFont="1" applyFill="1" applyBorder="1" applyAlignment="1">
      <alignment horizontal="center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Fill="1" applyBorder="1" applyAlignment="1"/>
    <xf numFmtId="3" fontId="43" fillId="0" borderId="1" xfId="1" applyNumberFormat="1" applyFont="1" applyFill="1" applyBorder="1" applyAlignment="1" applyProtection="1"/>
    <xf numFmtId="169" fontId="43" fillId="0" borderId="1" xfId="6" applyNumberFormat="1" applyFont="1" applyFill="1" applyBorder="1" applyAlignment="1">
      <alignment horizontal="right" vertical="center"/>
    </xf>
    <xf numFmtId="0" fontId="0" fillId="25" borderId="0" xfId="0" applyFill="1" applyAlignment="1">
      <alignment vertical="center"/>
    </xf>
    <xf numFmtId="165" fontId="2" fillId="25" borderId="0" xfId="0" applyNumberFormat="1" applyFont="1" applyFill="1" applyAlignment="1">
      <alignment vertical="center"/>
    </xf>
    <xf numFmtId="165" fontId="34" fillId="25" borderId="0" xfId="0" applyNumberFormat="1" applyFont="1" applyFill="1" applyAlignment="1">
      <alignment vertical="center"/>
    </xf>
    <xf numFmtId="165" fontId="32" fillId="25" borderId="0" xfId="0" applyNumberFormat="1" applyFont="1" applyFill="1" applyAlignment="1">
      <alignment vertical="center"/>
    </xf>
    <xf numFmtId="3" fontId="0" fillId="25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46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horizontal="left"/>
    </xf>
    <xf numFmtId="165" fontId="36" fillId="0" borderId="1" xfId="1" applyNumberFormat="1" applyFont="1" applyFill="1" applyBorder="1" applyAlignment="1" applyProtection="1"/>
    <xf numFmtId="170" fontId="36" fillId="0" borderId="1" xfId="2" applyNumberFormat="1" applyFont="1" applyFill="1" applyBorder="1" applyAlignment="1">
      <alignment horizontal="left"/>
    </xf>
    <xf numFmtId="171" fontId="36" fillId="0" borderId="1" xfId="0" applyNumberFormat="1" applyFont="1" applyFill="1" applyBorder="1" applyAlignment="1"/>
    <xf numFmtId="171" fontId="36" fillId="0" borderId="1" xfId="0" applyNumberFormat="1" applyFont="1" applyBorder="1" applyAlignment="1"/>
    <xf numFmtId="171" fontId="36" fillId="0" borderId="1" xfId="2" applyNumberFormat="1" applyFont="1" applyFill="1" applyBorder="1" applyAlignment="1"/>
    <xf numFmtId="171" fontId="36" fillId="0" borderId="1" xfId="2" applyNumberFormat="1" applyFont="1" applyFill="1" applyBorder="1" applyAlignment="1">
      <alignment wrapText="1"/>
    </xf>
    <xf numFmtId="168" fontId="36" fillId="0" borderId="1" xfId="2" applyNumberFormat="1" applyFont="1" applyFill="1" applyBorder="1" applyAlignment="1"/>
    <xf numFmtId="0" fontId="36" fillId="0" borderId="1" xfId="2" applyFont="1" applyFill="1" applyBorder="1" applyAlignment="1"/>
    <xf numFmtId="165" fontId="36" fillId="0" borderId="1" xfId="1" applyNumberFormat="1" applyFont="1" applyFill="1" applyBorder="1" applyAlignment="1">
      <alignment wrapText="1"/>
    </xf>
    <xf numFmtId="168" fontId="36" fillId="0" borderId="1" xfId="2" applyNumberFormat="1" applyFont="1" applyFill="1" applyBorder="1" applyAlignment="1">
      <alignment horizontal="left"/>
    </xf>
    <xf numFmtId="171" fontId="46" fillId="0" borderId="1" xfId="2" applyNumberFormat="1" applyFont="1" applyFill="1" applyBorder="1" applyAlignment="1">
      <alignment wrapText="1"/>
    </xf>
    <xf numFmtId="0" fontId="46" fillId="0" borderId="1" xfId="0" applyFont="1" applyFill="1" applyBorder="1" applyAlignment="1"/>
    <xf numFmtId="169" fontId="46" fillId="0" borderId="1" xfId="6" applyNumberFormat="1" applyFont="1" applyFill="1" applyBorder="1" applyAlignment="1">
      <alignment wrapText="1"/>
    </xf>
    <xf numFmtId="168" fontId="46" fillId="0" borderId="1" xfId="2" applyNumberFormat="1" applyFont="1" applyFill="1" applyBorder="1" applyAlignment="1"/>
    <xf numFmtId="171" fontId="36" fillId="0" borderId="1" xfId="2" applyNumberFormat="1" applyFont="1" applyFill="1" applyBorder="1" applyAlignment="1" applyProtection="1">
      <alignment wrapText="1"/>
    </xf>
    <xf numFmtId="168" fontId="36" fillId="0" borderId="1" xfId="2" applyNumberFormat="1" applyFont="1" applyFill="1" applyBorder="1" applyAlignment="1" applyProtection="1"/>
    <xf numFmtId="168" fontId="36" fillId="0" borderId="1" xfId="2" applyNumberFormat="1" applyFont="1" applyFill="1" applyBorder="1" applyAlignment="1" applyProtection="1">
      <alignment wrapText="1"/>
    </xf>
    <xf numFmtId="0" fontId="46" fillId="0" borderId="1" xfId="0" applyFont="1" applyFill="1" applyBorder="1" applyAlignment="1">
      <alignment horizontal="left"/>
    </xf>
    <xf numFmtId="170" fontId="46" fillId="0" borderId="1" xfId="2" applyNumberFormat="1" applyFont="1" applyFill="1" applyBorder="1" applyAlignment="1"/>
    <xf numFmtId="165" fontId="46" fillId="0" borderId="1" xfId="0" applyNumberFormat="1" applyFont="1" applyFill="1" applyBorder="1" applyAlignment="1">
      <alignment vertical="center"/>
    </xf>
    <xf numFmtId="171" fontId="36" fillId="5" borderId="1" xfId="2" applyNumberFormat="1" applyFont="1" applyFill="1" applyBorder="1" applyAlignment="1">
      <alignment wrapText="1"/>
    </xf>
    <xf numFmtId="168" fontId="36" fillId="5" borderId="1" xfId="2" applyNumberFormat="1" applyFont="1" applyFill="1" applyBorder="1" applyAlignment="1"/>
    <xf numFmtId="0" fontId="36" fillId="5" borderId="1" xfId="0" applyFont="1" applyFill="1" applyBorder="1" applyAlignment="1"/>
    <xf numFmtId="169" fontId="36" fillId="5" borderId="1" xfId="6" applyNumberFormat="1" applyFont="1" applyFill="1" applyBorder="1" applyAlignment="1">
      <alignment wrapText="1"/>
    </xf>
    <xf numFmtId="168" fontId="36" fillId="5" borderId="1" xfId="2" applyNumberFormat="1" applyFont="1" applyFill="1" applyBorder="1" applyAlignment="1">
      <alignment wrapText="1"/>
    </xf>
    <xf numFmtId="0" fontId="36" fillId="5" borderId="1" xfId="0" applyFont="1" applyFill="1" applyBorder="1" applyAlignment="1">
      <alignment horizontal="left"/>
    </xf>
    <xf numFmtId="165" fontId="36" fillId="5" borderId="1" xfId="0" applyNumberFormat="1" applyFont="1" applyFill="1" applyBorder="1" applyAlignment="1"/>
    <xf numFmtId="41" fontId="36" fillId="0" borderId="1" xfId="4" applyFont="1" applyFill="1" applyBorder="1" applyAlignment="1"/>
    <xf numFmtId="41" fontId="36" fillId="0" borderId="1" xfId="4" applyFont="1" applyFill="1" applyBorder="1" applyAlignment="1" applyProtection="1"/>
    <xf numFmtId="41" fontId="36" fillId="12" borderId="1" xfId="4" applyFont="1" applyFill="1" applyBorder="1" applyAlignment="1" applyProtection="1"/>
    <xf numFmtId="41" fontId="36" fillId="0" borderId="1" xfId="4" applyFont="1" applyFill="1" applyBorder="1" applyAlignment="1" applyProtection="1">
      <alignment horizontal="right" vertical="center"/>
    </xf>
    <xf numFmtId="41" fontId="36" fillId="0" borderId="1" xfId="4" applyFont="1" applyBorder="1" applyAlignment="1"/>
    <xf numFmtId="41" fontId="36" fillId="0" borderId="1" xfId="4" applyFont="1" applyFill="1" applyBorder="1" applyAlignment="1">
      <alignment wrapText="1"/>
    </xf>
    <xf numFmtId="41" fontId="46" fillId="0" borderId="1" xfId="4" applyFont="1" applyFill="1" applyBorder="1" applyAlignment="1"/>
    <xf numFmtId="41" fontId="36" fillId="5" borderId="1" xfId="4" applyFont="1" applyFill="1" applyBorder="1" applyAlignment="1"/>
    <xf numFmtId="41" fontId="36" fillId="5" borderId="1" xfId="4" applyFont="1" applyFill="1" applyBorder="1" applyAlignment="1">
      <alignment wrapText="1"/>
    </xf>
    <xf numFmtId="41" fontId="36" fillId="0" borderId="1" xfId="4" applyFont="1" applyFill="1" applyBorder="1" applyAlignment="1">
      <alignment vertical="center"/>
    </xf>
    <xf numFmtId="41" fontId="0" fillId="0" borderId="0" xfId="0" applyNumberFormat="1"/>
    <xf numFmtId="0" fontId="0" fillId="0" borderId="0" xfId="0" applyAlignment="1">
      <alignment horizontal="left" indent="1"/>
    </xf>
    <xf numFmtId="167" fontId="5" fillId="0" borderId="11" xfId="0" applyNumberFormat="1" applyFont="1" applyFill="1" applyBorder="1" applyAlignment="1">
      <alignment horizontal="center" vertical="center"/>
    </xf>
    <xf numFmtId="167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6" fillId="20" borderId="1" xfId="0" applyFont="1" applyFill="1" applyBorder="1" applyAlignment="1">
      <alignment horizontal="center" vertical="center"/>
    </xf>
    <xf numFmtId="41" fontId="36" fillId="20" borderId="1" xfId="4" applyFont="1" applyFill="1" applyBorder="1" applyAlignment="1">
      <alignment vertical="center"/>
    </xf>
    <xf numFmtId="0" fontId="36" fillId="20" borderId="1" xfId="0" applyFont="1" applyFill="1" applyBorder="1" applyAlignment="1">
      <alignment horizontal="left" vertical="center"/>
    </xf>
    <xf numFmtId="0" fontId="43" fillId="20" borderId="1" xfId="0" applyFont="1" applyFill="1" applyBorder="1" applyAlignment="1">
      <alignment horizontal="center" vertical="center"/>
    </xf>
  </cellXfs>
  <cellStyles count="7">
    <cellStyle name="Excel Built-in Comma" xfId="6"/>
    <cellStyle name="Excel Built-in Normal" xfId="2"/>
    <cellStyle name="Milliers" xfId="1" builtinId="3"/>
    <cellStyle name="Milliers [0]" xfId="4" builtinId="6"/>
    <cellStyle name="Milliers 3" xfId="5"/>
    <cellStyle name="Normal" xfId="0" builtinId="0"/>
    <cellStyle name="Normal_Total expenses by date" xfId="3"/>
  </cellStyles>
  <dxfs count="1">
    <dxf>
      <numFmt numFmtId="33" formatCode="_-* #,##0\ _F_C_F_A_-;\-* #,##0\ _F_C_F_A_-;_-* &quot;-&quot;\ _F_C_F_A_-;_-@_-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CREPIN%20du%2031-08-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ted%20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alff\AppData\Local\Microsoft\Windows\INetCache\Content.Outlook\BTO9MOI8\RAPPORT%20FINANCIER%20JUILLE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comptable_Dalia_au_21_Aout_2020%20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Evariste%20du%2021%20ao&#251;t%202020%20vf%20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21_08_20_%20Herick%20_Harmonis&#233;e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i23c%20au%2019%20Ao&#251;t%202020%20corrig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%20PALF%20JB%20actualis&#233;e%20ce%2021.08.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%20comptable_%20Jospin%20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P29-Comptabilit&#23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Shely%20A%20(1)%20(1)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TA_CREPIN"/>
      <sheetName val="Type de dépenses"/>
      <sheetName val="Liste1"/>
      <sheetName val="COMPTA_CREPIN (2)"/>
      <sheetName val="Feuil2"/>
    </sheetNames>
    <sheetDataSet>
      <sheetData sheetId="0" refreshError="1">
        <row r="3050">
          <cell r="F3050">
            <v>1500</v>
          </cell>
        </row>
        <row r="3051">
          <cell r="F3051">
            <v>1500</v>
          </cell>
        </row>
        <row r="3052">
          <cell r="F3052">
            <v>1000</v>
          </cell>
        </row>
        <row r="3053">
          <cell r="F3053">
            <v>1000</v>
          </cell>
        </row>
        <row r="3054">
          <cell r="F3054">
            <v>1000</v>
          </cell>
        </row>
        <row r="3055">
          <cell r="F3055">
            <v>1500</v>
          </cell>
        </row>
        <row r="3056">
          <cell r="F3056">
            <v>1500</v>
          </cell>
        </row>
        <row r="3057">
          <cell r="F3057">
            <v>1000</v>
          </cell>
        </row>
        <row r="3058">
          <cell r="F3058">
            <v>1000</v>
          </cell>
        </row>
        <row r="3059">
          <cell r="F3059">
            <v>2000</v>
          </cell>
        </row>
        <row r="3060">
          <cell r="F3060">
            <v>1000</v>
          </cell>
        </row>
        <row r="3061">
          <cell r="F3061">
            <v>1000</v>
          </cell>
        </row>
        <row r="3062">
          <cell r="F3062">
            <v>1500</v>
          </cell>
        </row>
        <row r="3063">
          <cell r="F3063">
            <v>1500</v>
          </cell>
        </row>
        <row r="3064">
          <cell r="F3064">
            <v>1000</v>
          </cell>
        </row>
        <row r="3065">
          <cell r="F3065">
            <v>1000</v>
          </cell>
        </row>
        <row r="3066">
          <cell r="F3066">
            <v>1500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ted"/>
    </sheetNames>
    <sheetDataSet>
      <sheetData sheetId="0" refreshError="1"/>
      <sheetData sheetId="1" refreshError="1">
        <row r="11">
          <cell r="E11">
            <v>10000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ONOR"/>
      <sheetName val="Feuil31"/>
      <sheetName val="DATAS"/>
      <sheetName val="COMPTE  PRINCIPAL"/>
      <sheetName val="RAPPROCHEMENT CP"/>
      <sheetName val="SOUS -COMPTE"/>
      <sheetName val="RAPPROCHEMENT SC"/>
      <sheetName val="CAISSE"/>
      <sheetName val="POURCENTAGE PROJECT"/>
      <sheetName val="TABLE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I3">
            <v>705838</v>
          </cell>
        </row>
        <row r="16">
          <cell r="I16">
            <v>17673343.99927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ta Dalia"/>
      <sheetName val="Type de dépenses"/>
      <sheetName val="Feuil3"/>
      <sheetName val="Compta Dali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1905">
          <cell r="F1905">
            <v>15000</v>
          </cell>
        </row>
        <row r="1908">
          <cell r="E1908">
            <v>15000</v>
          </cell>
        </row>
        <row r="1909">
          <cell r="E1909">
            <v>50000</v>
          </cell>
        </row>
        <row r="1911">
          <cell r="E1911">
            <v>44600</v>
          </cell>
        </row>
        <row r="1917">
          <cell r="E1917">
            <v>10000</v>
          </cell>
        </row>
        <row r="1919">
          <cell r="F1919">
            <v>1635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Type de dépenses"/>
      <sheetName val="compta (2)"/>
      <sheetName val="Feuil1"/>
      <sheetName val="compta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56">
          <cell r="E2556">
            <v>10000</v>
          </cell>
        </row>
        <row r="2557">
          <cell r="E2557">
            <v>10000</v>
          </cell>
        </row>
        <row r="2558">
          <cell r="E2558">
            <v>10000</v>
          </cell>
        </row>
        <row r="2559">
          <cell r="F2559">
            <v>21000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Feuil3"/>
      <sheetName val="compt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521">
          <cell r="E2521">
            <v>60000</v>
          </cell>
        </row>
        <row r="2522">
          <cell r="F2522">
            <v>180000</v>
          </cell>
        </row>
        <row r="2523">
          <cell r="F2523">
            <v>120000</v>
          </cell>
        </row>
        <row r="2524">
          <cell r="F2524">
            <v>2700</v>
          </cell>
        </row>
        <row r="2525">
          <cell r="E2525">
            <v>25000</v>
          </cell>
        </row>
        <row r="2526">
          <cell r="F2526">
            <v>15000</v>
          </cell>
        </row>
        <row r="2527">
          <cell r="E2527">
            <v>30000</v>
          </cell>
        </row>
        <row r="2528">
          <cell r="F2528">
            <v>15000</v>
          </cell>
        </row>
        <row r="2529">
          <cell r="E2529">
            <v>210000</v>
          </cell>
        </row>
        <row r="2530">
          <cell r="F2530">
            <v>10000</v>
          </cell>
        </row>
        <row r="2531">
          <cell r="F2531">
            <v>60000</v>
          </cell>
        </row>
        <row r="2532">
          <cell r="F2532">
            <v>4500</v>
          </cell>
        </row>
        <row r="2533">
          <cell r="F2533">
            <v>125000</v>
          </cell>
        </row>
        <row r="2534">
          <cell r="F2534">
            <v>49900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transport"/>
      <sheetName val="ACHAT BOISSON"/>
      <sheetName val="Cumul transport (2)"/>
      <sheetName val="Cumul transport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171">
          <cell r="E4171">
            <v>90000</v>
          </cell>
        </row>
        <row r="4172">
          <cell r="E4172">
            <v>100000</v>
          </cell>
        </row>
        <row r="4174">
          <cell r="E4174">
            <v>100000</v>
          </cell>
        </row>
        <row r="4178">
          <cell r="E4178">
            <v>20000</v>
          </cell>
        </row>
        <row r="4180">
          <cell r="E4180">
            <v>150000</v>
          </cell>
        </row>
        <row r="4181">
          <cell r="E4181">
            <v>235000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1 (2)"/>
      <sheetName val="cumul transport local"/>
      <sheetName val="Feuil2"/>
      <sheetName val="Feuil3"/>
    </sheetNames>
    <sheetDataSet>
      <sheetData sheetId="0" refreshError="1"/>
      <sheetData sheetId="1" refreshError="1">
        <row r="2684">
          <cell r="E2684">
            <v>110000</v>
          </cell>
        </row>
        <row r="2689">
          <cell r="E2689">
            <v>40000</v>
          </cell>
        </row>
        <row r="2691">
          <cell r="E2691">
            <v>125000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mpta Jospin"/>
      <sheetName val="Feuil1"/>
      <sheetName val="Compta Jospin (2)"/>
      <sheetName val="Feuil4"/>
    </sheetNames>
    <sheetDataSet>
      <sheetData sheetId="0" refreshError="1"/>
      <sheetData sheetId="1" refreshError="1"/>
      <sheetData sheetId="2" refreshError="1">
        <row r="1583">
          <cell r="E1583">
            <v>15000</v>
          </cell>
        </row>
        <row r="1584">
          <cell r="E1584">
            <v>40000</v>
          </cell>
        </row>
        <row r="1587">
          <cell r="E1587">
            <v>41400</v>
          </cell>
        </row>
        <row r="1592">
          <cell r="F1592">
            <v>950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(2)"/>
      <sheetName val="cumul transport local"/>
      <sheetName val="Cumul achat bois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0">
          <cell r="E190">
            <v>40000</v>
          </cell>
        </row>
        <row r="191">
          <cell r="E191">
            <v>110000</v>
          </cell>
        </row>
        <row r="196">
          <cell r="E196">
            <v>116600</v>
          </cell>
        </row>
        <row r="201">
          <cell r="E201">
            <v>25000</v>
          </cell>
        </row>
        <row r="202">
          <cell r="E202">
            <v>150000</v>
          </cell>
        </row>
        <row r="204">
          <cell r="E204">
            <v>214000</v>
          </cell>
        </row>
        <row r="207">
          <cell r="E207">
            <v>100000</v>
          </cell>
        </row>
        <row r="215">
          <cell r="E215">
            <v>100000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shely"/>
      <sheetName val="Feuil3"/>
    </sheetNames>
    <sheetDataSet>
      <sheetData sheetId="0" refreshError="1"/>
      <sheetData sheetId="1" refreshError="1">
        <row r="90">
          <cell r="E90">
            <v>10000</v>
          </cell>
        </row>
        <row r="97">
          <cell r="E97">
            <v>5000</v>
          </cell>
        </row>
        <row r="100">
          <cell r="E100">
            <v>10000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J2018-3" refreshedDate="44607.62363159722" createdVersion="3" refreshedVersion="3" minRefreshableVersion="3" recordCount="223">
  <cacheSource type="worksheet">
    <worksheetSource ref="A11:O234" sheet="DATA  Janvier 2022"/>
  </cacheSource>
  <cacheFields count="15">
    <cacheField name="Date" numFmtId="171">
      <sharedItems containsSemiMixedTypes="0" containsNonDate="0" containsDate="1" containsString="0" minDate="2022-01-01T00:00:00" maxDate="2022-02-01T00:00:00"/>
    </cacheField>
    <cacheField name="Details" numFmtId="0">
      <sharedItems/>
    </cacheField>
    <cacheField name="Type de dépenses" numFmtId="0">
      <sharedItems containsBlank="1" count="21">
        <m/>
        <s v="Versement"/>
        <s v="Telephone"/>
        <s v="Bank Fees"/>
        <s v="Transport"/>
        <s v="Travel Subsistence"/>
        <s v="Rent &amp; Utilities"/>
        <s v="Services"/>
        <s v="Lawyer Fees"/>
        <s v="Office Materials"/>
        <s v="Transfer Fees"/>
        <s v="Flight"/>
        <s v="Court Fees"/>
        <s v="Jail Visits"/>
        <s v="Personnel"/>
        <s v="Equipement"/>
        <s v="Grant"/>
        <s v="Travel Expenses "/>
        <s v="Internet"/>
        <s v="Versement "/>
        <s v="Trust building"/>
      </sharedItems>
    </cacheField>
    <cacheField name="Departement" numFmtId="0">
      <sharedItems containsBlank="1"/>
    </cacheField>
    <cacheField name="Received" numFmtId="0">
      <sharedItems containsString="0" containsBlank="1" containsNumber="1" containsInteger="1" minValue="7000" maxValue="17525203"/>
    </cacheField>
    <cacheField name="Spent" numFmtId="0">
      <sharedItems containsString="0" containsBlank="1" containsNumber="1" containsInteger="1" minValue="1500" maxValue="1311914" count="81">
        <m/>
        <n v="156000"/>
        <n v="143000"/>
        <n v="136000"/>
        <n v="21000"/>
        <n v="37000"/>
        <n v="20000"/>
        <n v="10000"/>
        <n v="32000"/>
        <n v="5000"/>
        <n v="16000"/>
        <n v="16252"/>
        <n v="23345"/>
        <n v="15000"/>
        <n v="80000"/>
        <n v="500000"/>
        <n v="260000"/>
        <n v="91000"/>
        <n v="76000"/>
        <n v="74000"/>
        <n v="1000000"/>
        <n v="150000"/>
        <n v="13500"/>
        <n v="74175"/>
        <n v="18000"/>
        <n v="50000"/>
        <n v="1500"/>
        <n v="9000"/>
        <n v="45000"/>
        <n v="8000"/>
        <n v="30000"/>
        <n v="75000"/>
        <n v="35000"/>
        <n v="215485"/>
        <n v="221126"/>
        <n v="161862"/>
        <n v="124348"/>
        <n v="51747"/>
        <n v="4000"/>
        <n v="12000"/>
        <n v="6500"/>
        <n v="31000"/>
        <n v="42637"/>
        <n v="382633"/>
        <n v="21863"/>
        <n v="108777"/>
        <n v="26900"/>
        <n v="40000"/>
        <n v="25000"/>
        <n v="69000"/>
        <n v="7000"/>
        <n v="60000"/>
        <n v="66000"/>
        <n v="110000"/>
        <n v="300000"/>
        <n v="89175"/>
        <n v="120000"/>
        <n v="166000"/>
        <n v="1311914"/>
        <n v="317494"/>
        <n v="350000"/>
        <n v="193600"/>
        <n v="357982"/>
        <n v="12500"/>
        <n v="75625"/>
        <n v="103000"/>
        <n v="3090"/>
        <n v="34500"/>
        <n v="51000"/>
        <n v="29000"/>
        <n v="86500"/>
        <n v="36000"/>
        <n v="49500"/>
        <n v="38170"/>
        <n v="415000"/>
        <n v="325000"/>
        <n v="200000"/>
        <n v="9400"/>
        <n v="20900"/>
        <n v="46000"/>
        <n v="72500"/>
      </sharedItems>
    </cacheField>
    <cacheField name="Balance" numFmtId="165">
      <sharedItems containsMixedTypes="1" containsNumber="1" containsInteger="1" minValue="8247222" maxValue="10964897"/>
    </cacheField>
    <cacheField name="Name" numFmtId="0">
      <sharedItems containsBlank="1" count="12">
        <m/>
        <s v="Caisse"/>
        <s v="BCI-Sous Compte"/>
        <s v="BCI"/>
        <s v="B52"/>
        <s v="i23c"/>
        <s v="P29"/>
        <s v="Crépin"/>
        <s v="Godfré"/>
        <s v="Merveille"/>
        <s v="Tiffany"/>
        <s v="Grace"/>
      </sharedItems>
    </cacheField>
    <cacheField name="Receipt" numFmtId="0">
      <sharedItems containsBlank="1" containsMixedTypes="1" containsNumber="1" containsInteger="1" minValue="3643592" maxValue="36435605"/>
    </cacheField>
    <cacheField name="Donor" numFmtId="0">
      <sharedItems containsBlank="1" count="3">
        <m/>
        <s v="UE"/>
        <s v="Wildcat"/>
      </sharedItems>
    </cacheField>
    <cacheField name="Project" numFmtId="0">
      <sharedItems containsBlank="1"/>
    </cacheField>
    <cacheField name="Country" numFmtId="0">
      <sharedItems/>
    </cacheField>
    <cacheField name="N°Pièce" numFmtId="0">
      <sharedItems containsNonDate="0" containsString="0" containsBlank="1"/>
    </cacheField>
    <cacheField name="Code budgetaire" numFmtId="0">
      <sharedItems containsBlank="1" containsMixedTypes="1" containsNumber="1" containsInteger="1" minValue="7" maxValue="7" count="19">
        <m/>
        <s v="4.6"/>
        <s v="5.6"/>
        <s v="2.2"/>
        <s v="1.3.2"/>
        <s v="4.2"/>
        <s v="5.2.2"/>
        <s v="4.3"/>
        <s v="4.4"/>
        <n v="7"/>
        <s v="1.1.2.1"/>
        <s v="1.1.1.7"/>
        <s v="1.1.1.4"/>
        <s v="2.1"/>
        <s v="3.2"/>
        <s v="4.5"/>
        <s v="1.1.1.1"/>
        <s v="5.2.1"/>
        <s v="1.1.1.9"/>
      </sharedItems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J2018-3" refreshedDate="44607.623633564814" createdVersion="3" refreshedVersion="3" minRefreshableVersion="3" recordCount="430">
  <cacheSource type="worksheet">
    <worksheetSource ref="A11:O441" sheet="DATA  Janvier 2022"/>
  </cacheSource>
  <cacheFields count="15">
    <cacheField name="Date" numFmtId="171">
      <sharedItems containsNonDate="0" containsDate="1" containsString="0" containsBlank="1" minDate="2022-01-01T00:00:00" maxDate="2022-02-01T00:00:00"/>
    </cacheField>
    <cacheField name="Details" numFmtId="0">
      <sharedItems containsBlank="1"/>
    </cacheField>
    <cacheField name="Type de dépenses" numFmtId="0">
      <sharedItems containsBlank="1"/>
    </cacheField>
    <cacheField name="Departement" numFmtId="0">
      <sharedItems containsBlank="1"/>
    </cacheField>
    <cacheField name="Received" numFmtId="0">
      <sharedItems containsString="0" containsBlank="1" containsNumber="1" containsInteger="1" minValue="7000" maxValue="17525203"/>
    </cacheField>
    <cacheField name="Spent" numFmtId="0">
      <sharedItems containsString="0" containsBlank="1" containsNumber="1" containsInteger="1" minValue="1500" maxValue="1311914"/>
    </cacheField>
    <cacheField name="Balance" numFmtId="165">
      <sharedItems containsBlank="1" containsMixedTypes="1" containsNumber="1" containsInteger="1" minValue="8247222" maxValue="10964897"/>
    </cacheField>
    <cacheField name="Name" numFmtId="0">
      <sharedItems containsBlank="1"/>
    </cacheField>
    <cacheField name="Receipt" numFmtId="0">
      <sharedItems containsBlank="1" containsMixedTypes="1" containsNumber="1" containsInteger="1" minValue="3643592" maxValue="36435605"/>
    </cacheField>
    <cacheField name="Donor" numFmtId="0">
      <sharedItems containsBlank="1" count="3">
        <m/>
        <s v="UE"/>
        <s v="Wildcat"/>
      </sharedItems>
    </cacheField>
    <cacheField name="Project" numFmtId="0">
      <sharedItems containsBlank="1"/>
    </cacheField>
    <cacheField name="Country" numFmtId="0">
      <sharedItems containsBlank="1"/>
    </cacheField>
    <cacheField name="N°Pièce" numFmtId="0">
      <sharedItems containsNonDate="0" containsString="0" containsBlank="1"/>
    </cacheField>
    <cacheField name="Code budgetaire" numFmtId="0">
      <sharedItems containsBlank="1" containsMixedTypes="1" containsNumber="1" containsInteger="1" minValue="7" maxValue="7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3">
  <r>
    <d v="2022-01-01T00:00:00"/>
    <s v="Solde au 01/12/2021"/>
    <x v="0"/>
    <m/>
    <m/>
    <x v="0"/>
    <n v="10222494"/>
    <x v="0"/>
    <m/>
    <x v="0"/>
    <m/>
    <s v="CONGO"/>
    <m/>
    <x v="0"/>
    <m/>
  </r>
  <r>
    <d v="2022-01-03T00:00:00"/>
    <s v="B52"/>
    <x v="1"/>
    <m/>
    <m/>
    <x v="1"/>
    <n v="10066494"/>
    <x v="1"/>
    <s v="Décharge"/>
    <x v="0"/>
    <m/>
    <s v="CONGO"/>
    <m/>
    <x v="0"/>
    <m/>
  </r>
  <r>
    <d v="2022-01-03T00:00:00"/>
    <s v="I23"/>
    <x v="1"/>
    <m/>
    <m/>
    <x v="2"/>
    <n v="9923494"/>
    <x v="1"/>
    <s v="Décharge"/>
    <x v="0"/>
    <m/>
    <s v="CONGO"/>
    <m/>
    <x v="0"/>
    <m/>
  </r>
  <r>
    <d v="2022-01-03T00:00:00"/>
    <s v="P29"/>
    <x v="1"/>
    <m/>
    <m/>
    <x v="3"/>
    <n v="9787494"/>
    <x v="1"/>
    <s v="Décharge"/>
    <x v="0"/>
    <m/>
    <s v="CONGO"/>
    <m/>
    <x v="0"/>
    <m/>
  </r>
  <r>
    <d v="2022-01-03T00:00:00"/>
    <s v="Achat credit  teléphonique MTN/PALF/Prémière partie Janvier 2022/Management"/>
    <x v="2"/>
    <s v="Management "/>
    <m/>
    <x v="4"/>
    <n v="9766494"/>
    <x v="1"/>
    <s v="Oui"/>
    <x v="1"/>
    <s v="RALFF"/>
    <s v="CONGO"/>
    <m/>
    <x v="1"/>
    <m/>
  </r>
  <r>
    <d v="2022-01-03T00:00:00"/>
    <s v="Achat credit  teléphonique MTN/PALF/Prémière partie Janvier 2022/Légal"/>
    <x v="2"/>
    <s v="Legal"/>
    <m/>
    <x v="5"/>
    <n v="9729494"/>
    <x v="1"/>
    <s v="Oui"/>
    <x v="1"/>
    <s v="RALFF"/>
    <s v="CONGO"/>
    <m/>
    <x v="1"/>
    <m/>
  </r>
  <r>
    <d v="2022-01-03T00:00:00"/>
    <s v="Achat credit  teléphonique MTN/PALF/Prémière partie Janvier 2022/Investigation"/>
    <x v="2"/>
    <s v="Investigation"/>
    <m/>
    <x v="6"/>
    <n v="9709494"/>
    <x v="1"/>
    <s v="Oui"/>
    <x v="1"/>
    <s v="RALFF"/>
    <s v="CONGO"/>
    <m/>
    <x v="1"/>
    <m/>
  </r>
  <r>
    <d v="2022-01-03T00:00:00"/>
    <s v="Achat credit  teléphonique MTN/PALF/Prémière partie Janvier 2022/iInvestigation Volontaire"/>
    <x v="2"/>
    <s v="Investigation"/>
    <m/>
    <x v="7"/>
    <n v="9699494"/>
    <x v="1"/>
    <s v="Oui"/>
    <x v="2"/>
    <s v="PALF"/>
    <s v="CONGO"/>
    <m/>
    <x v="0"/>
    <m/>
  </r>
  <r>
    <d v="2022-01-03T00:00:00"/>
    <s v="Achat credit  teléphonique Airtel/PALF/Prémière partie Janvier 2022/Management"/>
    <x v="2"/>
    <s v="Management "/>
    <m/>
    <x v="8"/>
    <n v="9667494"/>
    <x v="1"/>
    <s v="Oui"/>
    <x v="1"/>
    <s v="RALFF"/>
    <s v="CONGO"/>
    <m/>
    <x v="1"/>
    <m/>
  </r>
  <r>
    <d v="2022-01-03T00:00:00"/>
    <s v="Achat credit  teléphonique Airtel/PALF/Prémière partie Janvier 2022/Légal"/>
    <x v="2"/>
    <s v="Legal"/>
    <m/>
    <x v="9"/>
    <n v="9662494"/>
    <x v="1"/>
    <s v="Oui"/>
    <x v="1"/>
    <s v="RALFF"/>
    <s v="CONGO"/>
    <m/>
    <x v="1"/>
    <m/>
  </r>
  <r>
    <d v="2022-01-03T00:00:00"/>
    <s v="Achat credit  teléphonique Airtel/PALF/Prémière partie Janvier 2022/Investigation"/>
    <x v="2"/>
    <s v="Investigation"/>
    <m/>
    <x v="8"/>
    <n v="9630494"/>
    <x v="1"/>
    <s v="Oui"/>
    <x v="1"/>
    <s v="RALFF"/>
    <s v="CONGO"/>
    <m/>
    <x v="1"/>
    <m/>
  </r>
  <r>
    <d v="2022-01-03T00:00:00"/>
    <s v="Achat credit  teléphonique Airtel/PALF/Prémière partie Janvier 2022/Investigation Vonlontaire"/>
    <x v="2"/>
    <s v="Investigation"/>
    <m/>
    <x v="10"/>
    <n v="9614494"/>
    <x v="1"/>
    <s v="Oui"/>
    <x v="2"/>
    <s v="PALF"/>
    <s v="CONGO"/>
    <m/>
    <x v="0"/>
    <m/>
  </r>
  <r>
    <d v="2022-01-03T00:00:00"/>
    <s v="Frais bancaire Compte 56"/>
    <x v="3"/>
    <s v="Office"/>
    <m/>
    <x v="11"/>
    <n v="9598242"/>
    <x v="2"/>
    <s v="Relevé"/>
    <x v="1"/>
    <s v="RALFF"/>
    <s v="CONGO"/>
    <m/>
    <x v="2"/>
    <m/>
  </r>
  <r>
    <d v="2022-01-03T00:00:00"/>
    <s v="Cumul frais bancaire Janvier 2022/Compte 34"/>
    <x v="3"/>
    <s v="Office"/>
    <m/>
    <x v="12"/>
    <n v="9574897"/>
    <x v="3"/>
    <s v="Relevé"/>
    <x v="2"/>
    <s v="PALF"/>
    <s v="CONGO"/>
    <m/>
    <x v="0"/>
    <m/>
  </r>
  <r>
    <d v="2022-01-03T00:00:00"/>
    <s v="reçu de caisse"/>
    <x v="1"/>
    <m/>
    <n v="156000"/>
    <x v="0"/>
    <n v="9730897"/>
    <x v="4"/>
    <s v="Décharge"/>
    <x v="0"/>
    <m/>
    <s v="CONGO"/>
    <m/>
    <x v="0"/>
    <m/>
  </r>
  <r>
    <d v="2022-01-03T00:00:00"/>
    <s v="Réçu de caisse"/>
    <x v="1"/>
    <m/>
    <n v="143000"/>
    <x v="0"/>
    <n v="9873897"/>
    <x v="5"/>
    <s v="Décharge"/>
    <x v="0"/>
    <m/>
    <s v="CONGO"/>
    <m/>
    <x v="0"/>
    <m/>
  </r>
  <r>
    <d v="2022-01-03T00:00:00"/>
    <s v="Achat billet Brazzaville-Pointe Noire (cfr mission PN)/I23C"/>
    <x v="4"/>
    <s v="Investigation"/>
    <m/>
    <x v="13"/>
    <n v="9858897"/>
    <x v="5"/>
    <s v="Oui"/>
    <x v="1"/>
    <s v="RALFF"/>
    <s v="CONGO"/>
    <m/>
    <x v="3"/>
    <m/>
  </r>
  <r>
    <d v="2022-01-03T00:00:00"/>
    <s v="Recu de caisse"/>
    <x v="1"/>
    <m/>
    <n v="136000"/>
    <x v="0"/>
    <n v="9994897"/>
    <x v="6"/>
    <s v="Décharge"/>
    <x v="0"/>
    <m/>
    <s v="CONGO"/>
    <m/>
    <x v="0"/>
    <m/>
  </r>
  <r>
    <d v="2022-01-04T00:00:00"/>
    <s v="P29 - CONGO Food allowance mission du 04 au 12/01/2022 Cuvette-Cuvette Ouest"/>
    <x v="5"/>
    <s v="Investigation"/>
    <m/>
    <x v="14"/>
    <n v="9914897"/>
    <x v="6"/>
    <s v="Décharge"/>
    <x v="1"/>
    <s v="RALFF"/>
    <s v="CONGO"/>
    <m/>
    <x v="4"/>
    <m/>
  </r>
  <r>
    <d v="2022-01-04T00:00:00"/>
    <s v="Achat billet brazzaville-makoua/P29"/>
    <x v="4"/>
    <s v="Investigation"/>
    <m/>
    <x v="13"/>
    <n v="9899897"/>
    <x v="6"/>
    <s v="Oui"/>
    <x v="1"/>
    <s v="RALFF"/>
    <s v="CONGO"/>
    <m/>
    <x v="3"/>
    <m/>
  </r>
  <r>
    <d v="2022-01-04T00:00:00"/>
    <s v="Reglement loyer mois de Décembre 2021/Bureau PALF"/>
    <x v="6"/>
    <s v="Office"/>
    <m/>
    <x v="15"/>
    <n v="9399897"/>
    <x v="2"/>
    <n v="3643592"/>
    <x v="1"/>
    <s v="RALFF"/>
    <s v="CONGO"/>
    <m/>
    <x v="5"/>
    <m/>
  </r>
  <r>
    <d v="2022-01-04T00:00:00"/>
    <s v="Reglement Facture Gardiennage Mois de Décembre 2021"/>
    <x v="7"/>
    <s v="Office"/>
    <m/>
    <x v="16"/>
    <n v="9139897"/>
    <x v="3"/>
    <n v="3654466"/>
    <x v="2"/>
    <s v="PALF"/>
    <s v="CONGO"/>
    <m/>
    <x v="0"/>
    <m/>
  </r>
  <r>
    <d v="2022-01-04T00:00:00"/>
    <s v="achat billet Brazzaville-pointe noire/B52"/>
    <x v="4"/>
    <s v="Investigation"/>
    <m/>
    <x v="13"/>
    <n v="9124897"/>
    <x v="4"/>
    <s v="Oui"/>
    <x v="2"/>
    <s v="PALF"/>
    <s v="CONGO"/>
    <m/>
    <x v="0"/>
    <m/>
  </r>
  <r>
    <d v="2022-01-04T00:00:00"/>
    <s v="B52- CONGO food allowance du 04 au 12 /01/2022 Pointe Noire-Sibiti-Lekana"/>
    <x v="5"/>
    <s v="Investigation"/>
    <m/>
    <x v="14"/>
    <n v="9044897"/>
    <x v="4"/>
    <s v="Décharge"/>
    <x v="2"/>
    <s v="PALF"/>
    <s v="CONGO"/>
    <m/>
    <x v="0"/>
    <m/>
  </r>
  <r>
    <d v="2022-01-04T00:00:00"/>
    <s v="I23C - CONGO Food allowance mission du 4 au 12/1/2022-PNR-Nzassi-les Saras-Dolisie"/>
    <x v="5"/>
    <s v="Investigation"/>
    <m/>
    <x v="14"/>
    <n v="8964897"/>
    <x v="5"/>
    <s v="Décharge"/>
    <x v="1"/>
    <s v="RALFF"/>
    <s v="CONGO"/>
    <m/>
    <x v="4"/>
    <m/>
  </r>
  <r>
    <d v="2022-01-05T00:00:00"/>
    <s v="BCI-3643595/56"/>
    <x v="1"/>
    <m/>
    <n v="1000000"/>
    <x v="0"/>
    <n v="9964897"/>
    <x v="1"/>
    <s v="Décharge"/>
    <x v="0"/>
    <m/>
    <s v="CONGO"/>
    <m/>
    <x v="0"/>
    <m/>
  </r>
  <r>
    <d v="2022-01-05T00:00:00"/>
    <s v="BCI-3654467/34"/>
    <x v="1"/>
    <m/>
    <n v="1000000"/>
    <x v="0"/>
    <n v="10964897"/>
    <x v="1"/>
    <s v="Décharge"/>
    <x v="0"/>
    <m/>
    <s v="CONGO"/>
    <m/>
    <x v="0"/>
    <m/>
  </r>
  <r>
    <d v="2022-01-05T00:00:00"/>
    <s v="Crépin"/>
    <x v="1"/>
    <m/>
    <m/>
    <x v="17"/>
    <n v="10873897"/>
    <x v="1"/>
    <s v="Décharge"/>
    <x v="0"/>
    <m/>
    <s v="CONGO"/>
    <m/>
    <x v="0"/>
    <m/>
  </r>
  <r>
    <d v="2022-01-05T00:00:00"/>
    <s v="Frais de mission à dolisie du 06 au 08 Janvier 2022 maitre SCRUTIN MOUYETI/cas NZIHOU Arly"/>
    <x v="8"/>
    <s v="Legal"/>
    <m/>
    <x v="18"/>
    <n v="10797897"/>
    <x v="1"/>
    <s v="Oui"/>
    <x v="1"/>
    <s v="RALFF"/>
    <s v="CONGO"/>
    <m/>
    <x v="6"/>
    <m/>
  </r>
  <r>
    <d v="2022-01-05T00:00:00"/>
    <s v="Achat cartons Rame papier,encreur,desagrafeur et enveloppe DL"/>
    <x v="9"/>
    <s v="Office"/>
    <m/>
    <x v="19"/>
    <n v="10723897"/>
    <x v="1"/>
    <s v="Oui"/>
    <x v="1"/>
    <s v="RALFF"/>
    <s v="CONGO"/>
    <m/>
    <x v="7"/>
    <m/>
  </r>
  <r>
    <d v="2022-01-05T00:00:00"/>
    <s v="Retrait especes/appro caisse/bord n°3643595"/>
    <x v="1"/>
    <m/>
    <m/>
    <x v="20"/>
    <n v="9723897"/>
    <x v="2"/>
    <n v="3643595"/>
    <x v="0"/>
    <m/>
    <s v="CONGO"/>
    <m/>
    <x v="0"/>
    <m/>
  </r>
  <r>
    <d v="2022-01-05T00:00:00"/>
    <s v="Retrait especes/appro caisse/bord n°3654467"/>
    <x v="1"/>
    <m/>
    <m/>
    <x v="20"/>
    <n v="8723897"/>
    <x v="3"/>
    <n v="3654467"/>
    <x v="0"/>
    <m/>
    <s v="CONGO"/>
    <m/>
    <x v="0"/>
    <m/>
  </r>
  <r>
    <d v="2022-01-05T00:00:00"/>
    <s v="Reçu de caisse"/>
    <x v="1"/>
    <m/>
    <n v="91000"/>
    <x v="0"/>
    <n v="8814897"/>
    <x v="7"/>
    <s v="Décharge"/>
    <x v="0"/>
    <m/>
    <s v="CONGO"/>
    <m/>
    <x v="0"/>
    <m/>
  </r>
  <r>
    <d v="2022-01-06T00:00:00"/>
    <s v="Billet: Brazzaville-Dolissie/Crépin"/>
    <x v="4"/>
    <s v="Management"/>
    <m/>
    <x v="7"/>
    <n v="8804897"/>
    <x v="7"/>
    <s v="Oui"/>
    <x v="1"/>
    <s v="RALFF"/>
    <s v="CONGO"/>
    <m/>
    <x v="3"/>
    <m/>
  </r>
  <r>
    <d v="2022-01-06T00:00:00"/>
    <s v="B52"/>
    <x v="1"/>
    <m/>
    <m/>
    <x v="21"/>
    <n v="8654897"/>
    <x v="1"/>
    <s v="Décharge"/>
    <x v="0"/>
    <m/>
    <s v="CONGO"/>
    <m/>
    <x v="0"/>
    <m/>
  </r>
  <r>
    <d v="2022-01-06T00:00:00"/>
    <s v="I23C"/>
    <x v="1"/>
    <m/>
    <m/>
    <x v="21"/>
    <n v="8504897"/>
    <x v="1"/>
    <s v="Décharge"/>
    <x v="0"/>
    <m/>
    <s v="CONGO"/>
    <m/>
    <x v="0"/>
    <m/>
  </r>
  <r>
    <d v="2022-01-06T00:00:00"/>
    <s v="P29"/>
    <x v="1"/>
    <m/>
    <m/>
    <x v="21"/>
    <n v="8354897"/>
    <x v="1"/>
    <s v="Décharge"/>
    <x v="0"/>
    <m/>
    <s v="CONGO"/>
    <m/>
    <x v="0"/>
    <m/>
  </r>
  <r>
    <d v="2022-01-06T00:00:00"/>
    <s v="Frais de Transfert Charden Farell/I23,P29 et B52"/>
    <x v="10"/>
    <s v="Office"/>
    <m/>
    <x v="22"/>
    <n v="8341397"/>
    <x v="1"/>
    <s v="Oui"/>
    <x v="1"/>
    <s v="RALFF"/>
    <s v="CONGO"/>
    <m/>
    <x v="2"/>
    <m/>
  </r>
  <r>
    <d v="2022-01-06T00:00:00"/>
    <s v="Reglement facture E²C/ période Novembre-Décembre 2021/bureau PALF"/>
    <x v="6"/>
    <s v="Office"/>
    <m/>
    <x v="23"/>
    <n v="8267222"/>
    <x v="1"/>
    <s v="Oui"/>
    <x v="1"/>
    <s v="RALFF"/>
    <s v="CONGO"/>
    <m/>
    <x v="8"/>
    <m/>
  </r>
  <r>
    <d v="2022-01-06T00:00:00"/>
    <s v="CREPIN-CONGO Food-Allowance du 06 au 08/01/2022 à Dolisie"/>
    <x v="5"/>
    <s v="Management"/>
    <m/>
    <x v="6"/>
    <n v="8247222"/>
    <x v="7"/>
    <s v="Décharge"/>
    <x v="1"/>
    <s v="RALFF"/>
    <s v="CONGO"/>
    <m/>
    <x v="4"/>
    <m/>
  </r>
  <r>
    <d v="2022-01-06T00:00:00"/>
    <s v="Recu de caisse"/>
    <x v="1"/>
    <m/>
    <n v="150000"/>
    <x v="0"/>
    <n v="8397222"/>
    <x v="6"/>
    <s v="Décharge"/>
    <x v="0"/>
    <m/>
    <s v="CONGO"/>
    <m/>
    <x v="0"/>
    <m/>
  </r>
  <r>
    <d v="2022-01-06T00:00:00"/>
    <s v="reçu de caisse"/>
    <x v="1"/>
    <m/>
    <n v="150000"/>
    <x v="0"/>
    <n v="8547222"/>
    <x v="4"/>
    <s v="Décharge"/>
    <x v="0"/>
    <m/>
    <s v="CONGO"/>
    <m/>
    <x v="0"/>
    <m/>
  </r>
  <r>
    <d v="2022-01-07T00:00:00"/>
    <s v="Frais expedition courrier au Gabon (pièces comptables RALFF Mois de novembre 2021)"/>
    <x v="11"/>
    <s v="Office"/>
    <m/>
    <x v="24"/>
    <n v="8529222"/>
    <x v="1"/>
    <s v="Oui"/>
    <x v="1"/>
    <s v="RALFF"/>
    <s v="CONGO"/>
    <m/>
    <x v="9"/>
    <m/>
  </r>
  <r>
    <d v="2022-01-07T00:00:00"/>
    <s v="Crépin"/>
    <x v="1"/>
    <m/>
    <m/>
    <x v="25"/>
    <n v="8479222"/>
    <x v="1"/>
    <s v="Décharge"/>
    <x v="0"/>
    <m/>
    <s v="CONGO"/>
    <m/>
    <x v="0"/>
    <m/>
  </r>
  <r>
    <d v="2022-01-07T00:00:00"/>
    <s v="Frais de Transfert Charden Farell/Crépin"/>
    <x v="10"/>
    <s v="Office"/>
    <m/>
    <x v="26"/>
    <n v="8477722"/>
    <x v="1"/>
    <s v="Oui"/>
    <x v="1"/>
    <s v="RALFF"/>
    <s v="CONGO"/>
    <m/>
    <x v="2"/>
    <m/>
  </r>
  <r>
    <d v="2022-01-07T00:00:00"/>
    <s v="Frais de retrait de l'ordonnace d'instruction"/>
    <x v="12"/>
    <s v="Legal"/>
    <m/>
    <x v="25"/>
    <n v="8427722"/>
    <x v="7"/>
    <s v="Oui"/>
    <x v="2"/>
    <s v="PALF"/>
    <s v="CONGO"/>
    <m/>
    <x v="0"/>
    <m/>
  </r>
  <r>
    <d v="2022-01-07T00:00:00"/>
    <s v="Reçu de caisse"/>
    <x v="1"/>
    <m/>
    <n v="50000"/>
    <x v="0"/>
    <n v="8477722"/>
    <x v="7"/>
    <s v="Décharge"/>
    <x v="0"/>
    <m/>
    <s v="CONGO"/>
    <m/>
    <x v="0"/>
    <m/>
  </r>
  <r>
    <d v="2022-01-07T00:00:00"/>
    <s v="Cumul frais de Jail Visites Janvier 2022/Crépin"/>
    <x v="13"/>
    <s v="Legal"/>
    <m/>
    <x v="27"/>
    <n v="8468722"/>
    <x v="7"/>
    <s v="Décharge"/>
    <x v="2"/>
    <s v="PALF"/>
    <s v="CONGO"/>
    <m/>
    <x v="0"/>
    <m/>
  </r>
  <r>
    <d v="2022-01-08T00:00:00"/>
    <s v="Billet: Dolisie-Brazzaville/Crépin"/>
    <x v="4"/>
    <s v="Management"/>
    <m/>
    <x v="7"/>
    <n v="8458722"/>
    <x v="7"/>
    <s v="Oui"/>
    <x v="1"/>
    <s v="RALFF"/>
    <s v="CONGO"/>
    <m/>
    <x v="3"/>
    <m/>
  </r>
  <r>
    <d v="2022-01-07T00:00:00"/>
    <s v="B52- CONGO frais d'hôtel du 04 au 07/01/2022 - Pointe Noire"/>
    <x v="5"/>
    <s v="Investigation"/>
    <m/>
    <x v="28"/>
    <n v="8413722"/>
    <x v="4"/>
    <s v="Oui"/>
    <x v="2"/>
    <s v="PALF"/>
    <s v="CONGO"/>
    <m/>
    <x v="0"/>
    <m/>
  </r>
  <r>
    <d v="2022-01-07T00:00:00"/>
    <s v="achat billet pointe noire-sibiti/B52"/>
    <x v="4"/>
    <s v="Investigation"/>
    <m/>
    <x v="7"/>
    <n v="8403722"/>
    <x v="4"/>
    <s v="Oui"/>
    <x v="2"/>
    <s v="PALF"/>
    <s v="CONGO"/>
    <m/>
    <x v="0"/>
    <m/>
  </r>
  <r>
    <d v="2022-01-07T00:00:00"/>
    <s v="P29 - CONGO Paiement 3 nuitées du 04  au 07/01/2022 -Makoua"/>
    <x v="5"/>
    <s v="Investigation"/>
    <m/>
    <x v="28"/>
    <n v="8358722"/>
    <x v="6"/>
    <s v="Oui"/>
    <x v="1"/>
    <s v="RALFF"/>
    <s v="CONGO"/>
    <m/>
    <x v="4"/>
    <m/>
  </r>
  <r>
    <d v="2022-01-07T00:00:00"/>
    <s v="Achat billet makoua-etoumbi/P29"/>
    <x v="4"/>
    <s v="Investigation"/>
    <m/>
    <x v="29"/>
    <n v="8350722"/>
    <x v="6"/>
    <s v="Oui"/>
    <x v="1"/>
    <s v="RALFF"/>
    <s v="CONGO"/>
    <m/>
    <x v="3"/>
    <m/>
  </r>
  <r>
    <d v="2022-01-08T00:00:00"/>
    <s v="CREPIN-CONGO 02 Nuitées à Dolisie du 06 au 08/01/2022"/>
    <x v="5"/>
    <s v="Management"/>
    <m/>
    <x v="30"/>
    <n v="8320722"/>
    <x v="7"/>
    <s v="Oui"/>
    <x v="1"/>
    <s v="RALFF"/>
    <s v="CONGO"/>
    <m/>
    <x v="4"/>
    <m/>
  </r>
  <r>
    <d v="2022-01-08T00:00:00"/>
    <s v="Taxi Pointe Noire - NZASSI La frontière (prospection)/I23C"/>
    <x v="4"/>
    <s v="Investigation"/>
    <m/>
    <x v="9"/>
    <n v="8315722"/>
    <x v="5"/>
    <s v="Oui"/>
    <x v="1"/>
    <s v="RALFF"/>
    <s v="CONGO"/>
    <m/>
    <x v="3"/>
    <m/>
  </r>
  <r>
    <d v="2022-01-08T00:00:00"/>
    <s v="Taxi NZASSI La frontière-Pointe Noire (retour à PN)/I23C"/>
    <x v="4"/>
    <s v="Investigation"/>
    <m/>
    <x v="9"/>
    <n v="8310722"/>
    <x v="5"/>
    <s v="Oui"/>
    <x v="1"/>
    <s v="RALFF"/>
    <s v="CONGO"/>
    <m/>
    <x v="3"/>
    <m/>
  </r>
  <r>
    <d v="2022-01-08T00:00:00"/>
    <s v="Réçu de caisse"/>
    <x v="1"/>
    <m/>
    <n v="150000"/>
    <x v="0"/>
    <n v="8460722"/>
    <x v="5"/>
    <s v="Décharge"/>
    <x v="0"/>
    <m/>
    <s v="CONGO"/>
    <m/>
    <x v="0"/>
    <m/>
  </r>
  <r>
    <d v="2022-01-09T00:00:00"/>
    <s v="achat billet sibiti-zanaga/B52"/>
    <x v="4"/>
    <s v="Investigation"/>
    <m/>
    <x v="7"/>
    <n v="8450722"/>
    <x v="4"/>
    <s v="Oui"/>
    <x v="2"/>
    <s v="PALF"/>
    <s v="CONGO"/>
    <m/>
    <x v="0"/>
    <m/>
  </r>
  <r>
    <d v="2022-01-09T00:00:00"/>
    <s v="B52- CONGO frais d'hôtel du 07 au 09/01/2022-Sibiti"/>
    <x v="5"/>
    <s v="Investigation"/>
    <m/>
    <x v="30"/>
    <n v="8420722"/>
    <x v="4"/>
    <s v="Oui"/>
    <x v="2"/>
    <s v="PALF"/>
    <s v="CONGO"/>
    <m/>
    <x v="0"/>
    <m/>
  </r>
  <r>
    <d v="2022-01-09T00:00:00"/>
    <s v="I23C - CONGO Paiement hôtel 5 nuitées du 4 au 9/1/2022 Pointe Noire"/>
    <x v="5"/>
    <s v="Investigation"/>
    <m/>
    <x v="31"/>
    <n v="8345722"/>
    <x v="5"/>
    <s v="Oui"/>
    <x v="1"/>
    <s v="RALFF"/>
    <s v="CONGO"/>
    <m/>
    <x v="4"/>
    <m/>
  </r>
  <r>
    <d v="2022-01-09T00:00:00"/>
    <s v="Achat billet Pointe Noire-Les SARAS (départ pour Les Saras)/I23C"/>
    <x v="4"/>
    <s v="Investigation"/>
    <m/>
    <x v="9"/>
    <n v="8340722"/>
    <x v="5"/>
    <s v="Oui"/>
    <x v="1"/>
    <s v="RALFF"/>
    <s v="CONGO"/>
    <m/>
    <x v="3"/>
    <m/>
  </r>
  <r>
    <d v="2022-01-09T00:00:00"/>
    <s v="Taxi Les SARAS-Dolisie (départ pour Dolisie)/I23C"/>
    <x v="4"/>
    <s v="Investigation"/>
    <m/>
    <x v="9"/>
    <n v="8335722"/>
    <x v="5"/>
    <s v="Oui"/>
    <x v="1"/>
    <s v="RALFF"/>
    <s v="CONGO"/>
    <m/>
    <x v="3"/>
    <m/>
  </r>
  <r>
    <d v="2022-01-09T00:00:00"/>
    <s v="P29 - CONGO Paiement 2 nuitées du 07 au 09/01/2022-Etoumbi"/>
    <x v="5"/>
    <s v="Investigation"/>
    <m/>
    <x v="30"/>
    <n v="8305722"/>
    <x v="6"/>
    <s v="Oui"/>
    <x v="1"/>
    <s v="RALFF"/>
    <s v="CONGO"/>
    <m/>
    <x v="4"/>
    <m/>
  </r>
  <r>
    <d v="2022-01-09T00:00:00"/>
    <s v="Achat billet etoumbi-makoua/P29"/>
    <x v="4"/>
    <s v="Investigation"/>
    <m/>
    <x v="29"/>
    <n v="8297722"/>
    <x v="6"/>
    <s v="Oui"/>
    <x v="1"/>
    <s v="RALFF"/>
    <s v="CONGO"/>
    <m/>
    <x v="3"/>
    <m/>
  </r>
  <r>
    <d v="2022-01-10T00:00:00"/>
    <s v="Crépin"/>
    <x v="1"/>
    <m/>
    <m/>
    <x v="32"/>
    <e v="#REF!"/>
    <x v="1"/>
    <s v="Décharge"/>
    <x v="0"/>
    <m/>
    <s v="CONGO"/>
    <m/>
    <x v="0"/>
    <m/>
  </r>
  <r>
    <d v="2022-01-10T00:00:00"/>
    <s v="Reçu de caisse"/>
    <x v="1"/>
    <m/>
    <n v="35000"/>
    <x v="0"/>
    <e v="#REF!"/>
    <x v="7"/>
    <s v="Décharge"/>
    <x v="0"/>
    <m/>
    <s v="CONGO"/>
    <m/>
    <x v="0"/>
    <m/>
  </r>
  <r>
    <d v="2022-01-10T00:00:00"/>
    <s v="B52- CONGO frais d'hôtel du 9 au 11/01/2022-Zanaga"/>
    <x v="5"/>
    <s v="Investigation"/>
    <m/>
    <x v="30"/>
    <e v="#REF!"/>
    <x v="4"/>
    <s v="Oui"/>
    <x v="2"/>
    <s v="PALF"/>
    <s v="CONGO"/>
    <m/>
    <x v="0"/>
    <m/>
  </r>
  <r>
    <d v="2022-01-11T00:00:00"/>
    <s v="Crépin"/>
    <x v="1"/>
    <m/>
    <m/>
    <x v="6"/>
    <e v="#REF!"/>
    <x v="1"/>
    <s v="Décharge"/>
    <x v="0"/>
    <m/>
    <s v="CONGO"/>
    <m/>
    <x v="0"/>
    <m/>
  </r>
  <r>
    <d v="2022-01-11T00:00:00"/>
    <s v="Reçu de caisse"/>
    <x v="1"/>
    <m/>
    <n v="20000"/>
    <x v="0"/>
    <e v="#REF!"/>
    <x v="7"/>
    <s v="Décharge"/>
    <x v="0"/>
    <m/>
    <s v="CONGO"/>
    <m/>
    <x v="0"/>
    <m/>
  </r>
  <r>
    <d v="2022-01-11T00:00:00"/>
    <s v="achat billet zanaga-sibiti/B52"/>
    <x v="4"/>
    <s v="Investigation"/>
    <m/>
    <x v="7"/>
    <e v="#REF!"/>
    <x v="4"/>
    <s v="Oui"/>
    <x v="2"/>
    <s v="PALF"/>
    <s v="CONGO"/>
    <m/>
    <x v="0"/>
    <m/>
  </r>
  <r>
    <d v="2022-01-11T00:00:00"/>
    <s v="Achat billet Dolisie-Brazzaville /I23C"/>
    <x v="4"/>
    <s v="Investigation"/>
    <m/>
    <x v="7"/>
    <e v="#REF!"/>
    <x v="5"/>
    <s v="Oui"/>
    <x v="1"/>
    <s v="RALFF"/>
    <s v="CONGO"/>
    <m/>
    <x v="3"/>
    <m/>
  </r>
  <r>
    <d v="2022-01-12T00:00:00"/>
    <s v="B52- CONGO frais d'hôtel du 11 au 12/01/2022-Sibiti"/>
    <x v="5"/>
    <s v="Investigation"/>
    <m/>
    <x v="13"/>
    <e v="#REF!"/>
    <x v="4"/>
    <s v="Oui"/>
    <x v="2"/>
    <s v="PALF"/>
    <s v="CONGO"/>
    <m/>
    <x v="0"/>
    <m/>
  </r>
  <r>
    <d v="2022-01-12T00:00:00"/>
    <s v="Godfre"/>
    <x v="1"/>
    <m/>
    <m/>
    <x v="17"/>
    <e v="#REF!"/>
    <x v="1"/>
    <s v="Décharge"/>
    <x v="0"/>
    <m/>
    <s v="CONGO"/>
    <m/>
    <x v="0"/>
    <m/>
  </r>
  <r>
    <d v="2022-01-12T00:00:00"/>
    <s v="Paiement CNSS quatrième trimestre/OCTOBRE,NOVEMBRE ET DECEMBRE 2021/Grace"/>
    <x v="14"/>
    <s v="Management"/>
    <m/>
    <x v="33"/>
    <e v="#REF!"/>
    <x v="2"/>
    <n v="3643597"/>
    <x v="1"/>
    <s v="RALFF"/>
    <s v="CONGO"/>
    <m/>
    <x v="10"/>
    <m/>
  </r>
  <r>
    <d v="2022-01-12T00:00:00"/>
    <s v="Paiement CNSS quatrième trimestre/OCTOBRE,NOVEMBRE ET DECEMBRE 2021/Crepin"/>
    <x v="14"/>
    <s v="Management"/>
    <m/>
    <x v="34"/>
    <e v="#REF!"/>
    <x v="2"/>
    <n v="3643597"/>
    <x v="1"/>
    <s v="RALFF"/>
    <s v="CONGO"/>
    <m/>
    <x v="11"/>
    <m/>
  </r>
  <r>
    <d v="2022-01-12T00:00:00"/>
    <s v="Paiement CNSS quatrième trimestre/OCTOBRE,NOVEMBRE ET DECEMBRE 2021/Merveille"/>
    <x v="14"/>
    <s v="Management"/>
    <m/>
    <x v="35"/>
    <e v="#REF!"/>
    <x v="2"/>
    <n v="3643597"/>
    <x v="1"/>
    <s v="RALFF"/>
    <s v="CONGO"/>
    <m/>
    <x v="10"/>
    <m/>
  </r>
  <r>
    <d v="2022-01-12T00:00:00"/>
    <s v="Paiement CNSS quatrième trimestre/OCTOBRE,NOVEMBRE ET DECEMBRE 2021/Evariste"/>
    <x v="14"/>
    <s v="Media"/>
    <m/>
    <x v="36"/>
    <e v="#REF!"/>
    <x v="2"/>
    <n v="3643597"/>
    <x v="1"/>
    <s v="RALFF"/>
    <s v="CONGO"/>
    <m/>
    <x v="12"/>
    <m/>
  </r>
  <r>
    <d v="2022-01-12T00:00:00"/>
    <s v="Paiement CNSS quatrième trimestre/OCTOBRE,NOVEMBRE ET DECEMBRE 2021/Godfre"/>
    <x v="14"/>
    <s v="Legal"/>
    <m/>
    <x v="37"/>
    <e v="#REF!"/>
    <x v="2"/>
    <n v="3643597"/>
    <x v="1"/>
    <s v="RALFF"/>
    <s v="CONGO"/>
    <m/>
    <x v="11"/>
    <m/>
  </r>
  <r>
    <d v="2022-01-12T00:00:00"/>
    <s v="Reçu Caisse"/>
    <x v="1"/>
    <m/>
    <n v="91000"/>
    <x v="0"/>
    <e v="#REF!"/>
    <x v="8"/>
    <s v="Décharge"/>
    <x v="0"/>
    <m/>
    <s v="CONGO"/>
    <m/>
    <x v="0"/>
    <m/>
  </r>
  <r>
    <d v="2022-01-12T00:00:00"/>
    <s v="Achat billet aller ( BZV-Dolisie)/Godfré"/>
    <x v="4"/>
    <s v="Legal"/>
    <m/>
    <x v="7"/>
    <e v="#REF!"/>
    <x v="8"/>
    <s v="Oui"/>
    <x v="1"/>
    <s v="RALFF"/>
    <s v="CONGO"/>
    <m/>
    <x v="3"/>
    <m/>
  </r>
  <r>
    <d v="2022-01-12T00:00:00"/>
    <s v="achat billet sibiti- loudima pour une correspondance/B52"/>
    <x v="4"/>
    <s v="Investigation"/>
    <m/>
    <x v="38"/>
    <e v="#REF!"/>
    <x v="4"/>
    <s v="Oui"/>
    <x v="2"/>
    <s v="PALF"/>
    <s v="CONGO"/>
    <m/>
    <x v="0"/>
    <m/>
  </r>
  <r>
    <d v="2022-01-12T00:00:00"/>
    <s v="achat billet loudima-Brazzaville/B52"/>
    <x v="4"/>
    <s v="Investigation"/>
    <m/>
    <x v="7"/>
    <e v="#REF!"/>
    <x v="4"/>
    <s v="Oui"/>
    <x v="2"/>
    <s v="PALF"/>
    <s v="CONGO"/>
    <m/>
    <x v="0"/>
    <m/>
  </r>
  <r>
    <d v="2022-01-12T00:00:00"/>
    <s v="I23C - CONGO Paiement Hôtel 09 au 12/01/2021-Dolisie"/>
    <x v="5"/>
    <s v="Investigation"/>
    <m/>
    <x v="28"/>
    <e v="#REF!"/>
    <x v="5"/>
    <s v="Oui"/>
    <x v="1"/>
    <s v="RALFF"/>
    <s v="CONGO"/>
    <m/>
    <x v="4"/>
    <m/>
  </r>
  <r>
    <d v="2022-01-12T00:00:00"/>
    <s v="Achat billet owando-brazzaville/P29"/>
    <x v="4"/>
    <s v="Investigation"/>
    <m/>
    <x v="39"/>
    <e v="#REF!"/>
    <x v="6"/>
    <s v="Oui"/>
    <x v="1"/>
    <s v="RALFF"/>
    <s v="CONGO"/>
    <m/>
    <x v="3"/>
    <m/>
  </r>
  <r>
    <d v="2022-01-12T00:00:00"/>
    <s v="P29 - CONGO Paiement 3 nuitées du 09 au 12/01/2022-Makoua"/>
    <x v="5"/>
    <s v="Investigation"/>
    <m/>
    <x v="28"/>
    <e v="#REF!"/>
    <x v="6"/>
    <s v="Oui"/>
    <x v="1"/>
    <s v="RALFF"/>
    <s v="CONGO"/>
    <m/>
    <x v="4"/>
    <m/>
  </r>
  <r>
    <d v="2022-01-13T00:00:00"/>
    <s v="Merveille"/>
    <x v="1"/>
    <m/>
    <m/>
    <x v="6"/>
    <e v="#REF!"/>
    <x v="1"/>
    <s v="Décharge"/>
    <x v="0"/>
    <m/>
    <s v="CONGO"/>
    <m/>
    <x v="0"/>
    <m/>
  </r>
  <r>
    <d v="2022-01-13T00:00:00"/>
    <s v="Reçu caisse"/>
    <x v="1"/>
    <m/>
    <n v="20000"/>
    <x v="0"/>
    <e v="#REF!"/>
    <x v="9"/>
    <s v="Décharge"/>
    <x v="0"/>
    <m/>
    <s v="CONGO"/>
    <m/>
    <x v="0"/>
    <m/>
  </r>
  <r>
    <d v="2022-01-13T00:00:00"/>
    <s v="GODFRE - CONGO Food Allowance du 13 au 15/01/2022 Dolisie"/>
    <x v="5"/>
    <s v="Legal"/>
    <m/>
    <x v="6"/>
    <e v="#REF!"/>
    <x v="8"/>
    <s v="Décharge"/>
    <x v="1"/>
    <s v="RALFF"/>
    <s v="CONGO"/>
    <m/>
    <x v="4"/>
    <m/>
  </r>
  <r>
    <d v="2022-01-14T00:00:00"/>
    <s v="Recharge bouteille de gaz /cuisine bureau"/>
    <x v="9"/>
    <s v="Office"/>
    <m/>
    <x v="40"/>
    <e v="#REF!"/>
    <x v="1"/>
    <s v="Oui"/>
    <x v="2"/>
    <s v="PALF"/>
    <s v="CONGO"/>
    <m/>
    <x v="0"/>
    <m/>
  </r>
  <r>
    <d v="2022-01-14T00:00:00"/>
    <s v="I23c"/>
    <x v="1"/>
    <m/>
    <m/>
    <x v="7"/>
    <e v="#REF!"/>
    <x v="1"/>
    <s v="Décharge"/>
    <x v="0"/>
    <m/>
    <s v="CONGO"/>
    <m/>
    <x v="0"/>
    <m/>
  </r>
  <r>
    <d v="2022-01-14T00:00:00"/>
    <s v="B52"/>
    <x v="1"/>
    <m/>
    <m/>
    <x v="30"/>
    <e v="#REF!"/>
    <x v="1"/>
    <s v="Décharge"/>
    <x v="0"/>
    <m/>
    <s v="CONGO"/>
    <m/>
    <x v="0"/>
    <m/>
  </r>
  <r>
    <d v="2022-01-14T00:00:00"/>
    <s v="reçu de caisse"/>
    <x v="1"/>
    <m/>
    <n v="30000"/>
    <x v="0"/>
    <e v="#REF!"/>
    <x v="4"/>
    <s v="Décharge"/>
    <x v="0"/>
    <m/>
    <s v="CONGO"/>
    <m/>
    <x v="0"/>
    <m/>
  </r>
  <r>
    <d v="2022-01-15T00:00:00"/>
    <s v="GODFRE - CONGO Frais d'hotel ( deux nuitées) du 13 au 15/01/2022 Dolisie"/>
    <x v="5"/>
    <s v="Legal"/>
    <m/>
    <x v="30"/>
    <e v="#REF!"/>
    <x v="8"/>
    <s v="Oui"/>
    <x v="1"/>
    <s v="RALFF"/>
    <s v="CONGO"/>
    <m/>
    <x v="4"/>
    <m/>
  </r>
  <r>
    <d v="2022-01-15T00:00:00"/>
    <s v="Achat billet retour (Dolisie-Brazzaville)/Godfré"/>
    <x v="4"/>
    <s v="Legal"/>
    <m/>
    <x v="7"/>
    <e v="#REF!"/>
    <x v="8"/>
    <s v="Oui"/>
    <x v="1"/>
    <s v="RALFF"/>
    <s v="CONGO"/>
    <m/>
    <x v="3"/>
    <m/>
  </r>
  <r>
    <d v="2022-01-17T00:00:00"/>
    <s v="Achat credit  teléphonique MTN/PALF/Deuxième partie Janvier 2022/Management"/>
    <x v="2"/>
    <s v="Management "/>
    <m/>
    <x v="41"/>
    <e v="#REF!"/>
    <x v="1"/>
    <s v="Oui"/>
    <x v="1"/>
    <s v="RALFF"/>
    <s v="CONGO"/>
    <m/>
    <x v="1"/>
    <m/>
  </r>
  <r>
    <d v="2022-01-17T00:00:00"/>
    <s v="Achat credit  teléphonique MTN/PALF/Deuxième partie Janvier 2022/Légal"/>
    <x v="2"/>
    <s v="Legal"/>
    <m/>
    <x v="13"/>
    <e v="#REF!"/>
    <x v="1"/>
    <s v="Oui"/>
    <x v="1"/>
    <s v="RALFF"/>
    <s v="CONGO"/>
    <m/>
    <x v="1"/>
    <m/>
  </r>
  <r>
    <d v="2022-01-17T00:00:00"/>
    <s v="Achat credit  teléphonique MTN/PALF/Deuxième partie Janvier 2022/Investigation"/>
    <x v="2"/>
    <s v="Investigation"/>
    <m/>
    <x v="6"/>
    <e v="#REF!"/>
    <x v="1"/>
    <s v="Oui"/>
    <x v="1"/>
    <s v="RALFF"/>
    <s v="CONGO"/>
    <m/>
    <x v="1"/>
    <m/>
  </r>
  <r>
    <d v="2022-01-17T00:00:00"/>
    <s v="Achat credit  teléphonique MTN/PALF/Deuxième partie Janvier 2022/iInvestigation Volontaire"/>
    <x v="2"/>
    <s v="Investigation"/>
    <m/>
    <x v="7"/>
    <e v="#REF!"/>
    <x v="1"/>
    <s v="Oui"/>
    <x v="2"/>
    <s v="PALF"/>
    <s v="CONGO"/>
    <m/>
    <x v="0"/>
    <m/>
  </r>
  <r>
    <d v="2022-01-17T00:00:00"/>
    <s v="Achat credit  teléphonique Airtel/PALF/Deuxième partie Janvier 2022/Management"/>
    <x v="2"/>
    <s v="Management "/>
    <m/>
    <x v="13"/>
    <e v="#REF!"/>
    <x v="1"/>
    <s v="Oui"/>
    <x v="1"/>
    <s v="RALFF"/>
    <s v="CONGO"/>
    <m/>
    <x v="1"/>
    <m/>
  </r>
  <r>
    <d v="2022-01-17T00:00:00"/>
    <s v="Achat credit  teléphonique Airtel/PALF/Deuxième partie Janvier 2022/Légal"/>
    <x v="2"/>
    <s v="Legal"/>
    <m/>
    <x v="9"/>
    <e v="#REF!"/>
    <x v="1"/>
    <s v="Oui"/>
    <x v="1"/>
    <s v="RALFF"/>
    <s v="CONGO"/>
    <m/>
    <x v="1"/>
    <m/>
  </r>
  <r>
    <d v="2022-01-17T00:00:00"/>
    <s v="Achat credit  teléphonique Airtel/PALF/Deuxième partie Janvier 2022/Investigation"/>
    <x v="2"/>
    <s v="Investigation"/>
    <m/>
    <x v="7"/>
    <e v="#REF!"/>
    <x v="1"/>
    <s v="Oui"/>
    <x v="1"/>
    <s v="RALFF"/>
    <s v="CONGO"/>
    <m/>
    <x v="1"/>
    <m/>
  </r>
  <r>
    <d v="2022-01-17T00:00:00"/>
    <s v="Achat credit  teléphonique Airtel/PALF/Deuxième partie Janvier 2022/Investigation Vonlontaire"/>
    <x v="2"/>
    <s v="Investigation"/>
    <m/>
    <x v="9"/>
    <e v="#REF!"/>
    <x v="1"/>
    <s v="Oui"/>
    <x v="2"/>
    <s v="PALF"/>
    <s v="CONGO"/>
    <m/>
    <x v="0"/>
    <m/>
  </r>
  <r>
    <d v="2022-01-17T00:00:00"/>
    <s v="P29"/>
    <x v="1"/>
    <m/>
    <m/>
    <x v="41"/>
    <e v="#REF!"/>
    <x v="1"/>
    <s v="Décharge"/>
    <x v="0"/>
    <m/>
    <s v="CONGO"/>
    <m/>
    <x v="0"/>
    <m/>
  </r>
  <r>
    <d v="2022-01-17T00:00:00"/>
    <s v="B52"/>
    <x v="1"/>
    <m/>
    <m/>
    <x v="7"/>
    <e v="#REF!"/>
    <x v="1"/>
    <s v="Décharge"/>
    <x v="0"/>
    <m/>
    <s v="CONGO"/>
    <m/>
    <x v="0"/>
    <m/>
  </r>
  <r>
    <d v="2022-01-17T00:00:00"/>
    <s v="reçu de caisse"/>
    <x v="1"/>
    <m/>
    <n v="10000"/>
    <x v="0"/>
    <e v="#REF!"/>
    <x v="4"/>
    <s v="Décharge"/>
    <x v="0"/>
    <m/>
    <s v="CONGO"/>
    <m/>
    <x v="0"/>
    <m/>
  </r>
  <r>
    <d v="2022-01-17T00:00:00"/>
    <s v="Réçu de caisse"/>
    <x v="1"/>
    <m/>
    <n v="10000"/>
    <x v="0"/>
    <e v="#REF!"/>
    <x v="5"/>
    <s v="Décharge"/>
    <x v="0"/>
    <m/>
    <s v="CONGO"/>
    <m/>
    <x v="0"/>
    <m/>
  </r>
  <r>
    <d v="2022-01-17T00:00:00"/>
    <s v="Recu de caisse"/>
    <x v="1"/>
    <m/>
    <n v="31000"/>
    <x v="0"/>
    <e v="#REF!"/>
    <x v="6"/>
    <s v="Décharge"/>
    <x v="0"/>
    <m/>
    <s v="CONGO"/>
    <m/>
    <x v="0"/>
    <m/>
  </r>
  <r>
    <d v="2022-01-18T00:00:00"/>
    <s v="Crépin/Avance sur salaire "/>
    <x v="1"/>
    <m/>
    <m/>
    <x v="6"/>
    <e v="#REF!"/>
    <x v="1"/>
    <s v="Décharge"/>
    <x v="0"/>
    <m/>
    <s v="CONGO"/>
    <m/>
    <x v="0"/>
    <m/>
  </r>
  <r>
    <d v="2022-01-18T00:00:00"/>
    <s v="Frais de supplément bagage (Equipement PALF) / Tiffany"/>
    <x v="11"/>
    <s v="Management"/>
    <m/>
    <x v="42"/>
    <e v="#REF!"/>
    <x v="10"/>
    <s v="Oui"/>
    <x v="1"/>
    <s v="RALFF"/>
    <s v="CONGO"/>
    <m/>
    <x v="13"/>
    <m/>
  </r>
  <r>
    <d v="2022-01-18T00:00:00"/>
    <s v="Achat 02 PC Ultra LENOVO IdealPad 314IGL"/>
    <x v="15"/>
    <s v="Management"/>
    <m/>
    <x v="43"/>
    <e v="#REF!"/>
    <x v="10"/>
    <s v="Oui"/>
    <x v="1"/>
    <s v="RALFF"/>
    <s v="CONGO"/>
    <m/>
    <x v="14"/>
    <m/>
  </r>
  <r>
    <d v="2022-01-18T00:00:00"/>
    <s v="Achat 01 Enceinte Baladeur Sans Fil JBLG "/>
    <x v="15"/>
    <s v="Management"/>
    <m/>
    <x v="44"/>
    <e v="#REF!"/>
    <x v="10"/>
    <s v="Oui"/>
    <x v="1"/>
    <s v="RALFF"/>
    <s v="CONGO"/>
    <m/>
    <x v="14"/>
    <m/>
  </r>
  <r>
    <d v="2022-01-18T00:00:00"/>
    <s v="Achat 01 Smartphone Xiaomi Redmi Note 9 Pro 6,667"/>
    <x v="15"/>
    <s v="Management"/>
    <m/>
    <x v="45"/>
    <e v="#REF!"/>
    <x v="10"/>
    <s v="Oui"/>
    <x v="1"/>
    <s v="RALFF"/>
    <s v="CONGO"/>
    <m/>
    <x v="14"/>
    <m/>
  </r>
  <r>
    <d v="2022-01-18T00:00:00"/>
    <s v="Reçu de caisse (avance sur salaire)"/>
    <x v="1"/>
    <m/>
    <n v="20000"/>
    <x v="0"/>
    <e v="#REF!"/>
    <x v="7"/>
    <s v="Décharge"/>
    <x v="0"/>
    <m/>
    <s v="CONGO"/>
    <m/>
    <x v="0"/>
    <m/>
  </r>
  <r>
    <d v="2022-01-18T00:00:00"/>
    <s v="P29 - CONGO Food allowance mission du 18 au 19/01/2022- île Mbamu "/>
    <x v="5"/>
    <s v="Investigation"/>
    <m/>
    <x v="7"/>
    <e v="#REF!"/>
    <x v="6"/>
    <s v="Décharge"/>
    <x v="1"/>
    <s v="RALFF"/>
    <s v="CONGO"/>
    <m/>
    <x v="4"/>
    <m/>
  </r>
  <r>
    <d v="2022-01-19T00:00:00"/>
    <s v="B52"/>
    <x v="1"/>
    <m/>
    <m/>
    <x v="13"/>
    <e v="#REF!"/>
    <x v="1"/>
    <s v="Décharge"/>
    <x v="0"/>
    <m/>
    <s v="CONGO"/>
    <m/>
    <x v="0"/>
    <m/>
  </r>
  <r>
    <d v="2022-01-19T00:00:00"/>
    <s v="B52"/>
    <x v="1"/>
    <m/>
    <m/>
    <x v="30"/>
    <e v="#REF!"/>
    <x v="1"/>
    <s v="Décharge"/>
    <x v="0"/>
    <m/>
    <s v="CONGO"/>
    <m/>
    <x v="0"/>
    <m/>
  </r>
  <r>
    <d v="2022-01-19T00:00:00"/>
    <s v="Achat lait sucre café et produits de nettoyage"/>
    <x v="9"/>
    <s v="Office"/>
    <m/>
    <x v="46"/>
    <e v="#REF!"/>
    <x v="1"/>
    <s v="Oui"/>
    <x v="1"/>
    <s v="RALFF"/>
    <s v="CONGO"/>
    <m/>
    <x v="7"/>
    <m/>
  </r>
  <r>
    <d v="2022-01-19T00:00:00"/>
    <s v="Fond Reçu de UE"/>
    <x v="16"/>
    <m/>
    <n v="17525203"/>
    <x v="0"/>
    <e v="#REF!"/>
    <x v="2"/>
    <s v="Relevé"/>
    <x v="1"/>
    <s v="RALFF"/>
    <s v="CONGO"/>
    <m/>
    <x v="0"/>
    <m/>
  </r>
  <r>
    <d v="2022-01-19T00:00:00"/>
    <s v="Frais Test COVID Aéroport / Tiffany"/>
    <x v="17"/>
    <s v="Management"/>
    <m/>
    <x v="47"/>
    <e v="#REF!"/>
    <x v="10"/>
    <s v="Oui"/>
    <x v="2"/>
    <s v="PALF"/>
    <s v="CONGO"/>
    <m/>
    <x v="0"/>
    <m/>
  </r>
  <r>
    <d v="2022-01-19T00:00:00"/>
    <s v="reçu de caisse"/>
    <x v="1"/>
    <m/>
    <n v="30000"/>
    <x v="0"/>
    <e v="#REF!"/>
    <x v="4"/>
    <s v="Décharge"/>
    <x v="0"/>
    <m/>
    <s v="CONGO"/>
    <m/>
    <x v="0"/>
    <m/>
  </r>
  <r>
    <d v="2022-01-19T00:00:00"/>
    <s v="reçu de caisse"/>
    <x v="1"/>
    <m/>
    <n v="15000"/>
    <x v="0"/>
    <e v="#REF!"/>
    <x v="4"/>
    <s v="Décharge"/>
    <x v="0"/>
    <m/>
    <s v="CONGO"/>
    <m/>
    <x v="0"/>
    <m/>
  </r>
  <r>
    <d v="2022-01-19T00:00:00"/>
    <s v="Réçu de caisse"/>
    <x v="1"/>
    <m/>
    <n v="69000"/>
    <x v="0"/>
    <e v="#REF!"/>
    <x v="5"/>
    <s v="Décharge"/>
    <x v="0"/>
    <m/>
    <s v="CONGO"/>
    <m/>
    <x v="0"/>
    <m/>
  </r>
  <r>
    <d v="2022-01-19T00:00:00"/>
    <s v="P29 - CONGO Paiement d'une nuitée du 18 au 19/01/2022- île Mbamu (Village Lisanga)"/>
    <x v="5"/>
    <s v="Investigation"/>
    <m/>
    <x v="13"/>
    <e v="#REF!"/>
    <x v="6"/>
    <s v="Oui"/>
    <x v="1"/>
    <s v="RALFF"/>
    <s v="CONGO"/>
    <m/>
    <x v="4"/>
    <m/>
  </r>
  <r>
    <d v="2022-01-20T00:00:00"/>
    <s v="Godfre/Avance sur salaire"/>
    <x v="1"/>
    <m/>
    <m/>
    <x v="48"/>
    <e v="#REF!"/>
    <x v="1"/>
    <s v="Décharge"/>
    <x v="0"/>
    <m/>
    <s v="CONGO"/>
    <m/>
    <x v="0"/>
    <m/>
  </r>
  <r>
    <d v="2022-01-20T00:00:00"/>
    <s v="I23c"/>
    <x v="1"/>
    <m/>
    <m/>
    <x v="49"/>
    <e v="#REF!"/>
    <x v="1"/>
    <s v="Décharge"/>
    <x v="0"/>
    <m/>
    <s v="CONGO"/>
    <m/>
    <x v="0"/>
    <m/>
  </r>
  <r>
    <d v="2022-01-20T00:00:00"/>
    <s v="Reçu Caisse/Avance sur Salaire"/>
    <x v="1"/>
    <m/>
    <n v="25000"/>
    <x v="0"/>
    <e v="#REF!"/>
    <x v="8"/>
    <s v="Décharge"/>
    <x v="0"/>
    <m/>
    <s v="CONGO"/>
    <m/>
    <x v="0"/>
    <m/>
  </r>
  <r>
    <d v="2022-01-21T00:00:00"/>
    <s v="I23C - CONGO Food allowance mission du 21 au 22 Janvier 2022-Inoni"/>
    <x v="5"/>
    <s v="Investigation"/>
    <m/>
    <x v="7"/>
    <e v="#REF!"/>
    <x v="5"/>
    <s v="Décharge"/>
    <x v="1"/>
    <s v="RALFF"/>
    <s v="CONGO"/>
    <m/>
    <x v="4"/>
    <m/>
  </r>
  <r>
    <d v="2022-01-21T00:00:00"/>
    <s v="Taxi Brazza-Inoni Falaise (départ pour Inoni)/I23C"/>
    <x v="4"/>
    <s v="Investigation"/>
    <m/>
    <x v="50"/>
    <e v="#REF!"/>
    <x v="5"/>
    <s v="Oui"/>
    <x v="1"/>
    <s v="RALFF"/>
    <s v="CONGO"/>
    <m/>
    <x v="3"/>
    <m/>
  </r>
  <r>
    <d v="2022-01-21T00:00:00"/>
    <s v="B52"/>
    <x v="1"/>
    <m/>
    <m/>
    <x v="7"/>
    <e v="#REF!"/>
    <x v="1"/>
    <s v="Décharge"/>
    <x v="0"/>
    <m/>
    <s v="CONGO"/>
    <m/>
    <x v="0"/>
    <m/>
  </r>
  <r>
    <d v="2022-01-21T00:00:00"/>
    <s v="Godfre"/>
    <x v="1"/>
    <m/>
    <m/>
    <x v="17"/>
    <e v="#REF!"/>
    <x v="1"/>
    <s v="Décharge"/>
    <x v="0"/>
    <m/>
    <s v="CONGO"/>
    <m/>
    <x v="0"/>
    <m/>
  </r>
  <r>
    <d v="2022-01-21T00:00:00"/>
    <s v="Godfre"/>
    <x v="1"/>
    <m/>
    <m/>
    <x v="51"/>
    <e v="#REF!"/>
    <x v="1"/>
    <s v="Décharge"/>
    <x v="0"/>
    <m/>
    <s v="CONGO"/>
    <m/>
    <x v="0"/>
    <m/>
  </r>
  <r>
    <d v="2022-01-21T00:00:00"/>
    <s v="Frais de mission à dolisie du 23 au 25 Janvier 2022 maitre SCRUTIN MOUYETI/Suivi juridique"/>
    <x v="8"/>
    <s v="Legal"/>
    <m/>
    <x v="52"/>
    <e v="#REF!"/>
    <x v="1"/>
    <s v="Oui"/>
    <x v="1"/>
    <s v="RALFF"/>
    <s v="CONGO"/>
    <m/>
    <x v="6"/>
    <m/>
  </r>
  <r>
    <d v="2022-01-21T00:00:00"/>
    <s v="P29"/>
    <x v="1"/>
    <m/>
    <m/>
    <x v="53"/>
    <e v="#REF!"/>
    <x v="1"/>
    <s v="Décharge"/>
    <x v="0"/>
    <m/>
    <s v="CONGO"/>
    <m/>
    <x v="0"/>
    <m/>
  </r>
  <r>
    <d v="2022-01-21T00:00:00"/>
    <s v="Tiffany/remboursement frais achat Divers equipements de bureau"/>
    <x v="1"/>
    <m/>
    <m/>
    <x v="54"/>
    <e v="#REF!"/>
    <x v="1"/>
    <s v="Décharge"/>
    <x v="0"/>
    <m/>
    <s v="CONGO"/>
    <m/>
    <x v="0"/>
    <m/>
  </r>
  <r>
    <d v="2022-01-21T00:00:00"/>
    <s v="Reglément Facture Congo Telecom Redevance Février 2022"/>
    <x v="18"/>
    <s v="Office"/>
    <m/>
    <x v="55"/>
    <e v="#REF!"/>
    <x v="1"/>
    <s v="Oui"/>
    <x v="1"/>
    <s v="RALFF"/>
    <s v="CONGO"/>
    <m/>
    <x v="15"/>
    <m/>
  </r>
  <r>
    <d v="2022-01-21T00:00:00"/>
    <s v="BCI-3643601/56"/>
    <x v="1"/>
    <m/>
    <n v="1000000"/>
    <x v="0"/>
    <e v="#REF!"/>
    <x v="1"/>
    <s v="Décharge"/>
    <x v="0"/>
    <m/>
    <s v="CONGO"/>
    <m/>
    <x v="0"/>
    <m/>
  </r>
  <r>
    <d v="2022-01-21T00:00:00"/>
    <s v="I23C"/>
    <x v="1"/>
    <m/>
    <m/>
    <x v="56"/>
    <e v="#REF!"/>
    <x v="1"/>
    <s v="Décharge"/>
    <x v="0"/>
    <m/>
    <s v="CONGO"/>
    <m/>
    <x v="0"/>
    <m/>
  </r>
  <r>
    <d v="2022-01-21T00:00:00"/>
    <s v="B52"/>
    <x v="1"/>
    <m/>
    <m/>
    <x v="57"/>
    <e v="#REF!"/>
    <x v="1"/>
    <s v="Décharge"/>
    <x v="0"/>
    <m/>
    <s v="CONGO"/>
    <m/>
    <x v="0"/>
    <m/>
  </r>
  <r>
    <d v="2022-01-21T00:00:00"/>
    <s v="Reçu Caisse"/>
    <x v="1"/>
    <m/>
    <n v="91000"/>
    <x v="0"/>
    <e v="#REF!"/>
    <x v="8"/>
    <s v="Décharge"/>
    <x v="0"/>
    <m/>
    <s v="CONGO"/>
    <m/>
    <x v="0"/>
    <m/>
  </r>
  <r>
    <d v="2022-01-21T00:00:00"/>
    <s v="Reçu Caisse"/>
    <x v="1"/>
    <m/>
    <n v="60000"/>
    <x v="0"/>
    <e v="#REF!"/>
    <x v="8"/>
    <s v="Décharge"/>
    <x v="0"/>
    <m/>
    <s v="CONGO"/>
    <m/>
    <x v="0"/>
    <m/>
  </r>
  <r>
    <d v="2022-01-21T00:00:00"/>
    <s v="reçu de caisse"/>
    <x v="1"/>
    <m/>
    <n v="10000"/>
    <x v="0"/>
    <e v="#REF!"/>
    <x v="4"/>
    <s v="Décharge"/>
    <x v="0"/>
    <m/>
    <s v="CONGO"/>
    <m/>
    <x v="0"/>
    <m/>
  </r>
  <r>
    <d v="2022-01-21T00:00:00"/>
    <s v="Recu de caisse"/>
    <x v="1"/>
    <m/>
    <n v="110000"/>
    <x v="0"/>
    <e v="#REF!"/>
    <x v="6"/>
    <s v="Décharge"/>
    <x v="0"/>
    <m/>
    <s v="CONGO"/>
    <m/>
    <x v="0"/>
    <m/>
  </r>
  <r>
    <d v="2022-01-22T00:00:00"/>
    <s v="I23C - CONGO Paiement Hôtel 1 nuitée du 21 au 22 Janvier 2022-Inoni"/>
    <x v="5"/>
    <s v="Investigation"/>
    <m/>
    <x v="13"/>
    <e v="#REF!"/>
    <x v="5"/>
    <s v="Oui"/>
    <x v="1"/>
    <s v="RALFF"/>
    <s v="CONGO"/>
    <m/>
    <x v="4"/>
    <m/>
  </r>
  <r>
    <d v="2022-01-22T00:00:00"/>
    <s v="Taxi Inoni Falaise - Brazzaville (rétour à Brazza)/I23C"/>
    <x v="4"/>
    <s v="Investigation"/>
    <m/>
    <x v="50"/>
    <e v="#REF!"/>
    <x v="5"/>
    <s v="Oui"/>
    <x v="1"/>
    <s v="RALFF"/>
    <s v="CONGO"/>
    <m/>
    <x v="3"/>
    <m/>
  </r>
  <r>
    <d v="2022-01-22T00:00:00"/>
    <s v="Achat billet aller (Brazzaville-Dolisie)/Godfré"/>
    <x v="4"/>
    <s v="Legal"/>
    <m/>
    <x v="7"/>
    <e v="#REF!"/>
    <x v="8"/>
    <s v="Oui"/>
    <x v="1"/>
    <s v="RALFF"/>
    <s v="CONGO"/>
    <m/>
    <x v="3"/>
    <m/>
  </r>
  <r>
    <d v="2022-01-23T00:00:00"/>
    <s v="GODFRE - CONGO Food Allowance du 23 au 25 Janvier 2022 Dolisie"/>
    <x v="5"/>
    <s v="Legal"/>
    <m/>
    <x v="6"/>
    <e v="#REF!"/>
    <x v="8"/>
    <s v="Décharge"/>
    <x v="1"/>
    <s v="RALFF"/>
    <s v="CONGO"/>
    <m/>
    <x v="4"/>
    <m/>
  </r>
  <r>
    <d v="2022-01-23T00:00:00"/>
    <s v="Achat billet brazzaville-owando/P29"/>
    <x v="4"/>
    <s v="Investigation"/>
    <m/>
    <x v="39"/>
    <e v="#REF!"/>
    <x v="6"/>
    <s v="Oui"/>
    <x v="1"/>
    <s v="RALFF"/>
    <s v="CONGO"/>
    <m/>
    <x v="3"/>
    <m/>
  </r>
  <r>
    <d v="2022-01-24T00:00:00"/>
    <s v="Retrait especes/appro caisse/bord n°3643601"/>
    <x v="1"/>
    <m/>
    <m/>
    <x v="20"/>
    <e v="#REF!"/>
    <x v="2"/>
    <n v="3643601"/>
    <x v="0"/>
    <m/>
    <s v="CONGO"/>
    <m/>
    <x v="0"/>
    <m/>
  </r>
  <r>
    <d v="2022-01-24T00:00:00"/>
    <s v="Paiment Salaire Mois de Décembre 2021/Tiffany GOBERT"/>
    <x v="14"/>
    <s v="Management"/>
    <m/>
    <x v="58"/>
    <e v="#REF!"/>
    <x v="2"/>
    <n v="3643598"/>
    <x v="1"/>
    <s v="RALFF"/>
    <s v="CONGO"/>
    <m/>
    <x v="16"/>
    <m/>
  </r>
  <r>
    <d v="2022-01-24T00:00:00"/>
    <s v="Paiment Salaire Mois de Janvier 2022/Tiffany GOBERT"/>
    <x v="14"/>
    <s v="Management"/>
    <m/>
    <x v="58"/>
    <e v="#REF!"/>
    <x v="2"/>
    <n v="3643599"/>
    <x v="1"/>
    <s v="RALFF"/>
    <s v="CONGO"/>
    <m/>
    <x v="16"/>
    <m/>
  </r>
  <r>
    <d v="2022-01-24T00:00:00"/>
    <s v="Paiment Salaire Mois de Janvier 2022/Merveille MAHANGA"/>
    <x v="14"/>
    <s v="Management"/>
    <m/>
    <x v="59"/>
    <e v="#REF!"/>
    <x v="2"/>
    <n v="36435603"/>
    <x v="1"/>
    <s v="RALFF"/>
    <s v="CONGO"/>
    <m/>
    <x v="10"/>
    <m/>
  </r>
  <r>
    <d v="2022-01-24T00:00:00"/>
    <s v="Paiment Salaire Mois Janvier 2022/Grace MOLENDE"/>
    <x v="14"/>
    <s v="Management"/>
    <m/>
    <x v="60"/>
    <e v="#REF!"/>
    <x v="2"/>
    <n v="36435602"/>
    <x v="1"/>
    <s v="RALFF"/>
    <s v="CONGO"/>
    <m/>
    <x v="10"/>
    <m/>
  </r>
  <r>
    <d v="2022-01-24T00:00:00"/>
    <s v="Paiment Salaire Mois Janvier 2022/Godfré MALONGA"/>
    <x v="14"/>
    <s v="Legal"/>
    <m/>
    <x v="61"/>
    <e v="#REF!"/>
    <x v="2"/>
    <n v="36435605"/>
    <x v="1"/>
    <s v="RALFF"/>
    <s v="CONGO"/>
    <m/>
    <x v="11"/>
    <m/>
  </r>
  <r>
    <d v="2022-01-24T00:00:00"/>
    <s v="Paiment Salaire Mois Janvier /Crépin IBOUILI IBOUILI"/>
    <x v="14"/>
    <s v="Legal"/>
    <m/>
    <x v="62"/>
    <e v="#REF!"/>
    <x v="2"/>
    <n v="36435604"/>
    <x v="1"/>
    <s v="RALFF"/>
    <s v="CONGO"/>
    <m/>
    <x v="11"/>
    <m/>
  </r>
  <r>
    <d v="2022-01-24T00:00:00"/>
    <s v="Versement Caisse/ Tiffany"/>
    <x v="19"/>
    <m/>
    <n v="300000"/>
    <x v="0"/>
    <e v="#REF!"/>
    <x v="10"/>
    <s v="Décharge"/>
    <x v="0"/>
    <m/>
    <s v="CONGO"/>
    <m/>
    <x v="0"/>
    <m/>
  </r>
  <r>
    <d v="2022-01-24T00:00:00"/>
    <s v="Frais d'appel, expédition et inventaire cas NZIHOU Arly ( TGI de Dolisie)"/>
    <x v="12"/>
    <s v="Legal"/>
    <m/>
    <x v="32"/>
    <e v="#REF!"/>
    <x v="8"/>
    <s v="Oui"/>
    <x v="2"/>
    <s v="PALF"/>
    <s v="CONGO"/>
    <m/>
    <x v="0"/>
    <m/>
  </r>
  <r>
    <d v="2022-01-24T00:00:00"/>
    <s v="reçu de caisse"/>
    <x v="1"/>
    <m/>
    <n v="166000"/>
    <x v="0"/>
    <e v="#REF!"/>
    <x v="4"/>
    <s v="Décharge"/>
    <x v="0"/>
    <m/>
    <s v="CONGO"/>
    <m/>
    <x v="0"/>
    <m/>
  </r>
  <r>
    <d v="2022-01-24T00:00:00"/>
    <s v="Réçu de caisse"/>
    <x v="1"/>
    <m/>
    <n v="120000"/>
    <x v="0"/>
    <e v="#REF!"/>
    <x v="5"/>
    <s v="Décharge"/>
    <x v="0"/>
    <m/>
    <s v="CONGO"/>
    <m/>
    <x v="0"/>
    <m/>
  </r>
  <r>
    <d v="2022-01-24T00:00:00"/>
    <s v="P29 - CONGO Food allowance mission du 24 au 30/01/2022-Gamboma-Oyo-Owando"/>
    <x v="5"/>
    <s v="Investigation"/>
    <m/>
    <x v="51"/>
    <e v="#REF!"/>
    <x v="6"/>
    <s v="Décharge"/>
    <x v="1"/>
    <s v="RALFF"/>
    <s v="CONGO"/>
    <m/>
    <x v="4"/>
    <m/>
  </r>
  <r>
    <d v="2022-01-25T00:00:00"/>
    <s v="Grace/Remboursement frais téléphone"/>
    <x v="1"/>
    <m/>
    <n v="15000"/>
    <x v="0"/>
    <e v="#REF!"/>
    <x v="1"/>
    <s v="Décharge"/>
    <x v="0"/>
    <m/>
    <s v="CONGO"/>
    <m/>
    <x v="0"/>
    <m/>
  </r>
  <r>
    <d v="2022-01-25T00:00:00"/>
    <s v="Crepin"/>
    <x v="1"/>
    <m/>
    <m/>
    <x v="47"/>
    <e v="#REF!"/>
    <x v="1"/>
    <s v="Décharge"/>
    <x v="0"/>
    <m/>
    <s v="CONGO"/>
    <m/>
    <x v="0"/>
    <m/>
  </r>
  <r>
    <d v="2022-01-25T00:00:00"/>
    <s v="Cumul frais de transport local mois de Janvier 2022/Merveille"/>
    <x v="4"/>
    <s v="Management"/>
    <m/>
    <x v="63"/>
    <e v="#REF!"/>
    <x v="9"/>
    <s v="Décharge"/>
    <x v="1"/>
    <s v="RALFF"/>
    <s v="CONGO"/>
    <m/>
    <x v="3"/>
    <m/>
  </r>
  <r>
    <d v="2022-01-25T00:00:00"/>
    <s v="Reçu de caisse"/>
    <x v="1"/>
    <m/>
    <n v="40000"/>
    <x v="0"/>
    <e v="#REF!"/>
    <x v="7"/>
    <s v="Décharge"/>
    <x v="0"/>
    <m/>
    <s v="CONGO"/>
    <m/>
    <x v="0"/>
    <m/>
  </r>
  <r>
    <d v="2022-01-25T00:00:00"/>
    <s v="GODFRE - CONGO Frais d'hotel ( deux nuitées) du 23 au 25/01/2022 Dolisie"/>
    <x v="5"/>
    <s v="Legal"/>
    <m/>
    <x v="30"/>
    <e v="#REF!"/>
    <x v="8"/>
    <s v="Oui"/>
    <x v="1"/>
    <s v="RALFF"/>
    <s v="CONGO"/>
    <m/>
    <x v="4"/>
    <m/>
  </r>
  <r>
    <d v="2022-01-25T00:00:00"/>
    <s v="Achat billet retour (Dolisie- BZV)/Godfré"/>
    <x v="4"/>
    <s v="Legal"/>
    <m/>
    <x v="7"/>
    <e v="#REF!"/>
    <x v="8"/>
    <s v="Oui"/>
    <x v="1"/>
    <s v="RALFF"/>
    <s v="CONGO"/>
    <m/>
    <x v="3"/>
    <m/>
  </r>
  <r>
    <d v="2022-01-25T00:00:00"/>
    <s v="Achat billet Brazzaville-loudima/B52"/>
    <x v="4"/>
    <s v="Investigation"/>
    <m/>
    <x v="7"/>
    <e v="#REF!"/>
    <x v="4"/>
    <s v="Oui"/>
    <x v="2"/>
    <s v="PALF"/>
    <s v="CONGO"/>
    <m/>
    <x v="0"/>
    <m/>
  </r>
  <r>
    <d v="2022-01-25T00:00:00"/>
    <s v="Achat billet loudima-sibiti/B52"/>
    <x v="4"/>
    <s v="Investigation"/>
    <m/>
    <x v="38"/>
    <e v="#REF!"/>
    <x v="4"/>
    <s v="Oui"/>
    <x v="2"/>
    <s v="PALF"/>
    <s v="CONGO"/>
    <m/>
    <x v="0"/>
    <m/>
  </r>
  <r>
    <d v="2022-01-25T00:00:00"/>
    <s v="I23C - CONGO Food allowance mission Inoni-Ngabé du 25 au 27 janvier 2022"/>
    <x v="5"/>
    <s v="Investigation"/>
    <m/>
    <x v="6"/>
    <e v="#REF!"/>
    <x v="5"/>
    <s v="Décharge"/>
    <x v="1"/>
    <s v="RALFF"/>
    <s v="CONGO"/>
    <m/>
    <x v="4"/>
    <m/>
  </r>
  <r>
    <d v="2022-01-25T00:00:00"/>
    <s v="Taxi Brazzaville-Inoni (départ pour Inoni)/I23C"/>
    <x v="4"/>
    <s v="Investigation"/>
    <m/>
    <x v="50"/>
    <e v="#REF!"/>
    <x v="5"/>
    <s v="Oui"/>
    <x v="1"/>
    <s v="RALFF"/>
    <s v="CONGO"/>
    <m/>
    <x v="3"/>
    <m/>
  </r>
  <r>
    <d v="2022-01-25T00:00:00"/>
    <s v="Taxi moto Inoni-Ngabé (départ pour Ngabé)/I23C"/>
    <x v="4"/>
    <s v="Investigation"/>
    <m/>
    <x v="6"/>
    <e v="#REF!"/>
    <x v="5"/>
    <s v="Oui"/>
    <x v="1"/>
    <s v="RALFF"/>
    <s v="CONGO"/>
    <m/>
    <x v="3"/>
    <m/>
  </r>
  <r>
    <d v="2022-01-26T00:00:00"/>
    <s v="Reglement prestation Entretien bureau Mois de Janvier 2022/Odile"/>
    <x v="7"/>
    <s v="Office"/>
    <m/>
    <x v="64"/>
    <e v="#REF!"/>
    <x v="1"/>
    <s v="Oui"/>
    <x v="2"/>
    <s v="PALF"/>
    <s v="CONGO"/>
    <m/>
    <x v="0"/>
    <m/>
  </r>
  <r>
    <d v="2022-01-26T00:00:00"/>
    <s v="P29"/>
    <x v="1"/>
    <m/>
    <m/>
    <x v="65"/>
    <e v="#REF!"/>
    <x v="1"/>
    <s v="Décharge"/>
    <x v="0"/>
    <m/>
    <s v="CONGO"/>
    <m/>
    <x v="0"/>
    <m/>
  </r>
  <r>
    <d v="2022-01-26T00:00:00"/>
    <s v="Frais de transfert charden farell/P29"/>
    <x v="10"/>
    <s v="Office"/>
    <m/>
    <x v="66"/>
    <e v="#REF!"/>
    <x v="1"/>
    <s v="Oui"/>
    <x v="1"/>
    <s v="RALFF"/>
    <s v="CONGO"/>
    <m/>
    <x v="2"/>
    <m/>
  </r>
  <r>
    <d v="2022-01-26T00:00:00"/>
    <s v="Godfre"/>
    <x v="1"/>
    <m/>
    <m/>
    <x v="50"/>
    <e v="#REF!"/>
    <x v="1"/>
    <s v="Décharge"/>
    <x v="0"/>
    <m/>
    <s v="CONGO"/>
    <m/>
    <x v="0"/>
    <m/>
  </r>
  <r>
    <d v="2022-01-26T00:00:00"/>
    <s v="Godfre"/>
    <x v="1"/>
    <m/>
    <m/>
    <x v="17"/>
    <e v="#REF!"/>
    <x v="1"/>
    <s v="Décharge"/>
    <x v="0"/>
    <m/>
    <s v="CONGO"/>
    <m/>
    <x v="0"/>
    <m/>
  </r>
  <r>
    <d v="2022-01-26T00:00:00"/>
    <s v="Frais d'expédition du jugement"/>
    <x v="12"/>
    <s v="Legal"/>
    <m/>
    <x v="30"/>
    <e v="#REF!"/>
    <x v="7"/>
    <s v="Oui"/>
    <x v="2"/>
    <s v="PALF"/>
    <s v="CONGO"/>
    <m/>
    <x v="0"/>
    <m/>
  </r>
  <r>
    <d v="2022-01-26T00:00:00"/>
    <s v="Frais d'acte d'appel cas Ndovo Jonas"/>
    <x v="12"/>
    <s v="Legal"/>
    <m/>
    <x v="7"/>
    <e v="#REF!"/>
    <x v="7"/>
    <s v="Oui"/>
    <x v="2"/>
    <s v="PALF"/>
    <s v="CONGO"/>
    <m/>
    <x v="0"/>
    <m/>
  </r>
  <r>
    <d v="2022-01-26T00:00:00"/>
    <s v="Reçu caisse"/>
    <x v="1"/>
    <m/>
    <n v="7000"/>
    <x v="0"/>
    <e v="#REF!"/>
    <x v="8"/>
    <s v="Décharge"/>
    <x v="0"/>
    <m/>
    <s v="CONGO"/>
    <m/>
    <x v="0"/>
    <m/>
  </r>
  <r>
    <d v="2022-01-26T00:00:00"/>
    <s v="Reçu Caisse"/>
    <x v="1"/>
    <m/>
    <n v="91000"/>
    <x v="0"/>
    <e v="#REF!"/>
    <x v="8"/>
    <s v="Décharge"/>
    <x v="0"/>
    <m/>
    <s v="CONGO"/>
    <m/>
    <x v="0"/>
    <m/>
  </r>
  <r>
    <d v="2022-01-26T00:00:00"/>
    <s v="B52- CONGO frais d'hôtel du 25au 26/01/2022-Sibiti"/>
    <x v="5"/>
    <s v="Investigation"/>
    <m/>
    <x v="13"/>
    <e v="#REF!"/>
    <x v="4"/>
    <s v="Oui"/>
    <x v="2"/>
    <s v="PALF"/>
    <s v="CONGO"/>
    <m/>
    <x v="0"/>
    <m/>
  </r>
  <r>
    <d v="2022-01-26T00:00:00"/>
    <s v="achat billet sibiti-zanaga /B52"/>
    <x v="4"/>
    <s v="Investigation"/>
    <m/>
    <x v="7"/>
    <e v="#REF!"/>
    <x v="4"/>
    <s v="Oui"/>
    <x v="2"/>
    <s v="PALF"/>
    <s v="CONGO"/>
    <m/>
    <x v="0"/>
    <m/>
  </r>
  <r>
    <d v="2022-01-26T00:00:00"/>
    <s v="Cumul Frais Trust Building du Mois de Janvier 2022/I23C"/>
    <x v="20"/>
    <s v="Investigation"/>
    <m/>
    <x v="67"/>
    <e v="#REF!"/>
    <x v="5"/>
    <s v="Décharge"/>
    <x v="2"/>
    <s v="PALF"/>
    <s v="CONGO"/>
    <m/>
    <x v="0"/>
    <m/>
  </r>
  <r>
    <d v="2022-01-26T00:00:00"/>
    <s v="I23C - CONGO Paiement hotel une nuitée du 25 au 26 janvier 2022-Ngabé"/>
    <x v="5"/>
    <s v="Investigation"/>
    <m/>
    <x v="13"/>
    <e v="#REF!"/>
    <x v="5"/>
    <s v="Oui"/>
    <x v="1"/>
    <s v="RALFF"/>
    <s v="CONGO"/>
    <m/>
    <x v="4"/>
    <m/>
  </r>
  <r>
    <d v="2022-01-26T00:00:00"/>
    <s v="Taxi moto Ngabé-Inoni (retour à Inoni)/I23C"/>
    <x v="4"/>
    <s v="Investigation"/>
    <m/>
    <x v="6"/>
    <e v="#REF!"/>
    <x v="5"/>
    <s v="Oui"/>
    <x v="1"/>
    <s v="RALFF"/>
    <s v="CONGO"/>
    <m/>
    <x v="3"/>
    <m/>
  </r>
  <r>
    <d v="2022-01-26T00:00:00"/>
    <s v="Recu de caisse"/>
    <x v="1"/>
    <m/>
    <n v="103000"/>
    <x v="0"/>
    <e v="#REF!"/>
    <x v="6"/>
    <s v="Décharge"/>
    <x v="0"/>
    <m/>
    <s v="CONGO"/>
    <m/>
    <x v="0"/>
    <m/>
  </r>
  <r>
    <d v="2022-01-27T00:00:00"/>
    <s v="Cumul frais transport local mois de Janvier 2022/Tiffany"/>
    <x v="4"/>
    <s v="Management"/>
    <m/>
    <x v="38"/>
    <e v="#REF!"/>
    <x v="10"/>
    <s v="Décharge"/>
    <x v="1"/>
    <s v="RALFF"/>
    <s v="CONGO"/>
    <m/>
    <x v="3"/>
    <m/>
  </r>
  <r>
    <d v="2022-01-27T00:00:00"/>
    <s v="Achat billet aller (Brazzaville-Dolisie)/Godfré"/>
    <x v="4"/>
    <s v="Legal"/>
    <m/>
    <x v="7"/>
    <e v="#REF!"/>
    <x v="8"/>
    <s v="Oui"/>
    <x v="1"/>
    <s v="RALFF"/>
    <s v="CONGO"/>
    <m/>
    <x v="3"/>
    <m/>
  </r>
  <r>
    <d v="2022-01-27T00:00:00"/>
    <s v="GODFRE - CONGO Food Allowance du 27 au 29 Janvier 2022 Dolisie"/>
    <x v="5"/>
    <s v="Legal"/>
    <m/>
    <x v="6"/>
    <e v="#REF!"/>
    <x v="8"/>
    <s v="Décharge"/>
    <x v="1"/>
    <s v="RALFF"/>
    <s v="CONGO"/>
    <m/>
    <x v="4"/>
    <m/>
  </r>
  <r>
    <d v="2022-01-27T00:00:00"/>
    <s v="I23C - CONGO Paiement Hôtel du 26 au 27 janvier 2022-Inoni"/>
    <x v="5"/>
    <s v="Investigation"/>
    <m/>
    <x v="13"/>
    <e v="#REF!"/>
    <x v="5"/>
    <s v="Oui"/>
    <x v="1"/>
    <s v="RALFF"/>
    <s v="CONGO"/>
    <m/>
    <x v="4"/>
    <m/>
  </r>
  <r>
    <d v="2022-01-27T00:00:00"/>
    <s v="Taxi Inoni Falaise - Brazzaville (rétour à Brazza)/I23C"/>
    <x v="4"/>
    <s v="Investigation"/>
    <m/>
    <x v="50"/>
    <e v="#REF!"/>
    <x v="5"/>
    <s v="Oui"/>
    <x v="1"/>
    <s v="RALFF"/>
    <s v="CONGO"/>
    <m/>
    <x v="3"/>
    <m/>
  </r>
  <r>
    <d v="2022-01-27T00:00:00"/>
    <s v="Cumul frais de transport local janvier 2022/I23C"/>
    <x v="4"/>
    <s v="Investigation"/>
    <m/>
    <x v="68"/>
    <e v="#REF!"/>
    <x v="5"/>
    <s v="Décharge"/>
    <x v="1"/>
    <s v="RALFF"/>
    <s v="CONGO"/>
    <m/>
    <x v="3"/>
    <m/>
  </r>
  <r>
    <d v="2022-01-27T00:00:00"/>
    <s v="Achat billet owando-oyo/P29"/>
    <x v="4"/>
    <s v="Investigation"/>
    <m/>
    <x v="9"/>
    <e v="#REF!"/>
    <x v="6"/>
    <s v="Oui"/>
    <x v="1"/>
    <s v="RALFF"/>
    <s v="CONGO"/>
    <m/>
    <x v="3"/>
    <m/>
  </r>
  <r>
    <d v="2022-01-27T00:00:00"/>
    <s v="P29 - CONGO Paiement de 3 nuitées du 24 au 27/01/2022-Owando"/>
    <x v="5"/>
    <s v="Investigation"/>
    <m/>
    <x v="28"/>
    <e v="#REF!"/>
    <x v="6"/>
    <s v="Oui"/>
    <x v="1"/>
    <s v="RALFF"/>
    <s v="CONGO"/>
    <m/>
    <x v="4"/>
    <m/>
  </r>
  <r>
    <d v="2022-01-28T00:00:00"/>
    <s v="Retour Caisse Crépin /Avance Salaire recu le 18/01/22"/>
    <x v="1"/>
    <m/>
    <n v="20000"/>
    <x v="0"/>
    <e v="#REF!"/>
    <x v="1"/>
    <s v="Décharge"/>
    <x v="0"/>
    <m/>
    <s v="CONGO"/>
    <m/>
    <x v="0"/>
    <m/>
  </r>
  <r>
    <d v="2022-01-28T00:00:00"/>
    <s v="Retour à la caisse"/>
    <x v="1"/>
    <m/>
    <m/>
    <x v="6"/>
    <e v="#REF!"/>
    <x v="7"/>
    <s v="Décharge"/>
    <x v="0"/>
    <m/>
    <s v="CONGO"/>
    <m/>
    <x v="0"/>
    <m/>
  </r>
  <r>
    <d v="2022-01-28T00:00:00"/>
    <s v="Cumul frais de Jail Visits du mois de Janvier 2022/Godfré"/>
    <x v="13"/>
    <s v="Legal"/>
    <m/>
    <x v="69"/>
    <e v="#REF!"/>
    <x v="8"/>
    <s v="Décharge"/>
    <x v="2"/>
    <s v="PALF"/>
    <s v="CONGO"/>
    <m/>
    <x v="0"/>
    <m/>
  </r>
  <r>
    <d v="2022-01-28T00:00:00"/>
    <s v="GODFRE - CONGO Frais d'hotel ( deux nuitées) du 27 au29/01/2022 Dolisie"/>
    <x v="5"/>
    <s v="Legal"/>
    <m/>
    <x v="30"/>
    <e v="#REF!"/>
    <x v="8"/>
    <s v="Oui"/>
    <x v="1"/>
    <s v="RALFF"/>
    <s v="CONGO"/>
    <m/>
    <x v="4"/>
    <m/>
  </r>
  <r>
    <d v="2022-01-28T00:00:00"/>
    <s v="B52- CONGO Frais d'hôtel du 26au28/01/2022-Zanaga"/>
    <x v="5"/>
    <s v="Investigation"/>
    <m/>
    <x v="30"/>
    <e v="#REF!"/>
    <x v="4"/>
    <s v="Oui"/>
    <x v="2"/>
    <s v="PALF"/>
    <s v="CONGO"/>
    <m/>
    <x v="0"/>
    <m/>
  </r>
  <r>
    <d v="2022-01-28T00:00:00"/>
    <s v="B52- CONGO food allowance du 25 au 29/01/2022-Sibiti-Zanaga"/>
    <x v="5"/>
    <s v="Investigation"/>
    <m/>
    <x v="47"/>
    <e v="#REF!"/>
    <x v="4"/>
    <s v="Décharge"/>
    <x v="2"/>
    <s v="PALF"/>
    <s v="CONGO"/>
    <m/>
    <x v="0"/>
    <m/>
  </r>
  <r>
    <d v="2022-01-28T00:00:00"/>
    <s v="achat billet zanga-sibiti/B52"/>
    <x v="4"/>
    <s v="Investigation"/>
    <m/>
    <x v="7"/>
    <e v="#REF!"/>
    <x v="4"/>
    <s v="Oui"/>
    <x v="2"/>
    <s v="PALF"/>
    <s v="CONGO"/>
    <m/>
    <x v="0"/>
    <m/>
  </r>
  <r>
    <d v="2022-01-28T00:00:00"/>
    <s v="Cumul frais de Trust Building mois de  Janvier 2022/B52"/>
    <x v="20"/>
    <s v="Investigation"/>
    <m/>
    <x v="70"/>
    <e v="#REF!"/>
    <x v="4"/>
    <s v="Décharge"/>
    <x v="2"/>
    <s v="PALF"/>
    <s v="CONGO"/>
    <m/>
    <x v="0"/>
    <m/>
  </r>
  <r>
    <d v="2022-01-29T00:00:00"/>
    <s v="Achat billet retour Dolisie-Brazzaville/Godfré"/>
    <x v="4"/>
    <s v="Legal"/>
    <m/>
    <x v="7"/>
    <e v="#REF!"/>
    <x v="8"/>
    <s v="Oui"/>
    <x v="1"/>
    <s v="RALFF"/>
    <s v="CONGO"/>
    <m/>
    <x v="3"/>
    <m/>
  </r>
  <r>
    <d v="2022-01-29T00:00:00"/>
    <s v="B52- CONGO Frais d'hôtel du 28 au 29/01/2022-Sibiti"/>
    <x v="5"/>
    <s v="Investigation"/>
    <m/>
    <x v="13"/>
    <e v="#REF!"/>
    <x v="4"/>
    <s v="Oui"/>
    <x v="2"/>
    <s v="PALF"/>
    <s v="CONGO"/>
    <m/>
    <x v="0"/>
    <m/>
  </r>
  <r>
    <d v="2022-01-29T00:00:00"/>
    <s v="achat billet sibiti-loudima/B52"/>
    <x v="4"/>
    <s v="Investigation"/>
    <m/>
    <x v="38"/>
    <e v="#REF!"/>
    <x v="4"/>
    <s v="Oui"/>
    <x v="2"/>
    <s v="PALF"/>
    <s v="CONGO"/>
    <m/>
    <x v="0"/>
    <m/>
  </r>
  <r>
    <d v="2022-01-29T00:00:00"/>
    <s v="achat billet loudima-Brazzaville/B52"/>
    <x v="4"/>
    <s v="Investigation"/>
    <m/>
    <x v="7"/>
    <e v="#REF!"/>
    <x v="4"/>
    <s v="Oui"/>
    <x v="2"/>
    <s v="PALF"/>
    <s v="CONGO"/>
    <m/>
    <x v="0"/>
    <m/>
  </r>
  <r>
    <d v="2022-01-29T00:00:00"/>
    <s v="P29 - CONGO Paiement 2 nuitées du 27 au 29/01/2022-OYO"/>
    <x v="5"/>
    <s v="Investigation"/>
    <m/>
    <x v="30"/>
    <e v="#REF!"/>
    <x v="6"/>
    <s v="Oui"/>
    <x v="1"/>
    <s v="RALFF"/>
    <s v="CONGO"/>
    <m/>
    <x v="4"/>
    <m/>
  </r>
  <r>
    <d v="2022-01-29T00:00:00"/>
    <s v="Achat billet oyo-gamboma/P29"/>
    <x v="4"/>
    <s v="Investigation"/>
    <m/>
    <x v="9"/>
    <e v="#REF!"/>
    <x v="6"/>
    <s v="Oui"/>
    <x v="1"/>
    <s v="RALFF"/>
    <s v="CONGO"/>
    <m/>
    <x v="3"/>
    <m/>
  </r>
  <r>
    <d v="2022-01-29T00:00:00"/>
    <s v="Cumul Frais de Trust Building du Mois Janvier 2022/P29"/>
    <x v="20"/>
    <s v="Investigation"/>
    <m/>
    <x v="71"/>
    <e v="#REF!"/>
    <x v="6"/>
    <s v="Décharge"/>
    <x v="2"/>
    <s v="PALF"/>
    <s v="CONGO"/>
    <m/>
    <x v="0"/>
    <m/>
  </r>
  <r>
    <d v="2022-01-30T00:00:00"/>
    <s v="Cumul Frais de Transport Local du Mois Janvier  2022/P29"/>
    <x v="4"/>
    <s v="Investigation"/>
    <m/>
    <x v="72"/>
    <e v="#REF!"/>
    <x v="6"/>
    <s v="Décharge"/>
    <x v="1"/>
    <s v="RALFF"/>
    <s v="CONGO"/>
    <m/>
    <x v="3"/>
    <m/>
  </r>
  <r>
    <d v="2022-01-30T00:00:00"/>
    <s v="Achat billet gamboma-brazzaville/P29"/>
    <x v="4"/>
    <s v="Investigation"/>
    <m/>
    <x v="50"/>
    <e v="#REF!"/>
    <x v="6"/>
    <s v="Oui"/>
    <x v="1"/>
    <s v="RALFF"/>
    <s v="CONGO"/>
    <m/>
    <x v="3"/>
    <m/>
  </r>
  <r>
    <d v="2022-01-30T00:00:00"/>
    <s v="P29 - CONGO Paiement 1 nuitée du 29 au 30/01/2022-Gaboma"/>
    <x v="5"/>
    <s v="Investigation"/>
    <m/>
    <x v="13"/>
    <e v="#REF!"/>
    <x v="6"/>
    <s v="Oui"/>
    <x v="1"/>
    <s v="RALFF"/>
    <s v="CONGO"/>
    <m/>
    <x v="4"/>
    <m/>
  </r>
  <r>
    <d v="2022-01-31T00:00:00"/>
    <s v="Achat 02 cartouches d'encre/imprimante RICOH"/>
    <x v="9"/>
    <s v="Office"/>
    <m/>
    <x v="56"/>
    <e v="#REF!"/>
    <x v="1"/>
    <s v="Oui"/>
    <x v="1"/>
    <s v="RALFF"/>
    <s v="CONGO"/>
    <m/>
    <x v="7"/>
    <m/>
  </r>
  <r>
    <d v="2022-01-31T00:00:00"/>
    <s v="Paiement salaire mois de janvier 2022/Evariste LELOUSSI"/>
    <x v="14"/>
    <s v="Media"/>
    <m/>
    <x v="73"/>
    <e v="#REF!"/>
    <x v="1"/>
    <s v="Décharge"/>
    <x v="1"/>
    <s v="RALFF"/>
    <s v="CONGO"/>
    <m/>
    <x v="12"/>
    <m/>
  </r>
  <r>
    <d v="2022-01-31T00:00:00"/>
    <s v="Paiement Honoraire Me LOCKO CHRISTIAN/Mois de Janvier 2022"/>
    <x v="8"/>
    <s v="Legal"/>
    <m/>
    <x v="21"/>
    <e v="#REF!"/>
    <x v="2"/>
    <n v="3643606"/>
    <x v="1"/>
    <s v="RALFF"/>
    <s v="CONGO"/>
    <m/>
    <x v="17"/>
    <m/>
  </r>
  <r>
    <d v="2022-01-31T00:00:00"/>
    <s v="Reglement facture honoraire du mois de Janvier 2022/I23C/chq n°3643608"/>
    <x v="14"/>
    <s v="Investigation"/>
    <m/>
    <x v="74"/>
    <e v="#REF!"/>
    <x v="2"/>
    <n v="3643608"/>
    <x v="1"/>
    <s v="RALFF"/>
    <s v="CONGO"/>
    <m/>
    <x v="18"/>
    <m/>
  </r>
  <r>
    <d v="2022-01-31T00:00:00"/>
    <s v="Reglement facture honoraire du mois de Janvier 2022/P29/chq n°3643609"/>
    <x v="14"/>
    <s v="Investigation"/>
    <m/>
    <x v="75"/>
    <e v="#REF!"/>
    <x v="2"/>
    <n v="3643609"/>
    <x v="1"/>
    <s v="RALFF"/>
    <s v="CONGO"/>
    <m/>
    <x v="18"/>
    <m/>
  </r>
  <r>
    <d v="2022-01-31T00:00:00"/>
    <s v="Acompte  honoraires contrat n°41/Brazzaville/Me SCRUTIN MOUYETI cas NGATSE Serge /3643610"/>
    <x v="8"/>
    <s v="Legal"/>
    <m/>
    <x v="76"/>
    <e v="#REF!"/>
    <x v="2"/>
    <n v="3643610"/>
    <x v="1"/>
    <s v="RALFF"/>
    <s v="CONGO"/>
    <m/>
    <x v="6"/>
    <m/>
  </r>
  <r>
    <d v="2022-01-31T00:00:00"/>
    <s v="Retour Caisse sur Achat Telephone/Grace"/>
    <x v="1"/>
    <m/>
    <m/>
    <x v="13"/>
    <e v="#REF!"/>
    <x v="11"/>
    <s v="Décharge"/>
    <x v="0"/>
    <m/>
    <s v="CONGO"/>
    <m/>
    <x v="0"/>
    <m/>
  </r>
  <r>
    <d v="2022-01-31T00:00:00"/>
    <s v="Cumul Frais de transport local du mois de Janvier 2021/Grace"/>
    <x v="4"/>
    <s v="Management"/>
    <m/>
    <x v="77"/>
    <e v="#REF!"/>
    <x v="11"/>
    <s v="Décharge"/>
    <x v="1"/>
    <s v="RALFF"/>
    <s v="CONGO"/>
    <m/>
    <x v="3"/>
    <m/>
  </r>
  <r>
    <d v="2022-01-31T00:00:00"/>
    <s v="Cumul frais de Transport Local Mois Janvier 2022/Crépin"/>
    <x v="4"/>
    <s v="Management"/>
    <m/>
    <x v="78"/>
    <e v="#REF!"/>
    <x v="7"/>
    <s v="Décharge"/>
    <x v="1"/>
    <s v="RALFF"/>
    <s v="CONGO"/>
    <m/>
    <x v="3"/>
    <m/>
  </r>
  <r>
    <d v="2022-01-31T00:00:00"/>
    <s v="Cumul frais de transport local janvier 2022/Godfré"/>
    <x v="4"/>
    <s v="Legal"/>
    <m/>
    <x v="79"/>
    <e v="#REF!"/>
    <x v="8"/>
    <s v="Décharge"/>
    <x v="1"/>
    <s v="RALFF"/>
    <s v="CONGO"/>
    <m/>
    <x v="3"/>
    <m/>
  </r>
  <r>
    <d v="2022-01-31T00:00:00"/>
    <s v="Cumul frais de ration journalière Janvier 2022/B52"/>
    <x v="5"/>
    <s v="Investigation"/>
    <m/>
    <x v="7"/>
    <e v="#REF!"/>
    <x v="4"/>
    <s v="Décharge"/>
    <x v="2"/>
    <s v="PALF"/>
    <s v="CONGO"/>
    <m/>
    <x v="0"/>
    <m/>
  </r>
  <r>
    <d v="2022-01-31T00:00:00"/>
    <s v="Cumul frais de transport local Janvier 2022/B52"/>
    <x v="4"/>
    <s v="Investigation"/>
    <m/>
    <x v="80"/>
    <e v="#REF!"/>
    <x v="4"/>
    <s v="Décharge"/>
    <x v="2"/>
    <s v="PALF"/>
    <s v="CONGO"/>
    <m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30">
  <r>
    <d v="2022-01-01T00:00:00"/>
    <s v="Solde au 01/12/2021"/>
    <m/>
    <m/>
    <m/>
    <m/>
    <n v="10222494"/>
    <m/>
    <m/>
    <x v="0"/>
    <m/>
    <s v="CONGO"/>
    <m/>
    <m/>
    <m/>
  </r>
  <r>
    <d v="2022-01-03T00:00:00"/>
    <s v="B52"/>
    <s v="Versement"/>
    <m/>
    <m/>
    <n v="156000"/>
    <n v="10066494"/>
    <s v="Caisse"/>
    <s v="Décharge"/>
    <x v="0"/>
    <m/>
    <s v="CONGO"/>
    <m/>
    <m/>
    <m/>
  </r>
  <r>
    <d v="2022-01-03T00:00:00"/>
    <s v="I23"/>
    <s v="Versement"/>
    <m/>
    <m/>
    <n v="143000"/>
    <n v="9923494"/>
    <s v="Caisse"/>
    <s v="Décharge"/>
    <x v="0"/>
    <m/>
    <s v="CONGO"/>
    <m/>
    <m/>
    <m/>
  </r>
  <r>
    <d v="2022-01-03T00:00:00"/>
    <s v="P29"/>
    <s v="Versement"/>
    <m/>
    <m/>
    <n v="136000"/>
    <n v="9787494"/>
    <s v="Caisse"/>
    <s v="Décharge"/>
    <x v="0"/>
    <m/>
    <s v="CONGO"/>
    <m/>
    <m/>
    <m/>
  </r>
  <r>
    <d v="2022-01-03T00:00:00"/>
    <s v="Achat credit  teléphonique MTN/PALF/Prémière partie Janvier 2022/Management"/>
    <s v="Telephone"/>
    <s v="Management "/>
    <m/>
    <n v="21000"/>
    <n v="9766494"/>
    <s v="Caisse"/>
    <s v="Oui"/>
    <x v="1"/>
    <s v="RALFF"/>
    <s v="CONGO"/>
    <m/>
    <s v="4.6"/>
    <m/>
  </r>
  <r>
    <d v="2022-01-03T00:00:00"/>
    <s v="Achat credit  teléphonique MTN/PALF/Prémière partie Janvier 2022/Légal"/>
    <s v="Telephone"/>
    <s v="Legal"/>
    <m/>
    <n v="37000"/>
    <n v="9729494"/>
    <s v="Caisse"/>
    <s v="Oui"/>
    <x v="1"/>
    <s v="RALFF"/>
    <s v="CONGO"/>
    <m/>
    <s v="4.6"/>
    <m/>
  </r>
  <r>
    <d v="2022-01-03T00:00:00"/>
    <s v="Achat credit  teléphonique MTN/PALF/Prémière partie Janvier 2022/Investigation"/>
    <s v="Telephone"/>
    <s v="Investigation"/>
    <m/>
    <n v="20000"/>
    <n v="9709494"/>
    <s v="Caisse"/>
    <s v="Oui"/>
    <x v="1"/>
    <s v="RALFF"/>
    <s v="CONGO"/>
    <m/>
    <s v="4.6"/>
    <m/>
  </r>
  <r>
    <d v="2022-01-03T00:00:00"/>
    <s v="Achat credit  teléphonique MTN/PALF/Prémière partie Janvier 2022/iInvestigation Volontaire"/>
    <s v="Telephone"/>
    <s v="Investigation"/>
    <m/>
    <n v="10000"/>
    <n v="9699494"/>
    <s v="Caisse"/>
    <s v="Oui"/>
    <x v="2"/>
    <s v="PALF"/>
    <s v="CONGO"/>
    <m/>
    <m/>
    <m/>
  </r>
  <r>
    <d v="2022-01-03T00:00:00"/>
    <s v="Achat credit  teléphonique Airtel/PALF/Prémière partie Janvier 2022/Management"/>
    <s v="Telephone"/>
    <s v="Management "/>
    <m/>
    <n v="32000"/>
    <n v="9667494"/>
    <s v="Caisse"/>
    <s v="Oui"/>
    <x v="1"/>
    <s v="RALFF"/>
    <s v="CONGO"/>
    <m/>
    <s v="4.6"/>
    <m/>
  </r>
  <r>
    <d v="2022-01-03T00:00:00"/>
    <s v="Achat credit  teléphonique Airtel/PALF/Prémière partie Janvier 2022/Légal"/>
    <s v="Telephone"/>
    <s v="Legal"/>
    <m/>
    <n v="5000"/>
    <n v="9662494"/>
    <s v="Caisse"/>
    <s v="Oui"/>
    <x v="1"/>
    <s v="RALFF"/>
    <s v="CONGO"/>
    <m/>
    <s v="4.6"/>
    <m/>
  </r>
  <r>
    <d v="2022-01-03T00:00:00"/>
    <s v="Achat credit  teléphonique Airtel/PALF/Prémière partie Janvier 2022/Investigation"/>
    <s v="Telephone"/>
    <s v="Investigation"/>
    <m/>
    <n v="32000"/>
    <n v="9630494"/>
    <s v="Caisse"/>
    <s v="Oui"/>
    <x v="1"/>
    <s v="RALFF"/>
    <s v="CONGO"/>
    <m/>
    <s v="4.6"/>
    <m/>
  </r>
  <r>
    <d v="2022-01-03T00:00:00"/>
    <s v="Achat credit  teléphonique Airtel/PALF/Prémière partie Janvier 2022/Investigation Vonlontaire"/>
    <s v="Telephone"/>
    <s v="Investigation"/>
    <m/>
    <n v="16000"/>
    <n v="9614494"/>
    <s v="Caisse"/>
    <s v="Oui"/>
    <x v="2"/>
    <s v="PALF"/>
    <s v="CONGO"/>
    <m/>
    <m/>
    <m/>
  </r>
  <r>
    <d v="2022-01-03T00:00:00"/>
    <s v="Frais bancaire Compte 56"/>
    <s v="Bank Fees"/>
    <s v="Office"/>
    <m/>
    <n v="16252"/>
    <n v="9598242"/>
    <s v="BCI-Sous Compte"/>
    <s v="Relevé"/>
    <x v="1"/>
    <s v="RALFF"/>
    <s v="CONGO"/>
    <m/>
    <s v="5.6"/>
    <m/>
  </r>
  <r>
    <d v="2022-01-03T00:00:00"/>
    <s v="Cumul frais bancaire Janvier 2022/Compte 34"/>
    <s v="Bank Fees"/>
    <s v="Office"/>
    <m/>
    <n v="23345"/>
    <n v="9574897"/>
    <s v="BCI"/>
    <s v="Relevé"/>
    <x v="2"/>
    <s v="PALF"/>
    <s v="CONGO"/>
    <m/>
    <m/>
    <m/>
  </r>
  <r>
    <d v="2022-01-03T00:00:00"/>
    <s v="reçu de caisse"/>
    <s v="Versement"/>
    <m/>
    <n v="156000"/>
    <m/>
    <n v="9730897"/>
    <s v="B52"/>
    <s v="Décharge"/>
    <x v="0"/>
    <m/>
    <s v="CONGO"/>
    <m/>
    <m/>
    <m/>
  </r>
  <r>
    <d v="2022-01-03T00:00:00"/>
    <s v="Réçu de caisse"/>
    <s v="Versement"/>
    <m/>
    <n v="143000"/>
    <m/>
    <n v="9873897"/>
    <s v="i23c"/>
    <s v="Décharge"/>
    <x v="0"/>
    <m/>
    <s v="CONGO"/>
    <m/>
    <m/>
    <m/>
  </r>
  <r>
    <d v="2022-01-03T00:00:00"/>
    <s v="Achat billet Brazzaville-Pointe Noire (cfr mission PN)/I23C"/>
    <s v="Transport"/>
    <s v="Investigation"/>
    <m/>
    <n v="15000"/>
    <n v="9858897"/>
    <s v="i23c"/>
    <s v="Oui"/>
    <x v="1"/>
    <s v="RALFF"/>
    <s v="CONGO"/>
    <m/>
    <s v="2.2"/>
    <m/>
  </r>
  <r>
    <d v="2022-01-03T00:00:00"/>
    <s v="Recu de caisse"/>
    <s v="Versement"/>
    <m/>
    <n v="136000"/>
    <m/>
    <n v="9994897"/>
    <s v="P29"/>
    <s v="Décharge"/>
    <x v="0"/>
    <m/>
    <s v="CONGO"/>
    <m/>
    <m/>
    <m/>
  </r>
  <r>
    <d v="2022-01-04T00:00:00"/>
    <s v="P29 - CONGO Food allowance mission du 04 au 12/01/2022 Cuvette-Cuvette Ouest"/>
    <s v="Travel Subsistence"/>
    <s v="Investigation"/>
    <m/>
    <n v="80000"/>
    <n v="9914897"/>
    <s v="P29"/>
    <s v="Décharge"/>
    <x v="1"/>
    <s v="RALFF"/>
    <s v="CONGO"/>
    <m/>
    <s v="1.3.2"/>
    <m/>
  </r>
  <r>
    <d v="2022-01-04T00:00:00"/>
    <s v="Achat billet brazzaville-makoua/P29"/>
    <s v="Transport"/>
    <s v="Investigation"/>
    <m/>
    <n v="15000"/>
    <n v="9899897"/>
    <s v="P29"/>
    <s v="Oui"/>
    <x v="1"/>
    <s v="RALFF"/>
    <s v="CONGO"/>
    <m/>
    <s v="2.2"/>
    <m/>
  </r>
  <r>
    <d v="2022-01-04T00:00:00"/>
    <s v="Reglement loyer mois de Décembre 2021/Bureau PALF"/>
    <s v="Rent &amp; Utilities"/>
    <s v="Office"/>
    <m/>
    <n v="500000"/>
    <n v="9399897"/>
    <s v="BCI-Sous Compte"/>
    <n v="3643592"/>
    <x v="1"/>
    <s v="RALFF"/>
    <s v="CONGO"/>
    <m/>
    <s v="4.2"/>
    <m/>
  </r>
  <r>
    <d v="2022-01-04T00:00:00"/>
    <s v="Reglement Facture Gardiennage Mois de Décembre 2021"/>
    <s v="Services"/>
    <s v="Office"/>
    <m/>
    <n v="260000"/>
    <n v="9139897"/>
    <s v="BCI"/>
    <n v="3654466"/>
    <x v="2"/>
    <s v="PALF"/>
    <s v="CONGO"/>
    <m/>
    <m/>
    <m/>
  </r>
  <r>
    <d v="2022-01-04T00:00:00"/>
    <s v="achat billet Brazzaville-pointe noire/B52"/>
    <s v="Transport"/>
    <s v="Investigation"/>
    <m/>
    <n v="15000"/>
    <n v="9124897"/>
    <s v="B52"/>
    <s v="Oui"/>
    <x v="2"/>
    <s v="PALF"/>
    <s v="CONGO"/>
    <m/>
    <m/>
    <m/>
  </r>
  <r>
    <d v="2022-01-04T00:00:00"/>
    <s v="B52- CONGO food allowance du 04 au 12 /01/2022 Pointe Noire-Sibiti-Lekana"/>
    <s v="Travel Subsistence"/>
    <s v="Investigation"/>
    <m/>
    <n v="80000"/>
    <n v="9044897"/>
    <s v="B52"/>
    <s v="Décharge"/>
    <x v="2"/>
    <s v="PALF"/>
    <s v="CONGO"/>
    <m/>
    <m/>
    <m/>
  </r>
  <r>
    <d v="2022-01-04T00:00:00"/>
    <s v="I23C - CONGO Food allowance mission du 4 au 12/1/2022-PNR-Nzassi-les Saras-Dolisie"/>
    <s v="Travel Subsistence"/>
    <s v="Investigation"/>
    <m/>
    <n v="80000"/>
    <n v="8964897"/>
    <s v="i23c"/>
    <s v="Décharge"/>
    <x v="1"/>
    <s v="RALFF"/>
    <s v="CONGO"/>
    <m/>
    <s v="1.3.2"/>
    <m/>
  </r>
  <r>
    <d v="2022-01-05T00:00:00"/>
    <s v="BCI-3643595/56"/>
    <s v="Versement"/>
    <m/>
    <n v="1000000"/>
    <m/>
    <n v="9964897"/>
    <s v="Caisse"/>
    <s v="Décharge"/>
    <x v="0"/>
    <m/>
    <s v="CONGO"/>
    <m/>
    <m/>
    <m/>
  </r>
  <r>
    <d v="2022-01-05T00:00:00"/>
    <s v="BCI-3654467/34"/>
    <s v="Versement"/>
    <m/>
    <n v="1000000"/>
    <m/>
    <n v="10964897"/>
    <s v="Caisse"/>
    <s v="Décharge"/>
    <x v="0"/>
    <m/>
    <s v="CONGO"/>
    <m/>
    <m/>
    <m/>
  </r>
  <r>
    <d v="2022-01-05T00:00:00"/>
    <s v="Crépin"/>
    <s v="Versement"/>
    <m/>
    <m/>
    <n v="91000"/>
    <n v="10873897"/>
    <s v="Caisse"/>
    <s v="Décharge"/>
    <x v="0"/>
    <m/>
    <s v="CONGO"/>
    <m/>
    <m/>
    <m/>
  </r>
  <r>
    <d v="2022-01-05T00:00:00"/>
    <s v="Frais de mission à dolisie du 06 au 08 Janvier 2022 maitre SCRUTIN MOUYETI/cas NZIHOU Arly"/>
    <s v="Lawyer Fees"/>
    <s v="Legal"/>
    <m/>
    <n v="76000"/>
    <n v="10797897"/>
    <s v="Caisse"/>
    <s v="Oui"/>
    <x v="1"/>
    <s v="RALFF"/>
    <s v="CONGO"/>
    <m/>
    <s v="5.2.2"/>
    <m/>
  </r>
  <r>
    <d v="2022-01-05T00:00:00"/>
    <s v="Achat cartons Rame papier,encreur,desagrafeur et enveloppe DL"/>
    <s v="Office Materials"/>
    <s v="Office"/>
    <m/>
    <n v="74000"/>
    <n v="10723897"/>
    <s v="Caisse"/>
    <s v="Oui"/>
    <x v="1"/>
    <s v="RALFF"/>
    <s v="CONGO"/>
    <m/>
    <s v="4.3"/>
    <m/>
  </r>
  <r>
    <d v="2022-01-05T00:00:00"/>
    <s v="Retrait especes/appro caisse/bord n°3643595"/>
    <s v="Versement"/>
    <m/>
    <m/>
    <n v="1000000"/>
    <n v="9723897"/>
    <s v="BCI-Sous Compte"/>
    <n v="3643595"/>
    <x v="0"/>
    <m/>
    <s v="CONGO"/>
    <m/>
    <m/>
    <m/>
  </r>
  <r>
    <d v="2022-01-05T00:00:00"/>
    <s v="Retrait especes/appro caisse/bord n°3654467"/>
    <s v="Versement"/>
    <m/>
    <m/>
    <n v="1000000"/>
    <n v="8723897"/>
    <s v="BCI"/>
    <n v="3654467"/>
    <x v="0"/>
    <m/>
    <s v="CONGO"/>
    <m/>
    <m/>
    <m/>
  </r>
  <r>
    <d v="2022-01-05T00:00:00"/>
    <s v="Reçu de caisse"/>
    <s v="Versement"/>
    <m/>
    <n v="91000"/>
    <m/>
    <n v="8814897"/>
    <s v="Crépin"/>
    <s v="Décharge"/>
    <x v="0"/>
    <m/>
    <s v="CONGO"/>
    <m/>
    <m/>
    <m/>
  </r>
  <r>
    <d v="2022-01-06T00:00:00"/>
    <s v="Billet: Brazzaville-Dolissie/Crépin"/>
    <s v="Transport"/>
    <s v="Management"/>
    <m/>
    <n v="10000"/>
    <n v="8804897"/>
    <s v="Crépin"/>
    <s v="Oui"/>
    <x v="1"/>
    <s v="RALFF"/>
    <s v="CONGO"/>
    <m/>
    <s v="2.2"/>
    <m/>
  </r>
  <r>
    <d v="2022-01-06T00:00:00"/>
    <s v="B52"/>
    <s v="Versement"/>
    <m/>
    <m/>
    <n v="150000"/>
    <n v="8654897"/>
    <s v="Caisse"/>
    <s v="Décharge"/>
    <x v="0"/>
    <m/>
    <s v="CONGO"/>
    <m/>
    <m/>
    <m/>
  </r>
  <r>
    <d v="2022-01-06T00:00:00"/>
    <s v="I23C"/>
    <s v="Versement"/>
    <m/>
    <m/>
    <n v="150000"/>
    <n v="8504897"/>
    <s v="Caisse"/>
    <s v="Décharge"/>
    <x v="0"/>
    <m/>
    <s v="CONGO"/>
    <m/>
    <m/>
    <m/>
  </r>
  <r>
    <d v="2022-01-06T00:00:00"/>
    <s v="P29"/>
    <s v="Versement"/>
    <m/>
    <m/>
    <n v="150000"/>
    <n v="8354897"/>
    <s v="Caisse"/>
    <s v="Décharge"/>
    <x v="0"/>
    <m/>
    <s v="CONGO"/>
    <m/>
    <m/>
    <m/>
  </r>
  <r>
    <d v="2022-01-06T00:00:00"/>
    <s v="Frais de Transfert Charden Farell/I23,P29 et B52"/>
    <s v="Transfer Fees"/>
    <s v="Office"/>
    <m/>
    <n v="13500"/>
    <n v="8341397"/>
    <s v="Caisse"/>
    <s v="Oui"/>
    <x v="1"/>
    <s v="RALFF"/>
    <s v="CONGO"/>
    <m/>
    <s v="5.6"/>
    <m/>
  </r>
  <r>
    <d v="2022-01-06T00:00:00"/>
    <s v="Reglement facture E²C/ période Novembre-Décembre 2021/bureau PALF"/>
    <s v="Rent &amp; Utilities"/>
    <s v="Office"/>
    <m/>
    <n v="74175"/>
    <n v="8267222"/>
    <s v="Caisse"/>
    <s v="Oui"/>
    <x v="1"/>
    <s v="RALFF"/>
    <s v="CONGO"/>
    <m/>
    <s v="4.4"/>
    <m/>
  </r>
  <r>
    <d v="2022-01-06T00:00:00"/>
    <s v="CREPIN-CONGO Food-Allowance du 06 au 08/01/2022 à Dolisie"/>
    <s v="Travel Subsistence"/>
    <s v="Management"/>
    <m/>
    <n v="20000"/>
    <n v="8247222"/>
    <s v="Crépin"/>
    <s v="Décharge"/>
    <x v="1"/>
    <s v="RALFF"/>
    <s v="CONGO"/>
    <m/>
    <s v="1.3.2"/>
    <m/>
  </r>
  <r>
    <d v="2022-01-06T00:00:00"/>
    <s v="Recu de caisse"/>
    <s v="Versement"/>
    <m/>
    <n v="150000"/>
    <m/>
    <n v="8397222"/>
    <s v="P29"/>
    <s v="Décharge"/>
    <x v="0"/>
    <m/>
    <s v="CONGO"/>
    <m/>
    <m/>
    <m/>
  </r>
  <r>
    <d v="2022-01-06T00:00:00"/>
    <s v="reçu de caisse"/>
    <s v="Versement"/>
    <m/>
    <n v="150000"/>
    <m/>
    <n v="8547222"/>
    <s v="B52"/>
    <s v="Décharge"/>
    <x v="0"/>
    <m/>
    <s v="CONGO"/>
    <m/>
    <m/>
    <m/>
  </r>
  <r>
    <d v="2022-01-07T00:00:00"/>
    <s v="Frais expedition courrier au Gabon (pièces comptables RALFF Mois de novembre 2021)"/>
    <s v="Flight"/>
    <s v="Office"/>
    <m/>
    <n v="18000"/>
    <n v="8529222"/>
    <s v="Caisse"/>
    <s v="Oui"/>
    <x v="1"/>
    <s v="RALFF"/>
    <s v="CONGO"/>
    <m/>
    <n v="7"/>
    <m/>
  </r>
  <r>
    <d v="2022-01-07T00:00:00"/>
    <s v="Crépin"/>
    <s v="Versement"/>
    <m/>
    <m/>
    <n v="50000"/>
    <n v="8479222"/>
    <s v="Caisse"/>
    <s v="Décharge"/>
    <x v="0"/>
    <m/>
    <s v="CONGO"/>
    <m/>
    <m/>
    <m/>
  </r>
  <r>
    <d v="2022-01-07T00:00:00"/>
    <s v="Frais de Transfert Charden Farell/Crépin"/>
    <s v="Transfer Fees"/>
    <s v="Office"/>
    <m/>
    <n v="1500"/>
    <n v="8477722"/>
    <s v="Caisse"/>
    <s v="Oui"/>
    <x v="1"/>
    <s v="RALFF"/>
    <s v="CONGO"/>
    <m/>
    <s v="5.6"/>
    <m/>
  </r>
  <r>
    <d v="2022-01-07T00:00:00"/>
    <s v="Frais de retrait de l'ordonnace d'instruction"/>
    <s v="Court Fees"/>
    <s v="Legal"/>
    <m/>
    <n v="50000"/>
    <n v="8427722"/>
    <s v="Crépin"/>
    <s v="Oui"/>
    <x v="2"/>
    <s v="PALF"/>
    <s v="CONGO"/>
    <m/>
    <m/>
    <m/>
  </r>
  <r>
    <d v="2022-01-07T00:00:00"/>
    <s v="Reçu de caisse"/>
    <s v="Versement"/>
    <m/>
    <n v="50000"/>
    <m/>
    <n v="8477722"/>
    <s v="Crépin"/>
    <s v="Décharge"/>
    <x v="0"/>
    <m/>
    <s v="CONGO"/>
    <m/>
    <m/>
    <m/>
  </r>
  <r>
    <d v="2022-01-07T00:00:00"/>
    <s v="Cumul frais de Jail Visites Janvier 2022/Crépin"/>
    <s v="Jail Visits"/>
    <s v="Legal"/>
    <m/>
    <n v="9000"/>
    <n v="8468722"/>
    <s v="Crépin"/>
    <s v="Décharge"/>
    <x v="2"/>
    <s v="PALF"/>
    <s v="CONGO"/>
    <m/>
    <m/>
    <m/>
  </r>
  <r>
    <d v="2022-01-08T00:00:00"/>
    <s v="Billet: Dolisie-Brazzaville/Crépin"/>
    <s v="Transport"/>
    <s v="Management"/>
    <m/>
    <n v="10000"/>
    <n v="8458722"/>
    <s v="Crépin"/>
    <s v="Oui"/>
    <x v="1"/>
    <s v="RALFF"/>
    <s v="CONGO"/>
    <m/>
    <s v="2.2"/>
    <m/>
  </r>
  <r>
    <d v="2022-01-07T00:00:00"/>
    <s v="B52- CONGO frais d'hôtel du 04 au 07/01/2022 - Pointe Noire"/>
    <s v="Travel Subsistence"/>
    <s v="Investigation"/>
    <m/>
    <n v="45000"/>
    <n v="8413722"/>
    <s v="B52"/>
    <s v="Oui"/>
    <x v="2"/>
    <s v="PALF"/>
    <s v="CONGO"/>
    <m/>
    <m/>
    <m/>
  </r>
  <r>
    <d v="2022-01-07T00:00:00"/>
    <s v="achat billet pointe noire-sibiti/B52"/>
    <s v="Transport"/>
    <s v="Investigation"/>
    <m/>
    <n v="10000"/>
    <n v="8403722"/>
    <s v="B52"/>
    <s v="Oui"/>
    <x v="2"/>
    <s v="PALF"/>
    <s v="CONGO"/>
    <m/>
    <m/>
    <m/>
  </r>
  <r>
    <d v="2022-01-07T00:00:00"/>
    <s v="P29 - CONGO Paiement 3 nuitées du 04  au 07/01/2022 -Makoua"/>
    <s v="Travel Subsistence"/>
    <s v="Investigation"/>
    <m/>
    <n v="45000"/>
    <n v="8358722"/>
    <s v="P29"/>
    <s v="Oui"/>
    <x v="1"/>
    <s v="RALFF"/>
    <s v="CONGO"/>
    <m/>
    <s v="1.3.2"/>
    <m/>
  </r>
  <r>
    <d v="2022-01-07T00:00:00"/>
    <s v="Achat billet makoua-etoumbi/P29"/>
    <s v="Transport"/>
    <s v="Investigation"/>
    <m/>
    <n v="8000"/>
    <n v="8350722"/>
    <s v="P29"/>
    <s v="Oui"/>
    <x v="1"/>
    <s v="RALFF"/>
    <s v="CONGO"/>
    <m/>
    <s v="2.2"/>
    <m/>
  </r>
  <r>
    <d v="2022-01-08T00:00:00"/>
    <s v="CREPIN-CONGO 02 Nuitées à Dolisie du 06 au 08/01/2022"/>
    <s v="Travel Subsistence"/>
    <s v="Management"/>
    <m/>
    <n v="30000"/>
    <n v="8320722"/>
    <s v="Crépin"/>
    <s v="Oui"/>
    <x v="1"/>
    <s v="RALFF"/>
    <s v="CONGO"/>
    <m/>
    <s v="1.3.2"/>
    <m/>
  </r>
  <r>
    <d v="2022-01-08T00:00:00"/>
    <s v="Taxi Pointe Noire - NZASSI La frontière (prospection)/I23C"/>
    <s v="Transport"/>
    <s v="Investigation"/>
    <m/>
    <n v="5000"/>
    <n v="8315722"/>
    <s v="i23c"/>
    <s v="Oui"/>
    <x v="1"/>
    <s v="RALFF"/>
    <s v="CONGO"/>
    <m/>
    <s v="2.2"/>
    <m/>
  </r>
  <r>
    <d v="2022-01-08T00:00:00"/>
    <s v="Taxi NZASSI La frontière-Pointe Noire (retour à PN)/I23C"/>
    <s v="Transport"/>
    <s v="Investigation"/>
    <m/>
    <n v="5000"/>
    <n v="8310722"/>
    <s v="i23c"/>
    <s v="Oui"/>
    <x v="1"/>
    <s v="RALFF"/>
    <s v="CONGO"/>
    <m/>
    <s v="2.2"/>
    <m/>
  </r>
  <r>
    <d v="2022-01-08T00:00:00"/>
    <s v="Réçu de caisse"/>
    <s v="Versement"/>
    <m/>
    <n v="150000"/>
    <m/>
    <n v="8460722"/>
    <s v="i23c"/>
    <s v="Décharge"/>
    <x v="0"/>
    <m/>
    <s v="CONGO"/>
    <m/>
    <m/>
    <m/>
  </r>
  <r>
    <d v="2022-01-09T00:00:00"/>
    <s v="achat billet sibiti-zanaga/B52"/>
    <s v="Transport"/>
    <s v="Investigation"/>
    <m/>
    <n v="10000"/>
    <n v="8450722"/>
    <s v="B52"/>
    <s v="Oui"/>
    <x v="2"/>
    <s v="PALF"/>
    <s v="CONGO"/>
    <m/>
    <m/>
    <m/>
  </r>
  <r>
    <d v="2022-01-09T00:00:00"/>
    <s v="B52- CONGO frais d'hôtel du 07 au 09/01/2022-Sibiti"/>
    <s v="Travel Subsistence"/>
    <s v="Investigation"/>
    <m/>
    <n v="30000"/>
    <n v="8420722"/>
    <s v="B52"/>
    <s v="Oui"/>
    <x v="2"/>
    <s v="PALF"/>
    <s v="CONGO"/>
    <m/>
    <m/>
    <m/>
  </r>
  <r>
    <d v="2022-01-09T00:00:00"/>
    <s v="I23C - CONGO Paiement hôtel 5 nuitées du 4 au 9/1/2022 Pointe Noire"/>
    <s v="Travel Subsistence"/>
    <s v="Investigation"/>
    <m/>
    <n v="75000"/>
    <n v="8345722"/>
    <s v="i23c"/>
    <s v="Oui"/>
    <x v="1"/>
    <s v="RALFF"/>
    <s v="CONGO"/>
    <m/>
    <s v="1.3.2"/>
    <m/>
  </r>
  <r>
    <d v="2022-01-09T00:00:00"/>
    <s v="Achat billet Pointe Noire-Les SARAS (départ pour Les Saras)/I23C"/>
    <s v="Transport"/>
    <s v="Investigation"/>
    <m/>
    <n v="5000"/>
    <n v="8340722"/>
    <s v="i23c"/>
    <s v="Oui"/>
    <x v="1"/>
    <s v="RALFF"/>
    <s v="CONGO"/>
    <m/>
    <s v="2.2"/>
    <m/>
  </r>
  <r>
    <d v="2022-01-09T00:00:00"/>
    <s v="Taxi Les SARAS-Dolisie (départ pour Dolisie)/I23C"/>
    <s v="Transport"/>
    <s v="Investigation"/>
    <m/>
    <n v="5000"/>
    <n v="8335722"/>
    <s v="i23c"/>
    <s v="Oui"/>
    <x v="1"/>
    <s v="RALFF"/>
    <s v="CONGO"/>
    <m/>
    <s v="2.2"/>
    <m/>
  </r>
  <r>
    <d v="2022-01-09T00:00:00"/>
    <s v="P29 - CONGO Paiement 2 nuitées du 07 au 09/01/2022-Etoumbi"/>
    <s v="Travel Subsistence"/>
    <s v="Investigation"/>
    <m/>
    <n v="30000"/>
    <n v="8305722"/>
    <s v="P29"/>
    <s v="Oui"/>
    <x v="1"/>
    <s v="RALFF"/>
    <s v="CONGO"/>
    <m/>
    <s v="1.3.2"/>
    <m/>
  </r>
  <r>
    <d v="2022-01-09T00:00:00"/>
    <s v="Achat billet etoumbi-makoua/P29"/>
    <s v="Transport"/>
    <s v="Investigation"/>
    <m/>
    <n v="8000"/>
    <n v="8297722"/>
    <s v="P29"/>
    <s v="Oui"/>
    <x v="1"/>
    <s v="RALFF"/>
    <s v="CONGO"/>
    <m/>
    <s v="2.2"/>
    <m/>
  </r>
  <r>
    <d v="2022-01-10T00:00:00"/>
    <s v="Crépin"/>
    <s v="Versement"/>
    <m/>
    <m/>
    <n v="35000"/>
    <e v="#REF!"/>
    <s v="Caisse"/>
    <s v="Décharge"/>
    <x v="0"/>
    <m/>
    <s v="CONGO"/>
    <m/>
    <m/>
    <m/>
  </r>
  <r>
    <d v="2022-01-10T00:00:00"/>
    <s v="Reçu de caisse"/>
    <s v="Versement"/>
    <m/>
    <n v="35000"/>
    <m/>
    <e v="#REF!"/>
    <s v="Crépin"/>
    <s v="Décharge"/>
    <x v="0"/>
    <m/>
    <s v="CONGO"/>
    <m/>
    <m/>
    <m/>
  </r>
  <r>
    <d v="2022-01-10T00:00:00"/>
    <s v="B52- CONGO frais d'hôtel du 9 au 11/01/2022-Zanaga"/>
    <s v="Travel Subsistence"/>
    <s v="Investigation"/>
    <m/>
    <n v="30000"/>
    <e v="#REF!"/>
    <s v="B52"/>
    <s v="Oui"/>
    <x v="2"/>
    <s v="PALF"/>
    <s v="CONGO"/>
    <m/>
    <m/>
    <m/>
  </r>
  <r>
    <d v="2022-01-11T00:00:00"/>
    <s v="Crépin"/>
    <s v="Versement"/>
    <m/>
    <m/>
    <n v="20000"/>
    <e v="#REF!"/>
    <s v="Caisse"/>
    <s v="Décharge"/>
    <x v="0"/>
    <m/>
    <s v="CONGO"/>
    <m/>
    <m/>
    <m/>
  </r>
  <r>
    <d v="2022-01-11T00:00:00"/>
    <s v="Reçu de caisse"/>
    <s v="Versement"/>
    <m/>
    <n v="20000"/>
    <m/>
    <e v="#REF!"/>
    <s v="Crépin"/>
    <s v="Décharge"/>
    <x v="0"/>
    <m/>
    <s v="CONGO"/>
    <m/>
    <m/>
    <m/>
  </r>
  <r>
    <d v="2022-01-11T00:00:00"/>
    <s v="achat billet zanaga-sibiti/B52"/>
    <s v="Transport"/>
    <s v="Investigation"/>
    <m/>
    <n v="10000"/>
    <e v="#REF!"/>
    <s v="B52"/>
    <s v="Oui"/>
    <x v="2"/>
    <s v="PALF"/>
    <s v="CONGO"/>
    <m/>
    <m/>
    <m/>
  </r>
  <r>
    <d v="2022-01-11T00:00:00"/>
    <s v="Achat billet Dolisie-Brazzaville /I23C"/>
    <s v="Transport"/>
    <s v="Investigation"/>
    <m/>
    <n v="10000"/>
    <e v="#REF!"/>
    <s v="i23c"/>
    <s v="Oui"/>
    <x v="1"/>
    <s v="RALFF"/>
    <s v="CONGO"/>
    <m/>
    <s v="2.2"/>
    <m/>
  </r>
  <r>
    <d v="2022-01-12T00:00:00"/>
    <s v="B52- CONGO frais d'hôtel du 11 au 12/01/2022-Sibiti"/>
    <s v="Travel Subsistence"/>
    <s v="Investigation"/>
    <m/>
    <n v="15000"/>
    <e v="#REF!"/>
    <s v="B52"/>
    <s v="Oui"/>
    <x v="2"/>
    <s v="PALF"/>
    <s v="CONGO"/>
    <m/>
    <m/>
    <m/>
  </r>
  <r>
    <d v="2022-01-12T00:00:00"/>
    <s v="Godfre"/>
    <s v="Versement"/>
    <m/>
    <m/>
    <n v="91000"/>
    <e v="#REF!"/>
    <s v="Caisse"/>
    <s v="Décharge"/>
    <x v="0"/>
    <m/>
    <s v="CONGO"/>
    <m/>
    <m/>
    <m/>
  </r>
  <r>
    <d v="2022-01-12T00:00:00"/>
    <s v="Paiement CNSS quatrième trimestre/OCTOBRE,NOVEMBRE ET DECEMBRE 2021/Grace"/>
    <s v="Personnel"/>
    <s v="Management"/>
    <m/>
    <n v="215485"/>
    <e v="#REF!"/>
    <s v="BCI-Sous Compte"/>
    <n v="3643597"/>
    <x v="1"/>
    <s v="RALFF"/>
    <s v="CONGO"/>
    <m/>
    <s v="1.1.2.1"/>
    <m/>
  </r>
  <r>
    <d v="2022-01-12T00:00:00"/>
    <s v="Paiement CNSS quatrième trimestre/OCTOBRE,NOVEMBRE ET DECEMBRE 2021/Crepin"/>
    <s v="Personnel"/>
    <s v="Management"/>
    <m/>
    <n v="221126"/>
    <e v="#REF!"/>
    <s v="BCI-Sous Compte"/>
    <n v="3643597"/>
    <x v="1"/>
    <s v="RALFF"/>
    <s v="CONGO"/>
    <m/>
    <s v="1.1.1.7"/>
    <m/>
  </r>
  <r>
    <d v="2022-01-12T00:00:00"/>
    <s v="Paiement CNSS quatrième trimestre/OCTOBRE,NOVEMBRE ET DECEMBRE 2021/Merveille"/>
    <s v="Personnel"/>
    <s v="Management"/>
    <m/>
    <n v="161862"/>
    <e v="#REF!"/>
    <s v="BCI-Sous Compte"/>
    <n v="3643597"/>
    <x v="1"/>
    <s v="RALFF"/>
    <s v="CONGO"/>
    <m/>
    <s v="1.1.2.1"/>
    <m/>
  </r>
  <r>
    <d v="2022-01-12T00:00:00"/>
    <s v="Paiement CNSS quatrième trimestre/OCTOBRE,NOVEMBRE ET DECEMBRE 2021/Evariste"/>
    <s v="Personnel"/>
    <s v="Media"/>
    <m/>
    <n v="124348"/>
    <e v="#REF!"/>
    <s v="BCI-Sous Compte"/>
    <n v="3643597"/>
    <x v="1"/>
    <s v="RALFF"/>
    <s v="CONGO"/>
    <m/>
    <s v="1.1.1.4"/>
    <m/>
  </r>
  <r>
    <d v="2022-01-12T00:00:00"/>
    <s v="Paiement CNSS quatrième trimestre/OCTOBRE,NOVEMBRE ET DECEMBRE 2021/Godfre"/>
    <s v="Personnel"/>
    <s v="Legal"/>
    <m/>
    <n v="51747"/>
    <e v="#REF!"/>
    <s v="BCI-Sous Compte"/>
    <n v="3643597"/>
    <x v="1"/>
    <s v="RALFF"/>
    <s v="CONGO"/>
    <m/>
    <s v="1.1.1.7"/>
    <m/>
  </r>
  <r>
    <d v="2022-01-12T00:00:00"/>
    <s v="Reçu Caisse"/>
    <s v="Versement"/>
    <m/>
    <n v="91000"/>
    <m/>
    <e v="#REF!"/>
    <s v="Godfré"/>
    <s v="Décharge"/>
    <x v="0"/>
    <m/>
    <s v="CONGO"/>
    <m/>
    <m/>
    <m/>
  </r>
  <r>
    <d v="2022-01-12T00:00:00"/>
    <s v="Achat billet aller ( BZV-Dolisie)/Godfré"/>
    <s v="Transport"/>
    <s v="Legal"/>
    <m/>
    <n v="10000"/>
    <e v="#REF!"/>
    <s v="Godfré"/>
    <s v="Oui"/>
    <x v="1"/>
    <s v="RALFF"/>
    <s v="CONGO"/>
    <m/>
    <s v="2.2"/>
    <m/>
  </r>
  <r>
    <d v="2022-01-12T00:00:00"/>
    <s v="achat billet sibiti- loudima pour une correspondance/B52"/>
    <s v="Transport"/>
    <s v="Investigation"/>
    <m/>
    <n v="4000"/>
    <e v="#REF!"/>
    <s v="B52"/>
    <s v="Oui"/>
    <x v="2"/>
    <s v="PALF"/>
    <s v="CONGO"/>
    <m/>
    <m/>
    <m/>
  </r>
  <r>
    <d v="2022-01-12T00:00:00"/>
    <s v="achat billet loudima-Brazzaville/B52"/>
    <s v="Transport"/>
    <s v="Investigation"/>
    <m/>
    <n v="10000"/>
    <e v="#REF!"/>
    <s v="B52"/>
    <s v="Oui"/>
    <x v="2"/>
    <s v="PALF"/>
    <s v="CONGO"/>
    <m/>
    <m/>
    <m/>
  </r>
  <r>
    <d v="2022-01-12T00:00:00"/>
    <s v="I23C - CONGO Paiement Hôtel 09 au 12/01/2021-Dolisie"/>
    <s v="Travel Subsistence"/>
    <s v="Investigation"/>
    <m/>
    <n v="45000"/>
    <e v="#REF!"/>
    <s v="i23c"/>
    <s v="Oui"/>
    <x v="1"/>
    <s v="RALFF"/>
    <s v="CONGO"/>
    <m/>
    <s v="1.3.2"/>
    <m/>
  </r>
  <r>
    <d v="2022-01-12T00:00:00"/>
    <s v="Achat billet owando-brazzaville/P29"/>
    <s v="Transport"/>
    <s v="Investigation"/>
    <m/>
    <n v="12000"/>
    <e v="#REF!"/>
    <s v="P29"/>
    <s v="Oui"/>
    <x v="1"/>
    <s v="RALFF"/>
    <s v="CONGO"/>
    <m/>
    <s v="2.2"/>
    <m/>
  </r>
  <r>
    <d v="2022-01-12T00:00:00"/>
    <s v="P29 - CONGO Paiement 3 nuitées du 09 au 12/01/2022-Makoua"/>
    <s v="Travel Subsistence"/>
    <s v="Investigation"/>
    <m/>
    <n v="45000"/>
    <e v="#REF!"/>
    <s v="P29"/>
    <s v="Oui"/>
    <x v="1"/>
    <s v="RALFF"/>
    <s v="CONGO"/>
    <m/>
    <s v="1.3.2"/>
    <m/>
  </r>
  <r>
    <d v="2022-01-13T00:00:00"/>
    <s v="Merveille"/>
    <s v="Versement"/>
    <m/>
    <m/>
    <n v="20000"/>
    <e v="#REF!"/>
    <s v="Caisse"/>
    <s v="Décharge"/>
    <x v="0"/>
    <m/>
    <s v="CONGO"/>
    <m/>
    <m/>
    <m/>
  </r>
  <r>
    <d v="2022-01-13T00:00:00"/>
    <s v="Reçu caisse"/>
    <s v="Versement"/>
    <m/>
    <n v="20000"/>
    <m/>
    <e v="#REF!"/>
    <s v="Merveille"/>
    <s v="Décharge"/>
    <x v="0"/>
    <m/>
    <s v="CONGO"/>
    <m/>
    <m/>
    <m/>
  </r>
  <r>
    <d v="2022-01-13T00:00:00"/>
    <s v="GODFRE - CONGO Food Allowance du 13 au 15/01/2022 Dolisie"/>
    <s v="Travel Subsistence"/>
    <s v="Legal"/>
    <m/>
    <n v="20000"/>
    <e v="#REF!"/>
    <s v="Godfré"/>
    <s v="Décharge"/>
    <x v="1"/>
    <s v="RALFF"/>
    <s v="CONGO"/>
    <m/>
    <s v="1.3.2"/>
    <m/>
  </r>
  <r>
    <d v="2022-01-14T00:00:00"/>
    <s v="Recharge bouteille de gaz /cuisine bureau"/>
    <s v="Office Materials"/>
    <s v="Office"/>
    <m/>
    <n v="6500"/>
    <e v="#REF!"/>
    <s v="Caisse"/>
    <s v="Oui"/>
    <x v="2"/>
    <s v="PALF"/>
    <s v="CONGO"/>
    <m/>
    <m/>
    <m/>
  </r>
  <r>
    <d v="2022-01-14T00:00:00"/>
    <s v="I23c"/>
    <s v="Versement"/>
    <m/>
    <m/>
    <n v="10000"/>
    <e v="#REF!"/>
    <s v="Caisse"/>
    <s v="Décharge"/>
    <x v="0"/>
    <m/>
    <s v="CONGO"/>
    <m/>
    <m/>
    <m/>
  </r>
  <r>
    <d v="2022-01-14T00:00:00"/>
    <s v="B52"/>
    <s v="Versement"/>
    <m/>
    <m/>
    <n v="30000"/>
    <e v="#REF!"/>
    <s v="Caisse"/>
    <s v="Décharge"/>
    <x v="0"/>
    <m/>
    <s v="CONGO"/>
    <m/>
    <m/>
    <m/>
  </r>
  <r>
    <d v="2022-01-14T00:00:00"/>
    <s v="reçu de caisse"/>
    <s v="Versement"/>
    <m/>
    <n v="30000"/>
    <m/>
    <e v="#REF!"/>
    <s v="B52"/>
    <s v="Décharge"/>
    <x v="0"/>
    <m/>
    <s v="CONGO"/>
    <m/>
    <m/>
    <m/>
  </r>
  <r>
    <d v="2022-01-15T00:00:00"/>
    <s v="GODFRE - CONGO Frais d'hotel ( deux nuitées) du 13 au 15/01/2022 Dolisie"/>
    <s v="Travel Subsistence"/>
    <s v="Legal"/>
    <m/>
    <n v="30000"/>
    <e v="#REF!"/>
    <s v="Godfré"/>
    <s v="Oui"/>
    <x v="1"/>
    <s v="RALFF"/>
    <s v="CONGO"/>
    <m/>
    <s v="1.3.2"/>
    <m/>
  </r>
  <r>
    <d v="2022-01-15T00:00:00"/>
    <s v="Achat billet retour (Dolisie-Brazzaville)/Godfré"/>
    <s v="Transport"/>
    <s v="Legal"/>
    <m/>
    <n v="10000"/>
    <e v="#REF!"/>
    <s v="Godfré"/>
    <s v="Oui"/>
    <x v="1"/>
    <s v="RALFF"/>
    <s v="CONGO"/>
    <m/>
    <s v="2.2"/>
    <m/>
  </r>
  <r>
    <d v="2022-01-17T00:00:00"/>
    <s v="Achat credit  teléphonique MTN/PALF/Deuxième partie Janvier 2022/Management"/>
    <s v="Telephone"/>
    <s v="Management "/>
    <m/>
    <n v="31000"/>
    <e v="#REF!"/>
    <s v="Caisse"/>
    <s v="Oui"/>
    <x v="1"/>
    <s v="RALFF"/>
    <s v="CONGO"/>
    <m/>
    <s v="4.6"/>
    <m/>
  </r>
  <r>
    <d v="2022-01-17T00:00:00"/>
    <s v="Achat credit  teléphonique MTN/PALF/Deuxième partie Janvier 2022/Légal"/>
    <s v="Telephone"/>
    <s v="Legal"/>
    <m/>
    <n v="15000"/>
    <e v="#REF!"/>
    <s v="Caisse"/>
    <s v="Oui"/>
    <x v="1"/>
    <s v="RALFF"/>
    <s v="CONGO"/>
    <m/>
    <s v="4.6"/>
    <m/>
  </r>
  <r>
    <d v="2022-01-17T00:00:00"/>
    <s v="Achat credit  teléphonique MTN/PALF/Deuxième partie Janvier 2022/Investigation"/>
    <s v="Telephone"/>
    <s v="Investigation"/>
    <m/>
    <n v="20000"/>
    <e v="#REF!"/>
    <s v="Caisse"/>
    <s v="Oui"/>
    <x v="1"/>
    <s v="RALFF"/>
    <s v="CONGO"/>
    <m/>
    <s v="4.6"/>
    <m/>
  </r>
  <r>
    <d v="2022-01-17T00:00:00"/>
    <s v="Achat credit  teléphonique MTN/PALF/Deuxième partie Janvier 2022/iInvestigation Volontaire"/>
    <s v="Telephone"/>
    <s v="Investigation"/>
    <m/>
    <n v="10000"/>
    <e v="#REF!"/>
    <s v="Caisse"/>
    <s v="Oui"/>
    <x v="2"/>
    <s v="PALF"/>
    <s v="CONGO"/>
    <m/>
    <m/>
    <m/>
  </r>
  <r>
    <d v="2022-01-17T00:00:00"/>
    <s v="Achat credit  teléphonique Airtel/PALF/Deuxième partie Janvier 2022/Management"/>
    <s v="Telephone"/>
    <s v="Management "/>
    <m/>
    <n v="15000"/>
    <e v="#REF!"/>
    <s v="Caisse"/>
    <s v="Oui"/>
    <x v="1"/>
    <s v="RALFF"/>
    <s v="CONGO"/>
    <m/>
    <s v="4.6"/>
    <m/>
  </r>
  <r>
    <d v="2022-01-17T00:00:00"/>
    <s v="Achat credit  teléphonique Airtel/PALF/Deuxième partie Janvier 2022/Légal"/>
    <s v="Telephone"/>
    <s v="Legal"/>
    <m/>
    <n v="5000"/>
    <e v="#REF!"/>
    <s v="Caisse"/>
    <s v="Oui"/>
    <x v="1"/>
    <s v="RALFF"/>
    <s v="CONGO"/>
    <m/>
    <s v="4.6"/>
    <m/>
  </r>
  <r>
    <d v="2022-01-17T00:00:00"/>
    <s v="Achat credit  teléphonique Airtel/PALF/Deuxième partie Janvier 2022/Investigation"/>
    <s v="Telephone"/>
    <s v="Investigation"/>
    <m/>
    <n v="10000"/>
    <e v="#REF!"/>
    <s v="Caisse"/>
    <s v="Oui"/>
    <x v="1"/>
    <s v="RALFF"/>
    <s v="CONGO"/>
    <m/>
    <s v="4.6"/>
    <m/>
  </r>
  <r>
    <d v="2022-01-17T00:00:00"/>
    <s v="Achat credit  teléphonique Airtel/PALF/Deuxième partie Janvier 2022/Investigation Vonlontaire"/>
    <s v="Telephone"/>
    <s v="Investigation"/>
    <m/>
    <n v="5000"/>
    <e v="#REF!"/>
    <s v="Caisse"/>
    <s v="Oui"/>
    <x v="2"/>
    <s v="PALF"/>
    <s v="CONGO"/>
    <m/>
    <m/>
    <m/>
  </r>
  <r>
    <d v="2022-01-17T00:00:00"/>
    <s v="P29"/>
    <s v="Versement"/>
    <m/>
    <m/>
    <n v="31000"/>
    <e v="#REF!"/>
    <s v="Caisse"/>
    <s v="Décharge"/>
    <x v="0"/>
    <m/>
    <s v="CONGO"/>
    <m/>
    <m/>
    <m/>
  </r>
  <r>
    <d v="2022-01-17T00:00:00"/>
    <s v="B52"/>
    <s v="Versement"/>
    <m/>
    <m/>
    <n v="10000"/>
    <e v="#REF!"/>
    <s v="Caisse"/>
    <s v="Décharge"/>
    <x v="0"/>
    <m/>
    <s v="CONGO"/>
    <m/>
    <m/>
    <m/>
  </r>
  <r>
    <d v="2022-01-17T00:00:00"/>
    <s v="reçu de caisse"/>
    <s v="Versement"/>
    <m/>
    <n v="10000"/>
    <m/>
    <e v="#REF!"/>
    <s v="B52"/>
    <s v="Décharge"/>
    <x v="0"/>
    <m/>
    <s v="CONGO"/>
    <m/>
    <m/>
    <m/>
  </r>
  <r>
    <d v="2022-01-17T00:00:00"/>
    <s v="Réçu de caisse"/>
    <s v="Versement"/>
    <m/>
    <n v="10000"/>
    <m/>
    <e v="#REF!"/>
    <s v="i23c"/>
    <s v="Décharge"/>
    <x v="0"/>
    <m/>
    <s v="CONGO"/>
    <m/>
    <m/>
    <m/>
  </r>
  <r>
    <d v="2022-01-17T00:00:00"/>
    <s v="Recu de caisse"/>
    <s v="Versement"/>
    <m/>
    <n v="31000"/>
    <m/>
    <e v="#REF!"/>
    <s v="P29"/>
    <s v="Décharge"/>
    <x v="0"/>
    <m/>
    <s v="CONGO"/>
    <m/>
    <m/>
    <m/>
  </r>
  <r>
    <d v="2022-01-18T00:00:00"/>
    <s v="Crépin/Avance sur salaire "/>
    <s v="Versement"/>
    <m/>
    <m/>
    <n v="20000"/>
    <e v="#REF!"/>
    <s v="Caisse"/>
    <s v="Décharge"/>
    <x v="0"/>
    <m/>
    <s v="CONGO"/>
    <m/>
    <m/>
    <m/>
  </r>
  <r>
    <d v="2022-01-18T00:00:00"/>
    <s v="Frais de supplément bagage (Equipement PALF) / Tiffany"/>
    <s v="Flight"/>
    <s v="Management"/>
    <m/>
    <n v="42637"/>
    <e v="#REF!"/>
    <s v="Tiffany"/>
    <s v="Oui"/>
    <x v="1"/>
    <s v="RALFF"/>
    <s v="CONGO"/>
    <m/>
    <s v="2.1"/>
    <m/>
  </r>
  <r>
    <d v="2022-01-18T00:00:00"/>
    <s v="Achat 02 PC Ultra LENOVO IdealPad 314IGL"/>
    <s v="Equipement"/>
    <s v="Management"/>
    <m/>
    <n v="382633"/>
    <e v="#REF!"/>
    <s v="Tiffany"/>
    <s v="Oui"/>
    <x v="1"/>
    <s v="RALFF"/>
    <s v="CONGO"/>
    <m/>
    <s v="3.2"/>
    <m/>
  </r>
  <r>
    <d v="2022-01-18T00:00:00"/>
    <s v="Achat 01 Enceinte Baladeur Sans Fil JBLG "/>
    <s v="Equipement"/>
    <s v="Management"/>
    <m/>
    <n v="21863"/>
    <e v="#REF!"/>
    <s v="Tiffany"/>
    <s v="Oui"/>
    <x v="1"/>
    <s v="RALFF"/>
    <s v="CONGO"/>
    <m/>
    <s v="3.2"/>
    <m/>
  </r>
  <r>
    <d v="2022-01-18T00:00:00"/>
    <s v="Achat 01 Smartphone Xiaomi Redmi Note 9 Pro 6,667"/>
    <s v="Equipement"/>
    <s v="Management"/>
    <m/>
    <n v="108777"/>
    <e v="#REF!"/>
    <s v="Tiffany"/>
    <s v="Oui"/>
    <x v="1"/>
    <s v="RALFF"/>
    <s v="CONGO"/>
    <m/>
    <s v="3.2"/>
    <m/>
  </r>
  <r>
    <d v="2022-01-18T00:00:00"/>
    <s v="Reçu de caisse (avance sur salaire)"/>
    <s v="Versement"/>
    <m/>
    <n v="20000"/>
    <m/>
    <e v="#REF!"/>
    <s v="Crépin"/>
    <s v="Décharge"/>
    <x v="0"/>
    <m/>
    <s v="CONGO"/>
    <m/>
    <m/>
    <m/>
  </r>
  <r>
    <d v="2022-01-18T00:00:00"/>
    <s v="P29 - CONGO Food allowance mission du 18 au 19/01/2022- île Mbamu "/>
    <s v="Travel Subsistence"/>
    <s v="Investigation"/>
    <m/>
    <n v="10000"/>
    <e v="#REF!"/>
    <s v="P29"/>
    <s v="Décharge"/>
    <x v="1"/>
    <s v="RALFF"/>
    <s v="CONGO"/>
    <m/>
    <s v="1.3.2"/>
    <m/>
  </r>
  <r>
    <d v="2022-01-19T00:00:00"/>
    <s v="B52"/>
    <s v="Versement"/>
    <m/>
    <m/>
    <n v="15000"/>
    <e v="#REF!"/>
    <s v="Caisse"/>
    <s v="Décharge"/>
    <x v="0"/>
    <m/>
    <s v="CONGO"/>
    <m/>
    <m/>
    <m/>
  </r>
  <r>
    <d v="2022-01-19T00:00:00"/>
    <s v="B52"/>
    <s v="Versement"/>
    <m/>
    <m/>
    <n v="30000"/>
    <e v="#REF!"/>
    <s v="Caisse"/>
    <s v="Décharge"/>
    <x v="0"/>
    <m/>
    <s v="CONGO"/>
    <m/>
    <m/>
    <m/>
  </r>
  <r>
    <d v="2022-01-19T00:00:00"/>
    <s v="Achat lait sucre café et produits de nettoyage"/>
    <s v="Office Materials"/>
    <s v="Office"/>
    <m/>
    <n v="26900"/>
    <e v="#REF!"/>
    <s v="Caisse"/>
    <s v="Oui"/>
    <x v="1"/>
    <s v="RALFF"/>
    <s v="CONGO"/>
    <m/>
    <s v="4.3"/>
    <m/>
  </r>
  <r>
    <d v="2022-01-19T00:00:00"/>
    <s v="Fond Reçu de UE"/>
    <s v="Grant"/>
    <m/>
    <n v="17525203"/>
    <m/>
    <e v="#REF!"/>
    <s v="BCI-Sous Compte"/>
    <s v="Relevé"/>
    <x v="1"/>
    <s v="RALFF"/>
    <s v="CONGO"/>
    <m/>
    <m/>
    <m/>
  </r>
  <r>
    <d v="2022-01-19T00:00:00"/>
    <s v="Frais Test COVID Aéroport / Tiffany"/>
    <s v="Travel Expenses "/>
    <s v="Management"/>
    <m/>
    <n v="40000"/>
    <e v="#REF!"/>
    <s v="Tiffany"/>
    <s v="Oui"/>
    <x v="2"/>
    <s v="PALF"/>
    <s v="CONGO"/>
    <m/>
    <m/>
    <m/>
  </r>
  <r>
    <d v="2022-01-19T00:00:00"/>
    <s v="reçu de caisse"/>
    <s v="Versement"/>
    <m/>
    <n v="30000"/>
    <m/>
    <e v="#REF!"/>
    <s v="B52"/>
    <s v="Décharge"/>
    <x v="0"/>
    <m/>
    <s v="CONGO"/>
    <m/>
    <m/>
    <m/>
  </r>
  <r>
    <d v="2022-01-19T00:00:00"/>
    <s v="reçu de caisse"/>
    <s v="Versement"/>
    <m/>
    <n v="15000"/>
    <m/>
    <e v="#REF!"/>
    <s v="B52"/>
    <s v="Décharge"/>
    <x v="0"/>
    <m/>
    <s v="CONGO"/>
    <m/>
    <m/>
    <m/>
  </r>
  <r>
    <d v="2022-01-19T00:00:00"/>
    <s v="Réçu de caisse"/>
    <s v="Versement"/>
    <m/>
    <n v="69000"/>
    <m/>
    <e v="#REF!"/>
    <s v="i23c"/>
    <s v="Décharge"/>
    <x v="0"/>
    <m/>
    <s v="CONGO"/>
    <m/>
    <m/>
    <m/>
  </r>
  <r>
    <d v="2022-01-19T00:00:00"/>
    <s v="P29 - CONGO Paiement d'une nuitée du 18 au 19/01/2022- île Mbamu (Village Lisanga)"/>
    <s v="Travel Subsistence"/>
    <s v="Investigation"/>
    <m/>
    <n v="15000"/>
    <e v="#REF!"/>
    <s v="P29"/>
    <s v="Oui"/>
    <x v="1"/>
    <s v="RALFF"/>
    <s v="CONGO"/>
    <m/>
    <s v="1.3.2"/>
    <m/>
  </r>
  <r>
    <d v="2022-01-20T00:00:00"/>
    <s v="Godfre/Avance sur salaire"/>
    <s v="Versement"/>
    <m/>
    <m/>
    <n v="25000"/>
    <e v="#REF!"/>
    <s v="Caisse"/>
    <s v="Décharge"/>
    <x v="0"/>
    <m/>
    <s v="CONGO"/>
    <m/>
    <m/>
    <m/>
  </r>
  <r>
    <d v="2022-01-20T00:00:00"/>
    <s v="I23c"/>
    <s v="Versement"/>
    <m/>
    <m/>
    <n v="69000"/>
    <e v="#REF!"/>
    <s v="Caisse"/>
    <s v="Décharge"/>
    <x v="0"/>
    <m/>
    <s v="CONGO"/>
    <m/>
    <m/>
    <m/>
  </r>
  <r>
    <d v="2022-01-20T00:00:00"/>
    <s v="Reçu Caisse/Avance sur Salaire"/>
    <s v="Versement"/>
    <m/>
    <n v="25000"/>
    <m/>
    <e v="#REF!"/>
    <s v="Godfré"/>
    <s v="Décharge"/>
    <x v="0"/>
    <m/>
    <s v="CONGO"/>
    <m/>
    <m/>
    <m/>
  </r>
  <r>
    <d v="2022-01-21T00:00:00"/>
    <s v="I23C - CONGO Food allowance mission du 21 au 22 Janvier 2022-Inoni"/>
    <s v="Travel Subsistence"/>
    <s v="Investigation"/>
    <m/>
    <n v="10000"/>
    <e v="#REF!"/>
    <s v="i23c"/>
    <s v="Décharge"/>
    <x v="1"/>
    <s v="RALFF"/>
    <s v="CONGO"/>
    <m/>
    <s v="1.3.2"/>
    <m/>
  </r>
  <r>
    <d v="2022-01-21T00:00:00"/>
    <s v="Taxi Brazza-Inoni Falaise (départ pour Inoni)/I23C"/>
    <s v="Transport"/>
    <s v="Investigation"/>
    <m/>
    <n v="7000"/>
    <e v="#REF!"/>
    <s v="i23c"/>
    <s v="Oui"/>
    <x v="1"/>
    <s v="RALFF"/>
    <s v="CONGO"/>
    <m/>
    <s v="2.2"/>
    <m/>
  </r>
  <r>
    <d v="2022-01-21T00:00:00"/>
    <s v="B52"/>
    <s v="Versement"/>
    <m/>
    <m/>
    <n v="10000"/>
    <e v="#REF!"/>
    <s v="Caisse"/>
    <s v="Décharge"/>
    <x v="0"/>
    <m/>
    <s v="CONGO"/>
    <m/>
    <m/>
    <m/>
  </r>
  <r>
    <d v="2022-01-21T00:00:00"/>
    <s v="Godfre"/>
    <s v="Versement"/>
    <m/>
    <m/>
    <n v="91000"/>
    <e v="#REF!"/>
    <s v="Caisse"/>
    <s v="Décharge"/>
    <x v="0"/>
    <m/>
    <s v="CONGO"/>
    <m/>
    <m/>
    <m/>
  </r>
  <r>
    <d v="2022-01-21T00:00:00"/>
    <s v="Godfre"/>
    <s v="Versement"/>
    <m/>
    <m/>
    <n v="60000"/>
    <e v="#REF!"/>
    <s v="Caisse"/>
    <s v="Décharge"/>
    <x v="0"/>
    <m/>
    <s v="CONGO"/>
    <m/>
    <m/>
    <m/>
  </r>
  <r>
    <d v="2022-01-21T00:00:00"/>
    <s v="Frais de mission à dolisie du 23 au 25 Janvier 2022 maitre SCRUTIN MOUYETI/Suivi juridique"/>
    <s v="Lawyer Fees"/>
    <s v="Legal"/>
    <m/>
    <n v="66000"/>
    <e v="#REF!"/>
    <s v="Caisse"/>
    <s v="Oui"/>
    <x v="1"/>
    <s v="RALFF"/>
    <s v="CONGO"/>
    <m/>
    <s v="5.2.2"/>
    <m/>
  </r>
  <r>
    <d v="2022-01-21T00:00:00"/>
    <s v="P29"/>
    <s v="Versement"/>
    <m/>
    <m/>
    <n v="110000"/>
    <e v="#REF!"/>
    <s v="Caisse"/>
    <s v="Décharge"/>
    <x v="0"/>
    <m/>
    <s v="CONGO"/>
    <m/>
    <m/>
    <m/>
  </r>
  <r>
    <d v="2022-01-21T00:00:00"/>
    <s v="Tiffany/remboursement frais achat Divers equipements de bureau"/>
    <s v="Versement"/>
    <m/>
    <m/>
    <n v="300000"/>
    <e v="#REF!"/>
    <s v="Caisse"/>
    <s v="Décharge"/>
    <x v="0"/>
    <m/>
    <s v="CONGO"/>
    <m/>
    <m/>
    <m/>
  </r>
  <r>
    <d v="2022-01-21T00:00:00"/>
    <s v="Reglément Facture Congo Telecom Redevance Février 2022"/>
    <s v="Internet"/>
    <s v="Office"/>
    <m/>
    <n v="89175"/>
    <e v="#REF!"/>
    <s v="Caisse"/>
    <s v="Oui"/>
    <x v="1"/>
    <s v="RALFF"/>
    <s v="CONGO"/>
    <m/>
    <s v="4.5"/>
    <m/>
  </r>
  <r>
    <d v="2022-01-21T00:00:00"/>
    <s v="BCI-3643601/56"/>
    <s v="Versement"/>
    <m/>
    <n v="1000000"/>
    <m/>
    <e v="#REF!"/>
    <s v="Caisse"/>
    <s v="Décharge"/>
    <x v="0"/>
    <m/>
    <s v="CONGO"/>
    <m/>
    <m/>
    <m/>
  </r>
  <r>
    <d v="2022-01-21T00:00:00"/>
    <s v="I23C"/>
    <s v="Versement"/>
    <m/>
    <m/>
    <n v="120000"/>
    <e v="#REF!"/>
    <s v="Caisse"/>
    <s v="Décharge"/>
    <x v="0"/>
    <m/>
    <s v="CONGO"/>
    <m/>
    <m/>
    <m/>
  </r>
  <r>
    <d v="2022-01-21T00:00:00"/>
    <s v="B52"/>
    <s v="Versement"/>
    <m/>
    <m/>
    <n v="166000"/>
    <e v="#REF!"/>
    <s v="Caisse"/>
    <s v="Décharge"/>
    <x v="0"/>
    <m/>
    <s v="CONGO"/>
    <m/>
    <m/>
    <m/>
  </r>
  <r>
    <d v="2022-01-21T00:00:00"/>
    <s v="Reçu Caisse"/>
    <s v="Versement"/>
    <m/>
    <n v="91000"/>
    <m/>
    <e v="#REF!"/>
    <s v="Godfré"/>
    <s v="Décharge"/>
    <x v="0"/>
    <m/>
    <s v="CONGO"/>
    <m/>
    <m/>
    <m/>
  </r>
  <r>
    <d v="2022-01-21T00:00:00"/>
    <s v="Reçu Caisse"/>
    <s v="Versement"/>
    <m/>
    <n v="60000"/>
    <m/>
    <e v="#REF!"/>
    <s v="Godfré"/>
    <s v="Décharge"/>
    <x v="0"/>
    <m/>
    <s v="CONGO"/>
    <m/>
    <m/>
    <m/>
  </r>
  <r>
    <d v="2022-01-21T00:00:00"/>
    <s v="reçu de caisse"/>
    <s v="Versement"/>
    <m/>
    <n v="10000"/>
    <m/>
    <e v="#REF!"/>
    <s v="B52"/>
    <s v="Décharge"/>
    <x v="0"/>
    <m/>
    <s v="CONGO"/>
    <m/>
    <m/>
    <m/>
  </r>
  <r>
    <d v="2022-01-21T00:00:00"/>
    <s v="Recu de caisse"/>
    <s v="Versement"/>
    <m/>
    <n v="110000"/>
    <m/>
    <e v="#REF!"/>
    <s v="P29"/>
    <s v="Décharge"/>
    <x v="0"/>
    <m/>
    <s v="CONGO"/>
    <m/>
    <m/>
    <m/>
  </r>
  <r>
    <d v="2022-01-22T00:00:00"/>
    <s v="I23C - CONGO Paiement Hôtel 1 nuitée du 21 au 22 Janvier 2022-Inoni"/>
    <s v="Travel Subsistence"/>
    <s v="Investigation"/>
    <m/>
    <n v="15000"/>
    <e v="#REF!"/>
    <s v="i23c"/>
    <s v="Oui"/>
    <x v="1"/>
    <s v="RALFF"/>
    <s v="CONGO"/>
    <m/>
    <s v="1.3.2"/>
    <m/>
  </r>
  <r>
    <d v="2022-01-22T00:00:00"/>
    <s v="Taxi Inoni Falaise - Brazzaville (rétour à Brazza)/I23C"/>
    <s v="Transport"/>
    <s v="Investigation"/>
    <m/>
    <n v="7000"/>
    <e v="#REF!"/>
    <s v="i23c"/>
    <s v="Oui"/>
    <x v="1"/>
    <s v="RALFF"/>
    <s v="CONGO"/>
    <m/>
    <s v="2.2"/>
    <m/>
  </r>
  <r>
    <d v="2022-01-22T00:00:00"/>
    <s v="Achat billet aller (Brazzaville-Dolisie)/Godfré"/>
    <s v="Transport"/>
    <s v="Legal"/>
    <m/>
    <n v="10000"/>
    <e v="#REF!"/>
    <s v="Godfré"/>
    <s v="Oui"/>
    <x v="1"/>
    <s v="RALFF"/>
    <s v="CONGO"/>
    <m/>
    <s v="2.2"/>
    <m/>
  </r>
  <r>
    <d v="2022-01-23T00:00:00"/>
    <s v="GODFRE - CONGO Food Allowance du 23 au 25 Janvier 2022 Dolisie"/>
    <s v="Travel Subsistence"/>
    <s v="Legal"/>
    <m/>
    <n v="20000"/>
    <e v="#REF!"/>
    <s v="Godfré"/>
    <s v="Décharge"/>
    <x v="1"/>
    <s v="RALFF"/>
    <s v="CONGO"/>
    <m/>
    <s v="1.3.2"/>
    <m/>
  </r>
  <r>
    <d v="2022-01-23T00:00:00"/>
    <s v="Achat billet brazzaville-owando/P29"/>
    <s v="Transport"/>
    <s v="Investigation"/>
    <m/>
    <n v="12000"/>
    <e v="#REF!"/>
    <s v="P29"/>
    <s v="Oui"/>
    <x v="1"/>
    <s v="RALFF"/>
    <s v="CONGO"/>
    <m/>
    <s v="2.2"/>
    <m/>
  </r>
  <r>
    <d v="2022-01-24T00:00:00"/>
    <s v="Retrait especes/appro caisse/bord n°3643601"/>
    <s v="Versement"/>
    <m/>
    <m/>
    <n v="1000000"/>
    <e v="#REF!"/>
    <s v="BCI-Sous Compte"/>
    <n v="3643601"/>
    <x v="0"/>
    <m/>
    <s v="CONGO"/>
    <m/>
    <m/>
    <m/>
  </r>
  <r>
    <d v="2022-01-24T00:00:00"/>
    <s v="Paiment Salaire Mois de Décembre 2021/Tiffany GOBERT"/>
    <s v="Personnel"/>
    <s v="Management"/>
    <m/>
    <n v="1311914"/>
    <e v="#REF!"/>
    <s v="BCI-Sous Compte"/>
    <n v="3643598"/>
    <x v="1"/>
    <s v="RALFF"/>
    <s v="CONGO"/>
    <m/>
    <s v="1.1.1.1"/>
    <m/>
  </r>
  <r>
    <d v="2022-01-24T00:00:00"/>
    <s v="Paiment Salaire Mois de Janvier 2022/Tiffany GOBERT"/>
    <s v="Personnel"/>
    <s v="Management"/>
    <m/>
    <n v="1311914"/>
    <e v="#REF!"/>
    <s v="BCI-Sous Compte"/>
    <n v="3643599"/>
    <x v="1"/>
    <s v="RALFF"/>
    <s v="CONGO"/>
    <m/>
    <s v="1.1.1.1"/>
    <m/>
  </r>
  <r>
    <d v="2022-01-24T00:00:00"/>
    <s v="Paiment Salaire Mois de Janvier 2022/Merveille MAHANGA"/>
    <s v="Personnel"/>
    <s v="Management"/>
    <m/>
    <n v="317494"/>
    <e v="#REF!"/>
    <s v="BCI-Sous Compte"/>
    <n v="36435603"/>
    <x v="1"/>
    <s v="RALFF"/>
    <s v="CONGO"/>
    <m/>
    <s v="1.1.2.1"/>
    <m/>
  </r>
  <r>
    <d v="2022-01-24T00:00:00"/>
    <s v="Paiment Salaire Mois Janvier 2022/Grace MOLENDE"/>
    <s v="Personnel"/>
    <s v="Management"/>
    <m/>
    <n v="350000"/>
    <e v="#REF!"/>
    <s v="BCI-Sous Compte"/>
    <n v="36435602"/>
    <x v="1"/>
    <s v="RALFF"/>
    <s v="CONGO"/>
    <m/>
    <s v="1.1.2.1"/>
    <m/>
  </r>
  <r>
    <d v="2022-01-24T00:00:00"/>
    <s v="Paiment Salaire Mois Janvier 2022/Godfré MALONGA"/>
    <s v="Personnel"/>
    <s v="Legal"/>
    <m/>
    <n v="193600"/>
    <e v="#REF!"/>
    <s v="BCI-Sous Compte"/>
    <n v="36435605"/>
    <x v="1"/>
    <s v="RALFF"/>
    <s v="CONGO"/>
    <m/>
    <s v="1.1.1.7"/>
    <m/>
  </r>
  <r>
    <d v="2022-01-24T00:00:00"/>
    <s v="Paiment Salaire Mois Janvier /Crépin IBOUILI IBOUILI"/>
    <s v="Personnel"/>
    <s v="Legal"/>
    <m/>
    <n v="357982"/>
    <e v="#REF!"/>
    <s v="BCI-Sous Compte"/>
    <n v="36435604"/>
    <x v="1"/>
    <s v="RALFF"/>
    <s v="CONGO"/>
    <m/>
    <s v="1.1.1.7"/>
    <m/>
  </r>
  <r>
    <d v="2022-01-24T00:00:00"/>
    <s v="Versement Caisse/ Tiffany"/>
    <s v="Versement "/>
    <m/>
    <n v="300000"/>
    <m/>
    <e v="#REF!"/>
    <s v="Tiffany"/>
    <s v="Décharge"/>
    <x v="0"/>
    <m/>
    <s v="CONGO"/>
    <m/>
    <m/>
    <m/>
  </r>
  <r>
    <d v="2022-01-24T00:00:00"/>
    <s v="Frais d'appel, expédition et inventaire cas NZIHOU Arly ( TGI de Dolisie)"/>
    <s v="Court Fees"/>
    <s v="Legal"/>
    <m/>
    <n v="35000"/>
    <e v="#REF!"/>
    <s v="Godfré"/>
    <s v="Oui"/>
    <x v="2"/>
    <s v="PALF"/>
    <s v="CONGO"/>
    <m/>
    <m/>
    <m/>
  </r>
  <r>
    <d v="2022-01-24T00:00:00"/>
    <s v="reçu de caisse"/>
    <s v="Versement"/>
    <m/>
    <n v="166000"/>
    <m/>
    <e v="#REF!"/>
    <s v="B52"/>
    <s v="Décharge"/>
    <x v="0"/>
    <m/>
    <s v="CONGO"/>
    <m/>
    <m/>
    <m/>
  </r>
  <r>
    <d v="2022-01-24T00:00:00"/>
    <s v="Réçu de caisse"/>
    <s v="Versement"/>
    <m/>
    <n v="120000"/>
    <m/>
    <e v="#REF!"/>
    <s v="i23c"/>
    <s v="Décharge"/>
    <x v="0"/>
    <m/>
    <s v="CONGO"/>
    <m/>
    <m/>
    <m/>
  </r>
  <r>
    <d v="2022-01-24T00:00:00"/>
    <s v="P29 - CONGO Food allowance mission du 24 au 30/01/2022-Gamboma-Oyo-Owando"/>
    <s v="Travel Subsistence"/>
    <s v="Investigation"/>
    <m/>
    <n v="60000"/>
    <e v="#REF!"/>
    <s v="P29"/>
    <s v="Décharge"/>
    <x v="1"/>
    <s v="RALFF"/>
    <s v="CONGO"/>
    <m/>
    <s v="1.3.2"/>
    <m/>
  </r>
  <r>
    <d v="2022-01-25T00:00:00"/>
    <s v="Grace/Remboursement frais téléphone"/>
    <s v="Versement"/>
    <m/>
    <n v="15000"/>
    <m/>
    <e v="#REF!"/>
    <s v="Caisse"/>
    <s v="Décharge"/>
    <x v="0"/>
    <m/>
    <s v="CONGO"/>
    <m/>
    <m/>
    <m/>
  </r>
  <r>
    <d v="2022-01-25T00:00:00"/>
    <s v="Crepin"/>
    <s v="Versement"/>
    <m/>
    <m/>
    <n v="40000"/>
    <e v="#REF!"/>
    <s v="Caisse"/>
    <s v="Décharge"/>
    <x v="0"/>
    <m/>
    <s v="CONGO"/>
    <m/>
    <m/>
    <m/>
  </r>
  <r>
    <d v="2022-01-25T00:00:00"/>
    <s v="Cumul frais de transport local mois de Janvier 2022/Merveille"/>
    <s v="Transport"/>
    <s v="Management"/>
    <m/>
    <n v="12500"/>
    <e v="#REF!"/>
    <s v="Merveille"/>
    <s v="Décharge"/>
    <x v="1"/>
    <s v="RALFF"/>
    <s v="CONGO"/>
    <m/>
    <s v="2.2"/>
    <m/>
  </r>
  <r>
    <d v="2022-01-25T00:00:00"/>
    <s v="Reçu de caisse"/>
    <s v="Versement"/>
    <m/>
    <n v="40000"/>
    <m/>
    <e v="#REF!"/>
    <s v="Crépin"/>
    <s v="Décharge"/>
    <x v="0"/>
    <m/>
    <s v="CONGO"/>
    <m/>
    <m/>
    <m/>
  </r>
  <r>
    <d v="2022-01-25T00:00:00"/>
    <s v="GODFRE - CONGO Frais d'hotel ( deux nuitées) du 23 au 25/01/2022 Dolisie"/>
    <s v="Travel Subsistence"/>
    <s v="Legal"/>
    <m/>
    <n v="30000"/>
    <e v="#REF!"/>
    <s v="Godfré"/>
    <s v="Oui"/>
    <x v="1"/>
    <s v="RALFF"/>
    <s v="CONGO"/>
    <m/>
    <s v="1.3.2"/>
    <m/>
  </r>
  <r>
    <d v="2022-01-25T00:00:00"/>
    <s v="Achat billet retour (Dolisie- BZV)/Godfré"/>
    <s v="Transport"/>
    <s v="Legal"/>
    <m/>
    <n v="10000"/>
    <e v="#REF!"/>
    <s v="Godfré"/>
    <s v="Oui"/>
    <x v="1"/>
    <s v="RALFF"/>
    <s v="CONGO"/>
    <m/>
    <s v="2.2"/>
    <m/>
  </r>
  <r>
    <d v="2022-01-25T00:00:00"/>
    <s v="Achat billet Brazzaville-loudima/B52"/>
    <s v="Transport"/>
    <s v="Investigation"/>
    <m/>
    <n v="10000"/>
    <e v="#REF!"/>
    <s v="B52"/>
    <s v="Oui"/>
    <x v="2"/>
    <s v="PALF"/>
    <s v="CONGO"/>
    <m/>
    <m/>
    <m/>
  </r>
  <r>
    <d v="2022-01-25T00:00:00"/>
    <s v="Achat billet loudima-sibiti/B52"/>
    <s v="Transport"/>
    <s v="Investigation"/>
    <m/>
    <n v="4000"/>
    <e v="#REF!"/>
    <s v="B52"/>
    <s v="Oui"/>
    <x v="2"/>
    <s v="PALF"/>
    <s v="CONGO"/>
    <m/>
    <m/>
    <m/>
  </r>
  <r>
    <d v="2022-01-25T00:00:00"/>
    <s v="I23C - CONGO Food allowance mission Inoni-Ngabé du 25 au 27 janvier 2022"/>
    <s v="Travel Subsistence"/>
    <s v="Investigation"/>
    <m/>
    <n v="20000"/>
    <e v="#REF!"/>
    <s v="i23c"/>
    <s v="Décharge"/>
    <x v="1"/>
    <s v="RALFF"/>
    <s v="CONGO"/>
    <m/>
    <s v="1.3.2"/>
    <m/>
  </r>
  <r>
    <d v="2022-01-25T00:00:00"/>
    <s v="Taxi Brazzaville-Inoni (départ pour Inoni)/I23C"/>
    <s v="Transport"/>
    <s v="Investigation"/>
    <m/>
    <n v="7000"/>
    <e v="#REF!"/>
    <s v="i23c"/>
    <s v="Oui"/>
    <x v="1"/>
    <s v="RALFF"/>
    <s v="CONGO"/>
    <m/>
    <s v="2.2"/>
    <m/>
  </r>
  <r>
    <d v="2022-01-25T00:00:00"/>
    <s v="Taxi moto Inoni-Ngabé (départ pour Ngabé)/I23C"/>
    <s v="Transport"/>
    <s v="Investigation"/>
    <m/>
    <n v="20000"/>
    <e v="#REF!"/>
    <s v="i23c"/>
    <s v="Oui"/>
    <x v="1"/>
    <s v="RALFF"/>
    <s v="CONGO"/>
    <m/>
    <s v="2.2"/>
    <m/>
  </r>
  <r>
    <d v="2022-01-26T00:00:00"/>
    <s v="Reglement prestation Entretien bureau Mois de Janvier 2022/Odile"/>
    <s v="Services"/>
    <s v="Office"/>
    <m/>
    <n v="75625"/>
    <e v="#REF!"/>
    <s v="Caisse"/>
    <s v="Oui"/>
    <x v="2"/>
    <s v="PALF"/>
    <s v="CONGO"/>
    <m/>
    <m/>
    <m/>
  </r>
  <r>
    <d v="2022-01-26T00:00:00"/>
    <s v="P29"/>
    <s v="Versement"/>
    <m/>
    <m/>
    <n v="103000"/>
    <e v="#REF!"/>
    <s v="Caisse"/>
    <s v="Décharge"/>
    <x v="0"/>
    <m/>
    <s v="CONGO"/>
    <m/>
    <m/>
    <m/>
  </r>
  <r>
    <d v="2022-01-26T00:00:00"/>
    <s v="Frais de transfert charden farell/P29"/>
    <s v="Transfer Fees"/>
    <s v="Office"/>
    <m/>
    <n v="3090"/>
    <e v="#REF!"/>
    <s v="Caisse"/>
    <s v="Oui"/>
    <x v="1"/>
    <s v="RALFF"/>
    <s v="CONGO"/>
    <m/>
    <s v="5.6"/>
    <m/>
  </r>
  <r>
    <d v="2022-01-26T00:00:00"/>
    <s v="Godfre"/>
    <s v="Versement"/>
    <m/>
    <m/>
    <n v="7000"/>
    <e v="#REF!"/>
    <s v="Caisse"/>
    <s v="Décharge"/>
    <x v="0"/>
    <m/>
    <s v="CONGO"/>
    <m/>
    <m/>
    <m/>
  </r>
  <r>
    <d v="2022-01-26T00:00:00"/>
    <s v="Godfre"/>
    <s v="Versement"/>
    <m/>
    <m/>
    <n v="91000"/>
    <e v="#REF!"/>
    <s v="Caisse"/>
    <s v="Décharge"/>
    <x v="0"/>
    <m/>
    <s v="CONGO"/>
    <m/>
    <m/>
    <m/>
  </r>
  <r>
    <d v="2022-01-26T00:00:00"/>
    <s v="Frais d'expédition du jugement"/>
    <s v="Court Fees"/>
    <s v="Legal"/>
    <m/>
    <n v="30000"/>
    <e v="#REF!"/>
    <s v="Crépin"/>
    <s v="Oui"/>
    <x v="2"/>
    <s v="PALF"/>
    <s v="CONGO"/>
    <m/>
    <m/>
    <m/>
  </r>
  <r>
    <d v="2022-01-26T00:00:00"/>
    <s v="Frais d'acte d'appel cas Ndovo Jonas"/>
    <s v="Court Fees"/>
    <s v="Legal"/>
    <m/>
    <n v="10000"/>
    <e v="#REF!"/>
    <s v="Crépin"/>
    <s v="Oui"/>
    <x v="2"/>
    <s v="PALF"/>
    <s v="CONGO"/>
    <m/>
    <m/>
    <m/>
  </r>
  <r>
    <d v="2022-01-26T00:00:00"/>
    <s v="Reçu caisse"/>
    <s v="Versement"/>
    <m/>
    <n v="7000"/>
    <m/>
    <e v="#REF!"/>
    <s v="Godfré"/>
    <s v="Décharge"/>
    <x v="0"/>
    <m/>
    <s v="CONGO"/>
    <m/>
    <m/>
    <m/>
  </r>
  <r>
    <d v="2022-01-26T00:00:00"/>
    <s v="Reçu Caisse"/>
    <s v="Versement"/>
    <m/>
    <n v="91000"/>
    <m/>
    <e v="#REF!"/>
    <s v="Godfré"/>
    <s v="Décharge"/>
    <x v="0"/>
    <m/>
    <s v="CONGO"/>
    <m/>
    <m/>
    <m/>
  </r>
  <r>
    <d v="2022-01-26T00:00:00"/>
    <s v="B52- CONGO frais d'hôtel du 25au 26/01/2022-Sibiti"/>
    <s v="Travel Subsistence"/>
    <s v="Investigation"/>
    <m/>
    <n v="15000"/>
    <e v="#REF!"/>
    <s v="B52"/>
    <s v="Oui"/>
    <x v="2"/>
    <s v="PALF"/>
    <s v="CONGO"/>
    <m/>
    <m/>
    <m/>
  </r>
  <r>
    <d v="2022-01-26T00:00:00"/>
    <s v="achat billet sibiti-zanaga /B52"/>
    <s v="Transport"/>
    <s v="Investigation"/>
    <m/>
    <n v="10000"/>
    <e v="#REF!"/>
    <s v="B52"/>
    <s v="Oui"/>
    <x v="2"/>
    <s v="PALF"/>
    <s v="CONGO"/>
    <m/>
    <m/>
    <m/>
  </r>
  <r>
    <d v="2022-01-26T00:00:00"/>
    <s v="Cumul Frais Trust Building du Mois de Janvier 2022/I23C"/>
    <s v="Trust building"/>
    <s v="Investigation"/>
    <m/>
    <n v="34500"/>
    <e v="#REF!"/>
    <s v="i23c"/>
    <s v="Décharge"/>
    <x v="2"/>
    <s v="PALF"/>
    <s v="CONGO"/>
    <m/>
    <m/>
    <m/>
  </r>
  <r>
    <d v="2022-01-26T00:00:00"/>
    <s v="I23C - CONGO Paiement hotel une nuitée du 25 au 26 janvier 2022-Ngabé"/>
    <s v="Travel Subsistence"/>
    <s v="Investigation"/>
    <m/>
    <n v="15000"/>
    <e v="#REF!"/>
    <s v="i23c"/>
    <s v="Oui"/>
    <x v="1"/>
    <s v="RALFF"/>
    <s v="CONGO"/>
    <m/>
    <s v="1.3.2"/>
    <m/>
  </r>
  <r>
    <d v="2022-01-26T00:00:00"/>
    <s v="Taxi moto Ngabé-Inoni (retour à Inoni)/I23C"/>
    <s v="Transport"/>
    <s v="Investigation"/>
    <m/>
    <n v="20000"/>
    <e v="#REF!"/>
    <s v="i23c"/>
    <s v="Oui"/>
    <x v="1"/>
    <s v="RALFF"/>
    <s v="CONGO"/>
    <m/>
    <s v="2.2"/>
    <m/>
  </r>
  <r>
    <d v="2022-01-26T00:00:00"/>
    <s v="Recu de caisse"/>
    <s v="Versement"/>
    <m/>
    <n v="103000"/>
    <m/>
    <e v="#REF!"/>
    <s v="P29"/>
    <s v="Décharge"/>
    <x v="0"/>
    <m/>
    <s v="CONGO"/>
    <m/>
    <m/>
    <m/>
  </r>
  <r>
    <d v="2022-01-27T00:00:00"/>
    <s v="Cumul frais transport local mois de Janvier 2022/Tiffany"/>
    <s v="Transport"/>
    <s v="Management"/>
    <m/>
    <n v="4000"/>
    <e v="#REF!"/>
    <s v="Tiffany"/>
    <s v="Décharge"/>
    <x v="1"/>
    <s v="RALFF"/>
    <s v="CONGO"/>
    <m/>
    <s v="2.2"/>
    <m/>
  </r>
  <r>
    <d v="2022-01-27T00:00:00"/>
    <s v="Achat billet aller (Brazzaville-Dolisie)/Godfré"/>
    <s v="Transport"/>
    <s v="Legal"/>
    <m/>
    <n v="10000"/>
    <e v="#REF!"/>
    <s v="Godfré"/>
    <s v="Oui"/>
    <x v="1"/>
    <s v="RALFF"/>
    <s v="CONGO"/>
    <m/>
    <s v="2.2"/>
    <m/>
  </r>
  <r>
    <d v="2022-01-27T00:00:00"/>
    <s v="GODFRE - CONGO Food Allowance du 27 au 29 Janvier 2022 Dolisie"/>
    <s v="Travel Subsistence"/>
    <s v="Legal"/>
    <m/>
    <n v="20000"/>
    <e v="#REF!"/>
    <s v="Godfré"/>
    <s v="Décharge"/>
    <x v="1"/>
    <s v="RALFF"/>
    <s v="CONGO"/>
    <m/>
    <s v="1.3.2"/>
    <m/>
  </r>
  <r>
    <d v="2022-01-27T00:00:00"/>
    <s v="I23C - CONGO Paiement Hôtel du 26 au 27 janvier 2022-Inoni"/>
    <s v="Travel Subsistence"/>
    <s v="Investigation"/>
    <m/>
    <n v="15000"/>
    <e v="#REF!"/>
    <s v="i23c"/>
    <s v="Oui"/>
    <x v="1"/>
    <s v="RALFF"/>
    <s v="CONGO"/>
    <m/>
    <s v="1.3.2"/>
    <m/>
  </r>
  <r>
    <d v="2022-01-27T00:00:00"/>
    <s v="Taxi Inoni Falaise - Brazzaville (rétour à Brazza)/I23C"/>
    <s v="Transport"/>
    <s v="Investigation"/>
    <m/>
    <n v="7000"/>
    <e v="#REF!"/>
    <s v="i23c"/>
    <s v="Oui"/>
    <x v="1"/>
    <s v="RALFF"/>
    <s v="CONGO"/>
    <m/>
    <s v="2.2"/>
    <m/>
  </r>
  <r>
    <d v="2022-01-27T00:00:00"/>
    <s v="Cumul frais de transport local janvier 2022/I23C"/>
    <s v="Transport"/>
    <s v="Investigation"/>
    <m/>
    <n v="51000"/>
    <e v="#REF!"/>
    <s v="i23c"/>
    <s v="Décharge"/>
    <x v="1"/>
    <s v="RALFF"/>
    <s v="CONGO"/>
    <m/>
    <s v="2.2"/>
    <m/>
  </r>
  <r>
    <d v="2022-01-27T00:00:00"/>
    <s v="Achat billet owando-oyo/P29"/>
    <s v="Transport"/>
    <s v="Investigation"/>
    <m/>
    <n v="5000"/>
    <e v="#REF!"/>
    <s v="P29"/>
    <s v="Oui"/>
    <x v="1"/>
    <s v="RALFF"/>
    <s v="CONGO"/>
    <m/>
    <s v="2.2"/>
    <m/>
  </r>
  <r>
    <d v="2022-01-27T00:00:00"/>
    <s v="P29 - CONGO Paiement de 3 nuitées du 24 au 27/01/2022-Owando"/>
    <s v="Travel Subsistence"/>
    <s v="Investigation"/>
    <m/>
    <n v="45000"/>
    <e v="#REF!"/>
    <s v="P29"/>
    <s v="Oui"/>
    <x v="1"/>
    <s v="RALFF"/>
    <s v="CONGO"/>
    <m/>
    <s v="1.3.2"/>
    <m/>
  </r>
  <r>
    <d v="2022-01-28T00:00:00"/>
    <s v="Retour Caisse Crépin /Avance Salaire recu le 18/01/22"/>
    <s v="Versement"/>
    <m/>
    <n v="20000"/>
    <m/>
    <e v="#REF!"/>
    <s v="Caisse"/>
    <s v="Décharge"/>
    <x v="0"/>
    <m/>
    <s v="CONGO"/>
    <m/>
    <m/>
    <m/>
  </r>
  <r>
    <d v="2022-01-28T00:00:00"/>
    <s v="Retour à la caisse"/>
    <s v="Versement"/>
    <m/>
    <m/>
    <n v="20000"/>
    <e v="#REF!"/>
    <s v="Crépin"/>
    <s v="Décharge"/>
    <x v="0"/>
    <m/>
    <s v="CONGO"/>
    <m/>
    <m/>
    <m/>
  </r>
  <r>
    <d v="2022-01-28T00:00:00"/>
    <s v="Cumul frais de Jail Visits du mois de Janvier 2022/Godfré"/>
    <s v="Jail Visits"/>
    <s v="Legal"/>
    <m/>
    <n v="29000"/>
    <e v="#REF!"/>
    <s v="Godfré"/>
    <s v="Décharge"/>
    <x v="2"/>
    <s v="PALF"/>
    <s v="CONGO"/>
    <m/>
    <m/>
    <m/>
  </r>
  <r>
    <d v="2022-01-28T00:00:00"/>
    <s v="GODFRE - CONGO Frais d'hotel ( deux nuitées) du 27 au29/01/2022 Dolisie"/>
    <s v="Travel Subsistence"/>
    <s v="Legal"/>
    <m/>
    <n v="30000"/>
    <e v="#REF!"/>
    <s v="Godfré"/>
    <s v="Oui"/>
    <x v="1"/>
    <s v="RALFF"/>
    <s v="CONGO"/>
    <m/>
    <s v="1.3.2"/>
    <m/>
  </r>
  <r>
    <d v="2022-01-28T00:00:00"/>
    <s v="B52- CONGO Frais d'hôtel du 26au28/01/2022-Zanaga"/>
    <s v="Travel Subsistence"/>
    <s v="Investigation"/>
    <m/>
    <n v="30000"/>
    <e v="#REF!"/>
    <s v="B52"/>
    <s v="Oui"/>
    <x v="2"/>
    <s v="PALF"/>
    <s v="CONGO"/>
    <m/>
    <m/>
    <m/>
  </r>
  <r>
    <d v="2022-01-28T00:00:00"/>
    <s v="B52- CONGO food allowance du 25 au 29/01/2022-Sibiti-Zanaga"/>
    <s v="Travel Subsistence"/>
    <s v="Investigation"/>
    <m/>
    <n v="40000"/>
    <e v="#REF!"/>
    <s v="B52"/>
    <s v="Décharge"/>
    <x v="2"/>
    <s v="PALF"/>
    <s v="CONGO"/>
    <m/>
    <m/>
    <m/>
  </r>
  <r>
    <d v="2022-01-28T00:00:00"/>
    <s v="achat billet zanga-sibiti/B52"/>
    <s v="Transport"/>
    <s v="Investigation"/>
    <m/>
    <n v="10000"/>
    <e v="#REF!"/>
    <s v="B52"/>
    <s v="Oui"/>
    <x v="2"/>
    <s v="PALF"/>
    <s v="CONGO"/>
    <m/>
    <m/>
    <m/>
  </r>
  <r>
    <d v="2022-01-28T00:00:00"/>
    <s v="Cumul frais de Trust Building mois de  Janvier 2022/B52"/>
    <s v="Trust building"/>
    <s v="Investigation"/>
    <m/>
    <n v="86500"/>
    <e v="#REF!"/>
    <s v="B52"/>
    <s v="Décharge"/>
    <x v="2"/>
    <s v="PALF"/>
    <s v="CONGO"/>
    <m/>
    <m/>
    <m/>
  </r>
  <r>
    <d v="2022-01-29T00:00:00"/>
    <s v="Achat billet retour Dolisie-Brazzaville/Godfré"/>
    <s v="Transport"/>
    <s v="Legal"/>
    <m/>
    <n v="10000"/>
    <e v="#REF!"/>
    <s v="Godfré"/>
    <s v="Oui"/>
    <x v="1"/>
    <s v="RALFF"/>
    <s v="CONGO"/>
    <m/>
    <s v="2.2"/>
    <m/>
  </r>
  <r>
    <d v="2022-01-29T00:00:00"/>
    <s v="B52- CONGO Frais d'hôtel du 28 au 29/01/2022-Sibiti"/>
    <s v="Travel Subsistence"/>
    <s v="Investigation"/>
    <m/>
    <n v="15000"/>
    <e v="#REF!"/>
    <s v="B52"/>
    <s v="Oui"/>
    <x v="2"/>
    <s v="PALF"/>
    <s v="CONGO"/>
    <m/>
    <m/>
    <m/>
  </r>
  <r>
    <d v="2022-01-29T00:00:00"/>
    <s v="achat billet sibiti-loudima/B52"/>
    <s v="Transport"/>
    <s v="Investigation"/>
    <m/>
    <n v="4000"/>
    <e v="#REF!"/>
    <s v="B52"/>
    <s v="Oui"/>
    <x v="2"/>
    <s v="PALF"/>
    <s v="CONGO"/>
    <m/>
    <m/>
    <m/>
  </r>
  <r>
    <d v="2022-01-29T00:00:00"/>
    <s v="achat billet loudima-Brazzaville/B52"/>
    <s v="Transport"/>
    <s v="Investigation"/>
    <m/>
    <n v="10000"/>
    <e v="#REF!"/>
    <s v="B52"/>
    <s v="Oui"/>
    <x v="2"/>
    <s v="PALF"/>
    <s v="CONGO"/>
    <m/>
    <m/>
    <m/>
  </r>
  <r>
    <d v="2022-01-29T00:00:00"/>
    <s v="P29 - CONGO Paiement 2 nuitées du 27 au 29/01/2022-OYO"/>
    <s v="Travel Subsistence"/>
    <s v="Investigation"/>
    <m/>
    <n v="30000"/>
    <e v="#REF!"/>
    <s v="P29"/>
    <s v="Oui"/>
    <x v="1"/>
    <s v="RALFF"/>
    <s v="CONGO"/>
    <m/>
    <s v="1.3.2"/>
    <m/>
  </r>
  <r>
    <d v="2022-01-29T00:00:00"/>
    <s v="Achat billet oyo-gamboma/P29"/>
    <s v="Transport"/>
    <s v="Investigation"/>
    <m/>
    <n v="5000"/>
    <e v="#REF!"/>
    <s v="P29"/>
    <s v="Oui"/>
    <x v="1"/>
    <s v="RALFF"/>
    <s v="CONGO"/>
    <m/>
    <s v="2.2"/>
    <m/>
  </r>
  <r>
    <d v="2022-01-29T00:00:00"/>
    <s v="Cumul Frais de Trust Building du Mois Janvier 2022/P29"/>
    <s v="Trust building"/>
    <s v="Investigation"/>
    <m/>
    <n v="36000"/>
    <e v="#REF!"/>
    <s v="P29"/>
    <s v="Décharge"/>
    <x v="2"/>
    <s v="PALF"/>
    <s v="CONGO"/>
    <m/>
    <m/>
    <m/>
  </r>
  <r>
    <d v="2022-01-30T00:00:00"/>
    <s v="Cumul Frais de Transport Local du Mois Janvier  2022/P29"/>
    <s v="Transport"/>
    <s v="Investigation"/>
    <m/>
    <n v="49500"/>
    <e v="#REF!"/>
    <s v="P29"/>
    <s v="Décharge"/>
    <x v="1"/>
    <s v="RALFF"/>
    <s v="CONGO"/>
    <m/>
    <s v="2.2"/>
    <m/>
  </r>
  <r>
    <d v="2022-01-30T00:00:00"/>
    <s v="Achat billet gamboma-brazzaville/P29"/>
    <s v="Transport"/>
    <s v="Investigation"/>
    <m/>
    <n v="7000"/>
    <e v="#REF!"/>
    <s v="P29"/>
    <s v="Oui"/>
    <x v="1"/>
    <s v="RALFF"/>
    <s v="CONGO"/>
    <m/>
    <s v="2.2"/>
    <m/>
  </r>
  <r>
    <d v="2022-01-30T00:00:00"/>
    <s v="P29 - CONGO Paiement 1 nuitée du 29 au 30/01/2022-Gaboma"/>
    <s v="Travel Subsistence"/>
    <s v="Investigation"/>
    <m/>
    <n v="15000"/>
    <e v="#REF!"/>
    <s v="P29"/>
    <s v="Oui"/>
    <x v="1"/>
    <s v="RALFF"/>
    <s v="CONGO"/>
    <m/>
    <s v="1.3.2"/>
    <m/>
  </r>
  <r>
    <d v="2022-01-31T00:00:00"/>
    <s v="Achat 02 cartouches d'encre/imprimante RICOH"/>
    <s v="Office Materials"/>
    <s v="Office"/>
    <m/>
    <n v="120000"/>
    <e v="#REF!"/>
    <s v="Caisse"/>
    <s v="Oui"/>
    <x v="1"/>
    <s v="RALFF"/>
    <s v="CONGO"/>
    <m/>
    <s v="4.3"/>
    <m/>
  </r>
  <r>
    <d v="2022-01-31T00:00:00"/>
    <s v="Paiement salaire mois de janvier 2022/Evariste LELOUSSI"/>
    <s v="Personnel"/>
    <s v="Media"/>
    <m/>
    <n v="38170"/>
    <e v="#REF!"/>
    <s v="Caisse"/>
    <s v="Décharge"/>
    <x v="1"/>
    <s v="RALFF"/>
    <s v="CONGO"/>
    <m/>
    <s v="1.1.1.4"/>
    <m/>
  </r>
  <r>
    <d v="2022-01-31T00:00:00"/>
    <s v="Paiement Honoraire Me LOCKO CHRISTIAN/Mois de Janvier 2022"/>
    <s v="Lawyer Fees"/>
    <s v="Legal"/>
    <m/>
    <n v="150000"/>
    <e v="#REF!"/>
    <s v="BCI-Sous Compte"/>
    <n v="3643606"/>
    <x v="1"/>
    <s v="RALFF"/>
    <s v="CONGO"/>
    <m/>
    <s v="5.2.1"/>
    <m/>
  </r>
  <r>
    <d v="2022-01-31T00:00:00"/>
    <s v="Reglement facture honoraire du mois de Janvier 2022/I23C/chq n°3643608"/>
    <s v="Personnel"/>
    <s v="Investigation"/>
    <m/>
    <n v="415000"/>
    <e v="#REF!"/>
    <s v="BCI-Sous Compte"/>
    <n v="3643608"/>
    <x v="1"/>
    <s v="RALFF"/>
    <s v="CONGO"/>
    <m/>
    <s v="1.1.1.9"/>
    <m/>
  </r>
  <r>
    <d v="2022-01-31T00:00:00"/>
    <s v="Reglement facture honoraire du mois de Janvier 2022/P29/chq n°3643609"/>
    <s v="Personnel"/>
    <s v="Investigation"/>
    <m/>
    <n v="325000"/>
    <e v="#REF!"/>
    <s v="BCI-Sous Compte"/>
    <n v="3643609"/>
    <x v="1"/>
    <s v="RALFF"/>
    <s v="CONGO"/>
    <m/>
    <s v="1.1.1.9"/>
    <m/>
  </r>
  <r>
    <d v="2022-01-31T00:00:00"/>
    <s v="Acompte  honoraires contrat n°41/Brazzaville/Me SCRUTIN MOUYETI cas NGATSE Serge /3643610"/>
    <s v="Lawyer Fees"/>
    <s v="Legal"/>
    <m/>
    <n v="200000"/>
    <e v="#REF!"/>
    <s v="BCI-Sous Compte"/>
    <n v="3643610"/>
    <x v="1"/>
    <s v="RALFF"/>
    <s v="CONGO"/>
    <m/>
    <s v="5.2.2"/>
    <m/>
  </r>
  <r>
    <d v="2022-01-31T00:00:00"/>
    <s v="Retour Caisse sur Achat Telephone/Grace"/>
    <s v="Versement"/>
    <m/>
    <m/>
    <n v="15000"/>
    <e v="#REF!"/>
    <s v="Grace"/>
    <s v="Décharge"/>
    <x v="0"/>
    <m/>
    <s v="CONGO"/>
    <m/>
    <m/>
    <m/>
  </r>
  <r>
    <d v="2022-01-31T00:00:00"/>
    <s v="Cumul Frais de transport local du mois de Janvier 2021/Grace"/>
    <s v="Transport"/>
    <s v="Management"/>
    <m/>
    <n v="9400"/>
    <e v="#REF!"/>
    <s v="Grace"/>
    <s v="Décharge"/>
    <x v="1"/>
    <s v="RALFF"/>
    <s v="CONGO"/>
    <m/>
    <s v="2.2"/>
    <m/>
  </r>
  <r>
    <d v="2022-01-31T00:00:00"/>
    <s v="Cumul frais de Transport Local Mois Janvier 2022/Crépin"/>
    <s v="Transport"/>
    <s v="Management"/>
    <m/>
    <n v="20900"/>
    <e v="#REF!"/>
    <s v="Crépin"/>
    <s v="Décharge"/>
    <x v="1"/>
    <s v="RALFF"/>
    <s v="CONGO"/>
    <m/>
    <s v="2.2"/>
    <m/>
  </r>
  <r>
    <d v="2022-01-31T00:00:00"/>
    <s v="Cumul frais de transport local janvier 2022/Godfré"/>
    <s v="Transport"/>
    <s v="Legal"/>
    <m/>
    <n v="46000"/>
    <e v="#REF!"/>
    <s v="Godfré"/>
    <s v="Décharge"/>
    <x v="1"/>
    <s v="RALFF"/>
    <s v="CONGO"/>
    <m/>
    <s v="2.2"/>
    <m/>
  </r>
  <r>
    <d v="2022-01-31T00:00:00"/>
    <s v="Cumul frais de ration journalière Janvier 2022/B52"/>
    <s v="Travel Subsistence"/>
    <s v="Investigation"/>
    <m/>
    <n v="10000"/>
    <e v="#REF!"/>
    <s v="B52"/>
    <s v="Décharge"/>
    <x v="2"/>
    <s v="PALF"/>
    <s v="CONGO"/>
    <m/>
    <m/>
    <m/>
  </r>
  <r>
    <d v="2022-01-31T00:00:00"/>
    <s v="Cumul frais de transport local Janvier 2022/B52"/>
    <s v="Transport"/>
    <s v="Investigation"/>
    <m/>
    <n v="72500"/>
    <e v="#REF!"/>
    <s v="B52"/>
    <s v="Décharge"/>
    <x v="2"/>
    <s v="PALF"/>
    <s v="CONGO"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6" cacheId="11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15">
    <pivotField numFmtId="171"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Row" showAll="0">
      <items count="4">
        <item x="1"/>
        <item x="2"/>
        <item h="1" x="0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Items count="1">
    <i/>
  </colItems>
  <dataFields count="1">
    <dataField name="Somme de Spent" fld="5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1" cacheId="11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AQ17" firstHeaderRow="1" firstDataRow="3" firstDataCol="1"/>
  <pivotFields count="15">
    <pivotField numFmtId="171" showAll="0"/>
    <pivotField showAll="0"/>
    <pivotField axis="axisCol" showAll="0">
      <items count="22">
        <item x="3"/>
        <item x="12"/>
        <item x="15"/>
        <item x="11"/>
        <item x="16"/>
        <item x="18"/>
        <item x="13"/>
        <item x="8"/>
        <item x="9"/>
        <item x="14"/>
        <item x="6"/>
        <item x="7"/>
        <item x="2"/>
        <item x="10"/>
        <item x="4"/>
        <item x="17"/>
        <item x="5"/>
        <item x="20"/>
        <item x="1"/>
        <item x="19"/>
        <item x="0"/>
        <item t="default"/>
      </items>
    </pivotField>
    <pivotField showAll="0"/>
    <pivotField dataField="1" showAll="0"/>
    <pivotField dataField="1" showAll="0"/>
    <pivotField numFmtId="165" showAll="0"/>
    <pivotField axis="axisRow" showAll="0">
      <items count="13">
        <item x="4"/>
        <item x="3"/>
        <item x="2"/>
        <item x="1"/>
        <item x="7"/>
        <item x="8"/>
        <item x="11"/>
        <item x="5"/>
        <item x="9"/>
        <item x="6"/>
        <item x="10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2">
    <field x="2"/>
    <field x="-2"/>
  </colFields>
  <colItems count="4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 t="grand">
      <x/>
    </i>
    <i t="grand" i="1">
      <x/>
    </i>
  </colItems>
  <dataFields count="2">
    <dataField name="Somme de Spent" fld="5" baseField="0" baseItem="0"/>
    <dataField name="Somme de Received" fld="4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eau croisé dynamique2" cacheId="11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15">
    <pivotField numFmtId="171"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Row" showAll="0">
      <items count="4">
        <item x="1"/>
        <item x="2"/>
        <item h="1" x="0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Items count="1">
    <i/>
  </colItems>
  <dataFields count="1">
    <dataField name="Somme de Spent" fld="5" baseField="0" baseItem="0" numFmtId="41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eau croisé dynamique2" cacheId="11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58" firstHeaderRow="1" firstDataRow="1" firstDataCol="1"/>
  <pivotFields count="15">
    <pivotField numFmtId="171" showAll="0"/>
    <pivotField showAll="0"/>
    <pivotField axis="axisRow" showAll="0">
      <items count="22">
        <item x="3"/>
        <item x="12"/>
        <item x="15"/>
        <item x="11"/>
        <item x="16"/>
        <item x="18"/>
        <item x="13"/>
        <item x="8"/>
        <item x="9"/>
        <item x="14"/>
        <item x="6"/>
        <item x="7"/>
        <item x="2"/>
        <item x="10"/>
        <item x="4"/>
        <item x="17"/>
        <item x="5"/>
        <item x="20"/>
        <item x="1"/>
        <item x="19"/>
        <item x="0"/>
        <item t="default"/>
      </items>
    </pivotField>
    <pivotField showAll="0"/>
    <pivotField showAll="0"/>
    <pivotField dataField="1" showAll="0">
      <items count="82">
        <item x="26"/>
        <item x="66"/>
        <item x="38"/>
        <item x="9"/>
        <item x="40"/>
        <item x="50"/>
        <item x="29"/>
        <item x="27"/>
        <item x="77"/>
        <item x="7"/>
        <item x="39"/>
        <item x="63"/>
        <item x="22"/>
        <item x="13"/>
        <item x="10"/>
        <item x="11"/>
        <item x="24"/>
        <item x="6"/>
        <item x="78"/>
        <item x="4"/>
        <item x="44"/>
        <item x="12"/>
        <item x="48"/>
        <item x="46"/>
        <item x="69"/>
        <item x="30"/>
        <item x="41"/>
        <item x="8"/>
        <item x="67"/>
        <item x="32"/>
        <item x="71"/>
        <item x="5"/>
        <item x="73"/>
        <item x="47"/>
        <item x="42"/>
        <item x="28"/>
        <item x="79"/>
        <item x="72"/>
        <item x="25"/>
        <item x="68"/>
        <item x="37"/>
        <item x="51"/>
        <item x="52"/>
        <item x="49"/>
        <item x="80"/>
        <item x="19"/>
        <item x="23"/>
        <item x="31"/>
        <item x="64"/>
        <item x="18"/>
        <item x="14"/>
        <item x="70"/>
        <item x="55"/>
        <item x="17"/>
        <item x="65"/>
        <item x="45"/>
        <item x="53"/>
        <item x="56"/>
        <item x="36"/>
        <item x="3"/>
        <item x="2"/>
        <item x="21"/>
        <item x="1"/>
        <item x="35"/>
        <item x="57"/>
        <item x="61"/>
        <item x="76"/>
        <item x="33"/>
        <item x="34"/>
        <item x="16"/>
        <item x="54"/>
        <item x="59"/>
        <item x="75"/>
        <item x="60"/>
        <item x="62"/>
        <item x="43"/>
        <item x="74"/>
        <item x="15"/>
        <item x="20"/>
        <item x="58"/>
        <item x="0"/>
        <item t="default"/>
      </items>
    </pivotField>
    <pivotField showAll="0"/>
    <pivotField showAll="0"/>
    <pivotField showAll="0"/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axis="axisRow" showAll="0">
      <items count="20">
        <item x="9"/>
        <item x="16"/>
        <item x="12"/>
        <item x="11"/>
        <item x="18"/>
        <item x="10"/>
        <item x="4"/>
        <item x="13"/>
        <item x="3"/>
        <item x="14"/>
        <item x="5"/>
        <item x="7"/>
        <item x="8"/>
        <item x="15"/>
        <item x="1"/>
        <item x="17"/>
        <item x="6"/>
        <item x="2"/>
        <item x="0"/>
        <item t="default"/>
      </items>
    </pivotField>
    <pivotField showAll="0"/>
  </pivotFields>
  <rowFields count="2">
    <field x="2"/>
    <field x="13"/>
  </rowFields>
  <rowItems count="55">
    <i>
      <x/>
    </i>
    <i r="1">
      <x v="17"/>
    </i>
    <i r="1">
      <x v="18"/>
    </i>
    <i>
      <x v="1"/>
    </i>
    <i r="1">
      <x v="18"/>
    </i>
    <i>
      <x v="2"/>
    </i>
    <i r="1">
      <x v="9"/>
    </i>
    <i>
      <x v="3"/>
    </i>
    <i r="1">
      <x/>
    </i>
    <i r="1">
      <x v="7"/>
    </i>
    <i>
      <x v="4"/>
    </i>
    <i r="1">
      <x v="18"/>
    </i>
    <i>
      <x v="5"/>
    </i>
    <i r="1">
      <x v="13"/>
    </i>
    <i>
      <x v="6"/>
    </i>
    <i r="1">
      <x v="18"/>
    </i>
    <i>
      <x v="7"/>
    </i>
    <i r="1">
      <x v="15"/>
    </i>
    <i r="1">
      <x v="16"/>
    </i>
    <i>
      <x v="8"/>
    </i>
    <i r="1">
      <x v="11"/>
    </i>
    <i r="1">
      <x v="18"/>
    </i>
    <i>
      <x v="9"/>
    </i>
    <i r="1">
      <x v="1"/>
    </i>
    <i r="1">
      <x v="2"/>
    </i>
    <i r="1">
      <x v="3"/>
    </i>
    <i r="1">
      <x v="4"/>
    </i>
    <i r="1">
      <x v="5"/>
    </i>
    <i>
      <x v="10"/>
    </i>
    <i r="1">
      <x v="10"/>
    </i>
    <i r="1">
      <x v="12"/>
    </i>
    <i>
      <x v="11"/>
    </i>
    <i r="1">
      <x v="18"/>
    </i>
    <i>
      <x v="12"/>
    </i>
    <i r="1">
      <x v="14"/>
    </i>
    <i r="1">
      <x v="18"/>
    </i>
    <i>
      <x v="13"/>
    </i>
    <i r="1">
      <x v="17"/>
    </i>
    <i>
      <x v="14"/>
    </i>
    <i r="1">
      <x v="8"/>
    </i>
    <i r="1">
      <x v="18"/>
    </i>
    <i>
      <x v="15"/>
    </i>
    <i r="1">
      <x v="18"/>
    </i>
    <i>
      <x v="16"/>
    </i>
    <i r="1">
      <x v="6"/>
    </i>
    <i r="1">
      <x v="18"/>
    </i>
    <i>
      <x v="17"/>
    </i>
    <i r="1">
      <x v="18"/>
    </i>
    <i>
      <x v="18"/>
    </i>
    <i r="1">
      <x v="18"/>
    </i>
    <i>
      <x v="19"/>
    </i>
    <i r="1">
      <x v="18"/>
    </i>
    <i>
      <x v="20"/>
    </i>
    <i r="1">
      <x v="18"/>
    </i>
    <i t="grand">
      <x/>
    </i>
  </rowItems>
  <colItems count="1">
    <i/>
  </colItems>
  <dataFields count="1"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Q552"/>
  <sheetViews>
    <sheetView tabSelected="1" zoomScale="73" zoomScaleNormal="73" workbookViewId="0">
      <pane xSplit="1" topLeftCell="E1" activePane="topRight" state="frozen"/>
      <selection pane="topRight" activeCell="M27" sqref="M27"/>
    </sheetView>
  </sheetViews>
  <sheetFormatPr baseColWidth="10" defaultColWidth="11.42578125" defaultRowHeight="15"/>
  <cols>
    <col min="1" max="1" width="43.140625" style="5" customWidth="1"/>
    <col min="2" max="2" width="25.7109375" style="5" customWidth="1"/>
    <col min="3" max="3" width="28.28515625" style="5" customWidth="1"/>
    <col min="4" max="4" width="29.42578125" style="5" customWidth="1"/>
    <col min="5" max="5" width="19.5703125" style="5" customWidth="1"/>
    <col min="6" max="6" width="21" style="5" customWidth="1"/>
    <col min="7" max="7" width="21.85546875" style="5" customWidth="1"/>
    <col min="8" max="8" width="20.5703125" style="5" customWidth="1"/>
    <col min="9" max="9" width="19.7109375" style="5" customWidth="1"/>
    <col min="10" max="10" width="16.7109375" style="5" customWidth="1"/>
    <col min="11" max="11" width="18.7109375" style="5" customWidth="1"/>
    <col min="12" max="12" width="16" style="48" customWidth="1"/>
    <col min="13" max="13" width="18.7109375" style="48" customWidth="1"/>
    <col min="14" max="14" width="14.140625" style="48" customWidth="1"/>
    <col min="15" max="15" width="14.85546875" style="48" customWidth="1"/>
    <col min="16" max="16" width="11.42578125" style="5"/>
    <col min="17" max="17" width="2.85546875" style="312" customWidth="1"/>
    <col min="18" max="16384" width="11.42578125" style="5"/>
  </cols>
  <sheetData>
    <row r="1" spans="1:15" ht="15.75">
      <c r="A1" s="6" t="s">
        <v>37</v>
      </c>
      <c r="B1" s="6" t="s">
        <v>1</v>
      </c>
      <c r="C1" s="6">
        <v>44562</v>
      </c>
      <c r="D1" s="7" t="s">
        <v>38</v>
      </c>
      <c r="E1" s="7" t="s">
        <v>39</v>
      </c>
      <c r="F1" s="7" t="s">
        <v>40</v>
      </c>
      <c r="G1" s="7" t="s">
        <v>41</v>
      </c>
      <c r="H1" s="6">
        <v>44592</v>
      </c>
      <c r="I1" s="7" t="s">
        <v>42</v>
      </c>
      <c r="K1" s="47"/>
      <c r="L1" s="47" t="s">
        <v>43</v>
      </c>
      <c r="M1" s="47" t="s">
        <v>44</v>
      </c>
      <c r="N1" s="47" t="s">
        <v>45</v>
      </c>
      <c r="O1" s="47" t="s">
        <v>46</v>
      </c>
    </row>
    <row r="2" spans="1:15" ht="16.5">
      <c r="A2" s="60" t="str">
        <f>+K2</f>
        <v>B52</v>
      </c>
      <c r="B2" s="61" t="s">
        <v>47</v>
      </c>
      <c r="C2" s="62">
        <v>9500</v>
      </c>
      <c r="D2" s="63">
        <f t="shared" ref="D2:D15" si="0">+L2</f>
        <v>567000</v>
      </c>
      <c r="E2" s="63">
        <f>+N2</f>
        <v>576000</v>
      </c>
      <c r="F2" s="63">
        <f>+M2</f>
        <v>0</v>
      </c>
      <c r="G2" s="63">
        <f t="shared" ref="G2:G13" si="1">+O2</f>
        <v>0</v>
      </c>
      <c r="H2" s="63">
        <v>500</v>
      </c>
      <c r="I2" s="63">
        <f>+C2+D2-E2-F2+G2</f>
        <v>500</v>
      </c>
      <c r="J2" s="9">
        <f>I2-H2</f>
        <v>0</v>
      </c>
      <c r="K2" s="47" t="s">
        <v>175</v>
      </c>
      <c r="L2" s="49">
        <v>567000</v>
      </c>
      <c r="M2" s="49">
        <v>0</v>
      </c>
      <c r="N2" s="49">
        <v>576000</v>
      </c>
      <c r="O2" s="49">
        <v>0</v>
      </c>
    </row>
    <row r="3" spans="1:15" ht="16.5">
      <c r="A3" s="60" t="str">
        <f>+K3</f>
        <v>BCI</v>
      </c>
      <c r="B3" s="61" t="s">
        <v>47</v>
      </c>
      <c r="C3" s="62">
        <v>3455373</v>
      </c>
      <c r="D3" s="63">
        <f t="shared" si="0"/>
        <v>0</v>
      </c>
      <c r="E3" s="63">
        <f>+N3</f>
        <v>283345</v>
      </c>
      <c r="F3" s="63">
        <f>+M3</f>
        <v>1000000</v>
      </c>
      <c r="G3" s="63">
        <f t="shared" si="1"/>
        <v>0</v>
      </c>
      <c r="H3" s="63">
        <v>2172028</v>
      </c>
      <c r="I3" s="63">
        <f>+C3+D3-E3-F3+G3</f>
        <v>2172028</v>
      </c>
      <c r="J3" s="9">
        <f t="shared" ref="J3:J10" si="2">I3-H3</f>
        <v>0</v>
      </c>
      <c r="K3" s="47" t="s">
        <v>24</v>
      </c>
      <c r="L3" s="49">
        <v>0</v>
      </c>
      <c r="M3" s="49">
        <v>1000000</v>
      </c>
      <c r="N3" s="49">
        <v>283345</v>
      </c>
      <c r="O3" s="49">
        <v>0</v>
      </c>
    </row>
    <row r="4" spans="1:15" ht="16.5">
      <c r="A4" s="60" t="str">
        <f t="shared" ref="A4:A6" si="3">+K4</f>
        <v>BCI-Sous Compte</v>
      </c>
      <c r="B4" s="61" t="s">
        <v>25</v>
      </c>
      <c r="C4" s="62">
        <v>4841615</v>
      </c>
      <c r="D4" s="63">
        <f t="shared" si="0"/>
        <v>0</v>
      </c>
      <c r="E4" s="63">
        <f>+N4</f>
        <v>6223724</v>
      </c>
      <c r="F4" s="63">
        <f>+M4</f>
        <v>2000000</v>
      </c>
      <c r="G4" s="63">
        <f t="shared" si="1"/>
        <v>17525203</v>
      </c>
      <c r="H4" s="63">
        <v>14143094</v>
      </c>
      <c r="I4" s="63">
        <f>+C4+D4-E4-F4+G4</f>
        <v>14143094</v>
      </c>
      <c r="J4" s="108">
        <f t="shared" si="2"/>
        <v>0</v>
      </c>
      <c r="K4" s="47" t="s">
        <v>160</v>
      </c>
      <c r="L4" s="49">
        <v>0</v>
      </c>
      <c r="M4" s="49">
        <v>2000000</v>
      </c>
      <c r="N4" s="49">
        <v>6223724</v>
      </c>
      <c r="O4" s="49">
        <v>17525203</v>
      </c>
    </row>
    <row r="5" spans="1:15" ht="16.5">
      <c r="A5" s="60" t="str">
        <f t="shared" si="3"/>
        <v>Caisse</v>
      </c>
      <c r="B5" s="61" t="s">
        <v>166</v>
      </c>
      <c r="C5" s="62">
        <v>1042520</v>
      </c>
      <c r="D5" s="63">
        <f t="shared" si="0"/>
        <v>3035000</v>
      </c>
      <c r="E5" s="63">
        <f t="shared" ref="E5" si="4">+N5</f>
        <v>966635</v>
      </c>
      <c r="F5" s="63">
        <f t="shared" ref="F5:F13" si="5">+M5</f>
        <v>2530000</v>
      </c>
      <c r="G5" s="63">
        <f t="shared" si="1"/>
        <v>0</v>
      </c>
      <c r="H5" s="63">
        <v>580885</v>
      </c>
      <c r="I5" s="63">
        <f>+C5+D5-E5-F5+G5</f>
        <v>580885</v>
      </c>
      <c r="J5" s="9">
        <f t="shared" si="2"/>
        <v>0</v>
      </c>
      <c r="K5" s="47" t="s">
        <v>25</v>
      </c>
      <c r="L5" s="49">
        <v>3035000</v>
      </c>
      <c r="M5" s="49">
        <v>2530000</v>
      </c>
      <c r="N5" s="49">
        <v>966635</v>
      </c>
      <c r="O5" s="49">
        <v>0</v>
      </c>
    </row>
    <row r="6" spans="1:15" ht="16.5">
      <c r="A6" s="60" t="str">
        <f t="shared" si="3"/>
        <v>Crépin</v>
      </c>
      <c r="B6" s="61" t="s">
        <v>167</v>
      </c>
      <c r="C6" s="62">
        <v>-37100</v>
      </c>
      <c r="D6" s="63">
        <f t="shared" si="0"/>
        <v>256000</v>
      </c>
      <c r="E6" s="63">
        <f>+N6</f>
        <v>189900</v>
      </c>
      <c r="F6" s="63">
        <f t="shared" si="5"/>
        <v>20000</v>
      </c>
      <c r="G6" s="63">
        <f t="shared" si="1"/>
        <v>0</v>
      </c>
      <c r="H6" s="63">
        <v>9000</v>
      </c>
      <c r="I6" s="63">
        <f t="shared" ref="I6" si="6">+C6+D6-E6-F6+G6</f>
        <v>9000</v>
      </c>
      <c r="J6" s="9">
        <f t="shared" si="2"/>
        <v>0</v>
      </c>
      <c r="K6" s="47" t="s">
        <v>48</v>
      </c>
      <c r="L6" s="49">
        <v>256000</v>
      </c>
      <c r="M6" s="49">
        <v>20000</v>
      </c>
      <c r="N6" s="49">
        <v>189900</v>
      </c>
      <c r="O6" s="49">
        <v>0</v>
      </c>
    </row>
    <row r="7" spans="1:15" ht="16.5">
      <c r="A7" s="60" t="str">
        <f>K7</f>
        <v>Evariste</v>
      </c>
      <c r="B7" s="61" t="s">
        <v>166</v>
      </c>
      <c r="C7" s="62">
        <v>8645</v>
      </c>
      <c r="D7" s="63">
        <f t="shared" si="0"/>
        <v>0</v>
      </c>
      <c r="E7" s="63">
        <f t="shared" ref="E7" si="7">+N7</f>
        <v>0</v>
      </c>
      <c r="F7" s="63">
        <f t="shared" si="5"/>
        <v>0</v>
      </c>
      <c r="G7" s="63">
        <f t="shared" si="1"/>
        <v>0</v>
      </c>
      <c r="H7" s="63">
        <v>8645</v>
      </c>
      <c r="I7" s="63">
        <f>+C7+D7-E7-F7+G7</f>
        <v>8645</v>
      </c>
      <c r="J7" s="9">
        <f t="shared" si="2"/>
        <v>0</v>
      </c>
      <c r="K7" s="47" t="s">
        <v>31</v>
      </c>
      <c r="L7" s="49">
        <v>0</v>
      </c>
      <c r="M7" s="49">
        <v>0</v>
      </c>
      <c r="N7" s="49">
        <v>0</v>
      </c>
      <c r="O7" s="49">
        <v>0</v>
      </c>
    </row>
    <row r="8" spans="1:15" ht="16.5">
      <c r="A8" s="123" t="str">
        <f t="shared" ref="A8:A15" si="8">+K8</f>
        <v>I55S</v>
      </c>
      <c r="B8" s="124" t="s">
        <v>4</v>
      </c>
      <c r="C8" s="125">
        <v>233614</v>
      </c>
      <c r="D8" s="126">
        <f t="shared" si="0"/>
        <v>0</v>
      </c>
      <c r="E8" s="126">
        <f>+N8</f>
        <v>0</v>
      </c>
      <c r="F8" s="126">
        <f t="shared" si="5"/>
        <v>0</v>
      </c>
      <c r="G8" s="126">
        <f t="shared" si="1"/>
        <v>0</v>
      </c>
      <c r="H8" s="126">
        <v>233614</v>
      </c>
      <c r="I8" s="126">
        <f>+C8+D8-E8-F8+G8</f>
        <v>233614</v>
      </c>
      <c r="J8" s="9">
        <f t="shared" si="2"/>
        <v>0</v>
      </c>
      <c r="K8" s="47" t="s">
        <v>85</v>
      </c>
      <c r="L8" s="49">
        <v>0</v>
      </c>
      <c r="M8" s="49">
        <v>0</v>
      </c>
      <c r="N8" s="49">
        <v>0</v>
      </c>
      <c r="O8" s="49">
        <v>0</v>
      </c>
    </row>
    <row r="9" spans="1:15" ht="16.5">
      <c r="A9" s="123" t="str">
        <f t="shared" si="8"/>
        <v>I73X</v>
      </c>
      <c r="B9" s="124" t="s">
        <v>4</v>
      </c>
      <c r="C9" s="125">
        <v>249769</v>
      </c>
      <c r="D9" s="126">
        <f t="shared" si="0"/>
        <v>0</v>
      </c>
      <c r="E9" s="126">
        <f>+N9</f>
        <v>0</v>
      </c>
      <c r="F9" s="126">
        <f t="shared" si="5"/>
        <v>0</v>
      </c>
      <c r="G9" s="126">
        <f t="shared" si="1"/>
        <v>0</v>
      </c>
      <c r="H9" s="126">
        <v>249769</v>
      </c>
      <c r="I9" s="126">
        <f t="shared" ref="I9:I12" si="9">+C9+D9-E9-F9+G9</f>
        <v>249769</v>
      </c>
      <c r="J9" s="9">
        <f t="shared" si="2"/>
        <v>0</v>
      </c>
      <c r="K9" s="47" t="s">
        <v>84</v>
      </c>
      <c r="L9" s="49">
        <v>0</v>
      </c>
      <c r="M9" s="49">
        <v>0</v>
      </c>
      <c r="N9" s="49">
        <v>0</v>
      </c>
      <c r="O9" s="49">
        <v>0</v>
      </c>
    </row>
    <row r="10" spans="1:15" ht="16.5">
      <c r="A10" s="60" t="str">
        <f t="shared" si="8"/>
        <v>Godfré</v>
      </c>
      <c r="B10" s="104" t="s">
        <v>2</v>
      </c>
      <c r="C10" s="62">
        <v>34935</v>
      </c>
      <c r="D10" s="63">
        <f t="shared" si="0"/>
        <v>365000</v>
      </c>
      <c r="E10" s="180">
        <f t="shared" ref="E10" si="10">+N10</f>
        <v>320000</v>
      </c>
      <c r="F10" s="63">
        <f t="shared" si="5"/>
        <v>0</v>
      </c>
      <c r="G10" s="63">
        <f t="shared" si="1"/>
        <v>0</v>
      </c>
      <c r="H10" s="63">
        <v>79935</v>
      </c>
      <c r="I10" s="63">
        <f t="shared" si="9"/>
        <v>79935</v>
      </c>
      <c r="J10" s="9">
        <f t="shared" si="2"/>
        <v>0</v>
      </c>
      <c r="K10" s="47" t="s">
        <v>155</v>
      </c>
      <c r="L10" s="49">
        <v>365000</v>
      </c>
      <c r="M10" s="49"/>
      <c r="N10" s="49">
        <v>320000</v>
      </c>
      <c r="O10" s="49">
        <v>0</v>
      </c>
    </row>
    <row r="11" spans="1:15" ht="16.5">
      <c r="A11" s="60" t="str">
        <f t="shared" si="8"/>
        <v>Grace</v>
      </c>
      <c r="B11" s="61" t="s">
        <v>4</v>
      </c>
      <c r="C11" s="62">
        <v>44200</v>
      </c>
      <c r="D11" s="63">
        <f t="shared" si="0"/>
        <v>0</v>
      </c>
      <c r="E11" s="180">
        <f>+N11</f>
        <v>9400</v>
      </c>
      <c r="F11" s="63">
        <f t="shared" si="5"/>
        <v>15000</v>
      </c>
      <c r="G11" s="63">
        <f t="shared" si="1"/>
        <v>0</v>
      </c>
      <c r="H11" s="63">
        <v>19800</v>
      </c>
      <c r="I11" s="63">
        <f t="shared" si="9"/>
        <v>19800</v>
      </c>
      <c r="J11" s="9">
        <f>I11-H11</f>
        <v>0</v>
      </c>
      <c r="K11" s="47" t="s">
        <v>154</v>
      </c>
      <c r="L11" s="49">
        <v>0</v>
      </c>
      <c r="M11" s="49">
        <v>15000</v>
      </c>
      <c r="N11" s="49">
        <v>9400</v>
      </c>
      <c r="O11" s="49">
        <v>0</v>
      </c>
    </row>
    <row r="12" spans="1:15" ht="16.5">
      <c r="A12" s="60" t="str">
        <f t="shared" si="8"/>
        <v>I23C</v>
      </c>
      <c r="B12" s="104" t="s">
        <v>2</v>
      </c>
      <c r="C12" s="62">
        <v>12050</v>
      </c>
      <c r="D12" s="63">
        <f t="shared" si="0"/>
        <v>492000</v>
      </c>
      <c r="E12" s="180">
        <f t="shared" ref="E12:E15" si="11">+N12</f>
        <v>473500</v>
      </c>
      <c r="F12" s="63">
        <f t="shared" si="5"/>
        <v>0</v>
      </c>
      <c r="G12" s="63">
        <f t="shared" si="1"/>
        <v>0</v>
      </c>
      <c r="H12" s="63">
        <v>30550</v>
      </c>
      <c r="I12" s="63">
        <f t="shared" si="9"/>
        <v>30550</v>
      </c>
      <c r="J12" s="9">
        <f t="shared" ref="J12:J13" si="12">I12-H12</f>
        <v>0</v>
      </c>
      <c r="K12" s="47" t="s">
        <v>30</v>
      </c>
      <c r="L12" s="49">
        <v>492000</v>
      </c>
      <c r="M12" s="49">
        <v>0</v>
      </c>
      <c r="N12" s="49">
        <v>473500</v>
      </c>
      <c r="O12" s="49">
        <v>0</v>
      </c>
    </row>
    <row r="13" spans="1:15" ht="16.5">
      <c r="A13" s="60" t="str">
        <f t="shared" si="8"/>
        <v>Merveille</v>
      </c>
      <c r="B13" s="61" t="s">
        <v>4</v>
      </c>
      <c r="C13" s="62">
        <v>5500</v>
      </c>
      <c r="D13" s="63">
        <f t="shared" si="0"/>
        <v>20000</v>
      </c>
      <c r="E13" s="180">
        <f t="shared" si="11"/>
        <v>12500</v>
      </c>
      <c r="F13" s="63">
        <f t="shared" si="5"/>
        <v>0</v>
      </c>
      <c r="G13" s="63">
        <f t="shared" si="1"/>
        <v>0</v>
      </c>
      <c r="H13" s="63">
        <v>13000</v>
      </c>
      <c r="I13" s="63">
        <f>+C13+D13-E13-F13+G13</f>
        <v>13000</v>
      </c>
      <c r="J13" s="9">
        <f t="shared" si="12"/>
        <v>0</v>
      </c>
      <c r="K13" s="47" t="s">
        <v>94</v>
      </c>
      <c r="L13" s="49">
        <v>20000</v>
      </c>
      <c r="M13" s="49">
        <v>0</v>
      </c>
      <c r="N13" s="49">
        <v>12500</v>
      </c>
      <c r="O13" s="49"/>
    </row>
    <row r="14" spans="1:15" ht="16.5">
      <c r="A14" s="60" t="str">
        <f t="shared" si="8"/>
        <v>P29</v>
      </c>
      <c r="B14" s="61" t="s">
        <v>166</v>
      </c>
      <c r="C14" s="62">
        <v>58200</v>
      </c>
      <c r="D14" s="63">
        <f t="shared" si="0"/>
        <v>530000</v>
      </c>
      <c r="E14" s="180">
        <f t="shared" si="11"/>
        <v>532500</v>
      </c>
      <c r="F14" s="63">
        <f>+M14</f>
        <v>0</v>
      </c>
      <c r="G14" s="63">
        <f>+O14</f>
        <v>0</v>
      </c>
      <c r="H14" s="63">
        <v>55700</v>
      </c>
      <c r="I14" s="63">
        <f>+C14+D14-E14-F14+G14</f>
        <v>55700</v>
      </c>
      <c r="J14" s="9">
        <f>I14-H14</f>
        <v>0</v>
      </c>
      <c r="K14" s="47" t="s">
        <v>29</v>
      </c>
      <c r="L14" s="49">
        <v>530000</v>
      </c>
      <c r="M14" s="49">
        <v>0</v>
      </c>
      <c r="N14" s="49">
        <v>532500</v>
      </c>
      <c r="O14" s="49">
        <v>0</v>
      </c>
    </row>
    <row r="15" spans="1:15" ht="16.5">
      <c r="A15" s="60" t="str">
        <f t="shared" si="8"/>
        <v>Tiffany</v>
      </c>
      <c r="B15" s="61" t="s">
        <v>2</v>
      </c>
      <c r="C15" s="62">
        <v>263673</v>
      </c>
      <c r="D15" s="63">
        <f t="shared" si="0"/>
        <v>300000</v>
      </c>
      <c r="E15" s="180">
        <f t="shared" si="11"/>
        <v>599910</v>
      </c>
      <c r="F15" s="63">
        <f t="shared" ref="F15" si="13">+M15</f>
        <v>0</v>
      </c>
      <c r="G15" s="63">
        <f t="shared" ref="G15" si="14">+O15</f>
        <v>0</v>
      </c>
      <c r="H15" s="63">
        <v>-36237</v>
      </c>
      <c r="I15" s="63">
        <f t="shared" ref="I15" si="15">+C15+D15-E15-F15+G15</f>
        <v>-36237</v>
      </c>
      <c r="J15" s="9">
        <f t="shared" ref="J15" si="16">I15-H15</f>
        <v>0</v>
      </c>
      <c r="K15" s="47" t="s">
        <v>114</v>
      </c>
      <c r="L15" s="49">
        <v>300000</v>
      </c>
      <c r="M15" s="49">
        <v>0</v>
      </c>
      <c r="N15" s="49">
        <v>599910</v>
      </c>
      <c r="O15" s="49">
        <v>0</v>
      </c>
    </row>
    <row r="16" spans="1:15" ht="16.5">
      <c r="A16" s="10" t="s">
        <v>51</v>
      </c>
      <c r="B16" s="11"/>
      <c r="C16" s="12">
        <f t="shared" ref="C16:I16" si="17">SUM(C2:C15)</f>
        <v>10222494</v>
      </c>
      <c r="D16" s="59">
        <f t="shared" si="17"/>
        <v>5565000</v>
      </c>
      <c r="E16" s="59">
        <f t="shared" si="17"/>
        <v>10187414</v>
      </c>
      <c r="F16" s="59">
        <f t="shared" si="17"/>
        <v>5565000</v>
      </c>
      <c r="G16" s="59">
        <f t="shared" si="17"/>
        <v>17525203</v>
      </c>
      <c r="H16" s="59">
        <f t="shared" si="17"/>
        <v>17560283</v>
      </c>
      <c r="I16" s="59">
        <f t="shared" si="17"/>
        <v>17560283</v>
      </c>
      <c r="J16" s="9">
        <f>I16-H16</f>
        <v>0</v>
      </c>
      <c r="K16" s="3"/>
      <c r="L16" s="49">
        <f>+SUM(L2:L15)</f>
        <v>5565000</v>
      </c>
      <c r="M16" s="49">
        <f>+SUM(M2:M15)</f>
        <v>5565000</v>
      </c>
      <c r="N16" s="49">
        <f>+SUM(N2:N15)</f>
        <v>10187414</v>
      </c>
      <c r="O16" s="49">
        <f>+SUM(O2:O15)</f>
        <v>17525203</v>
      </c>
    </row>
    <row r="17" spans="1:15" ht="16.5">
      <c r="A17" s="10"/>
      <c r="B17" s="11"/>
      <c r="C17" s="12"/>
      <c r="D17" s="13"/>
      <c r="E17" s="12"/>
      <c r="F17" s="13"/>
      <c r="G17" s="12"/>
      <c r="H17" s="12"/>
      <c r="I17" s="143" t="b">
        <f>I16=D19</f>
        <v>1</v>
      </c>
      <c r="L17" s="5"/>
      <c r="M17" s="5"/>
      <c r="N17" s="5"/>
      <c r="O17" s="5"/>
    </row>
    <row r="18" spans="1:15" ht="16.5">
      <c r="A18" s="10" t="s">
        <v>195</v>
      </c>
      <c r="B18" s="11" t="s">
        <v>197</v>
      </c>
      <c r="C18" s="12" t="s">
        <v>196</v>
      </c>
      <c r="D18" s="12" t="s">
        <v>198</v>
      </c>
      <c r="E18" s="12" t="s">
        <v>52</v>
      </c>
      <c r="F18" s="12"/>
      <c r="G18" s="12">
        <f>+D16-F16</f>
        <v>0</v>
      </c>
      <c r="H18" s="12"/>
      <c r="I18" s="12"/>
    </row>
    <row r="19" spans="1:15" ht="16.5">
      <c r="A19" s="14">
        <f>C16</f>
        <v>10222494</v>
      </c>
      <c r="B19" s="15">
        <f>G16</f>
        <v>17525203</v>
      </c>
      <c r="C19" s="12">
        <f>E16</f>
        <v>10187414</v>
      </c>
      <c r="D19" s="12">
        <f>A19+B19-C19</f>
        <v>17560283</v>
      </c>
      <c r="E19" s="13">
        <f>I16-D19</f>
        <v>0</v>
      </c>
      <c r="F19" s="12"/>
      <c r="G19" s="12"/>
      <c r="H19" s="12"/>
      <c r="I19" s="12"/>
    </row>
    <row r="20" spans="1:15" ht="16.5">
      <c r="A20" s="14"/>
      <c r="B20" s="15"/>
      <c r="C20" s="12"/>
      <c r="D20" s="12"/>
      <c r="E20" s="13"/>
      <c r="F20" s="12"/>
      <c r="G20" s="12"/>
      <c r="H20" s="12"/>
      <c r="I20" s="12"/>
    </row>
    <row r="21" spans="1:15">
      <c r="A21" s="16" t="s">
        <v>53</v>
      </c>
      <c r="B21" s="16"/>
      <c r="C21" s="16"/>
      <c r="D21" s="17"/>
      <c r="E21" s="17"/>
      <c r="F21" s="17"/>
      <c r="G21" s="17"/>
      <c r="H21" s="17"/>
      <c r="I21" s="17"/>
    </row>
    <row r="22" spans="1:15">
      <c r="A22" s="18" t="s">
        <v>199</v>
      </c>
      <c r="B22" s="18"/>
      <c r="C22" s="18"/>
      <c r="D22" s="18"/>
      <c r="E22" s="18"/>
      <c r="F22" s="18"/>
      <c r="G22" s="18"/>
      <c r="H22" s="18"/>
      <c r="I22" s="18"/>
      <c r="J22" s="18"/>
    </row>
    <row r="23" spans="1:15">
      <c r="A23" s="19"/>
      <c r="B23" s="20"/>
      <c r="C23" s="21"/>
      <c r="D23" s="21"/>
      <c r="E23" s="21"/>
      <c r="F23" s="21"/>
      <c r="G23" s="21"/>
      <c r="H23" s="20"/>
      <c r="I23" s="20"/>
    </row>
    <row r="24" spans="1:15">
      <c r="A24" s="354" t="s">
        <v>54</v>
      </c>
      <c r="B24" s="356" t="s">
        <v>55</v>
      </c>
      <c r="C24" s="358" t="s">
        <v>201</v>
      </c>
      <c r="D24" s="360" t="s">
        <v>56</v>
      </c>
      <c r="E24" s="361"/>
      <c r="F24" s="361"/>
      <c r="G24" s="362"/>
      <c r="H24" s="363" t="s">
        <v>57</v>
      </c>
      <c r="I24" s="365" t="s">
        <v>58</v>
      </c>
      <c r="J24" s="20"/>
    </row>
    <row r="25" spans="1:15" ht="28.5" customHeight="1">
      <c r="A25" s="355"/>
      <c r="B25" s="357"/>
      <c r="C25" s="359"/>
      <c r="D25" s="22" t="s">
        <v>24</v>
      </c>
      <c r="E25" s="22" t="s">
        <v>25</v>
      </c>
      <c r="F25" s="264" t="s">
        <v>124</v>
      </c>
      <c r="G25" s="22" t="s">
        <v>59</v>
      </c>
      <c r="H25" s="364"/>
      <c r="I25" s="366"/>
      <c r="J25" s="367" t="s">
        <v>200</v>
      </c>
      <c r="K25" s="155"/>
    </row>
    <row r="26" spans="1:15">
      <c r="A26" s="24"/>
      <c r="B26" s="25" t="s">
        <v>60</v>
      </c>
      <c r="C26" s="26"/>
      <c r="D26" s="26"/>
      <c r="E26" s="26"/>
      <c r="F26" s="26"/>
      <c r="G26" s="26"/>
      <c r="H26" s="26"/>
      <c r="I26" s="27"/>
      <c r="J26" s="368"/>
      <c r="K26" s="155"/>
    </row>
    <row r="27" spans="1:15">
      <c r="A27" s="130" t="s">
        <v>109</v>
      </c>
      <c r="B27" s="135" t="s">
        <v>175</v>
      </c>
      <c r="C27" s="33">
        <f>+C2</f>
        <v>9500</v>
      </c>
      <c r="D27" s="32"/>
      <c r="E27" s="33">
        <f>+D2</f>
        <v>567000</v>
      </c>
      <c r="F27" s="33"/>
      <c r="G27" s="33"/>
      <c r="H27" s="57">
        <f>+F2</f>
        <v>0</v>
      </c>
      <c r="I27" s="33">
        <f>+E2</f>
        <v>576000</v>
      </c>
      <c r="J27" s="31">
        <f t="shared" ref="J27:J28" si="18">+SUM(C27:G27)-(H27+I27)</f>
        <v>500</v>
      </c>
      <c r="K27" s="156" t="b">
        <f>J27=I2</f>
        <v>1</v>
      </c>
    </row>
    <row r="28" spans="1:15">
      <c r="A28" s="130" t="str">
        <f>+A27</f>
        <v>JANVIER</v>
      </c>
      <c r="B28" s="135" t="s">
        <v>48</v>
      </c>
      <c r="C28" s="33">
        <f>+C6</f>
        <v>-37100</v>
      </c>
      <c r="D28" s="32"/>
      <c r="E28" s="33">
        <f>+D6</f>
        <v>256000</v>
      </c>
      <c r="F28" s="33"/>
      <c r="G28" s="33"/>
      <c r="H28" s="57">
        <f>+F6</f>
        <v>20000</v>
      </c>
      <c r="I28" s="33">
        <f>+E6</f>
        <v>189900</v>
      </c>
      <c r="J28" s="107">
        <f t="shared" si="18"/>
        <v>9000</v>
      </c>
      <c r="K28" s="156" t="b">
        <f t="shared" ref="K28:K37" si="19">J28=I6</f>
        <v>1</v>
      </c>
    </row>
    <row r="29" spans="1:15">
      <c r="A29" s="130" t="str">
        <f t="shared" ref="A29:A37" si="20">+A28</f>
        <v>JANVIER</v>
      </c>
      <c r="B29" s="136" t="s">
        <v>31</v>
      </c>
      <c r="C29" s="33">
        <f>+C7</f>
        <v>8645</v>
      </c>
      <c r="D29" s="127"/>
      <c r="E29" s="33">
        <f>+D7</f>
        <v>0</v>
      </c>
      <c r="F29" s="53"/>
      <c r="G29" s="53"/>
      <c r="H29" s="57">
        <f>+F7</f>
        <v>0</v>
      </c>
      <c r="I29" s="33">
        <f>+E7</f>
        <v>0</v>
      </c>
      <c r="J29" s="132">
        <f>+SUM(C29:G29)-(H29+I29)</f>
        <v>8645</v>
      </c>
      <c r="K29" s="156" t="b">
        <f t="shared" si="19"/>
        <v>1</v>
      </c>
    </row>
    <row r="30" spans="1:15">
      <c r="A30" s="130" t="str">
        <f t="shared" si="20"/>
        <v>JANVIER</v>
      </c>
      <c r="B30" s="137" t="s">
        <v>85</v>
      </c>
      <c r="C30" s="128">
        <f>+C8</f>
        <v>233614</v>
      </c>
      <c r="D30" s="131"/>
      <c r="E30" s="128">
        <f>+D8</f>
        <v>0</v>
      </c>
      <c r="F30" s="146"/>
      <c r="G30" s="146"/>
      <c r="H30" s="181">
        <f>+F8</f>
        <v>0</v>
      </c>
      <c r="I30" s="128">
        <f>+E8</f>
        <v>0</v>
      </c>
      <c r="J30" s="129">
        <f>+SUM(C30:G30)-(H30+I30)</f>
        <v>233614</v>
      </c>
      <c r="K30" s="156" t="b">
        <f t="shared" si="19"/>
        <v>1</v>
      </c>
    </row>
    <row r="31" spans="1:15">
      <c r="A31" s="130" t="str">
        <f t="shared" si="20"/>
        <v>JANVIER</v>
      </c>
      <c r="B31" s="137" t="s">
        <v>84</v>
      </c>
      <c r="C31" s="128">
        <f>+C9</f>
        <v>249769</v>
      </c>
      <c r="D31" s="131"/>
      <c r="E31" s="128">
        <f>+D9</f>
        <v>0</v>
      </c>
      <c r="F31" s="146"/>
      <c r="G31" s="146"/>
      <c r="H31" s="181">
        <f>+F9</f>
        <v>0</v>
      </c>
      <c r="I31" s="128">
        <f>+E9</f>
        <v>0</v>
      </c>
      <c r="J31" s="129">
        <f t="shared" ref="J31:J37" si="21">+SUM(C31:G31)-(H31+I31)</f>
        <v>249769</v>
      </c>
      <c r="K31" s="156" t="b">
        <f t="shared" si="19"/>
        <v>1</v>
      </c>
    </row>
    <row r="32" spans="1:15">
      <c r="A32" s="130" t="str">
        <f t="shared" si="20"/>
        <v>JANVIER</v>
      </c>
      <c r="B32" s="135" t="s">
        <v>155</v>
      </c>
      <c r="C32" s="33">
        <f>+C10</f>
        <v>34935</v>
      </c>
      <c r="D32" s="32"/>
      <c r="E32" s="33">
        <f>+D10</f>
        <v>365000</v>
      </c>
      <c r="F32" s="33"/>
      <c r="G32" s="110"/>
      <c r="H32" s="57">
        <f>+F10</f>
        <v>0</v>
      </c>
      <c r="I32" s="33">
        <f>+E10</f>
        <v>320000</v>
      </c>
      <c r="J32" s="31">
        <f t="shared" si="21"/>
        <v>79935</v>
      </c>
      <c r="K32" s="156" t="b">
        <f t="shared" si="19"/>
        <v>1</v>
      </c>
    </row>
    <row r="33" spans="1:16">
      <c r="A33" s="130" t="str">
        <f t="shared" si="20"/>
        <v>JANVIER</v>
      </c>
      <c r="B33" s="135" t="s">
        <v>154</v>
      </c>
      <c r="C33" s="33">
        <f t="shared" ref="C33:C37" si="22">+C11</f>
        <v>44200</v>
      </c>
      <c r="D33" s="32"/>
      <c r="E33" s="33">
        <f t="shared" ref="E33:E37" si="23">+D11</f>
        <v>0</v>
      </c>
      <c r="F33" s="33"/>
      <c r="G33" s="110"/>
      <c r="H33" s="57">
        <f t="shared" ref="H33:H37" si="24">+F11</f>
        <v>15000</v>
      </c>
      <c r="I33" s="33">
        <f t="shared" ref="I33:I37" si="25">+E11</f>
        <v>9400</v>
      </c>
      <c r="J33" s="31">
        <f t="shared" si="21"/>
        <v>19800</v>
      </c>
      <c r="K33" s="156" t="b">
        <f t="shared" si="19"/>
        <v>1</v>
      </c>
    </row>
    <row r="34" spans="1:16">
      <c r="A34" s="130" t="str">
        <f t="shared" si="20"/>
        <v>JANVIER</v>
      </c>
      <c r="B34" s="135" t="s">
        <v>30</v>
      </c>
      <c r="C34" s="33">
        <f t="shared" si="22"/>
        <v>12050</v>
      </c>
      <c r="D34" s="32"/>
      <c r="E34" s="33">
        <f t="shared" si="23"/>
        <v>492000</v>
      </c>
      <c r="F34" s="33"/>
      <c r="G34" s="110"/>
      <c r="H34" s="57">
        <f t="shared" si="24"/>
        <v>0</v>
      </c>
      <c r="I34" s="33">
        <f t="shared" si="25"/>
        <v>473500</v>
      </c>
      <c r="J34" s="31">
        <f t="shared" si="21"/>
        <v>30550</v>
      </c>
      <c r="K34" s="156" t="b">
        <f t="shared" si="19"/>
        <v>1</v>
      </c>
    </row>
    <row r="35" spans="1:16">
      <c r="A35" s="130" t="str">
        <f>+A33</f>
        <v>JANVIER</v>
      </c>
      <c r="B35" s="135" t="s">
        <v>94</v>
      </c>
      <c r="C35" s="33">
        <f t="shared" si="22"/>
        <v>5500</v>
      </c>
      <c r="D35" s="32"/>
      <c r="E35" s="33">
        <f t="shared" si="23"/>
        <v>20000</v>
      </c>
      <c r="F35" s="33"/>
      <c r="G35" s="110"/>
      <c r="H35" s="57">
        <f t="shared" si="24"/>
        <v>0</v>
      </c>
      <c r="I35" s="33">
        <f t="shared" si="25"/>
        <v>12500</v>
      </c>
      <c r="J35" s="31">
        <f t="shared" si="21"/>
        <v>13000</v>
      </c>
      <c r="K35" s="156" t="b">
        <f t="shared" si="19"/>
        <v>1</v>
      </c>
    </row>
    <row r="36" spans="1:16">
      <c r="A36" s="130" t="str">
        <f>+A34</f>
        <v>JANVIER</v>
      </c>
      <c r="B36" s="135" t="s">
        <v>29</v>
      </c>
      <c r="C36" s="33">
        <f t="shared" si="22"/>
        <v>58200</v>
      </c>
      <c r="D36" s="32"/>
      <c r="E36" s="33">
        <f t="shared" si="23"/>
        <v>530000</v>
      </c>
      <c r="F36" s="33"/>
      <c r="G36" s="110"/>
      <c r="H36" s="57">
        <f t="shared" si="24"/>
        <v>0</v>
      </c>
      <c r="I36" s="33">
        <f t="shared" si="25"/>
        <v>532500</v>
      </c>
      <c r="J36" s="31">
        <f t="shared" si="21"/>
        <v>55700</v>
      </c>
      <c r="K36" s="156" t="b">
        <f t="shared" si="19"/>
        <v>1</v>
      </c>
    </row>
    <row r="37" spans="1:16">
      <c r="A37" s="130" t="str">
        <f t="shared" si="20"/>
        <v>JANVIER</v>
      </c>
      <c r="B37" s="136" t="s">
        <v>114</v>
      </c>
      <c r="C37" s="33">
        <f t="shared" si="22"/>
        <v>263673</v>
      </c>
      <c r="D37" s="127"/>
      <c r="E37" s="33">
        <f t="shared" si="23"/>
        <v>300000</v>
      </c>
      <c r="F37" s="53"/>
      <c r="G37" s="147"/>
      <c r="H37" s="57">
        <f t="shared" si="24"/>
        <v>0</v>
      </c>
      <c r="I37" s="33">
        <f t="shared" si="25"/>
        <v>599910</v>
      </c>
      <c r="J37" s="31">
        <f t="shared" si="21"/>
        <v>-36237</v>
      </c>
      <c r="K37" s="156" t="b">
        <f t="shared" si="19"/>
        <v>1</v>
      </c>
    </row>
    <row r="38" spans="1:16">
      <c r="A38" s="35" t="s">
        <v>61</v>
      </c>
      <c r="B38" s="36"/>
      <c r="C38" s="36"/>
      <c r="D38" s="36"/>
      <c r="E38" s="36"/>
      <c r="F38" s="36"/>
      <c r="G38" s="36"/>
      <c r="H38" s="36"/>
      <c r="I38" s="36"/>
      <c r="J38" s="37"/>
      <c r="K38" s="155"/>
    </row>
    <row r="39" spans="1:16">
      <c r="A39" s="130" t="str">
        <f>+A37</f>
        <v>JANVIER</v>
      </c>
      <c r="B39" s="38" t="s">
        <v>62</v>
      </c>
      <c r="C39" s="39">
        <f>+C5</f>
        <v>1042520</v>
      </c>
      <c r="D39" s="51"/>
      <c r="E39" s="51">
        <f>D5</f>
        <v>3035000</v>
      </c>
      <c r="F39" s="51"/>
      <c r="G39" s="133"/>
      <c r="H39" s="53">
        <f>+F5</f>
        <v>2530000</v>
      </c>
      <c r="I39" s="134">
        <f>+E5</f>
        <v>966635</v>
      </c>
      <c r="J39" s="46">
        <f>+SUM(C39:G39)-(H39+I39)</f>
        <v>580885</v>
      </c>
      <c r="K39" s="156" t="b">
        <f>J39=I5</f>
        <v>1</v>
      </c>
    </row>
    <row r="40" spans="1:16">
      <c r="A40" s="44" t="s">
        <v>63</v>
      </c>
      <c r="B40" s="25"/>
      <c r="C40" s="36"/>
      <c r="D40" s="25"/>
      <c r="E40" s="25"/>
      <c r="F40" s="25"/>
      <c r="G40" s="25"/>
      <c r="H40" s="25"/>
      <c r="I40" s="25"/>
      <c r="J40" s="37"/>
      <c r="K40" s="155"/>
    </row>
    <row r="41" spans="1:16">
      <c r="A41" s="130" t="str">
        <f>+A39</f>
        <v>JANVIER</v>
      </c>
      <c r="B41" s="38" t="s">
        <v>169</v>
      </c>
      <c r="C41" s="133">
        <f>+C3</f>
        <v>3455373</v>
      </c>
      <c r="D41" s="140">
        <f>+G3</f>
        <v>0</v>
      </c>
      <c r="E41" s="51"/>
      <c r="F41" s="51"/>
      <c r="G41" s="51"/>
      <c r="H41" s="53">
        <f>+F3</f>
        <v>1000000</v>
      </c>
      <c r="I41" s="55">
        <f>+E3</f>
        <v>283345</v>
      </c>
      <c r="J41" s="46">
        <f>+SUM(C41:G41)-(H41+I41)</f>
        <v>2172028</v>
      </c>
      <c r="K41" s="156" t="b">
        <f>+J41=I3</f>
        <v>1</v>
      </c>
    </row>
    <row r="42" spans="1:16">
      <c r="A42" s="130" t="str">
        <f t="shared" ref="A42" si="26">+A41</f>
        <v>JANVIER</v>
      </c>
      <c r="B42" s="38" t="s">
        <v>65</v>
      </c>
      <c r="C42" s="133">
        <f>+C4</f>
        <v>4841615</v>
      </c>
      <c r="D42" s="51">
        <f>+G4</f>
        <v>17525203</v>
      </c>
      <c r="E42" s="50"/>
      <c r="F42" s="50"/>
      <c r="G42" s="50"/>
      <c r="H42" s="33">
        <f>+F4</f>
        <v>2000000</v>
      </c>
      <c r="I42" s="52">
        <f>+E4</f>
        <v>6223724</v>
      </c>
      <c r="J42" s="46">
        <f>SUM(C42:G42)-(H42+I42)</f>
        <v>14143094</v>
      </c>
      <c r="K42" s="156" t="b">
        <f>+J42=I4</f>
        <v>1</v>
      </c>
    </row>
    <row r="43" spans="1:16" ht="15.75">
      <c r="C43" s="151">
        <f>SUM(C27:C42)</f>
        <v>10222494</v>
      </c>
      <c r="I43" s="149">
        <f>SUM(I27:I42)</f>
        <v>10187414</v>
      </c>
      <c r="J43" s="111">
        <f>+SUM(J27:J42)</f>
        <v>17560283</v>
      </c>
      <c r="K43" s="5" t="b">
        <f>J43=I16</f>
        <v>1</v>
      </c>
    </row>
    <row r="44" spans="1:16" ht="15.75">
      <c r="C44" s="151"/>
      <c r="I44" s="149"/>
      <c r="J44" s="111"/>
    </row>
    <row r="45" spans="1:16" ht="15.75">
      <c r="A45" s="307"/>
      <c r="B45" s="307"/>
      <c r="C45" s="308"/>
      <c r="D45" s="307"/>
      <c r="E45" s="307"/>
      <c r="F45" s="307"/>
      <c r="G45" s="307"/>
      <c r="H45" s="307"/>
      <c r="I45" s="309"/>
      <c r="J45" s="310"/>
      <c r="K45" s="307"/>
      <c r="L45" s="311"/>
      <c r="M45" s="311"/>
      <c r="N45" s="311"/>
      <c r="O45" s="311"/>
      <c r="P45" s="307"/>
    </row>
    <row r="47" spans="1:16" ht="15.75">
      <c r="A47" s="6" t="s">
        <v>37</v>
      </c>
      <c r="B47" s="6" t="s">
        <v>1</v>
      </c>
      <c r="C47" s="6">
        <v>44531</v>
      </c>
      <c r="D47" s="7" t="s">
        <v>38</v>
      </c>
      <c r="E47" s="7" t="s">
        <v>39</v>
      </c>
      <c r="F47" s="7" t="s">
        <v>40</v>
      </c>
      <c r="G47" s="7" t="s">
        <v>41</v>
      </c>
      <c r="H47" s="6">
        <v>44561</v>
      </c>
      <c r="I47" s="7" t="s">
        <v>42</v>
      </c>
      <c r="K47" s="47"/>
      <c r="L47" s="47" t="s">
        <v>43</v>
      </c>
      <c r="M47" s="47" t="s">
        <v>44</v>
      </c>
      <c r="N47" s="47" t="s">
        <v>45</v>
      </c>
      <c r="O47" s="47" t="s">
        <v>46</v>
      </c>
    </row>
    <row r="48" spans="1:16" s="186" customFormat="1" ht="16.5">
      <c r="A48" s="60" t="str">
        <f>+K48</f>
        <v>Axel</v>
      </c>
      <c r="B48" s="188" t="s">
        <v>166</v>
      </c>
      <c r="C48" s="62">
        <v>29107</v>
      </c>
      <c r="D48" s="63">
        <f t="shared" ref="D48:D62" si="27">+L48</f>
        <v>1125000</v>
      </c>
      <c r="E48" s="63">
        <f>+N48</f>
        <v>1008750</v>
      </c>
      <c r="F48" s="63">
        <f>+M48</f>
        <v>145357</v>
      </c>
      <c r="G48" s="63">
        <f t="shared" ref="G48:G60" si="28">+O48</f>
        <v>0</v>
      </c>
      <c r="H48" s="63">
        <v>0</v>
      </c>
      <c r="I48" s="63">
        <f>+C48+D48-E48-F48+G48</f>
        <v>0</v>
      </c>
      <c r="J48" s="9">
        <f>I48-H48</f>
        <v>0</v>
      </c>
      <c r="K48" s="187" t="s">
        <v>165</v>
      </c>
      <c r="L48" s="187">
        <v>1125000</v>
      </c>
      <c r="M48" s="187">
        <v>145357</v>
      </c>
      <c r="N48" s="187">
        <v>1008750</v>
      </c>
      <c r="O48" s="187">
        <v>0</v>
      </c>
    </row>
    <row r="49" spans="1:15" ht="16.5">
      <c r="A49" s="60" t="str">
        <f>+K49</f>
        <v>B52</v>
      </c>
      <c r="B49" s="61" t="s">
        <v>47</v>
      </c>
      <c r="C49" s="62">
        <v>4000</v>
      </c>
      <c r="D49" s="63">
        <f t="shared" si="27"/>
        <v>426000</v>
      </c>
      <c r="E49" s="63">
        <f>+N49</f>
        <v>420500</v>
      </c>
      <c r="F49" s="63">
        <f>+M49</f>
        <v>0</v>
      </c>
      <c r="G49" s="63">
        <f t="shared" si="28"/>
        <v>0</v>
      </c>
      <c r="H49" s="63">
        <v>9500</v>
      </c>
      <c r="I49" s="63">
        <f>+C49+D49-E49-F49+G49</f>
        <v>9500</v>
      </c>
      <c r="J49" s="9">
        <f>I49-H49</f>
        <v>0</v>
      </c>
      <c r="K49" s="47" t="s">
        <v>175</v>
      </c>
      <c r="L49" s="49">
        <v>426000</v>
      </c>
      <c r="M49" s="49">
        <v>0</v>
      </c>
      <c r="N49" s="49">
        <v>420500</v>
      </c>
      <c r="O49" s="49">
        <v>0</v>
      </c>
    </row>
    <row r="50" spans="1:15" ht="16.5">
      <c r="A50" s="60" t="str">
        <f>+K50</f>
        <v>BCI</v>
      </c>
      <c r="B50" s="61" t="s">
        <v>47</v>
      </c>
      <c r="C50" s="62">
        <v>5738718</v>
      </c>
      <c r="D50" s="63">
        <f t="shared" si="27"/>
        <v>0</v>
      </c>
      <c r="E50" s="63">
        <f>+N50</f>
        <v>283345</v>
      </c>
      <c r="F50" s="63">
        <f>+M50</f>
        <v>2000000</v>
      </c>
      <c r="G50" s="63">
        <f t="shared" si="28"/>
        <v>0</v>
      </c>
      <c r="H50" s="63">
        <v>3455373</v>
      </c>
      <c r="I50" s="63">
        <f>+C50+D50-E50-F50+G50</f>
        <v>3455373</v>
      </c>
      <c r="J50" s="9">
        <f t="shared" ref="J50:J57" si="29">I50-H50</f>
        <v>0</v>
      </c>
      <c r="K50" s="47" t="s">
        <v>24</v>
      </c>
      <c r="L50" s="49">
        <v>0</v>
      </c>
      <c r="M50" s="49">
        <v>2000000</v>
      </c>
      <c r="N50" s="49">
        <v>283345</v>
      </c>
      <c r="O50" s="49">
        <v>0</v>
      </c>
    </row>
    <row r="51" spans="1:15" ht="16.5">
      <c r="A51" s="60" t="str">
        <f t="shared" ref="A51:A53" si="30">+K51</f>
        <v>BCI-Sous Compte</v>
      </c>
      <c r="B51" s="61" t="s">
        <v>25</v>
      </c>
      <c r="C51" s="62">
        <v>16087207</v>
      </c>
      <c r="D51" s="63">
        <f t="shared" si="27"/>
        <v>0</v>
      </c>
      <c r="E51" s="63">
        <f>+N51</f>
        <v>3245592</v>
      </c>
      <c r="F51" s="63">
        <f>+M51</f>
        <v>8000000</v>
      </c>
      <c r="G51" s="63">
        <f t="shared" si="28"/>
        <v>0</v>
      </c>
      <c r="H51" s="63">
        <v>4841615</v>
      </c>
      <c r="I51" s="63">
        <f>+C51+D51-E51-F51+G51</f>
        <v>4841615</v>
      </c>
      <c r="J51" s="108">
        <f t="shared" si="29"/>
        <v>0</v>
      </c>
      <c r="K51" s="47" t="s">
        <v>160</v>
      </c>
      <c r="L51" s="49">
        <v>0</v>
      </c>
      <c r="M51" s="49">
        <v>8000000</v>
      </c>
      <c r="N51" s="49">
        <v>3245592</v>
      </c>
      <c r="O51" s="49">
        <v>0</v>
      </c>
    </row>
    <row r="52" spans="1:15" ht="16.5">
      <c r="A52" s="60" t="str">
        <f t="shared" si="30"/>
        <v>Caisse</v>
      </c>
      <c r="B52" s="61" t="s">
        <v>166</v>
      </c>
      <c r="C52" s="62">
        <v>926369</v>
      </c>
      <c r="D52" s="63">
        <f t="shared" si="27"/>
        <v>10580357</v>
      </c>
      <c r="E52" s="63">
        <f t="shared" ref="E52" si="31">+N52</f>
        <v>3713706</v>
      </c>
      <c r="F52" s="63">
        <f t="shared" ref="F52:F60" si="32">+M52</f>
        <v>6750500</v>
      </c>
      <c r="G52" s="63">
        <f t="shared" si="28"/>
        <v>0</v>
      </c>
      <c r="H52" s="63">
        <v>1042520</v>
      </c>
      <c r="I52" s="63">
        <f>+C52+D52-E52-F52+G52</f>
        <v>1042520</v>
      </c>
      <c r="J52" s="9">
        <f t="shared" si="29"/>
        <v>0</v>
      </c>
      <c r="K52" s="47" t="s">
        <v>25</v>
      </c>
      <c r="L52" s="49">
        <v>10580357</v>
      </c>
      <c r="M52" s="49">
        <v>6750500</v>
      </c>
      <c r="N52" s="49">
        <v>3713706</v>
      </c>
      <c r="O52" s="49">
        <v>0</v>
      </c>
    </row>
    <row r="53" spans="1:15" ht="16.5">
      <c r="A53" s="60" t="str">
        <f t="shared" si="30"/>
        <v>Crépin</v>
      </c>
      <c r="B53" s="61" t="s">
        <v>167</v>
      </c>
      <c r="C53" s="62">
        <v>-3675</v>
      </c>
      <c r="D53" s="63">
        <f t="shared" si="27"/>
        <v>1778500</v>
      </c>
      <c r="E53" s="63">
        <f>+N53</f>
        <v>1666925</v>
      </c>
      <c r="F53" s="63">
        <f t="shared" si="32"/>
        <v>145000</v>
      </c>
      <c r="G53" s="63">
        <f t="shared" si="28"/>
        <v>0</v>
      </c>
      <c r="H53" s="63">
        <v>-37100</v>
      </c>
      <c r="I53" s="63">
        <f t="shared" ref="I53" si="33">+C53+D53-E53-F53+G53</f>
        <v>-37100</v>
      </c>
      <c r="J53" s="9">
        <f t="shared" si="29"/>
        <v>0</v>
      </c>
      <c r="K53" s="47" t="s">
        <v>48</v>
      </c>
      <c r="L53" s="49">
        <v>1778500</v>
      </c>
      <c r="M53" s="49">
        <v>145000</v>
      </c>
      <c r="N53" s="49">
        <v>1666925</v>
      </c>
      <c r="O53" s="49">
        <v>0</v>
      </c>
    </row>
    <row r="54" spans="1:15" ht="16.5">
      <c r="A54" s="60" t="str">
        <f>K54</f>
        <v>Evariste</v>
      </c>
      <c r="B54" s="61" t="s">
        <v>166</v>
      </c>
      <c r="C54" s="62">
        <v>7595</v>
      </c>
      <c r="D54" s="63">
        <f t="shared" si="27"/>
        <v>286000</v>
      </c>
      <c r="E54" s="63">
        <f t="shared" ref="E54" si="34">+N54</f>
        <v>284950</v>
      </c>
      <c r="F54" s="63">
        <f t="shared" si="32"/>
        <v>0</v>
      </c>
      <c r="G54" s="63">
        <f t="shared" si="28"/>
        <v>0</v>
      </c>
      <c r="H54" s="63">
        <v>8645</v>
      </c>
      <c r="I54" s="63">
        <f>+C54+D54-E54-F54+G54</f>
        <v>8645</v>
      </c>
      <c r="J54" s="9">
        <f t="shared" si="29"/>
        <v>0</v>
      </c>
      <c r="K54" s="47" t="s">
        <v>31</v>
      </c>
      <c r="L54" s="49">
        <v>286000</v>
      </c>
      <c r="M54" s="49">
        <v>0</v>
      </c>
      <c r="N54" s="49">
        <v>284950</v>
      </c>
      <c r="O54" s="49">
        <v>0</v>
      </c>
    </row>
    <row r="55" spans="1:15" ht="16.5">
      <c r="A55" s="123" t="str">
        <f t="shared" ref="A55:A62" si="35">+K55</f>
        <v>I55S</v>
      </c>
      <c r="B55" s="124" t="s">
        <v>4</v>
      </c>
      <c r="C55" s="125">
        <v>233614</v>
      </c>
      <c r="D55" s="126">
        <f t="shared" si="27"/>
        <v>0</v>
      </c>
      <c r="E55" s="126">
        <f>+N55</f>
        <v>0</v>
      </c>
      <c r="F55" s="126">
        <f t="shared" si="32"/>
        <v>0</v>
      </c>
      <c r="G55" s="126">
        <f t="shared" si="28"/>
        <v>0</v>
      </c>
      <c r="H55" s="126">
        <v>233614</v>
      </c>
      <c r="I55" s="126">
        <f>+C55+D55-E55-F55+G55</f>
        <v>233614</v>
      </c>
      <c r="J55" s="9">
        <f t="shared" si="29"/>
        <v>0</v>
      </c>
      <c r="K55" s="47" t="s">
        <v>85</v>
      </c>
      <c r="L55" s="49">
        <v>0</v>
      </c>
      <c r="M55" s="49">
        <v>0</v>
      </c>
      <c r="N55" s="49">
        <v>0</v>
      </c>
      <c r="O55" s="49">
        <v>0</v>
      </c>
    </row>
    <row r="56" spans="1:15" ht="16.5">
      <c r="A56" s="123" t="str">
        <f t="shared" si="35"/>
        <v>I73X</v>
      </c>
      <c r="B56" s="124" t="s">
        <v>4</v>
      </c>
      <c r="C56" s="125">
        <v>249769</v>
      </c>
      <c r="D56" s="126">
        <f t="shared" si="27"/>
        <v>0</v>
      </c>
      <c r="E56" s="126">
        <f>+N56</f>
        <v>0</v>
      </c>
      <c r="F56" s="126">
        <f t="shared" si="32"/>
        <v>0</v>
      </c>
      <c r="G56" s="126">
        <f t="shared" si="28"/>
        <v>0</v>
      </c>
      <c r="H56" s="126">
        <v>249769</v>
      </c>
      <c r="I56" s="126">
        <f t="shared" ref="I56:I59" si="36">+C56+D56-E56-F56+G56</f>
        <v>249769</v>
      </c>
      <c r="J56" s="9">
        <f t="shared" si="29"/>
        <v>0</v>
      </c>
      <c r="K56" s="47" t="s">
        <v>84</v>
      </c>
      <c r="L56" s="49">
        <v>0</v>
      </c>
      <c r="M56" s="49">
        <v>0</v>
      </c>
      <c r="N56" s="49">
        <v>0</v>
      </c>
      <c r="O56" s="49">
        <v>0</v>
      </c>
    </row>
    <row r="57" spans="1:15" ht="16.5">
      <c r="A57" s="60" t="str">
        <f t="shared" si="35"/>
        <v>Godfré</v>
      </c>
      <c r="B57" s="104" t="s">
        <v>2</v>
      </c>
      <c r="C57" s="62">
        <v>-6000</v>
      </c>
      <c r="D57" s="63">
        <f t="shared" si="27"/>
        <v>797000</v>
      </c>
      <c r="E57" s="180">
        <f t="shared" ref="E57:E62" si="37">+N57</f>
        <v>578885</v>
      </c>
      <c r="F57" s="63">
        <f t="shared" si="32"/>
        <v>177180</v>
      </c>
      <c r="G57" s="63">
        <f t="shared" si="28"/>
        <v>0</v>
      </c>
      <c r="H57" s="63">
        <v>34935</v>
      </c>
      <c r="I57" s="63">
        <f t="shared" si="36"/>
        <v>34935</v>
      </c>
      <c r="J57" s="9">
        <f t="shared" si="29"/>
        <v>0</v>
      </c>
      <c r="K57" s="47" t="s">
        <v>155</v>
      </c>
      <c r="L57" s="49">
        <v>797000</v>
      </c>
      <c r="M57" s="49">
        <v>177180</v>
      </c>
      <c r="N57" s="49">
        <v>578885</v>
      </c>
      <c r="O57" s="49">
        <v>0</v>
      </c>
    </row>
    <row r="58" spans="1:15" ht="16.5">
      <c r="A58" s="60" t="str">
        <f t="shared" si="35"/>
        <v>Grace</v>
      </c>
      <c r="B58" s="61" t="s">
        <v>4</v>
      </c>
      <c r="C58" s="62">
        <v>48400</v>
      </c>
      <c r="D58" s="63">
        <f t="shared" si="27"/>
        <v>847000</v>
      </c>
      <c r="E58" s="180">
        <f>+N58</f>
        <v>193200</v>
      </c>
      <c r="F58" s="63">
        <f t="shared" si="32"/>
        <v>658000</v>
      </c>
      <c r="G58" s="63">
        <f t="shared" si="28"/>
        <v>0</v>
      </c>
      <c r="H58" s="63">
        <v>44200</v>
      </c>
      <c r="I58" s="63">
        <f t="shared" si="36"/>
        <v>44200</v>
      </c>
      <c r="J58" s="9">
        <f>I58-H58</f>
        <v>0</v>
      </c>
      <c r="K58" s="47" t="s">
        <v>154</v>
      </c>
      <c r="L58" s="49">
        <v>847000</v>
      </c>
      <c r="M58" s="49">
        <v>658000</v>
      </c>
      <c r="N58" s="49">
        <v>193200</v>
      </c>
      <c r="O58" s="49">
        <v>0</v>
      </c>
    </row>
    <row r="59" spans="1:15" ht="16.5">
      <c r="A59" s="60" t="str">
        <f t="shared" si="35"/>
        <v>I23C</v>
      </c>
      <c r="B59" s="104" t="s">
        <v>2</v>
      </c>
      <c r="C59" s="62">
        <v>6800</v>
      </c>
      <c r="D59" s="63">
        <f t="shared" si="27"/>
        <v>861000</v>
      </c>
      <c r="E59" s="180">
        <f t="shared" si="37"/>
        <v>855750</v>
      </c>
      <c r="F59" s="63">
        <f t="shared" si="32"/>
        <v>0</v>
      </c>
      <c r="G59" s="63">
        <f t="shared" si="28"/>
        <v>0</v>
      </c>
      <c r="H59" s="63">
        <v>12050</v>
      </c>
      <c r="I59" s="63">
        <f t="shared" si="36"/>
        <v>12050</v>
      </c>
      <c r="J59" s="9">
        <f t="shared" ref="J59:J60" si="38">I59-H59</f>
        <v>0</v>
      </c>
      <c r="K59" s="47" t="s">
        <v>30</v>
      </c>
      <c r="L59" s="49">
        <v>861000</v>
      </c>
      <c r="M59" s="49">
        <v>0</v>
      </c>
      <c r="N59" s="49">
        <v>855750</v>
      </c>
      <c r="O59" s="49">
        <v>0</v>
      </c>
    </row>
    <row r="60" spans="1:15" ht="16.5">
      <c r="A60" s="60" t="str">
        <f t="shared" si="35"/>
        <v>Merveille</v>
      </c>
      <c r="B60" s="61" t="s">
        <v>4</v>
      </c>
      <c r="C60" s="62">
        <v>5500</v>
      </c>
      <c r="D60" s="63">
        <f t="shared" si="27"/>
        <v>0</v>
      </c>
      <c r="E60" s="180">
        <f t="shared" si="37"/>
        <v>0</v>
      </c>
      <c r="F60" s="63">
        <f t="shared" si="32"/>
        <v>0</v>
      </c>
      <c r="G60" s="63">
        <f t="shared" si="28"/>
        <v>0</v>
      </c>
      <c r="H60" s="63">
        <v>5500</v>
      </c>
      <c r="I60" s="63">
        <f>+C60+D60-E60-F60+G60</f>
        <v>5500</v>
      </c>
      <c r="J60" s="9">
        <f t="shared" si="38"/>
        <v>0</v>
      </c>
      <c r="K60" s="47" t="s">
        <v>94</v>
      </c>
      <c r="L60" s="49">
        <v>0</v>
      </c>
      <c r="M60" s="49">
        <v>0</v>
      </c>
      <c r="N60" s="49">
        <v>0</v>
      </c>
      <c r="O60" s="49"/>
    </row>
    <row r="61" spans="1:15" ht="16.5">
      <c r="A61" s="60" t="str">
        <f t="shared" si="35"/>
        <v>P29</v>
      </c>
      <c r="B61" s="61" t="s">
        <v>166</v>
      </c>
      <c r="C61" s="62">
        <v>30700</v>
      </c>
      <c r="D61" s="63">
        <f t="shared" si="27"/>
        <v>1215000</v>
      </c>
      <c r="E61" s="180">
        <f t="shared" si="37"/>
        <v>697500</v>
      </c>
      <c r="F61" s="63">
        <f>+M61</f>
        <v>490000</v>
      </c>
      <c r="G61" s="63">
        <f>+O61</f>
        <v>0</v>
      </c>
      <c r="H61" s="63">
        <v>58200</v>
      </c>
      <c r="I61" s="63">
        <f>+C61+D61-E61-F61+G61</f>
        <v>58200</v>
      </c>
      <c r="J61" s="9">
        <f>I61-H61</f>
        <v>0</v>
      </c>
      <c r="K61" s="47" t="s">
        <v>29</v>
      </c>
      <c r="L61" s="49">
        <v>1215000</v>
      </c>
      <c r="M61" s="49">
        <v>490000</v>
      </c>
      <c r="N61" s="49">
        <v>697500</v>
      </c>
      <c r="O61" s="49">
        <v>0</v>
      </c>
    </row>
    <row r="62" spans="1:15" ht="16.5">
      <c r="A62" s="60" t="str">
        <f t="shared" si="35"/>
        <v>Tiffany</v>
      </c>
      <c r="B62" s="61" t="s">
        <v>2</v>
      </c>
      <c r="C62" s="62">
        <v>9193</v>
      </c>
      <c r="D62" s="63">
        <f t="shared" si="27"/>
        <v>1100180</v>
      </c>
      <c r="E62" s="180">
        <f t="shared" si="37"/>
        <v>195700</v>
      </c>
      <c r="F62" s="63">
        <f t="shared" ref="F62" si="39">+M62</f>
        <v>650000</v>
      </c>
      <c r="G62" s="63">
        <f t="shared" ref="G62" si="40">+O62</f>
        <v>0</v>
      </c>
      <c r="H62" s="63">
        <v>263673</v>
      </c>
      <c r="I62" s="63">
        <f t="shared" ref="I62" si="41">+C62+D62-E62-F62+G62</f>
        <v>263673</v>
      </c>
      <c r="J62" s="9">
        <f t="shared" ref="J62" si="42">I62-H62</f>
        <v>0</v>
      </c>
      <c r="K62" s="47" t="s">
        <v>114</v>
      </c>
      <c r="L62" s="49">
        <v>1100180</v>
      </c>
      <c r="M62" s="49">
        <v>650000</v>
      </c>
      <c r="N62" s="49">
        <v>195700</v>
      </c>
      <c r="O62" s="49">
        <v>0</v>
      </c>
    </row>
    <row r="63" spans="1:15" ht="16.5">
      <c r="A63" s="10" t="s">
        <v>51</v>
      </c>
      <c r="B63" s="11"/>
      <c r="C63" s="12">
        <f>SUM(C48:C62)</f>
        <v>23367297</v>
      </c>
      <c r="D63" s="59">
        <f t="shared" ref="D63:G63" si="43">SUM(D48:D62)</f>
        <v>19016037</v>
      </c>
      <c r="E63" s="59">
        <f t="shared" si="43"/>
        <v>13144803</v>
      </c>
      <c r="F63" s="59">
        <f t="shared" si="43"/>
        <v>19016037</v>
      </c>
      <c r="G63" s="59">
        <f t="shared" si="43"/>
        <v>0</v>
      </c>
      <c r="H63" s="59">
        <f>SUM(H48:H62)</f>
        <v>10222494</v>
      </c>
      <c r="I63" s="59">
        <f>SUM(I48:I62)</f>
        <v>10222494</v>
      </c>
      <c r="J63" s="9">
        <f>I63-H63</f>
        <v>0</v>
      </c>
      <c r="K63" s="3"/>
      <c r="L63" s="49">
        <f>+SUM(L48:L62)</f>
        <v>19016037</v>
      </c>
      <c r="M63" s="49">
        <f t="shared" ref="M63:O63" si="44">+SUM(M48:M62)</f>
        <v>19016037</v>
      </c>
      <c r="N63" s="49">
        <f>+SUM(N48:N62)</f>
        <v>13144803</v>
      </c>
      <c r="O63" s="49">
        <f t="shared" si="44"/>
        <v>0</v>
      </c>
    </row>
    <row r="64" spans="1:15" ht="16.5">
      <c r="A64" s="10"/>
      <c r="B64" s="11"/>
      <c r="C64" s="12"/>
      <c r="D64" s="13"/>
      <c r="E64" s="12"/>
      <c r="F64" s="13"/>
      <c r="G64" s="12"/>
      <c r="H64" s="12"/>
      <c r="I64" s="143" t="b">
        <f>I63=D66</f>
        <v>1</v>
      </c>
      <c r="L64" s="5"/>
      <c r="M64" s="5"/>
      <c r="N64" s="5"/>
      <c r="O64" s="5"/>
    </row>
    <row r="65" spans="1:11" ht="16.5">
      <c r="A65" s="10" t="s">
        <v>179</v>
      </c>
      <c r="B65" s="11" t="s">
        <v>180</v>
      </c>
      <c r="C65" s="12" t="s">
        <v>181</v>
      </c>
      <c r="D65" s="12" t="s">
        <v>192</v>
      </c>
      <c r="E65" s="12" t="s">
        <v>52</v>
      </c>
      <c r="F65" s="12"/>
      <c r="G65" s="12">
        <f>+D63-F63</f>
        <v>0</v>
      </c>
      <c r="H65" s="12"/>
      <c r="I65" s="12"/>
    </row>
    <row r="66" spans="1:11" ht="16.5">
      <c r="A66" s="14">
        <f>C63</f>
        <v>23367297</v>
      </c>
      <c r="B66" s="15">
        <f>G63</f>
        <v>0</v>
      </c>
      <c r="C66" s="12">
        <f>E63</f>
        <v>13144803</v>
      </c>
      <c r="D66" s="12">
        <f>A66+B66-C66</f>
        <v>10222494</v>
      </c>
      <c r="E66" s="13">
        <f>I63-D66</f>
        <v>0</v>
      </c>
      <c r="F66" s="12"/>
      <c r="G66" s="12"/>
      <c r="H66" s="12"/>
      <c r="I66" s="12"/>
    </row>
    <row r="67" spans="1:11" ht="16.5">
      <c r="A67" s="14"/>
      <c r="B67" s="15"/>
      <c r="C67" s="12"/>
      <c r="D67" s="12"/>
      <c r="E67" s="13"/>
      <c r="F67" s="12"/>
      <c r="G67" s="12"/>
      <c r="H67" s="12"/>
      <c r="I67" s="12"/>
    </row>
    <row r="68" spans="1:11">
      <c r="A68" s="16" t="s">
        <v>53</v>
      </c>
      <c r="B68" s="16"/>
      <c r="C68" s="16"/>
      <c r="D68" s="17"/>
      <c r="E68" s="17"/>
      <c r="F68" s="17"/>
      <c r="G68" s="17"/>
      <c r="H68" s="17"/>
      <c r="I68" s="17"/>
    </row>
    <row r="69" spans="1:11">
      <c r="A69" s="18" t="s">
        <v>190</v>
      </c>
      <c r="B69" s="18"/>
      <c r="C69" s="18"/>
      <c r="D69" s="18"/>
      <c r="E69" s="18"/>
      <c r="F69" s="18"/>
      <c r="G69" s="18"/>
      <c r="H69" s="18"/>
      <c r="I69" s="18"/>
      <c r="J69" s="18"/>
    </row>
    <row r="70" spans="1:11">
      <c r="A70" s="19"/>
      <c r="B70" s="20"/>
      <c r="C70" s="21"/>
      <c r="D70" s="21"/>
      <c r="E70" s="21"/>
      <c r="F70" s="21"/>
      <c r="G70" s="21"/>
      <c r="H70" s="20"/>
      <c r="I70" s="20"/>
    </row>
    <row r="71" spans="1:11">
      <c r="A71" s="354" t="s">
        <v>54</v>
      </c>
      <c r="B71" s="356" t="s">
        <v>55</v>
      </c>
      <c r="C71" s="358" t="s">
        <v>182</v>
      </c>
      <c r="D71" s="360" t="s">
        <v>56</v>
      </c>
      <c r="E71" s="361"/>
      <c r="F71" s="361"/>
      <c r="G71" s="362"/>
      <c r="H71" s="363" t="s">
        <v>57</v>
      </c>
      <c r="I71" s="365" t="s">
        <v>58</v>
      </c>
      <c r="J71" s="20"/>
    </row>
    <row r="72" spans="1:11" ht="28.5" customHeight="1">
      <c r="A72" s="355"/>
      <c r="B72" s="357"/>
      <c r="C72" s="359"/>
      <c r="D72" s="22" t="s">
        <v>24</v>
      </c>
      <c r="E72" s="22" t="s">
        <v>25</v>
      </c>
      <c r="F72" s="220" t="s">
        <v>124</v>
      </c>
      <c r="G72" s="22" t="s">
        <v>59</v>
      </c>
      <c r="H72" s="364"/>
      <c r="I72" s="366"/>
      <c r="J72" s="367" t="s">
        <v>183</v>
      </c>
      <c r="K72" s="155"/>
    </row>
    <row r="73" spans="1:11">
      <c r="A73" s="24"/>
      <c r="B73" s="25" t="s">
        <v>60</v>
      </c>
      <c r="C73" s="26"/>
      <c r="D73" s="26"/>
      <c r="E73" s="26"/>
      <c r="F73" s="26"/>
      <c r="G73" s="26"/>
      <c r="H73" s="26"/>
      <c r="I73" s="27"/>
      <c r="J73" s="368"/>
      <c r="K73" s="155"/>
    </row>
    <row r="74" spans="1:11">
      <c r="A74" s="130" t="s">
        <v>104</v>
      </c>
      <c r="B74" s="135" t="s">
        <v>165</v>
      </c>
      <c r="C74" s="33">
        <f>+C48</f>
        <v>29107</v>
      </c>
      <c r="D74" s="32"/>
      <c r="E74" s="33">
        <f>D48</f>
        <v>1125000</v>
      </c>
      <c r="F74" s="33"/>
      <c r="G74" s="33"/>
      <c r="H74" s="57">
        <f>+F48</f>
        <v>145357</v>
      </c>
      <c r="I74" s="33">
        <f>+E48</f>
        <v>1008750</v>
      </c>
      <c r="J74" s="31">
        <f>+SUM(C74:G74)-(H74+I74)</f>
        <v>0</v>
      </c>
      <c r="K74" s="156" t="b">
        <f>J74=I48</f>
        <v>1</v>
      </c>
    </row>
    <row r="75" spans="1:11">
      <c r="A75" s="130" t="str">
        <f>A74</f>
        <v>DECEMBRE</v>
      </c>
      <c r="B75" s="135" t="s">
        <v>175</v>
      </c>
      <c r="C75" s="33">
        <f>+C49</f>
        <v>4000</v>
      </c>
      <c r="D75" s="32"/>
      <c r="E75" s="33">
        <f>+D49</f>
        <v>426000</v>
      </c>
      <c r="F75" s="33"/>
      <c r="G75" s="33"/>
      <c r="H75" s="57">
        <f>+F49</f>
        <v>0</v>
      </c>
      <c r="I75" s="33">
        <f>+E49</f>
        <v>420500</v>
      </c>
      <c r="J75" s="31">
        <f t="shared" ref="J75:J76" si="45">+SUM(C75:G75)-(H75+I75)</f>
        <v>9500</v>
      </c>
      <c r="K75" s="156" t="b">
        <f>J75=I49</f>
        <v>1</v>
      </c>
    </row>
    <row r="76" spans="1:11">
      <c r="A76" s="130" t="str">
        <f>+A75</f>
        <v>DECEMBRE</v>
      </c>
      <c r="B76" s="135" t="s">
        <v>48</v>
      </c>
      <c r="C76" s="33">
        <f>+C53</f>
        <v>-3675</v>
      </c>
      <c r="D76" s="32"/>
      <c r="E76" s="33">
        <f>+D53</f>
        <v>1778500</v>
      </c>
      <c r="F76" s="33"/>
      <c r="G76" s="33"/>
      <c r="H76" s="57">
        <f>+F53</f>
        <v>145000</v>
      </c>
      <c r="I76" s="33">
        <f>+E53</f>
        <v>1666925</v>
      </c>
      <c r="J76" s="107">
        <f t="shared" si="45"/>
        <v>-37100</v>
      </c>
      <c r="K76" s="156" t="b">
        <f>J76=I53</f>
        <v>1</v>
      </c>
    </row>
    <row r="77" spans="1:11">
      <c r="A77" s="130" t="str">
        <f t="shared" ref="A77:A85" si="46">+A76</f>
        <v>DECEMBRE</v>
      </c>
      <c r="B77" s="136" t="s">
        <v>31</v>
      </c>
      <c r="C77" s="33">
        <f>+C54</f>
        <v>7595</v>
      </c>
      <c r="D77" s="127"/>
      <c r="E77" s="33">
        <f>+D54</f>
        <v>286000</v>
      </c>
      <c r="F77" s="53"/>
      <c r="G77" s="53"/>
      <c r="H77" s="57">
        <f>+F54</f>
        <v>0</v>
      </c>
      <c r="I77" s="33">
        <f>+E54</f>
        <v>284950</v>
      </c>
      <c r="J77" s="132">
        <f>+SUM(C77:G77)-(H77+I77)</f>
        <v>8645</v>
      </c>
      <c r="K77" s="156" t="b">
        <f t="shared" ref="K77:K85" si="47">J77=I54</f>
        <v>1</v>
      </c>
    </row>
    <row r="78" spans="1:11">
      <c r="A78" s="130" t="str">
        <f t="shared" si="46"/>
        <v>DECEMBRE</v>
      </c>
      <c r="B78" s="137" t="s">
        <v>85</v>
      </c>
      <c r="C78" s="128">
        <f>+C55</f>
        <v>233614</v>
      </c>
      <c r="D78" s="131"/>
      <c r="E78" s="128">
        <f>+D55</f>
        <v>0</v>
      </c>
      <c r="F78" s="146"/>
      <c r="G78" s="146"/>
      <c r="H78" s="181">
        <f>+F55</f>
        <v>0</v>
      </c>
      <c r="I78" s="128">
        <f>+E55</f>
        <v>0</v>
      </c>
      <c r="J78" s="129">
        <f>+SUM(C78:G78)-(H78+I78)</f>
        <v>233614</v>
      </c>
      <c r="K78" s="156" t="b">
        <f t="shared" si="47"/>
        <v>1</v>
      </c>
    </row>
    <row r="79" spans="1:11">
      <c r="A79" s="130" t="str">
        <f t="shared" si="46"/>
        <v>DECEMBRE</v>
      </c>
      <c r="B79" s="137" t="s">
        <v>84</v>
      </c>
      <c r="C79" s="128">
        <f>+C56</f>
        <v>249769</v>
      </c>
      <c r="D79" s="131"/>
      <c r="E79" s="128">
        <f>+D56</f>
        <v>0</v>
      </c>
      <c r="F79" s="146"/>
      <c r="G79" s="146"/>
      <c r="H79" s="181">
        <f>+F56</f>
        <v>0</v>
      </c>
      <c r="I79" s="128">
        <f>+E56</f>
        <v>0</v>
      </c>
      <c r="J79" s="129">
        <f t="shared" ref="J79:J85" si="48">+SUM(C79:G79)-(H79+I79)</f>
        <v>249769</v>
      </c>
      <c r="K79" s="156" t="b">
        <f t="shared" si="47"/>
        <v>1</v>
      </c>
    </row>
    <row r="80" spans="1:11">
      <c r="A80" s="130" t="str">
        <f t="shared" si="46"/>
        <v>DECEMBRE</v>
      </c>
      <c r="B80" s="135" t="s">
        <v>155</v>
      </c>
      <c r="C80" s="33">
        <f>+C57</f>
        <v>-6000</v>
      </c>
      <c r="D80" s="32"/>
      <c r="E80" s="33">
        <f>+D57</f>
        <v>797000</v>
      </c>
      <c r="F80" s="33"/>
      <c r="G80" s="110"/>
      <c r="H80" s="57">
        <f>+F57</f>
        <v>177180</v>
      </c>
      <c r="I80" s="33">
        <f>+E57</f>
        <v>578885</v>
      </c>
      <c r="J80" s="31">
        <f t="shared" si="48"/>
        <v>34935</v>
      </c>
      <c r="K80" s="156" t="b">
        <f t="shared" si="47"/>
        <v>1</v>
      </c>
    </row>
    <row r="81" spans="1:16">
      <c r="A81" s="130" t="str">
        <f t="shared" si="46"/>
        <v>DECEMBRE</v>
      </c>
      <c r="B81" s="135" t="s">
        <v>154</v>
      </c>
      <c r="C81" s="33">
        <f t="shared" ref="C81:C85" si="49">+C58</f>
        <v>48400</v>
      </c>
      <c r="D81" s="32"/>
      <c r="E81" s="33">
        <f t="shared" ref="E81:E85" si="50">+D58</f>
        <v>847000</v>
      </c>
      <c r="F81" s="33"/>
      <c r="G81" s="110"/>
      <c r="H81" s="57">
        <f t="shared" ref="H81:H85" si="51">+F58</f>
        <v>658000</v>
      </c>
      <c r="I81" s="33">
        <f t="shared" ref="I81:I85" si="52">+E58</f>
        <v>193200</v>
      </c>
      <c r="J81" s="31">
        <f t="shared" si="48"/>
        <v>44200</v>
      </c>
      <c r="K81" s="156" t="b">
        <f t="shared" si="47"/>
        <v>1</v>
      </c>
    </row>
    <row r="82" spans="1:16">
      <c r="A82" s="130" t="str">
        <f t="shared" si="46"/>
        <v>DECEMBRE</v>
      </c>
      <c r="B82" s="135" t="s">
        <v>30</v>
      </c>
      <c r="C82" s="33">
        <f t="shared" si="49"/>
        <v>6800</v>
      </c>
      <c r="D82" s="32"/>
      <c r="E82" s="33">
        <f t="shared" si="50"/>
        <v>861000</v>
      </c>
      <c r="F82" s="33"/>
      <c r="G82" s="110"/>
      <c r="H82" s="57">
        <f t="shared" si="51"/>
        <v>0</v>
      </c>
      <c r="I82" s="33">
        <f t="shared" si="52"/>
        <v>855750</v>
      </c>
      <c r="J82" s="31">
        <f t="shared" si="48"/>
        <v>12050</v>
      </c>
      <c r="K82" s="156" t="b">
        <f t="shared" si="47"/>
        <v>1</v>
      </c>
    </row>
    <row r="83" spans="1:16">
      <c r="A83" s="130" t="str">
        <f>+A81</f>
        <v>DECEMBRE</v>
      </c>
      <c r="B83" s="135" t="s">
        <v>94</v>
      </c>
      <c r="C83" s="33">
        <f t="shared" si="49"/>
        <v>5500</v>
      </c>
      <c r="D83" s="32"/>
      <c r="E83" s="33">
        <f t="shared" si="50"/>
        <v>0</v>
      </c>
      <c r="F83" s="33"/>
      <c r="G83" s="110"/>
      <c r="H83" s="57">
        <f t="shared" si="51"/>
        <v>0</v>
      </c>
      <c r="I83" s="33">
        <f t="shared" si="52"/>
        <v>0</v>
      </c>
      <c r="J83" s="31">
        <f t="shared" si="48"/>
        <v>5500</v>
      </c>
      <c r="K83" s="156" t="b">
        <f t="shared" si="47"/>
        <v>1</v>
      </c>
    </row>
    <row r="84" spans="1:16">
      <c r="A84" s="130" t="str">
        <f>+A82</f>
        <v>DECEMBRE</v>
      </c>
      <c r="B84" s="135" t="s">
        <v>29</v>
      </c>
      <c r="C84" s="33">
        <f t="shared" si="49"/>
        <v>30700</v>
      </c>
      <c r="D84" s="32"/>
      <c r="E84" s="33">
        <f t="shared" si="50"/>
        <v>1215000</v>
      </c>
      <c r="F84" s="33"/>
      <c r="G84" s="110"/>
      <c r="H84" s="57">
        <f t="shared" si="51"/>
        <v>490000</v>
      </c>
      <c r="I84" s="33">
        <f t="shared" si="52"/>
        <v>697500</v>
      </c>
      <c r="J84" s="31">
        <f t="shared" si="48"/>
        <v>58200</v>
      </c>
      <c r="K84" s="156" t="b">
        <f t="shared" si="47"/>
        <v>1</v>
      </c>
    </row>
    <row r="85" spans="1:16">
      <c r="A85" s="130" t="str">
        <f t="shared" si="46"/>
        <v>DECEMBRE</v>
      </c>
      <c r="B85" s="136" t="s">
        <v>114</v>
      </c>
      <c r="C85" s="33">
        <f t="shared" si="49"/>
        <v>9193</v>
      </c>
      <c r="D85" s="127"/>
      <c r="E85" s="33">
        <f t="shared" si="50"/>
        <v>1100180</v>
      </c>
      <c r="F85" s="53"/>
      <c r="G85" s="147"/>
      <c r="H85" s="57">
        <f t="shared" si="51"/>
        <v>650000</v>
      </c>
      <c r="I85" s="33">
        <f t="shared" si="52"/>
        <v>195700</v>
      </c>
      <c r="J85" s="31">
        <f t="shared" si="48"/>
        <v>263673</v>
      </c>
      <c r="K85" s="156" t="b">
        <f t="shared" si="47"/>
        <v>1</v>
      </c>
    </row>
    <row r="86" spans="1:16">
      <c r="A86" s="35" t="s">
        <v>61</v>
      </c>
      <c r="B86" s="36"/>
      <c r="C86" s="36"/>
      <c r="D86" s="36"/>
      <c r="E86" s="36"/>
      <c r="F86" s="36"/>
      <c r="G86" s="36"/>
      <c r="H86" s="36"/>
      <c r="I86" s="36"/>
      <c r="J86" s="37"/>
      <c r="K86" s="155"/>
    </row>
    <row r="87" spans="1:16">
      <c r="A87" s="130" t="str">
        <f>+A85</f>
        <v>DECEMBRE</v>
      </c>
      <c r="B87" s="38" t="s">
        <v>62</v>
      </c>
      <c r="C87" s="39">
        <f>+C52</f>
        <v>926369</v>
      </c>
      <c r="D87" s="51"/>
      <c r="E87" s="51">
        <f>D52</f>
        <v>10580357</v>
      </c>
      <c r="F87" s="51"/>
      <c r="G87" s="133"/>
      <c r="H87" s="53">
        <f>+F52</f>
        <v>6750500</v>
      </c>
      <c r="I87" s="134">
        <f>+E52</f>
        <v>3713706</v>
      </c>
      <c r="J87" s="46">
        <f>+SUM(C87:G87)-(H87+I87)</f>
        <v>1042520</v>
      </c>
      <c r="K87" s="156" t="b">
        <f>J87=I52</f>
        <v>1</v>
      </c>
    </row>
    <row r="88" spans="1:16">
      <c r="A88" s="44" t="s">
        <v>63</v>
      </c>
      <c r="B88" s="25"/>
      <c r="C88" s="36"/>
      <c r="D88" s="25"/>
      <c r="E88" s="25"/>
      <c r="F88" s="25"/>
      <c r="G88" s="25"/>
      <c r="H88" s="25"/>
      <c r="I88" s="25"/>
      <c r="J88" s="37"/>
      <c r="K88" s="155"/>
    </row>
    <row r="89" spans="1:16">
      <c r="A89" s="130" t="str">
        <f>+A87</f>
        <v>DECEMBRE</v>
      </c>
      <c r="B89" s="38" t="s">
        <v>169</v>
      </c>
      <c r="C89" s="133">
        <f>+C50</f>
        <v>5738718</v>
      </c>
      <c r="D89" s="140">
        <f>+G50</f>
        <v>0</v>
      </c>
      <c r="E89" s="51"/>
      <c r="F89" s="51"/>
      <c r="G89" s="51"/>
      <c r="H89" s="53">
        <f>+F50</f>
        <v>2000000</v>
      </c>
      <c r="I89" s="55">
        <f>+E50</f>
        <v>283345</v>
      </c>
      <c r="J89" s="46">
        <f>+SUM(C89:G89)-(H89+I89)</f>
        <v>3455373</v>
      </c>
      <c r="K89" s="156" t="b">
        <f>+J89=I50</f>
        <v>1</v>
      </c>
    </row>
    <row r="90" spans="1:16">
      <c r="A90" s="130" t="str">
        <f t="shared" ref="A90" si="53">+A89</f>
        <v>DECEMBRE</v>
      </c>
      <c r="B90" s="38" t="s">
        <v>65</v>
      </c>
      <c r="C90" s="133">
        <f>+C51</f>
        <v>16087207</v>
      </c>
      <c r="D90" s="51">
        <f>+G51</f>
        <v>0</v>
      </c>
      <c r="E90" s="50"/>
      <c r="F90" s="50"/>
      <c r="G90" s="50"/>
      <c r="H90" s="33">
        <f>+F51</f>
        <v>8000000</v>
      </c>
      <c r="I90" s="52">
        <f>+E51</f>
        <v>3245592</v>
      </c>
      <c r="J90" s="46">
        <f>SUM(C90:G90)-(H90+I90)</f>
        <v>4841615</v>
      </c>
      <c r="K90" s="156" t="b">
        <f>+J90=I51</f>
        <v>1</v>
      </c>
    </row>
    <row r="91" spans="1:16" ht="15.75">
      <c r="C91" s="151">
        <f>SUM(C75:C90)</f>
        <v>23338190</v>
      </c>
      <c r="I91" s="149">
        <f>SUM(I75:I90)</f>
        <v>12136053</v>
      </c>
      <c r="J91" s="111">
        <f>+SUM(J74:J90)</f>
        <v>10222494</v>
      </c>
      <c r="K91" s="5" t="b">
        <f>J91=I63</f>
        <v>1</v>
      </c>
    </row>
    <row r="92" spans="1:16">
      <c r="G92" s="9"/>
    </row>
    <row r="93" spans="1:16">
      <c r="A93" s="307"/>
      <c r="B93" s="307"/>
      <c r="C93" s="307"/>
      <c r="D93" s="307"/>
      <c r="E93" s="307"/>
      <c r="F93" s="307"/>
      <c r="G93" s="307"/>
      <c r="H93" s="307"/>
      <c r="I93" s="307"/>
      <c r="J93" s="307"/>
      <c r="K93" s="307"/>
      <c r="L93" s="311"/>
      <c r="M93" s="311"/>
      <c r="N93" s="311"/>
      <c r="O93" s="311"/>
      <c r="P93" s="307"/>
    </row>
    <row r="94" spans="1:16">
      <c r="A94" s="4">
        <v>44530</v>
      </c>
    </row>
    <row r="95" spans="1:16" ht="15.75">
      <c r="A95" s="6" t="s">
        <v>37</v>
      </c>
      <c r="B95" s="6" t="s">
        <v>1</v>
      </c>
      <c r="C95" s="6">
        <v>44501</v>
      </c>
      <c r="D95" s="7" t="s">
        <v>38</v>
      </c>
      <c r="E95" s="7" t="s">
        <v>39</v>
      </c>
      <c r="F95" s="7" t="s">
        <v>40</v>
      </c>
      <c r="G95" s="7" t="s">
        <v>41</v>
      </c>
      <c r="H95" s="6">
        <v>44530</v>
      </c>
      <c r="I95" s="7" t="s">
        <v>42</v>
      </c>
      <c r="K95" s="47"/>
      <c r="L95" s="47" t="s">
        <v>43</v>
      </c>
      <c r="M95" s="47" t="s">
        <v>44</v>
      </c>
      <c r="N95" s="47" t="s">
        <v>45</v>
      </c>
      <c r="O95" s="47" t="s">
        <v>46</v>
      </c>
    </row>
    <row r="96" spans="1:16" s="186" customFormat="1" ht="16.5">
      <c r="A96" s="60" t="str">
        <f>+K96</f>
        <v>Axel</v>
      </c>
      <c r="B96" s="188" t="s">
        <v>166</v>
      </c>
      <c r="C96" s="62">
        <v>6757</v>
      </c>
      <c r="D96" s="63">
        <f t="shared" ref="D96:D109" si="54">+L96</f>
        <v>337000</v>
      </c>
      <c r="E96" s="63">
        <f>+N96</f>
        <v>314650</v>
      </c>
      <c r="F96" s="63">
        <f>+M96</f>
        <v>0</v>
      </c>
      <c r="G96" s="63">
        <f t="shared" ref="G96:G98" si="55">+O96</f>
        <v>0</v>
      </c>
      <c r="H96" s="63">
        <v>29107</v>
      </c>
      <c r="I96" s="63">
        <f>+C96+D96-E96-F96+G96</f>
        <v>29107</v>
      </c>
      <c r="J96" s="9">
        <f>I96-H96</f>
        <v>0</v>
      </c>
      <c r="K96" s="187" t="s">
        <v>165</v>
      </c>
      <c r="L96" s="187">
        <v>337000</v>
      </c>
      <c r="M96" s="187">
        <v>0</v>
      </c>
      <c r="N96" s="187">
        <v>314650</v>
      </c>
      <c r="O96" s="187">
        <v>0</v>
      </c>
    </row>
    <row r="97" spans="1:15" ht="16.5">
      <c r="A97" s="60" t="str">
        <f>+K97</f>
        <v>B52</v>
      </c>
      <c r="B97" s="61" t="s">
        <v>47</v>
      </c>
      <c r="C97" s="62">
        <v>0</v>
      </c>
      <c r="D97" s="63">
        <f t="shared" si="54"/>
        <v>118000</v>
      </c>
      <c r="E97" s="63">
        <f>+N97</f>
        <v>114000</v>
      </c>
      <c r="F97" s="63">
        <f>+M97</f>
        <v>0</v>
      </c>
      <c r="G97" s="63">
        <f t="shared" si="55"/>
        <v>0</v>
      </c>
      <c r="H97" s="63">
        <v>4000</v>
      </c>
      <c r="I97" s="63">
        <f>+C97+D97-E97-F97+G97</f>
        <v>4000</v>
      </c>
      <c r="J97" s="9">
        <f>I97-H97</f>
        <v>0</v>
      </c>
      <c r="K97" s="47" t="s">
        <v>175</v>
      </c>
      <c r="L97" s="49">
        <v>118000</v>
      </c>
      <c r="M97" s="49">
        <v>0</v>
      </c>
      <c r="N97" s="49">
        <v>114000</v>
      </c>
      <c r="O97" s="49">
        <v>0</v>
      </c>
    </row>
    <row r="98" spans="1:15" ht="16.5">
      <c r="A98" s="60" t="str">
        <f>+K98</f>
        <v>BCI</v>
      </c>
      <c r="B98" s="61" t="s">
        <v>47</v>
      </c>
      <c r="C98" s="62">
        <v>6762063</v>
      </c>
      <c r="D98" s="63">
        <f t="shared" si="54"/>
        <v>0</v>
      </c>
      <c r="E98" s="63">
        <f>+N98</f>
        <v>23345</v>
      </c>
      <c r="F98" s="63">
        <f>+M98</f>
        <v>1000000</v>
      </c>
      <c r="G98" s="63">
        <f t="shared" si="55"/>
        <v>0</v>
      </c>
      <c r="H98" s="63">
        <v>5738718</v>
      </c>
      <c r="I98" s="63">
        <f>+C98+D98-E98-F98+G98</f>
        <v>5738718</v>
      </c>
      <c r="J98" s="9">
        <f t="shared" ref="J98:J105" si="56">I98-H98</f>
        <v>0</v>
      </c>
      <c r="K98" s="47" t="s">
        <v>24</v>
      </c>
      <c r="L98" s="49">
        <v>0</v>
      </c>
      <c r="M98" s="49">
        <v>1000000</v>
      </c>
      <c r="N98" s="49">
        <v>23345</v>
      </c>
      <c r="O98" s="49">
        <v>0</v>
      </c>
    </row>
    <row r="99" spans="1:15" ht="16.5">
      <c r="A99" s="60" t="str">
        <f t="shared" ref="A99:A101" si="57">+K99</f>
        <v>BCI-Sous Compte</v>
      </c>
      <c r="B99" s="61" t="s">
        <v>25</v>
      </c>
      <c r="C99" s="62">
        <v>23107840</v>
      </c>
      <c r="D99" s="63">
        <f t="shared" si="54"/>
        <v>0</v>
      </c>
      <c r="E99" s="63">
        <f>+N99</f>
        <v>4020633</v>
      </c>
      <c r="F99" s="63">
        <f>+M99</f>
        <v>3000000</v>
      </c>
      <c r="G99" s="63">
        <f t="shared" ref="G99:G110" si="58">+O99</f>
        <v>0</v>
      </c>
      <c r="H99" s="63">
        <v>16087207</v>
      </c>
      <c r="I99" s="63">
        <f>+C99+D99-E99-F99+G99</f>
        <v>16087207</v>
      </c>
      <c r="J99" s="108">
        <f t="shared" si="56"/>
        <v>0</v>
      </c>
      <c r="K99" s="47" t="s">
        <v>160</v>
      </c>
      <c r="L99" s="49">
        <v>0</v>
      </c>
      <c r="M99" s="49">
        <v>3000000</v>
      </c>
      <c r="N99" s="49">
        <v>4020633</v>
      </c>
      <c r="O99" s="49">
        <v>0</v>
      </c>
    </row>
    <row r="100" spans="1:15" ht="16.5">
      <c r="A100" s="60" t="str">
        <f t="shared" si="57"/>
        <v>Caisse</v>
      </c>
      <c r="B100" s="61" t="s">
        <v>166</v>
      </c>
      <c r="C100" s="62">
        <v>1685107</v>
      </c>
      <c r="D100" s="63">
        <f t="shared" si="54"/>
        <v>4090000</v>
      </c>
      <c r="E100" s="63">
        <f t="shared" ref="E100" si="59">+N100</f>
        <v>2854238</v>
      </c>
      <c r="F100" s="63">
        <f t="shared" ref="F100:F107" si="60">+M100</f>
        <v>1994500</v>
      </c>
      <c r="G100" s="63">
        <f t="shared" si="58"/>
        <v>0</v>
      </c>
      <c r="H100" s="63">
        <v>926369</v>
      </c>
      <c r="I100" s="63">
        <f>+C100+D100-E100-F100+G100</f>
        <v>926369</v>
      </c>
      <c r="J100" s="9">
        <f t="shared" si="56"/>
        <v>0</v>
      </c>
      <c r="K100" s="47" t="s">
        <v>25</v>
      </c>
      <c r="L100" s="49">
        <v>4090000</v>
      </c>
      <c r="M100" s="49">
        <v>1994500</v>
      </c>
      <c r="N100" s="49">
        <v>2854238</v>
      </c>
      <c r="O100" s="49">
        <v>0</v>
      </c>
    </row>
    <row r="101" spans="1:15" ht="16.5">
      <c r="A101" s="60" t="str">
        <f t="shared" si="57"/>
        <v>Crépin</v>
      </c>
      <c r="B101" s="61" t="s">
        <v>167</v>
      </c>
      <c r="C101" s="62">
        <v>7200</v>
      </c>
      <c r="D101" s="63">
        <f t="shared" si="54"/>
        <v>286000</v>
      </c>
      <c r="E101" s="63">
        <f>+N101</f>
        <v>226875</v>
      </c>
      <c r="F101" s="63">
        <f t="shared" si="60"/>
        <v>70000</v>
      </c>
      <c r="G101" s="63">
        <f t="shared" si="58"/>
        <v>0</v>
      </c>
      <c r="H101" s="63">
        <v>-3675</v>
      </c>
      <c r="I101" s="63">
        <f t="shared" ref="I101" si="61">+C101+D101-E101-F101+G101</f>
        <v>-3675</v>
      </c>
      <c r="J101" s="9">
        <f t="shared" si="56"/>
        <v>0</v>
      </c>
      <c r="K101" s="47" t="s">
        <v>48</v>
      </c>
      <c r="L101" s="49">
        <v>286000</v>
      </c>
      <c r="M101" s="49">
        <v>70000</v>
      </c>
      <c r="N101" s="49">
        <v>226875</v>
      </c>
      <c r="O101" s="49">
        <v>0</v>
      </c>
    </row>
    <row r="102" spans="1:15" ht="16.5">
      <c r="A102" s="60" t="str">
        <f>K102</f>
        <v>Evariste</v>
      </c>
      <c r="B102" s="61" t="s">
        <v>166</v>
      </c>
      <c r="C102" s="62">
        <v>10095</v>
      </c>
      <c r="D102" s="63">
        <f t="shared" si="54"/>
        <v>70500</v>
      </c>
      <c r="E102" s="63">
        <f t="shared" ref="E102" si="62">+N102</f>
        <v>73000</v>
      </c>
      <c r="F102" s="63">
        <f t="shared" si="60"/>
        <v>0</v>
      </c>
      <c r="G102" s="63">
        <f t="shared" si="58"/>
        <v>0</v>
      </c>
      <c r="H102" s="63">
        <v>7595</v>
      </c>
      <c r="I102" s="63">
        <f>+C102+D102-E102-F102+G102</f>
        <v>7595</v>
      </c>
      <c r="J102" s="9">
        <f t="shared" si="56"/>
        <v>0</v>
      </c>
      <c r="K102" s="47" t="s">
        <v>31</v>
      </c>
      <c r="L102" s="49">
        <v>70500</v>
      </c>
      <c r="M102" s="49">
        <v>0</v>
      </c>
      <c r="N102" s="49">
        <v>73000</v>
      </c>
      <c r="O102" s="49">
        <v>0</v>
      </c>
    </row>
    <row r="103" spans="1:15" ht="16.5">
      <c r="A103" s="123" t="str">
        <f t="shared" ref="A103:A110" si="63">+K103</f>
        <v>I55S</v>
      </c>
      <c r="B103" s="124" t="s">
        <v>4</v>
      </c>
      <c r="C103" s="125">
        <v>233614</v>
      </c>
      <c r="D103" s="126">
        <f t="shared" si="54"/>
        <v>0</v>
      </c>
      <c r="E103" s="126">
        <f>+N103</f>
        <v>0</v>
      </c>
      <c r="F103" s="126">
        <f t="shared" si="60"/>
        <v>0</v>
      </c>
      <c r="G103" s="126">
        <f t="shared" si="58"/>
        <v>0</v>
      </c>
      <c r="H103" s="126">
        <v>233614</v>
      </c>
      <c r="I103" s="126">
        <f>+C103+D103-E103-F103+G103</f>
        <v>233614</v>
      </c>
      <c r="J103" s="9">
        <f t="shared" si="56"/>
        <v>0</v>
      </c>
      <c r="K103" s="47" t="s">
        <v>85</v>
      </c>
      <c r="L103" s="49">
        <v>0</v>
      </c>
      <c r="M103" s="49">
        <v>0</v>
      </c>
      <c r="N103" s="49">
        <v>0</v>
      </c>
      <c r="O103" s="49">
        <v>0</v>
      </c>
    </row>
    <row r="104" spans="1:15" ht="16.5">
      <c r="A104" s="123" t="str">
        <f t="shared" si="63"/>
        <v>I73X</v>
      </c>
      <c r="B104" s="124" t="s">
        <v>4</v>
      </c>
      <c r="C104" s="125">
        <v>249769</v>
      </c>
      <c r="D104" s="126">
        <f t="shared" si="54"/>
        <v>0</v>
      </c>
      <c r="E104" s="126">
        <f>+N104</f>
        <v>0</v>
      </c>
      <c r="F104" s="126">
        <f t="shared" si="60"/>
        <v>0</v>
      </c>
      <c r="G104" s="126">
        <f t="shared" si="58"/>
        <v>0</v>
      </c>
      <c r="H104" s="126">
        <v>249769</v>
      </c>
      <c r="I104" s="126">
        <f t="shared" ref="I104:I107" si="64">+C104+D104-E104-F104+G104</f>
        <v>249769</v>
      </c>
      <c r="J104" s="9">
        <f t="shared" si="56"/>
        <v>0</v>
      </c>
      <c r="K104" s="47" t="s">
        <v>84</v>
      </c>
      <c r="L104" s="49">
        <v>0</v>
      </c>
      <c r="M104" s="49">
        <v>0</v>
      </c>
      <c r="N104" s="49">
        <v>0</v>
      </c>
      <c r="O104" s="49">
        <v>0</v>
      </c>
    </row>
    <row r="105" spans="1:15" ht="16.5">
      <c r="A105" s="60" t="str">
        <f t="shared" si="63"/>
        <v>Godfré</v>
      </c>
      <c r="B105" s="104" t="s">
        <v>2</v>
      </c>
      <c r="C105" s="62">
        <v>3550</v>
      </c>
      <c r="D105" s="63">
        <f t="shared" si="54"/>
        <v>43000</v>
      </c>
      <c r="E105" s="180">
        <f t="shared" ref="E105:E110" si="65">+N105</f>
        <v>52550</v>
      </c>
      <c r="F105" s="63">
        <f t="shared" si="60"/>
        <v>0</v>
      </c>
      <c r="G105" s="63">
        <f t="shared" si="58"/>
        <v>0</v>
      </c>
      <c r="H105" s="63">
        <v>-6000</v>
      </c>
      <c r="I105" s="63">
        <f t="shared" si="64"/>
        <v>-6000</v>
      </c>
      <c r="J105" s="9">
        <f t="shared" si="56"/>
        <v>0</v>
      </c>
      <c r="K105" s="47" t="s">
        <v>155</v>
      </c>
      <c r="L105" s="49">
        <v>43000</v>
      </c>
      <c r="M105" s="49">
        <v>0</v>
      </c>
      <c r="N105" s="49">
        <v>52550</v>
      </c>
      <c r="O105" s="49">
        <v>0</v>
      </c>
    </row>
    <row r="106" spans="1:15" ht="16.5">
      <c r="A106" s="60" t="str">
        <f t="shared" si="63"/>
        <v>Grace</v>
      </c>
      <c r="B106" s="61" t="s">
        <v>4</v>
      </c>
      <c r="C106" s="62">
        <v>61300</v>
      </c>
      <c r="D106" s="63">
        <f t="shared" si="54"/>
        <v>53000</v>
      </c>
      <c r="E106" s="180">
        <f t="shared" si="65"/>
        <v>45900</v>
      </c>
      <c r="F106" s="63">
        <f t="shared" si="60"/>
        <v>20000</v>
      </c>
      <c r="G106" s="63">
        <f t="shared" si="58"/>
        <v>0</v>
      </c>
      <c r="H106" s="63">
        <v>48400</v>
      </c>
      <c r="I106" s="63">
        <f t="shared" si="64"/>
        <v>48400</v>
      </c>
      <c r="J106" s="9">
        <f>I106-H106</f>
        <v>0</v>
      </c>
      <c r="K106" s="47" t="s">
        <v>154</v>
      </c>
      <c r="L106" s="49">
        <v>53000</v>
      </c>
      <c r="M106" s="49">
        <v>20000</v>
      </c>
      <c r="N106" s="49">
        <v>45900</v>
      </c>
      <c r="O106" s="49">
        <v>0</v>
      </c>
    </row>
    <row r="107" spans="1:15" ht="16.5">
      <c r="A107" s="60" t="str">
        <f t="shared" si="63"/>
        <v>I23C</v>
      </c>
      <c r="B107" s="104" t="s">
        <v>2</v>
      </c>
      <c r="C107" s="62">
        <v>10800</v>
      </c>
      <c r="D107" s="63">
        <f t="shared" si="54"/>
        <v>488000</v>
      </c>
      <c r="E107" s="180">
        <f t="shared" si="65"/>
        <v>492000</v>
      </c>
      <c r="F107" s="63">
        <f t="shared" si="60"/>
        <v>0</v>
      </c>
      <c r="G107" s="63">
        <f t="shared" si="58"/>
        <v>0</v>
      </c>
      <c r="H107" s="63">
        <v>6800</v>
      </c>
      <c r="I107" s="63">
        <f t="shared" si="64"/>
        <v>6800</v>
      </c>
      <c r="J107" s="9">
        <f t="shared" ref="J107" si="66">I107-H107</f>
        <v>0</v>
      </c>
      <c r="K107" s="47" t="s">
        <v>30</v>
      </c>
      <c r="L107" s="49">
        <v>488000</v>
      </c>
      <c r="M107" s="49">
        <v>0</v>
      </c>
      <c r="N107" s="49">
        <v>492000</v>
      </c>
      <c r="O107" s="49">
        <v>0</v>
      </c>
    </row>
    <row r="108" spans="1:15" ht="16.5">
      <c r="A108" s="60" t="str">
        <f t="shared" si="63"/>
        <v>Merveille</v>
      </c>
      <c r="B108" s="61" t="s">
        <v>4</v>
      </c>
      <c r="C108" s="62">
        <v>9500</v>
      </c>
      <c r="D108" s="63">
        <f t="shared" si="54"/>
        <v>20000</v>
      </c>
      <c r="E108" s="180">
        <f t="shared" si="65"/>
        <v>24000</v>
      </c>
      <c r="F108" s="63">
        <f t="shared" ref="F108" si="67">+M108</f>
        <v>0</v>
      </c>
      <c r="G108" s="63">
        <f t="shared" ref="G108" si="68">+O108</f>
        <v>0</v>
      </c>
      <c r="H108" s="63">
        <v>5500</v>
      </c>
      <c r="I108" s="63">
        <f t="shared" ref="I108" si="69">+C108+D108-E108-F108+G108</f>
        <v>5500</v>
      </c>
      <c r="J108" s="9">
        <f t="shared" ref="J108" si="70">I108-H108</f>
        <v>0</v>
      </c>
      <c r="K108" s="47" t="s">
        <v>94</v>
      </c>
      <c r="L108" s="49">
        <v>20000</v>
      </c>
      <c r="M108" s="49">
        <v>0</v>
      </c>
      <c r="N108" s="49">
        <v>24000</v>
      </c>
      <c r="O108" s="49"/>
    </row>
    <row r="109" spans="1:15" ht="16.5">
      <c r="A109" s="60" t="str">
        <f t="shared" si="63"/>
        <v>P29</v>
      </c>
      <c r="B109" s="61" t="s">
        <v>166</v>
      </c>
      <c r="C109" s="62">
        <v>21200</v>
      </c>
      <c r="D109" s="63">
        <f t="shared" si="54"/>
        <v>543000</v>
      </c>
      <c r="E109" s="180">
        <f t="shared" si="65"/>
        <v>533500</v>
      </c>
      <c r="F109" s="63">
        <f>+M109</f>
        <v>0</v>
      </c>
      <c r="G109" s="63">
        <f>+O109</f>
        <v>0</v>
      </c>
      <c r="H109" s="63">
        <v>30700</v>
      </c>
      <c r="I109" s="63">
        <f>+C109+D109-E109-F109+G109</f>
        <v>30700</v>
      </c>
      <c r="J109" s="9">
        <f>I109-H109</f>
        <v>0</v>
      </c>
      <c r="K109" s="47" t="s">
        <v>29</v>
      </c>
      <c r="L109" s="49">
        <v>543000</v>
      </c>
      <c r="M109" s="49">
        <v>0</v>
      </c>
      <c r="N109" s="49">
        <v>533500</v>
      </c>
      <c r="O109" s="49">
        <v>0</v>
      </c>
    </row>
    <row r="110" spans="1:15" ht="16.5">
      <c r="A110" s="60" t="str">
        <f t="shared" si="63"/>
        <v>Tiffany</v>
      </c>
      <c r="B110" s="61" t="s">
        <v>2</v>
      </c>
      <c r="C110" s="62">
        <v>26193</v>
      </c>
      <c r="D110" s="63">
        <f t="shared" ref="D110" si="71">+L110</f>
        <v>36000</v>
      </c>
      <c r="E110" s="180">
        <f t="shared" si="65"/>
        <v>53000</v>
      </c>
      <c r="F110" s="63">
        <f t="shared" ref="F110" si="72">+M110</f>
        <v>0</v>
      </c>
      <c r="G110" s="63">
        <f t="shared" si="58"/>
        <v>0</v>
      </c>
      <c r="H110" s="63">
        <v>9193</v>
      </c>
      <c r="I110" s="63">
        <f t="shared" ref="I110" si="73">+C110+D110-E110-F110+G110</f>
        <v>9193</v>
      </c>
      <c r="J110" s="9">
        <f t="shared" ref="J110" si="74">I110-H110</f>
        <v>0</v>
      </c>
      <c r="K110" s="47" t="s">
        <v>114</v>
      </c>
      <c r="L110" s="49">
        <v>36000</v>
      </c>
      <c r="M110" s="49">
        <v>0</v>
      </c>
      <c r="N110" s="49">
        <v>53000</v>
      </c>
      <c r="O110" s="49">
        <v>0</v>
      </c>
    </row>
    <row r="111" spans="1:15" ht="16.5">
      <c r="A111" s="10" t="s">
        <v>51</v>
      </c>
      <c r="B111" s="11"/>
      <c r="C111" s="12">
        <f>SUM(C96:C110)</f>
        <v>32194988</v>
      </c>
      <c r="D111" s="59">
        <f t="shared" ref="D111:G111" si="75">SUM(D96:D110)</f>
        <v>6084500</v>
      </c>
      <c r="E111" s="59">
        <f t="shared" si="75"/>
        <v>8827691</v>
      </c>
      <c r="F111" s="59">
        <f t="shared" si="75"/>
        <v>6084500</v>
      </c>
      <c r="G111" s="59">
        <f t="shared" si="75"/>
        <v>0</v>
      </c>
      <c r="H111" s="59">
        <f>SUM(H96:H110)</f>
        <v>23367297</v>
      </c>
      <c r="I111" s="59">
        <f>SUM(I96:I110)</f>
        <v>23367297</v>
      </c>
      <c r="J111" s="9">
        <f>I111-H111</f>
        <v>0</v>
      </c>
      <c r="K111" s="3"/>
      <c r="L111" s="49">
        <v>6084500</v>
      </c>
      <c r="M111" s="49">
        <v>6084500</v>
      </c>
      <c r="N111" s="49">
        <v>8828291</v>
      </c>
      <c r="O111" s="49">
        <v>0</v>
      </c>
    </row>
    <row r="112" spans="1:15" ht="16.5">
      <c r="A112" s="10"/>
      <c r="B112" s="11"/>
      <c r="C112" s="12"/>
      <c r="D112" s="13"/>
      <c r="E112" s="12"/>
      <c r="F112" s="13"/>
      <c r="G112" s="12"/>
      <c r="H112" s="12"/>
      <c r="I112" s="143" t="b">
        <f>I111=D114</f>
        <v>1</v>
      </c>
      <c r="L112" s="5"/>
      <c r="M112" s="5"/>
      <c r="N112" s="5"/>
      <c r="O112" s="5"/>
    </row>
    <row r="113" spans="1:11" ht="16.5">
      <c r="A113" s="10" t="s">
        <v>171</v>
      </c>
      <c r="B113" s="11" t="s">
        <v>173</v>
      </c>
      <c r="C113" s="12" t="s">
        <v>177</v>
      </c>
      <c r="D113" s="12" t="s">
        <v>170</v>
      </c>
      <c r="E113" s="12" t="s">
        <v>52</v>
      </c>
      <c r="F113" s="12"/>
      <c r="G113" s="12">
        <f>+D111-F111</f>
        <v>0</v>
      </c>
      <c r="H113" s="12"/>
      <c r="I113" s="12"/>
    </row>
    <row r="114" spans="1:11" ht="16.5">
      <c r="A114" s="14">
        <f>C111</f>
        <v>32194988</v>
      </c>
      <c r="B114" s="15">
        <f>G111</f>
        <v>0</v>
      </c>
      <c r="C114" s="12">
        <f>E111</f>
        <v>8827691</v>
      </c>
      <c r="D114" s="12">
        <f>A114+B114-C114</f>
        <v>23367297</v>
      </c>
      <c r="E114" s="13">
        <f>I111-D114</f>
        <v>0</v>
      </c>
      <c r="F114" s="12"/>
      <c r="G114" s="12"/>
      <c r="H114" s="12"/>
      <c r="I114" s="12"/>
    </row>
    <row r="115" spans="1:11" ht="16.5">
      <c r="A115" s="14"/>
      <c r="B115" s="15"/>
      <c r="C115" s="12"/>
      <c r="D115" s="12"/>
      <c r="E115" s="13"/>
      <c r="F115" s="12"/>
      <c r="G115" s="12"/>
      <c r="H115" s="12"/>
      <c r="I115" s="12"/>
    </row>
    <row r="116" spans="1:11">
      <c r="A116" s="16" t="s">
        <v>53</v>
      </c>
      <c r="B116" s="16"/>
      <c r="C116" s="16"/>
      <c r="D116" s="17"/>
      <c r="E116" s="17"/>
      <c r="F116" s="17"/>
      <c r="G116" s="17"/>
      <c r="H116" s="17"/>
      <c r="I116" s="17"/>
    </row>
    <row r="117" spans="1:11">
      <c r="A117" s="18" t="s">
        <v>172</v>
      </c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1:11">
      <c r="A118" s="19"/>
      <c r="B118" s="20"/>
      <c r="C118" s="21"/>
      <c r="D118" s="21"/>
      <c r="E118" s="21"/>
      <c r="F118" s="21"/>
      <c r="G118" s="21"/>
      <c r="H118" s="20"/>
      <c r="I118" s="20"/>
    </row>
    <row r="119" spans="1:11">
      <c r="A119" s="354" t="s">
        <v>54</v>
      </c>
      <c r="B119" s="356" t="s">
        <v>55</v>
      </c>
      <c r="C119" s="358" t="s">
        <v>174</v>
      </c>
      <c r="D119" s="360" t="s">
        <v>56</v>
      </c>
      <c r="E119" s="361"/>
      <c r="F119" s="361"/>
      <c r="G119" s="362"/>
      <c r="H119" s="363" t="s">
        <v>57</v>
      </c>
      <c r="I119" s="365" t="s">
        <v>58</v>
      </c>
      <c r="J119" s="20"/>
    </row>
    <row r="120" spans="1:11" ht="28.5" customHeight="1">
      <c r="A120" s="355"/>
      <c r="B120" s="357"/>
      <c r="C120" s="359"/>
      <c r="D120" s="22" t="s">
        <v>24</v>
      </c>
      <c r="E120" s="22" t="s">
        <v>25</v>
      </c>
      <c r="F120" s="189" t="s">
        <v>124</v>
      </c>
      <c r="G120" s="22" t="s">
        <v>59</v>
      </c>
      <c r="H120" s="364"/>
      <c r="I120" s="366"/>
      <c r="J120" s="367" t="s">
        <v>184</v>
      </c>
      <c r="K120" s="155"/>
    </row>
    <row r="121" spans="1:11">
      <c r="A121" s="24"/>
      <c r="B121" s="25" t="s">
        <v>60</v>
      </c>
      <c r="C121" s="26"/>
      <c r="D121" s="26"/>
      <c r="E121" s="26"/>
      <c r="F121" s="26"/>
      <c r="G121" s="26"/>
      <c r="H121" s="26"/>
      <c r="I121" s="27"/>
      <c r="J121" s="368"/>
      <c r="K121" s="155"/>
    </row>
    <row r="122" spans="1:11">
      <c r="A122" s="130" t="s">
        <v>99</v>
      </c>
      <c r="B122" s="135" t="s">
        <v>165</v>
      </c>
      <c r="C122" s="33">
        <f>+C96</f>
        <v>6757</v>
      </c>
      <c r="D122" s="32"/>
      <c r="E122" s="33">
        <f>D96</f>
        <v>337000</v>
      </c>
      <c r="F122" s="33"/>
      <c r="G122" s="33"/>
      <c r="H122" s="57">
        <f>+F96</f>
        <v>0</v>
      </c>
      <c r="I122" s="33">
        <f>+E96</f>
        <v>314650</v>
      </c>
      <c r="J122" s="31">
        <f>+SUM(C122:G122)-(H122+I122)</f>
        <v>29107</v>
      </c>
      <c r="K122" s="156" t="b">
        <f>J122=I96</f>
        <v>1</v>
      </c>
    </row>
    <row r="123" spans="1:11">
      <c r="A123" s="130" t="str">
        <f>A122</f>
        <v>NOVEMBRE</v>
      </c>
      <c r="B123" s="135" t="s">
        <v>175</v>
      </c>
      <c r="C123" s="33">
        <f>+C97</f>
        <v>0</v>
      </c>
      <c r="D123" s="32"/>
      <c r="E123" s="33">
        <f>+D97</f>
        <v>118000</v>
      </c>
      <c r="F123" s="33"/>
      <c r="G123" s="33"/>
      <c r="H123" s="57">
        <f>+F97</f>
        <v>0</v>
      </c>
      <c r="I123" s="33">
        <f>+E97</f>
        <v>114000</v>
      </c>
      <c r="J123" s="31">
        <f t="shared" ref="J123:J124" si="76">+SUM(C123:G123)-(H123+I123)</f>
        <v>4000</v>
      </c>
      <c r="K123" s="156" t="b">
        <f>J123=I97</f>
        <v>1</v>
      </c>
    </row>
    <row r="124" spans="1:11">
      <c r="A124" s="130" t="str">
        <f>+A123</f>
        <v>NOVEMBRE</v>
      </c>
      <c r="B124" s="135" t="s">
        <v>48</v>
      </c>
      <c r="C124" s="33">
        <f>+C101</f>
        <v>7200</v>
      </c>
      <c r="D124" s="32"/>
      <c r="E124" s="33">
        <f>+D101</f>
        <v>286000</v>
      </c>
      <c r="F124" s="33"/>
      <c r="G124" s="33"/>
      <c r="H124" s="57">
        <f>+F101</f>
        <v>70000</v>
      </c>
      <c r="I124" s="33">
        <f>+E101</f>
        <v>226875</v>
      </c>
      <c r="J124" s="107">
        <f t="shared" si="76"/>
        <v>-3675</v>
      </c>
      <c r="K124" s="156" t="b">
        <f>J124=I101</f>
        <v>1</v>
      </c>
    </row>
    <row r="125" spans="1:11">
      <c r="A125" s="130" t="str">
        <f t="shared" ref="A125:A133" si="77">+A124</f>
        <v>NOVEMBRE</v>
      </c>
      <c r="B125" s="136" t="s">
        <v>31</v>
      </c>
      <c r="C125" s="33">
        <f>+C102</f>
        <v>10095</v>
      </c>
      <c r="D125" s="127"/>
      <c r="E125" s="33">
        <f>+D102</f>
        <v>70500</v>
      </c>
      <c r="F125" s="53"/>
      <c r="G125" s="53"/>
      <c r="H125" s="57">
        <f>+F102</f>
        <v>0</v>
      </c>
      <c r="I125" s="33">
        <f>+E102</f>
        <v>73000</v>
      </c>
      <c r="J125" s="132">
        <f>+SUM(C125:G125)-(H125+I125)</f>
        <v>7595</v>
      </c>
      <c r="K125" s="156" t="b">
        <f t="shared" ref="K125:K133" si="78">J125=I102</f>
        <v>1</v>
      </c>
    </row>
    <row r="126" spans="1:11">
      <c r="A126" s="130" t="str">
        <f t="shared" si="77"/>
        <v>NOVEMBRE</v>
      </c>
      <c r="B126" s="137" t="s">
        <v>85</v>
      </c>
      <c r="C126" s="128">
        <f>+C103</f>
        <v>233614</v>
      </c>
      <c r="D126" s="131"/>
      <c r="E126" s="128">
        <f>+D103</f>
        <v>0</v>
      </c>
      <c r="F126" s="146"/>
      <c r="G126" s="146"/>
      <c r="H126" s="181">
        <f>+F103</f>
        <v>0</v>
      </c>
      <c r="I126" s="128">
        <f>+E103</f>
        <v>0</v>
      </c>
      <c r="J126" s="129">
        <f>+SUM(C126:G126)-(H126+I126)</f>
        <v>233614</v>
      </c>
      <c r="K126" s="156" t="b">
        <f t="shared" si="78"/>
        <v>1</v>
      </c>
    </row>
    <row r="127" spans="1:11">
      <c r="A127" s="130" t="str">
        <f t="shared" si="77"/>
        <v>NOVEMBRE</v>
      </c>
      <c r="B127" s="137" t="s">
        <v>84</v>
      </c>
      <c r="C127" s="128">
        <f>+C104</f>
        <v>249769</v>
      </c>
      <c r="D127" s="131"/>
      <c r="E127" s="128">
        <f>+D104</f>
        <v>0</v>
      </c>
      <c r="F127" s="146"/>
      <c r="G127" s="146"/>
      <c r="H127" s="181">
        <f>+F104</f>
        <v>0</v>
      </c>
      <c r="I127" s="128">
        <f>+E104</f>
        <v>0</v>
      </c>
      <c r="J127" s="129">
        <f t="shared" ref="J127:J133" si="79">+SUM(C127:G127)-(H127+I127)</f>
        <v>249769</v>
      </c>
      <c r="K127" s="156" t="b">
        <f t="shared" si="78"/>
        <v>1</v>
      </c>
    </row>
    <row r="128" spans="1:11">
      <c r="A128" s="130" t="str">
        <f t="shared" si="77"/>
        <v>NOVEMBRE</v>
      </c>
      <c r="B128" s="135" t="s">
        <v>155</v>
      </c>
      <c r="C128" s="33">
        <f>+C105</f>
        <v>3550</v>
      </c>
      <c r="D128" s="32"/>
      <c r="E128" s="33">
        <f>+D105</f>
        <v>43000</v>
      </c>
      <c r="F128" s="33"/>
      <c r="G128" s="110"/>
      <c r="H128" s="57">
        <f>+F105</f>
        <v>0</v>
      </c>
      <c r="I128" s="33">
        <f>+E105</f>
        <v>52550</v>
      </c>
      <c r="J128" s="31">
        <f t="shared" si="79"/>
        <v>-6000</v>
      </c>
      <c r="K128" s="156" t="b">
        <f t="shared" si="78"/>
        <v>1</v>
      </c>
    </row>
    <row r="129" spans="1:11">
      <c r="A129" s="130" t="str">
        <f t="shared" si="77"/>
        <v>NOVEMBRE</v>
      </c>
      <c r="B129" s="135" t="s">
        <v>154</v>
      </c>
      <c r="C129" s="33">
        <f t="shared" ref="C129:C133" si="80">+C106</f>
        <v>61300</v>
      </c>
      <c r="D129" s="32"/>
      <c r="E129" s="33">
        <f t="shared" ref="E129:E133" si="81">+D106</f>
        <v>53000</v>
      </c>
      <c r="F129" s="33"/>
      <c r="G129" s="110"/>
      <c r="H129" s="57">
        <f t="shared" ref="H129:H133" si="82">+F106</f>
        <v>20000</v>
      </c>
      <c r="I129" s="33">
        <f t="shared" ref="I129:I133" si="83">+E106</f>
        <v>45900</v>
      </c>
      <c r="J129" s="31">
        <f t="shared" si="79"/>
        <v>48400</v>
      </c>
      <c r="K129" s="156" t="b">
        <f t="shared" si="78"/>
        <v>1</v>
      </c>
    </row>
    <row r="130" spans="1:11">
      <c r="A130" s="130" t="str">
        <f t="shared" si="77"/>
        <v>NOVEMBRE</v>
      </c>
      <c r="B130" s="135" t="s">
        <v>30</v>
      </c>
      <c r="C130" s="33">
        <f t="shared" si="80"/>
        <v>10800</v>
      </c>
      <c r="D130" s="32"/>
      <c r="E130" s="33">
        <f t="shared" si="81"/>
        <v>488000</v>
      </c>
      <c r="F130" s="33"/>
      <c r="G130" s="110"/>
      <c r="H130" s="57">
        <f t="shared" si="82"/>
        <v>0</v>
      </c>
      <c r="I130" s="33">
        <f t="shared" si="83"/>
        <v>492000</v>
      </c>
      <c r="J130" s="31">
        <f t="shared" si="79"/>
        <v>6800</v>
      </c>
      <c r="K130" s="156" t="b">
        <f t="shared" si="78"/>
        <v>1</v>
      </c>
    </row>
    <row r="131" spans="1:11">
      <c r="A131" s="130" t="str">
        <f>+A129</f>
        <v>NOVEMBRE</v>
      </c>
      <c r="B131" s="135" t="s">
        <v>94</v>
      </c>
      <c r="C131" s="33">
        <f t="shared" si="80"/>
        <v>9500</v>
      </c>
      <c r="D131" s="32"/>
      <c r="E131" s="33">
        <f t="shared" si="81"/>
        <v>20000</v>
      </c>
      <c r="F131" s="33"/>
      <c r="G131" s="110"/>
      <c r="H131" s="57">
        <f t="shared" si="82"/>
        <v>0</v>
      </c>
      <c r="I131" s="33">
        <f t="shared" si="83"/>
        <v>24000</v>
      </c>
      <c r="J131" s="31">
        <f t="shared" si="79"/>
        <v>5500</v>
      </c>
      <c r="K131" s="156" t="b">
        <f t="shared" si="78"/>
        <v>1</v>
      </c>
    </row>
    <row r="132" spans="1:11">
      <c r="A132" s="130" t="str">
        <f>+A130</f>
        <v>NOVEMBRE</v>
      </c>
      <c r="B132" s="135" t="s">
        <v>29</v>
      </c>
      <c r="C132" s="33">
        <f t="shared" si="80"/>
        <v>21200</v>
      </c>
      <c r="D132" s="32"/>
      <c r="E132" s="33">
        <f t="shared" si="81"/>
        <v>543000</v>
      </c>
      <c r="F132" s="33"/>
      <c r="G132" s="110"/>
      <c r="H132" s="57">
        <f t="shared" si="82"/>
        <v>0</v>
      </c>
      <c r="I132" s="33">
        <f t="shared" si="83"/>
        <v>533500</v>
      </c>
      <c r="J132" s="31">
        <f t="shared" si="79"/>
        <v>30700</v>
      </c>
      <c r="K132" s="156" t="b">
        <f t="shared" si="78"/>
        <v>1</v>
      </c>
    </row>
    <row r="133" spans="1:11">
      <c r="A133" s="130" t="str">
        <f t="shared" si="77"/>
        <v>NOVEMBRE</v>
      </c>
      <c r="B133" s="136" t="s">
        <v>114</v>
      </c>
      <c r="C133" s="33">
        <f t="shared" si="80"/>
        <v>26193</v>
      </c>
      <c r="D133" s="127"/>
      <c r="E133" s="33">
        <f t="shared" si="81"/>
        <v>36000</v>
      </c>
      <c r="F133" s="53"/>
      <c r="G133" s="147"/>
      <c r="H133" s="57">
        <f t="shared" si="82"/>
        <v>0</v>
      </c>
      <c r="I133" s="33">
        <f t="shared" si="83"/>
        <v>53000</v>
      </c>
      <c r="J133" s="31">
        <f t="shared" si="79"/>
        <v>9193</v>
      </c>
      <c r="K133" s="156" t="b">
        <f t="shared" si="78"/>
        <v>1</v>
      </c>
    </row>
    <row r="134" spans="1:11">
      <c r="A134" s="35" t="s">
        <v>61</v>
      </c>
      <c r="B134" s="36"/>
      <c r="C134" s="36"/>
      <c r="D134" s="36"/>
      <c r="E134" s="36"/>
      <c r="F134" s="36"/>
      <c r="G134" s="36"/>
      <c r="H134" s="36"/>
      <c r="I134" s="36"/>
      <c r="J134" s="37"/>
      <c r="K134" s="155"/>
    </row>
    <row r="135" spans="1:11">
      <c r="A135" s="130" t="str">
        <f>+A133</f>
        <v>NOVEMBRE</v>
      </c>
      <c r="B135" s="38" t="s">
        <v>62</v>
      </c>
      <c r="C135" s="39">
        <f>+C100</f>
        <v>1685107</v>
      </c>
      <c r="D135" s="51"/>
      <c r="E135" s="51">
        <f>D100</f>
        <v>4090000</v>
      </c>
      <c r="F135" s="51"/>
      <c r="G135" s="133"/>
      <c r="H135" s="53">
        <f>+F100</f>
        <v>1994500</v>
      </c>
      <c r="I135" s="134">
        <f>+E100</f>
        <v>2854238</v>
      </c>
      <c r="J135" s="46">
        <f>+SUM(C135:G135)-(H135+I135)</f>
        <v>926369</v>
      </c>
      <c r="K135" s="156" t="b">
        <f>J135=I100</f>
        <v>1</v>
      </c>
    </row>
    <row r="136" spans="1:11">
      <c r="A136" s="44" t="s">
        <v>63</v>
      </c>
      <c r="B136" s="25"/>
      <c r="C136" s="36"/>
      <c r="D136" s="25"/>
      <c r="E136" s="25"/>
      <c r="F136" s="25"/>
      <c r="G136" s="25"/>
      <c r="H136" s="25"/>
      <c r="I136" s="25"/>
      <c r="J136" s="37"/>
      <c r="K136" s="155"/>
    </row>
    <row r="137" spans="1:11">
      <c r="A137" s="130" t="str">
        <f>+A135</f>
        <v>NOVEMBRE</v>
      </c>
      <c r="B137" s="38" t="s">
        <v>169</v>
      </c>
      <c r="C137" s="133">
        <f>+C98</f>
        <v>6762063</v>
      </c>
      <c r="D137" s="140">
        <f>+G98</f>
        <v>0</v>
      </c>
      <c r="E137" s="51"/>
      <c r="F137" s="51"/>
      <c r="G137" s="51"/>
      <c r="H137" s="53">
        <f>+F98</f>
        <v>1000000</v>
      </c>
      <c r="I137" s="55">
        <f>+E98</f>
        <v>23345</v>
      </c>
      <c r="J137" s="46">
        <f>+SUM(C137:G137)-(H137+I137)</f>
        <v>5738718</v>
      </c>
      <c r="K137" s="156" t="b">
        <f>+J137=I98</f>
        <v>1</v>
      </c>
    </row>
    <row r="138" spans="1:11">
      <c r="A138" s="130" t="str">
        <f t="shared" ref="A138" si="84">+A137</f>
        <v>NOVEMBRE</v>
      </c>
      <c r="B138" s="38" t="s">
        <v>65</v>
      </c>
      <c r="C138" s="133">
        <f>+C99</f>
        <v>23107840</v>
      </c>
      <c r="D138" s="51">
        <f>+G99</f>
        <v>0</v>
      </c>
      <c r="E138" s="50"/>
      <c r="F138" s="50"/>
      <c r="G138" s="50"/>
      <c r="H138" s="33">
        <f>+F99</f>
        <v>3000000</v>
      </c>
      <c r="I138" s="52">
        <f>+E99</f>
        <v>4020633</v>
      </c>
      <c r="J138" s="46">
        <f>SUM(C138:G138)-(H138+I138)</f>
        <v>16087207</v>
      </c>
      <c r="K138" s="156" t="b">
        <f>+J138=I99</f>
        <v>1</v>
      </c>
    </row>
    <row r="139" spans="1:11" ht="15.75">
      <c r="C139" s="151">
        <f>SUM(C123:C138)</f>
        <v>32188231</v>
      </c>
      <c r="I139" s="149">
        <f>SUM(I123:I138)</f>
        <v>8513041</v>
      </c>
      <c r="J139" s="111">
        <f>+SUM(J122:J138)</f>
        <v>23367297</v>
      </c>
      <c r="K139" s="5" t="b">
        <f>J139=I111</f>
        <v>1</v>
      </c>
    </row>
    <row r="140" spans="1:11">
      <c r="G140" s="9"/>
    </row>
    <row r="141" spans="1:11">
      <c r="A141" s="16" t="s">
        <v>53</v>
      </c>
      <c r="B141" s="16"/>
      <c r="C141" s="16"/>
      <c r="D141" s="17"/>
      <c r="E141" s="17"/>
      <c r="F141" s="17"/>
      <c r="G141" s="17"/>
      <c r="H141" s="17"/>
      <c r="I141" s="17"/>
    </row>
    <row r="142" spans="1:11">
      <c r="A142" s="18" t="s">
        <v>164</v>
      </c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1">
      <c r="A143" s="19"/>
      <c r="B143" s="20"/>
      <c r="C143" s="21"/>
      <c r="D143" s="21"/>
      <c r="E143" s="21"/>
      <c r="F143" s="21"/>
      <c r="G143" s="21"/>
      <c r="H143" s="20"/>
      <c r="I143" s="20"/>
    </row>
    <row r="144" spans="1:11">
      <c r="A144" s="354" t="s">
        <v>54</v>
      </c>
      <c r="B144" s="356" t="s">
        <v>55</v>
      </c>
      <c r="C144" s="358" t="s">
        <v>161</v>
      </c>
      <c r="D144" s="360" t="s">
        <v>56</v>
      </c>
      <c r="E144" s="361"/>
      <c r="F144" s="361"/>
      <c r="G144" s="362"/>
      <c r="H144" s="363" t="s">
        <v>57</v>
      </c>
      <c r="I144" s="365" t="s">
        <v>58</v>
      </c>
      <c r="J144" s="20"/>
    </row>
    <row r="145" spans="1:11">
      <c r="A145" s="355"/>
      <c r="B145" s="357"/>
      <c r="C145" s="359"/>
      <c r="D145" s="22" t="s">
        <v>24</v>
      </c>
      <c r="E145" s="22" t="s">
        <v>25</v>
      </c>
      <c r="F145" s="183" t="s">
        <v>124</v>
      </c>
      <c r="G145" s="22" t="s">
        <v>59</v>
      </c>
      <c r="H145" s="364"/>
      <c r="I145" s="366"/>
      <c r="J145" s="367" t="s">
        <v>162</v>
      </c>
      <c r="K145" s="155"/>
    </row>
    <row r="146" spans="1:11">
      <c r="A146" s="24"/>
      <c r="B146" s="25" t="s">
        <v>60</v>
      </c>
      <c r="C146" s="26"/>
      <c r="D146" s="26"/>
      <c r="E146" s="26"/>
      <c r="F146" s="26"/>
      <c r="G146" s="26"/>
      <c r="H146" s="26"/>
      <c r="I146" s="27"/>
      <c r="J146" s="368"/>
      <c r="K146" s="155"/>
    </row>
    <row r="147" spans="1:11">
      <c r="A147" s="130" t="s">
        <v>91</v>
      </c>
      <c r="B147" s="135" t="s">
        <v>165</v>
      </c>
      <c r="C147" s="33">
        <f>+C96</f>
        <v>6757</v>
      </c>
      <c r="D147" s="32"/>
      <c r="E147" s="33">
        <f>+D96</f>
        <v>337000</v>
      </c>
      <c r="F147" s="33"/>
      <c r="G147" s="33"/>
      <c r="H147" s="57">
        <f>+F96</f>
        <v>0</v>
      </c>
      <c r="I147" s="33">
        <f>+E96</f>
        <v>314650</v>
      </c>
      <c r="J147" s="31">
        <f>+SUM(C147:G147)-(H147+I147)</f>
        <v>29107</v>
      </c>
      <c r="K147" s="156" t="b">
        <f>J147=I96</f>
        <v>1</v>
      </c>
    </row>
    <row r="148" spans="1:11">
      <c r="A148" s="130" t="s">
        <v>91</v>
      </c>
      <c r="B148" s="135" t="s">
        <v>48</v>
      </c>
      <c r="C148" s="33">
        <f t="shared" ref="C148:C157" si="85">C100</f>
        <v>1685107</v>
      </c>
      <c r="D148" s="32"/>
      <c r="E148" s="33">
        <f>+D100</f>
        <v>4090000</v>
      </c>
      <c r="F148" s="33"/>
      <c r="G148" s="33"/>
      <c r="H148" s="57">
        <f t="shared" ref="H148:H157" si="86">+F100</f>
        <v>1994500</v>
      </c>
      <c r="I148" s="33">
        <f t="shared" ref="I148:I157" si="87">+E100</f>
        <v>2854238</v>
      </c>
      <c r="J148" s="31">
        <f t="shared" ref="J148:J149" si="88">+SUM(C148:G148)-(H148+I148)</f>
        <v>926369</v>
      </c>
      <c r="K148" s="156" t="b">
        <f t="shared" ref="K148:K158" si="89">J148=I100</f>
        <v>1</v>
      </c>
    </row>
    <row r="149" spans="1:11">
      <c r="A149" s="130" t="str">
        <f>+A148</f>
        <v>OCTOBRE</v>
      </c>
      <c r="B149" s="135" t="s">
        <v>31</v>
      </c>
      <c r="C149" s="33">
        <f t="shared" si="85"/>
        <v>7200</v>
      </c>
      <c r="D149" s="32"/>
      <c r="E149" s="33">
        <f>+D101</f>
        <v>286000</v>
      </c>
      <c r="F149" s="33"/>
      <c r="G149" s="33"/>
      <c r="H149" s="57">
        <f t="shared" si="86"/>
        <v>70000</v>
      </c>
      <c r="I149" s="33">
        <f t="shared" si="87"/>
        <v>226875</v>
      </c>
      <c r="J149" s="107">
        <f t="shared" si="88"/>
        <v>-3675</v>
      </c>
      <c r="K149" s="156" t="b">
        <f t="shared" si="89"/>
        <v>1</v>
      </c>
    </row>
    <row r="150" spans="1:11">
      <c r="A150" s="130" t="str">
        <f t="shared" ref="A150:A158" si="90">+A149</f>
        <v>OCTOBRE</v>
      </c>
      <c r="B150" s="136" t="s">
        <v>155</v>
      </c>
      <c r="C150" s="33">
        <f t="shared" si="85"/>
        <v>10095</v>
      </c>
      <c r="D150" s="127"/>
      <c r="E150" s="33">
        <f>D102</f>
        <v>70500</v>
      </c>
      <c r="F150" s="53"/>
      <c r="G150" s="53"/>
      <c r="H150" s="57">
        <f t="shared" si="86"/>
        <v>0</v>
      </c>
      <c r="I150" s="33">
        <f t="shared" si="87"/>
        <v>73000</v>
      </c>
      <c r="J150" s="132">
        <f>+SUM(C150:G150)-(H150+I150)</f>
        <v>7595</v>
      </c>
      <c r="K150" s="156" t="b">
        <f t="shared" si="89"/>
        <v>1</v>
      </c>
    </row>
    <row r="151" spans="1:11">
      <c r="A151" s="130" t="str">
        <f t="shared" si="90"/>
        <v>OCTOBRE</v>
      </c>
      <c r="B151" s="137" t="s">
        <v>85</v>
      </c>
      <c r="C151" s="128">
        <f t="shared" si="85"/>
        <v>233614</v>
      </c>
      <c r="D151" s="131"/>
      <c r="E151" s="128">
        <f t="shared" ref="E151:E155" si="91">+D103</f>
        <v>0</v>
      </c>
      <c r="F151" s="146"/>
      <c r="G151" s="146"/>
      <c r="H151" s="181">
        <f t="shared" si="86"/>
        <v>0</v>
      </c>
      <c r="I151" s="128">
        <f t="shared" si="87"/>
        <v>0</v>
      </c>
      <c r="J151" s="129">
        <f>+SUM(C151:G151)-(H151+I151)</f>
        <v>233614</v>
      </c>
      <c r="K151" s="156" t="b">
        <f t="shared" si="89"/>
        <v>1</v>
      </c>
    </row>
    <row r="152" spans="1:11">
      <c r="A152" s="130" t="str">
        <f t="shared" si="90"/>
        <v>OCTOBRE</v>
      </c>
      <c r="B152" s="137" t="s">
        <v>84</v>
      </c>
      <c r="C152" s="128">
        <f t="shared" si="85"/>
        <v>249769</v>
      </c>
      <c r="D152" s="131"/>
      <c r="E152" s="128">
        <f t="shared" si="91"/>
        <v>0</v>
      </c>
      <c r="F152" s="146"/>
      <c r="G152" s="146"/>
      <c r="H152" s="181">
        <f t="shared" si="86"/>
        <v>0</v>
      </c>
      <c r="I152" s="128">
        <f t="shared" si="87"/>
        <v>0</v>
      </c>
      <c r="J152" s="129">
        <f t="shared" ref="J152:J158" si="92">+SUM(C152:G152)-(H152+I152)</f>
        <v>249769</v>
      </c>
      <c r="K152" s="156" t="b">
        <f t="shared" si="89"/>
        <v>1</v>
      </c>
    </row>
    <row r="153" spans="1:11">
      <c r="A153" s="130" t="str">
        <f t="shared" si="90"/>
        <v>OCTOBRE</v>
      </c>
      <c r="B153" s="135" t="s">
        <v>154</v>
      </c>
      <c r="C153" s="33">
        <f t="shared" si="85"/>
        <v>3550</v>
      </c>
      <c r="D153" s="32"/>
      <c r="E153" s="33">
        <f t="shared" si="91"/>
        <v>43000</v>
      </c>
      <c r="F153" s="33"/>
      <c r="G153" s="110"/>
      <c r="H153" s="57">
        <f t="shared" si="86"/>
        <v>0</v>
      </c>
      <c r="I153" s="33">
        <f t="shared" si="87"/>
        <v>52550</v>
      </c>
      <c r="J153" s="31">
        <f t="shared" si="92"/>
        <v>-6000</v>
      </c>
      <c r="K153" s="156" t="b">
        <f t="shared" si="89"/>
        <v>1</v>
      </c>
    </row>
    <row r="154" spans="1:11">
      <c r="A154" s="130" t="str">
        <f t="shared" si="90"/>
        <v>OCTOBRE</v>
      </c>
      <c r="B154" s="135" t="s">
        <v>30</v>
      </c>
      <c r="C154" s="33">
        <f t="shared" si="85"/>
        <v>61300</v>
      </c>
      <c r="D154" s="32"/>
      <c r="E154" s="33">
        <f t="shared" si="91"/>
        <v>53000</v>
      </c>
      <c r="F154" s="33"/>
      <c r="G154" s="110"/>
      <c r="H154" s="57">
        <f t="shared" si="86"/>
        <v>20000</v>
      </c>
      <c r="I154" s="33">
        <f t="shared" si="87"/>
        <v>45900</v>
      </c>
      <c r="J154" s="31">
        <f t="shared" si="92"/>
        <v>48400</v>
      </c>
      <c r="K154" s="156" t="b">
        <f t="shared" si="89"/>
        <v>1</v>
      </c>
    </row>
    <row r="155" spans="1:11">
      <c r="A155" s="130" t="str">
        <f t="shared" si="90"/>
        <v>OCTOBRE</v>
      </c>
      <c r="B155" s="135" t="s">
        <v>94</v>
      </c>
      <c r="C155" s="33">
        <f t="shared" si="85"/>
        <v>10800</v>
      </c>
      <c r="D155" s="32"/>
      <c r="E155" s="33">
        <f t="shared" si="91"/>
        <v>488000</v>
      </c>
      <c r="F155" s="33"/>
      <c r="G155" s="110"/>
      <c r="H155" s="57">
        <f t="shared" si="86"/>
        <v>0</v>
      </c>
      <c r="I155" s="33">
        <f t="shared" si="87"/>
        <v>492000</v>
      </c>
      <c r="J155" s="31">
        <f t="shared" si="92"/>
        <v>6800</v>
      </c>
      <c r="K155" s="156" t="b">
        <f t="shared" si="89"/>
        <v>1</v>
      </c>
    </row>
    <row r="156" spans="1:11">
      <c r="A156" s="130" t="str">
        <f>+A154</f>
        <v>OCTOBRE</v>
      </c>
      <c r="B156" s="135" t="s">
        <v>29</v>
      </c>
      <c r="C156" s="33">
        <f t="shared" si="85"/>
        <v>9500</v>
      </c>
      <c r="D156" s="32"/>
      <c r="E156" s="33">
        <f>+D108</f>
        <v>20000</v>
      </c>
      <c r="F156" s="33"/>
      <c r="G156" s="110"/>
      <c r="H156" s="57">
        <f t="shared" si="86"/>
        <v>0</v>
      </c>
      <c r="I156" s="33">
        <f t="shared" si="87"/>
        <v>24000</v>
      </c>
      <c r="J156" s="31">
        <f t="shared" ref="J156" si="93">+SUM(C156:G156)-(H156+I156)</f>
        <v>5500</v>
      </c>
      <c r="K156" s="156" t="b">
        <f t="shared" si="89"/>
        <v>1</v>
      </c>
    </row>
    <row r="157" spans="1:11">
      <c r="A157" s="130" t="str">
        <f>+A155</f>
        <v>OCTOBRE</v>
      </c>
      <c r="B157" s="135" t="s">
        <v>158</v>
      </c>
      <c r="C157" s="33">
        <f t="shared" si="85"/>
        <v>21200</v>
      </c>
      <c r="D157" s="32"/>
      <c r="E157" s="33">
        <f>+D109</f>
        <v>543000</v>
      </c>
      <c r="F157" s="33"/>
      <c r="G157" s="110"/>
      <c r="H157" s="57">
        <f t="shared" si="86"/>
        <v>0</v>
      </c>
      <c r="I157" s="33">
        <f t="shared" si="87"/>
        <v>533500</v>
      </c>
      <c r="J157" s="31">
        <f t="shared" si="92"/>
        <v>30700</v>
      </c>
      <c r="K157" s="156" t="b">
        <f t="shared" si="89"/>
        <v>1</v>
      </c>
    </row>
    <row r="158" spans="1:11">
      <c r="A158" s="130" t="str">
        <f t="shared" si="90"/>
        <v>OCTOBRE</v>
      </c>
      <c r="B158" s="136" t="s">
        <v>114</v>
      </c>
      <c r="C158" s="33">
        <f t="shared" ref="C158" si="94">C110</f>
        <v>26193</v>
      </c>
      <c r="D158" s="127"/>
      <c r="E158" s="33">
        <f t="shared" ref="E158" si="95">+D110</f>
        <v>36000</v>
      </c>
      <c r="F158" s="53"/>
      <c r="G158" s="147"/>
      <c r="H158" s="57">
        <f t="shared" ref="H158" si="96">+F110</f>
        <v>0</v>
      </c>
      <c r="I158" s="33">
        <f t="shared" ref="I158" si="97">+E110</f>
        <v>53000</v>
      </c>
      <c r="J158" s="31">
        <f t="shared" si="92"/>
        <v>9193</v>
      </c>
      <c r="K158" s="156" t="b">
        <f t="shared" si="89"/>
        <v>1</v>
      </c>
    </row>
    <row r="159" spans="1:11">
      <c r="A159" s="35" t="s">
        <v>61</v>
      </c>
      <c r="B159" s="36"/>
      <c r="C159" s="36"/>
      <c r="D159" s="36"/>
      <c r="E159" s="36"/>
      <c r="F159" s="36"/>
      <c r="G159" s="36"/>
      <c r="H159" s="36"/>
      <c r="I159" s="36"/>
      <c r="J159" s="37"/>
      <c r="K159" s="155"/>
    </row>
    <row r="160" spans="1:11">
      <c r="A160" s="130" t="str">
        <f>+A158</f>
        <v>OCTOBRE</v>
      </c>
      <c r="B160" s="38" t="s">
        <v>62</v>
      </c>
      <c r="C160" s="39">
        <f>C99</f>
        <v>23107840</v>
      </c>
      <c r="D160" s="51"/>
      <c r="E160" s="51">
        <f>D99</f>
        <v>0</v>
      </c>
      <c r="F160" s="51"/>
      <c r="G160" s="133"/>
      <c r="H160" s="53">
        <f>+F99</f>
        <v>3000000</v>
      </c>
      <c r="I160" s="134">
        <f>+E99</f>
        <v>4020633</v>
      </c>
      <c r="J160" s="46">
        <f>+SUM(C160:G160)-(H160+I160)</f>
        <v>16087207</v>
      </c>
      <c r="K160" s="156" t="b">
        <f>J160=I99</f>
        <v>1</v>
      </c>
    </row>
    <row r="161" spans="1:11">
      <c r="A161" s="44" t="s">
        <v>63</v>
      </c>
      <c r="B161" s="25"/>
      <c r="C161" s="36"/>
      <c r="D161" s="25"/>
      <c r="E161" s="25"/>
      <c r="F161" s="25"/>
      <c r="G161" s="25"/>
      <c r="H161" s="25"/>
      <c r="I161" s="25"/>
      <c r="J161" s="37"/>
      <c r="K161" s="155"/>
    </row>
    <row r="162" spans="1:11">
      <c r="A162" s="130" t="str">
        <f>+A160</f>
        <v>OCTOBRE</v>
      </c>
      <c r="B162" s="38" t="s">
        <v>169</v>
      </c>
      <c r="C162" s="133">
        <f>C97</f>
        <v>0</v>
      </c>
      <c r="D162" s="140">
        <f>G97</f>
        <v>0</v>
      </c>
      <c r="E162" s="51"/>
      <c r="F162" s="51"/>
      <c r="G162" s="51"/>
      <c r="H162" s="53">
        <f>+F97</f>
        <v>0</v>
      </c>
      <c r="I162" s="55">
        <f>+E97</f>
        <v>114000</v>
      </c>
      <c r="J162" s="46">
        <f>+SUM(C162:G162)-(H162+I162)</f>
        <v>-114000</v>
      </c>
      <c r="K162" s="156" t="b">
        <f>+J162=I97</f>
        <v>0</v>
      </c>
    </row>
    <row r="163" spans="1:11">
      <c r="A163" s="130" t="str">
        <f t="shared" ref="A163" si="98">+A162</f>
        <v>OCTOBRE</v>
      </c>
      <c r="B163" s="38" t="s">
        <v>65</v>
      </c>
      <c r="C163" s="133">
        <f>C98</f>
        <v>6762063</v>
      </c>
      <c r="D163" s="51">
        <f>G98</f>
        <v>0</v>
      </c>
      <c r="E163" s="50"/>
      <c r="F163" s="50"/>
      <c r="G163" s="50"/>
      <c r="H163" s="33">
        <f>+F98</f>
        <v>1000000</v>
      </c>
      <c r="I163" s="52">
        <f>+E98</f>
        <v>23345</v>
      </c>
      <c r="J163" s="46">
        <f>SUM(C163:G163)-(H163+I163)</f>
        <v>5738718</v>
      </c>
      <c r="K163" s="156" t="b">
        <f>+J163=I98</f>
        <v>1</v>
      </c>
    </row>
    <row r="164" spans="1:11" ht="15.75">
      <c r="C164" s="151">
        <f>SUM(C148:C163)</f>
        <v>32188231</v>
      </c>
      <c r="I164" s="149">
        <f>SUM(I148:I163)</f>
        <v>8513041</v>
      </c>
      <c r="J164" s="111">
        <f>+SUM(J147:J163)</f>
        <v>23249297</v>
      </c>
      <c r="K164" s="5" t="b">
        <f>J164=I111</f>
        <v>0</v>
      </c>
    </row>
    <row r="165" spans="1:11">
      <c r="G165" s="9"/>
    </row>
    <row r="166" spans="1:11">
      <c r="A166" s="16" t="s">
        <v>53</v>
      </c>
      <c r="B166" s="16"/>
      <c r="C166" s="16"/>
      <c r="D166" s="17"/>
      <c r="E166" s="17"/>
      <c r="F166" s="17"/>
      <c r="G166" s="17"/>
      <c r="H166" s="17"/>
      <c r="I166" s="17"/>
    </row>
    <row r="167" spans="1:11">
      <c r="A167" s="18" t="s">
        <v>156</v>
      </c>
      <c r="B167" s="18"/>
      <c r="C167" s="18"/>
      <c r="D167" s="18"/>
      <c r="E167" s="18"/>
      <c r="F167" s="18"/>
      <c r="G167" s="18"/>
      <c r="H167" s="18"/>
      <c r="I167" s="18"/>
      <c r="J167" s="18"/>
    </row>
    <row r="168" spans="1:11">
      <c r="A168" s="19"/>
      <c r="B168" s="20"/>
      <c r="C168" s="21"/>
      <c r="D168" s="21"/>
      <c r="E168" s="21"/>
      <c r="F168" s="21"/>
      <c r="G168" s="21"/>
      <c r="H168" s="20"/>
      <c r="I168" s="20"/>
    </row>
    <row r="169" spans="1:11">
      <c r="A169" s="354" t="s">
        <v>54</v>
      </c>
      <c r="B169" s="356" t="s">
        <v>55</v>
      </c>
      <c r="C169" s="358" t="s">
        <v>157</v>
      </c>
      <c r="D169" s="360" t="s">
        <v>56</v>
      </c>
      <c r="E169" s="361"/>
      <c r="F169" s="361"/>
      <c r="G169" s="362"/>
      <c r="H169" s="363" t="s">
        <v>57</v>
      </c>
      <c r="I169" s="365" t="s">
        <v>58</v>
      </c>
      <c r="J169" s="20"/>
    </row>
    <row r="170" spans="1:11">
      <c r="A170" s="355"/>
      <c r="B170" s="357"/>
      <c r="C170" s="359"/>
      <c r="D170" s="22" t="s">
        <v>24</v>
      </c>
      <c r="E170" s="22" t="s">
        <v>25</v>
      </c>
      <c r="F170" s="182" t="s">
        <v>124</v>
      </c>
      <c r="G170" s="22" t="s">
        <v>59</v>
      </c>
      <c r="H170" s="364"/>
      <c r="I170" s="366"/>
      <c r="J170" s="367" t="s">
        <v>163</v>
      </c>
      <c r="K170" s="155"/>
    </row>
    <row r="171" spans="1:11">
      <c r="A171" s="24"/>
      <c r="B171" s="25" t="s">
        <v>60</v>
      </c>
      <c r="C171" s="26"/>
      <c r="D171" s="26"/>
      <c r="E171" s="26"/>
      <c r="F171" s="26"/>
      <c r="G171" s="26"/>
      <c r="H171" s="26"/>
      <c r="I171" s="27"/>
      <c r="J171" s="368"/>
      <c r="K171" s="155"/>
    </row>
    <row r="172" spans="1:11">
      <c r="A172" s="130" t="s">
        <v>80</v>
      </c>
      <c r="B172" s="135" t="s">
        <v>48</v>
      </c>
      <c r="C172" s="33" t="e">
        <f>#REF!</f>
        <v>#REF!</v>
      </c>
      <c r="D172" s="32"/>
      <c r="E172" s="33" t="e">
        <f>+#REF!</f>
        <v>#REF!</v>
      </c>
      <c r="F172" s="33"/>
      <c r="G172" s="33"/>
      <c r="H172" s="57" t="e">
        <f>+#REF!</f>
        <v>#REF!</v>
      </c>
      <c r="I172" s="33" t="e">
        <f>+#REF!</f>
        <v>#REF!</v>
      </c>
      <c r="J172" s="31" t="e">
        <f t="shared" ref="J172:J173" si="99">+SUM(C172:G172)-(H172+I172)</f>
        <v>#REF!</v>
      </c>
      <c r="K172" s="156" t="e">
        <f>J172=#REF!</f>
        <v>#REF!</v>
      </c>
    </row>
    <row r="173" spans="1:11">
      <c r="A173" s="130" t="str">
        <f>+A172</f>
        <v>SEPTEMBRE</v>
      </c>
      <c r="B173" s="135" t="s">
        <v>31</v>
      </c>
      <c r="C173" s="33" t="e">
        <f>#REF!</f>
        <v>#REF!</v>
      </c>
      <c r="D173" s="32"/>
      <c r="E173" s="33" t="e">
        <f>+#REF!</f>
        <v>#REF!</v>
      </c>
      <c r="F173" s="33"/>
      <c r="G173" s="33"/>
      <c r="H173" s="57" t="e">
        <f>+#REF!</f>
        <v>#REF!</v>
      </c>
      <c r="I173" s="33" t="e">
        <f>+#REF!</f>
        <v>#REF!</v>
      </c>
      <c r="J173" s="107" t="e">
        <f t="shared" si="99"/>
        <v>#REF!</v>
      </c>
      <c r="K173" s="156" t="e">
        <f>J173=#REF!</f>
        <v>#REF!</v>
      </c>
    </row>
    <row r="174" spans="1:11">
      <c r="A174" s="130" t="str">
        <f t="shared" ref="A174:A181" si="100">+A173</f>
        <v>SEPTEMBRE</v>
      </c>
      <c r="B174" s="136" t="s">
        <v>155</v>
      </c>
      <c r="C174" s="33" t="e">
        <f>#REF!</f>
        <v>#REF!</v>
      </c>
      <c r="D174" s="127"/>
      <c r="E174" s="33" t="e">
        <f>#REF!</f>
        <v>#REF!</v>
      </c>
      <c r="F174" s="53"/>
      <c r="G174" s="53"/>
      <c r="H174" s="57" t="e">
        <f>+#REF!</f>
        <v>#REF!</v>
      </c>
      <c r="I174" s="33" t="e">
        <f>+#REF!</f>
        <v>#REF!</v>
      </c>
      <c r="J174" s="132" t="e">
        <f>+SUM(C174:G174)-(H174+I174)</f>
        <v>#REF!</v>
      </c>
      <c r="K174" s="156" t="e">
        <f>J174=#REF!</f>
        <v>#REF!</v>
      </c>
    </row>
    <row r="175" spans="1:11">
      <c r="A175" s="130" t="str">
        <f t="shared" si="100"/>
        <v>SEPTEMBRE</v>
      </c>
      <c r="B175" s="137" t="s">
        <v>85</v>
      </c>
      <c r="C175" s="128" t="e">
        <f>#REF!</f>
        <v>#REF!</v>
      </c>
      <c r="D175" s="131"/>
      <c r="E175" s="128" t="e">
        <f>+#REF!</f>
        <v>#REF!</v>
      </c>
      <c r="F175" s="146"/>
      <c r="G175" s="146"/>
      <c r="H175" s="181" t="e">
        <f>+#REF!</f>
        <v>#REF!</v>
      </c>
      <c r="I175" s="128" t="e">
        <f>+#REF!</f>
        <v>#REF!</v>
      </c>
      <c r="J175" s="129" t="e">
        <f>+SUM(C175:G175)-(H175+I175)</f>
        <v>#REF!</v>
      </c>
      <c r="K175" s="156" t="e">
        <f>J175=#REF!</f>
        <v>#REF!</v>
      </c>
    </row>
    <row r="176" spans="1:11">
      <c r="A176" s="130" t="str">
        <f t="shared" si="100"/>
        <v>SEPTEMBRE</v>
      </c>
      <c r="B176" s="137" t="s">
        <v>84</v>
      </c>
      <c r="C176" s="128" t="e">
        <f>#REF!</f>
        <v>#REF!</v>
      </c>
      <c r="D176" s="131"/>
      <c r="E176" s="128" t="e">
        <f>+#REF!</f>
        <v>#REF!</v>
      </c>
      <c r="F176" s="146"/>
      <c r="G176" s="146"/>
      <c r="H176" s="181" t="e">
        <f>+#REF!</f>
        <v>#REF!</v>
      </c>
      <c r="I176" s="128" t="e">
        <f>+#REF!</f>
        <v>#REF!</v>
      </c>
      <c r="J176" s="129" t="e">
        <f t="shared" ref="J176:J181" si="101">+SUM(C176:G176)-(H176+I176)</f>
        <v>#REF!</v>
      </c>
      <c r="K176" s="156" t="e">
        <f>J176=#REF!</f>
        <v>#REF!</v>
      </c>
    </row>
    <row r="177" spans="1:11">
      <c r="A177" s="130" t="str">
        <f t="shared" si="100"/>
        <v>SEPTEMBRE</v>
      </c>
      <c r="B177" s="135" t="s">
        <v>154</v>
      </c>
      <c r="C177" s="33" t="e">
        <f>#REF!</f>
        <v>#REF!</v>
      </c>
      <c r="D177" s="32"/>
      <c r="E177" s="33" t="e">
        <f>+#REF!</f>
        <v>#REF!</v>
      </c>
      <c r="F177" s="33"/>
      <c r="G177" s="110"/>
      <c r="H177" s="57" t="e">
        <f>+#REF!</f>
        <v>#REF!</v>
      </c>
      <c r="I177" s="33" t="e">
        <f>+#REF!</f>
        <v>#REF!</v>
      </c>
      <c r="J177" s="31" t="e">
        <f t="shared" si="101"/>
        <v>#REF!</v>
      </c>
      <c r="K177" s="156" t="e">
        <f>J177=#REF!</f>
        <v>#REF!</v>
      </c>
    </row>
    <row r="178" spans="1:11">
      <c r="A178" s="130" t="str">
        <f t="shared" si="100"/>
        <v>SEPTEMBRE</v>
      </c>
      <c r="B178" s="135" t="s">
        <v>30</v>
      </c>
      <c r="C178" s="33" t="e">
        <f>#REF!</f>
        <v>#REF!</v>
      </c>
      <c r="D178" s="32"/>
      <c r="E178" s="33" t="e">
        <f>+#REF!</f>
        <v>#REF!</v>
      </c>
      <c r="F178" s="33"/>
      <c r="G178" s="110"/>
      <c r="H178" s="57" t="e">
        <f>+#REF!</f>
        <v>#REF!</v>
      </c>
      <c r="I178" s="33" t="e">
        <f>+#REF!</f>
        <v>#REF!</v>
      </c>
      <c r="J178" s="31" t="e">
        <f t="shared" si="101"/>
        <v>#REF!</v>
      </c>
      <c r="K178" s="156" t="e">
        <f>J178=#REF!</f>
        <v>#REF!</v>
      </c>
    </row>
    <row r="179" spans="1:11">
      <c r="A179" s="130" t="str">
        <f t="shared" si="100"/>
        <v>SEPTEMBRE</v>
      </c>
      <c r="B179" s="135" t="s">
        <v>94</v>
      </c>
      <c r="C179" s="33" t="e">
        <f>#REF!</f>
        <v>#REF!</v>
      </c>
      <c r="D179" s="32"/>
      <c r="E179" s="33" t="e">
        <f>+#REF!</f>
        <v>#REF!</v>
      </c>
      <c r="F179" s="33"/>
      <c r="G179" s="110"/>
      <c r="H179" s="57" t="e">
        <f>+#REF!</f>
        <v>#REF!</v>
      </c>
      <c r="I179" s="33" t="e">
        <f>+#REF!</f>
        <v>#REF!</v>
      </c>
      <c r="J179" s="31" t="e">
        <f t="shared" si="101"/>
        <v>#REF!</v>
      </c>
      <c r="K179" s="156" t="e">
        <f>J179=#REF!</f>
        <v>#REF!</v>
      </c>
    </row>
    <row r="180" spans="1:11">
      <c r="A180" s="130" t="str">
        <f t="shared" si="100"/>
        <v>SEPTEMBRE</v>
      </c>
      <c r="B180" s="135" t="s">
        <v>158</v>
      </c>
      <c r="C180" s="33" t="e">
        <f>#REF!</f>
        <v>#REF!</v>
      </c>
      <c r="D180" s="32"/>
      <c r="E180" s="33" t="e">
        <f>+#REF!</f>
        <v>#REF!</v>
      </c>
      <c r="F180" s="33"/>
      <c r="G180" s="110"/>
      <c r="H180" s="57" t="e">
        <f>+#REF!</f>
        <v>#REF!</v>
      </c>
      <c r="I180" s="33" t="e">
        <f>+#REF!</f>
        <v>#REF!</v>
      </c>
      <c r="J180" s="31" t="e">
        <f t="shared" si="101"/>
        <v>#REF!</v>
      </c>
      <c r="K180" s="156" t="e">
        <f>J180=#REF!</f>
        <v>#REF!</v>
      </c>
    </row>
    <row r="181" spans="1:11">
      <c r="A181" s="130" t="str">
        <f t="shared" si="100"/>
        <v>SEPTEMBRE</v>
      </c>
      <c r="B181" s="136" t="s">
        <v>114</v>
      </c>
      <c r="C181" s="33" t="e">
        <f>#REF!</f>
        <v>#REF!</v>
      </c>
      <c r="D181" s="127"/>
      <c r="E181" s="33" t="e">
        <f>+#REF!</f>
        <v>#REF!</v>
      </c>
      <c r="F181" s="53"/>
      <c r="G181" s="147"/>
      <c r="H181" s="57" t="e">
        <f>+#REF!</f>
        <v>#REF!</v>
      </c>
      <c r="I181" s="33" t="e">
        <f>+#REF!</f>
        <v>#REF!</v>
      </c>
      <c r="J181" s="31" t="e">
        <f t="shared" si="101"/>
        <v>#REF!</v>
      </c>
      <c r="K181" s="156" t="e">
        <f>J181=#REF!</f>
        <v>#REF!</v>
      </c>
    </row>
    <row r="182" spans="1:11">
      <c r="A182" s="35" t="s">
        <v>61</v>
      </c>
      <c r="B182" s="36"/>
      <c r="C182" s="36"/>
      <c r="D182" s="36"/>
      <c r="E182" s="36"/>
      <c r="F182" s="36"/>
      <c r="G182" s="36"/>
      <c r="H182" s="36"/>
      <c r="I182" s="36"/>
      <c r="J182" s="37"/>
      <c r="K182" s="155"/>
    </row>
    <row r="183" spans="1:11">
      <c r="A183" s="130" t="str">
        <f>+A181</f>
        <v>SEPTEMBRE</v>
      </c>
      <c r="B183" s="38" t="s">
        <v>62</v>
      </c>
      <c r="C183" s="39" t="e">
        <f>#REF!</f>
        <v>#REF!</v>
      </c>
      <c r="D183" s="51"/>
      <c r="E183" s="51" t="e">
        <f>#REF!</f>
        <v>#REF!</v>
      </c>
      <c r="F183" s="51"/>
      <c r="G183" s="133"/>
      <c r="H183" s="53" t="e">
        <f>+#REF!</f>
        <v>#REF!</v>
      </c>
      <c r="I183" s="134" t="e">
        <f>+#REF!</f>
        <v>#REF!</v>
      </c>
      <c r="J183" s="46" t="e">
        <f>+SUM(C183:G183)-(H183+I183)</f>
        <v>#REF!</v>
      </c>
      <c r="K183" s="156" t="e">
        <f>J183=#REF!</f>
        <v>#REF!</v>
      </c>
    </row>
    <row r="184" spans="1:11">
      <c r="A184" s="44" t="s">
        <v>63</v>
      </c>
      <c r="B184" s="25"/>
      <c r="C184" s="36"/>
      <c r="D184" s="25"/>
      <c r="E184" s="25"/>
      <c r="F184" s="25"/>
      <c r="G184" s="25"/>
      <c r="H184" s="25"/>
      <c r="I184" s="25"/>
      <c r="J184" s="37"/>
      <c r="K184" s="155"/>
    </row>
    <row r="185" spans="1:11">
      <c r="A185" s="130" t="str">
        <f>+A183</f>
        <v>SEPTEMBRE</v>
      </c>
      <c r="B185" s="38" t="s">
        <v>64</v>
      </c>
      <c r="C185" s="133" t="e">
        <f>#REF!</f>
        <v>#REF!</v>
      </c>
      <c r="D185" s="140"/>
      <c r="E185" s="51"/>
      <c r="F185" s="51"/>
      <c r="G185" s="51"/>
      <c r="H185" s="53" t="e">
        <f>+#REF!</f>
        <v>#REF!</v>
      </c>
      <c r="I185" s="55" t="e">
        <f>+#REF!</f>
        <v>#REF!</v>
      </c>
      <c r="J185" s="46" t="e">
        <f>+SUM(C185:G185)-(H185+I185)</f>
        <v>#REF!</v>
      </c>
      <c r="K185" s="156" t="e">
        <f>+J185=#REF!</f>
        <v>#REF!</v>
      </c>
    </row>
    <row r="186" spans="1:11">
      <c r="A186" s="130" t="str">
        <f t="shared" ref="A186" si="102">+A185</f>
        <v>SEPTEMBRE</v>
      </c>
      <c r="B186" s="38" t="s">
        <v>65</v>
      </c>
      <c r="C186" s="133" t="e">
        <f>#REF!</f>
        <v>#REF!</v>
      </c>
      <c r="D186" s="51"/>
      <c r="E186" s="50"/>
      <c r="F186" s="50"/>
      <c r="G186" s="50"/>
      <c r="H186" s="33" t="e">
        <f>+#REF!</f>
        <v>#REF!</v>
      </c>
      <c r="I186" s="52" t="e">
        <f>+#REF!</f>
        <v>#REF!</v>
      </c>
      <c r="J186" s="46" t="e">
        <f>SUM(C186:G186)-(H186+I186)</f>
        <v>#REF!</v>
      </c>
      <c r="K186" s="156" t="e">
        <f>+J186=#REF!</f>
        <v>#REF!</v>
      </c>
    </row>
    <row r="187" spans="1:11" ht="15.75">
      <c r="C187" s="151" t="e">
        <f>SUM(C172:C186)</f>
        <v>#REF!</v>
      </c>
      <c r="I187" s="149" t="e">
        <f>SUM(I172:I186)</f>
        <v>#REF!</v>
      </c>
      <c r="J187" s="111" t="e">
        <f>+SUM(J172:J186)</f>
        <v>#REF!</v>
      </c>
      <c r="K187" s="5" t="e">
        <f>J187=#REF!</f>
        <v>#REF!</v>
      </c>
    </row>
    <row r="188" spans="1:11">
      <c r="G188" s="9"/>
    </row>
    <row r="189" spans="1:11">
      <c r="A189" s="16" t="s">
        <v>53</v>
      </c>
      <c r="B189" s="16"/>
      <c r="C189" s="16"/>
      <c r="D189" s="17"/>
      <c r="E189" s="17"/>
      <c r="F189" s="17"/>
      <c r="G189" s="17"/>
      <c r="H189" s="17"/>
      <c r="I189" s="17"/>
    </row>
    <row r="190" spans="1:11">
      <c r="A190" s="18" t="s">
        <v>152</v>
      </c>
      <c r="B190" s="18"/>
      <c r="C190" s="18"/>
      <c r="D190" s="18"/>
      <c r="E190" s="18"/>
      <c r="F190" s="18"/>
      <c r="G190" s="18"/>
      <c r="H190" s="18"/>
      <c r="I190" s="18"/>
      <c r="J190" s="17"/>
    </row>
    <row r="191" spans="1:11">
      <c r="A191" s="19"/>
      <c r="B191" s="20"/>
      <c r="C191" s="21"/>
      <c r="D191" s="21"/>
      <c r="E191" s="21"/>
      <c r="F191" s="21"/>
      <c r="G191" s="21"/>
      <c r="H191" s="20"/>
      <c r="I191" s="20"/>
      <c r="J191" s="18"/>
    </row>
    <row r="192" spans="1:11">
      <c r="A192" s="354" t="s">
        <v>54</v>
      </c>
      <c r="B192" s="356" t="s">
        <v>55</v>
      </c>
      <c r="C192" s="358" t="s">
        <v>151</v>
      </c>
      <c r="D192" s="360" t="s">
        <v>56</v>
      </c>
      <c r="E192" s="361"/>
      <c r="F192" s="361"/>
      <c r="G192" s="362"/>
      <c r="H192" s="363" t="s">
        <v>57</v>
      </c>
      <c r="I192" s="365" t="s">
        <v>58</v>
      </c>
      <c r="J192" s="20"/>
    </row>
    <row r="193" spans="1:11">
      <c r="A193" s="355"/>
      <c r="B193" s="357"/>
      <c r="C193" s="359"/>
      <c r="D193" s="22" t="s">
        <v>24</v>
      </c>
      <c r="E193" s="22" t="s">
        <v>25</v>
      </c>
      <c r="F193" s="176" t="s">
        <v>124</v>
      </c>
      <c r="G193" s="22" t="s">
        <v>59</v>
      </c>
      <c r="H193" s="364"/>
      <c r="I193" s="366"/>
      <c r="J193" s="367" t="s">
        <v>153</v>
      </c>
      <c r="K193" s="155"/>
    </row>
    <row r="194" spans="1:11">
      <c r="A194" s="24"/>
      <c r="B194" s="25" t="s">
        <v>60</v>
      </c>
      <c r="C194" s="26"/>
      <c r="D194" s="26"/>
      <c r="E194" s="26"/>
      <c r="F194" s="26"/>
      <c r="G194" s="26"/>
      <c r="H194" s="26"/>
      <c r="I194" s="27"/>
      <c r="J194" s="368"/>
      <c r="K194" s="155"/>
    </row>
    <row r="195" spans="1:11">
      <c r="A195" s="130" t="s">
        <v>150</v>
      </c>
      <c r="B195" s="135" t="s">
        <v>48</v>
      </c>
      <c r="C195" s="33" t="e">
        <f>#REF!</f>
        <v>#REF!</v>
      </c>
      <c r="D195" s="32"/>
      <c r="E195" s="33" t="e">
        <f>+#REF!</f>
        <v>#REF!</v>
      </c>
      <c r="F195" s="33"/>
      <c r="G195" s="33"/>
      <c r="H195" s="57" t="e">
        <f>+#REF!</f>
        <v>#REF!</v>
      </c>
      <c r="I195" s="33" t="e">
        <f>+#REF!</f>
        <v>#REF!</v>
      </c>
      <c r="J195" s="31" t="e">
        <f t="shared" ref="J195:J196" si="103">+SUM(C195:G195)-(H195+I195)</f>
        <v>#REF!</v>
      </c>
      <c r="K195" s="156" t="e">
        <f>J195=#REF!</f>
        <v>#REF!</v>
      </c>
    </row>
    <row r="196" spans="1:11">
      <c r="A196" s="130" t="s">
        <v>150</v>
      </c>
      <c r="B196" s="135" t="s">
        <v>31</v>
      </c>
      <c r="C196" s="33" t="e">
        <f>#REF!</f>
        <v>#REF!</v>
      </c>
      <c r="D196" s="32"/>
      <c r="E196" s="33" t="e">
        <f>+#REF!</f>
        <v>#REF!</v>
      </c>
      <c r="F196" s="33"/>
      <c r="G196" s="33"/>
      <c r="H196" s="57" t="e">
        <f>+#REF!</f>
        <v>#REF!</v>
      </c>
      <c r="I196" s="33" t="e">
        <f>+#REF!</f>
        <v>#REF!</v>
      </c>
      <c r="J196" s="107" t="e">
        <f t="shared" si="103"/>
        <v>#REF!</v>
      </c>
      <c r="K196" s="156" t="e">
        <f>J196=#REF!</f>
        <v>#REF!</v>
      </c>
    </row>
    <row r="197" spans="1:11">
      <c r="A197" s="130" t="s">
        <v>150</v>
      </c>
      <c r="B197" s="136" t="s">
        <v>155</v>
      </c>
      <c r="C197" s="33" t="e">
        <f>#REF!</f>
        <v>#REF!</v>
      </c>
      <c r="D197" s="127"/>
      <c r="E197" s="33">
        <v>30000</v>
      </c>
      <c r="F197" s="53">
        <v>240000</v>
      </c>
      <c r="G197" s="53"/>
      <c r="H197" s="57" t="e">
        <f>+#REF!</f>
        <v>#REF!</v>
      </c>
      <c r="I197" s="33" t="e">
        <f>+#REF!</f>
        <v>#REF!</v>
      </c>
      <c r="J197" s="132" t="e">
        <f>+SUM(C197:G197)-(H197+I197)</f>
        <v>#REF!</v>
      </c>
      <c r="K197" s="156" t="e">
        <f>J197=#REF!</f>
        <v>#REF!</v>
      </c>
    </row>
    <row r="198" spans="1:11">
      <c r="A198" s="130" t="s">
        <v>150</v>
      </c>
      <c r="B198" s="137" t="s">
        <v>85</v>
      </c>
      <c r="C198" s="128" t="e">
        <f>#REF!</f>
        <v>#REF!</v>
      </c>
      <c r="D198" s="131"/>
      <c r="E198" s="128" t="e">
        <f>+#REF!</f>
        <v>#REF!</v>
      </c>
      <c r="F198" s="146"/>
      <c r="G198" s="146"/>
      <c r="H198" s="181" t="e">
        <f>+#REF!</f>
        <v>#REF!</v>
      </c>
      <c r="I198" s="128" t="e">
        <f>+#REF!</f>
        <v>#REF!</v>
      </c>
      <c r="J198" s="129" t="e">
        <f>+SUM(C198:G198)-(H198+I198)</f>
        <v>#REF!</v>
      </c>
      <c r="K198" s="156" t="e">
        <f>J198=#REF!</f>
        <v>#REF!</v>
      </c>
    </row>
    <row r="199" spans="1:11">
      <c r="A199" s="130" t="s">
        <v>150</v>
      </c>
      <c r="B199" s="137" t="s">
        <v>84</v>
      </c>
      <c r="C199" s="128" t="e">
        <f>#REF!</f>
        <v>#REF!</v>
      </c>
      <c r="D199" s="131"/>
      <c r="E199" s="128" t="e">
        <f>+#REF!</f>
        <v>#REF!</v>
      </c>
      <c r="F199" s="146"/>
      <c r="G199" s="146"/>
      <c r="H199" s="181" t="e">
        <f>+#REF!</f>
        <v>#REF!</v>
      </c>
      <c r="I199" s="128" t="e">
        <f>+#REF!</f>
        <v>#REF!</v>
      </c>
      <c r="J199" s="129" t="e">
        <f t="shared" ref="J199:J205" si="104">+SUM(C199:G199)-(H199+I199)</f>
        <v>#REF!</v>
      </c>
      <c r="K199" s="156" t="e">
        <f>J199=#REF!</f>
        <v>#REF!</v>
      </c>
    </row>
    <row r="200" spans="1:11">
      <c r="A200" s="130" t="s">
        <v>150</v>
      </c>
      <c r="B200" s="135" t="s">
        <v>154</v>
      </c>
      <c r="C200" s="33" t="e">
        <f>#REF!</f>
        <v>#REF!</v>
      </c>
      <c r="D200" s="32"/>
      <c r="E200" s="33" t="e">
        <f>+#REF!</f>
        <v>#REF!</v>
      </c>
      <c r="F200" s="33"/>
      <c r="G200" s="110"/>
      <c r="H200" s="57" t="e">
        <f>+#REF!</f>
        <v>#REF!</v>
      </c>
      <c r="I200" s="33" t="e">
        <f>+#REF!</f>
        <v>#REF!</v>
      </c>
      <c r="J200" s="31" t="e">
        <f t="shared" si="104"/>
        <v>#REF!</v>
      </c>
      <c r="K200" s="156" t="e">
        <f>J200=#REF!</f>
        <v>#REF!</v>
      </c>
    </row>
    <row r="201" spans="1:11">
      <c r="A201" s="130" t="s">
        <v>150</v>
      </c>
      <c r="B201" s="135" t="s">
        <v>30</v>
      </c>
      <c r="C201" s="33" t="e">
        <f>#REF!</f>
        <v>#REF!</v>
      </c>
      <c r="D201" s="32"/>
      <c r="E201" s="33" t="e">
        <f>+#REF!</f>
        <v>#REF!</v>
      </c>
      <c r="F201" s="33"/>
      <c r="G201" s="110"/>
      <c r="H201" s="57" t="e">
        <f>+#REF!</f>
        <v>#REF!</v>
      </c>
      <c r="I201" s="33" t="e">
        <f>+#REF!</f>
        <v>#REF!</v>
      </c>
      <c r="J201" s="31" t="e">
        <f t="shared" si="104"/>
        <v>#REF!</v>
      </c>
      <c r="K201" s="156" t="e">
        <f>J201=#REF!</f>
        <v>#REF!</v>
      </c>
    </row>
    <row r="202" spans="1:11">
      <c r="A202" s="130" t="s">
        <v>150</v>
      </c>
      <c r="B202" s="135" t="s">
        <v>36</v>
      </c>
      <c r="C202" s="33" t="e">
        <f>#REF!</f>
        <v>#REF!</v>
      </c>
      <c r="D202" s="32"/>
      <c r="E202" s="33">
        <v>15000</v>
      </c>
      <c r="F202" s="33">
        <v>496625</v>
      </c>
      <c r="G202" s="110"/>
      <c r="H202" s="57" t="e">
        <f>+#REF!</f>
        <v>#REF!</v>
      </c>
      <c r="I202" s="33" t="e">
        <f>+#REF!</f>
        <v>#REF!</v>
      </c>
      <c r="J202" s="31" t="e">
        <f t="shared" si="104"/>
        <v>#REF!</v>
      </c>
      <c r="K202" s="156" t="e">
        <f>J202=#REF!</f>
        <v>#REF!</v>
      </c>
    </row>
    <row r="203" spans="1:11">
      <c r="A203" s="130" t="s">
        <v>150</v>
      </c>
      <c r="B203" s="135" t="s">
        <v>94</v>
      </c>
      <c r="C203" s="33" t="e">
        <f>#REF!</f>
        <v>#REF!</v>
      </c>
      <c r="D203" s="32"/>
      <c r="E203" s="33" t="e">
        <f>+#REF!</f>
        <v>#REF!</v>
      </c>
      <c r="F203" s="33"/>
      <c r="G203" s="110"/>
      <c r="H203" s="57" t="e">
        <f>+#REF!</f>
        <v>#REF!</v>
      </c>
      <c r="I203" s="33" t="e">
        <f>+#REF!</f>
        <v>#REF!</v>
      </c>
      <c r="J203" s="31" t="e">
        <f t="shared" si="104"/>
        <v>#REF!</v>
      </c>
      <c r="K203" s="156" t="e">
        <f>J203=#REF!</f>
        <v>#REF!</v>
      </c>
    </row>
    <row r="204" spans="1:11">
      <c r="A204" s="130" t="s">
        <v>150</v>
      </c>
      <c r="B204" s="135" t="s">
        <v>29</v>
      </c>
      <c r="C204" s="33" t="e">
        <f>#REF!</f>
        <v>#REF!</v>
      </c>
      <c r="D204" s="32"/>
      <c r="E204" s="33" t="e">
        <f>+#REF!</f>
        <v>#REF!</v>
      </c>
      <c r="F204" s="33"/>
      <c r="G204" s="110"/>
      <c r="H204" s="57" t="e">
        <f>+#REF!</f>
        <v>#REF!</v>
      </c>
      <c r="I204" s="33" t="e">
        <f>+#REF!</f>
        <v>#REF!</v>
      </c>
      <c r="J204" s="31" t="e">
        <f t="shared" ref="J204" si="105">+SUM(C204:G204)-(H204+I204)</f>
        <v>#REF!</v>
      </c>
      <c r="K204" s="156" t="e">
        <f>J204=#REF!</f>
        <v>#REF!</v>
      </c>
    </row>
    <row r="205" spans="1:11">
      <c r="A205" s="130" t="s">
        <v>150</v>
      </c>
      <c r="B205" s="136" t="s">
        <v>114</v>
      </c>
      <c r="C205" s="33" t="e">
        <f>#REF!</f>
        <v>#REF!</v>
      </c>
      <c r="D205" s="127"/>
      <c r="E205" s="33" t="e">
        <f>+#REF!</f>
        <v>#REF!</v>
      </c>
      <c r="F205" s="53"/>
      <c r="G205" s="147"/>
      <c r="H205" s="57" t="e">
        <f>+#REF!</f>
        <v>#REF!</v>
      </c>
      <c r="I205" s="33" t="e">
        <f>+#REF!</f>
        <v>#REF!</v>
      </c>
      <c r="J205" s="31" t="e">
        <f t="shared" si="104"/>
        <v>#REF!</v>
      </c>
      <c r="K205" s="156" t="e">
        <f>J205=#REF!</f>
        <v>#REF!</v>
      </c>
    </row>
    <row r="206" spans="1:11">
      <c r="A206" s="35" t="s">
        <v>61</v>
      </c>
      <c r="B206" s="36"/>
      <c r="C206" s="36"/>
      <c r="D206" s="36"/>
      <c r="E206" s="36"/>
      <c r="F206" s="36"/>
      <c r="G206" s="36"/>
      <c r="H206" s="36"/>
      <c r="I206" s="36"/>
      <c r="J206" s="37"/>
      <c r="K206" s="155"/>
    </row>
    <row r="207" spans="1:11">
      <c r="A207" s="130" t="s">
        <v>150</v>
      </c>
      <c r="B207" s="38" t="s">
        <v>62</v>
      </c>
      <c r="C207" s="39" t="e">
        <f>#REF!</f>
        <v>#REF!</v>
      </c>
      <c r="D207" s="51">
        <v>4000000</v>
      </c>
      <c r="E207" s="109"/>
      <c r="F207" s="51"/>
      <c r="G207" s="133">
        <v>15000</v>
      </c>
      <c r="H207" s="53" t="e">
        <f>+#REF!</f>
        <v>#REF!</v>
      </c>
      <c r="I207" s="134" t="e">
        <f>+#REF!</f>
        <v>#REF!</v>
      </c>
      <c r="J207" s="46" t="e">
        <f>+SUM(C207:G207)-(H207+I207)</f>
        <v>#REF!</v>
      </c>
      <c r="K207" s="156" t="e">
        <f>J207=#REF!</f>
        <v>#REF!</v>
      </c>
    </row>
    <row r="208" spans="1:11">
      <c r="A208" s="44" t="s">
        <v>63</v>
      </c>
      <c r="B208" s="25"/>
      <c r="C208" s="36"/>
      <c r="D208" s="25"/>
      <c r="E208" s="25"/>
      <c r="F208" s="25"/>
      <c r="G208" s="25"/>
      <c r="H208" s="25"/>
      <c r="I208" s="25"/>
      <c r="J208" s="37"/>
      <c r="K208" s="155"/>
    </row>
    <row r="209" spans="1:15">
      <c r="A209" s="130" t="s">
        <v>150</v>
      </c>
      <c r="B209" s="38" t="s">
        <v>64</v>
      </c>
      <c r="C209" s="133" t="e">
        <f>#REF!</f>
        <v>#REF!</v>
      </c>
      <c r="D209" s="140"/>
      <c r="E209" s="51"/>
      <c r="F209" s="51"/>
      <c r="G209" s="51"/>
      <c r="H209" s="53" t="e">
        <f>+#REF!</f>
        <v>#REF!</v>
      </c>
      <c r="I209" s="55" t="e">
        <f>+#REF!</f>
        <v>#REF!</v>
      </c>
      <c r="J209" s="46" t="e">
        <f>+SUM(C209:G209)-(H209+I209)</f>
        <v>#REF!</v>
      </c>
      <c r="K209" s="156" t="e">
        <f>+J209=#REF!</f>
        <v>#REF!</v>
      </c>
    </row>
    <row r="210" spans="1:15">
      <c r="A210" s="130" t="s">
        <v>150</v>
      </c>
      <c r="B210" s="38" t="s">
        <v>65</v>
      </c>
      <c r="C210" s="133" t="e">
        <f>#REF!</f>
        <v>#REF!</v>
      </c>
      <c r="D210" s="51"/>
      <c r="E210" s="50"/>
      <c r="F210" s="50"/>
      <c r="G210" s="50"/>
      <c r="H210" s="33" t="e">
        <f>+#REF!</f>
        <v>#REF!</v>
      </c>
      <c r="I210" s="52" t="e">
        <f>+#REF!</f>
        <v>#REF!</v>
      </c>
      <c r="J210" s="46" t="e">
        <f>SUM(C210:G210)-(H210+I210)</f>
        <v>#REF!</v>
      </c>
      <c r="K210" s="156" t="e">
        <f>+J210=#REF!</f>
        <v>#REF!</v>
      </c>
    </row>
    <row r="211" spans="1:15" ht="15.75">
      <c r="C211" s="151" t="e">
        <f>SUM(C195:C210)</f>
        <v>#REF!</v>
      </c>
      <c r="I211" s="149" t="e">
        <f>SUM(I195:I210)</f>
        <v>#REF!</v>
      </c>
      <c r="J211" s="111" t="e">
        <f>+SUM(J195:J210)</f>
        <v>#REF!</v>
      </c>
      <c r="K211" s="5" t="e">
        <f>J211=#REF!</f>
        <v>#REF!</v>
      </c>
    </row>
    <row r="212" spans="1:15" s="171" customFormat="1" ht="16.5">
      <c r="A212" s="14"/>
      <c r="B212" s="175"/>
      <c r="C212" s="174"/>
      <c r="D212" s="174"/>
      <c r="E212" s="173"/>
      <c r="F212" s="174"/>
      <c r="G212" s="174" t="e">
        <f>+#REF!-J211</f>
        <v>#REF!</v>
      </c>
      <c r="H212" s="174"/>
      <c r="I212" s="174"/>
      <c r="L212" s="172"/>
      <c r="M212" s="172"/>
      <c r="N212" s="172"/>
      <c r="O212" s="172"/>
    </row>
    <row r="213" spans="1:15">
      <c r="A213" s="16" t="s">
        <v>53</v>
      </c>
      <c r="B213" s="16"/>
      <c r="C213" s="16"/>
      <c r="D213" s="17"/>
      <c r="E213" s="17"/>
      <c r="F213" s="17"/>
      <c r="G213" s="17"/>
      <c r="H213" s="17"/>
      <c r="I213" s="17"/>
    </row>
    <row r="214" spans="1:15">
      <c r="A214" s="18" t="s">
        <v>147</v>
      </c>
      <c r="B214" s="18"/>
      <c r="C214" s="18"/>
      <c r="D214" s="18"/>
      <c r="E214" s="18"/>
      <c r="F214" s="18"/>
      <c r="G214" s="18"/>
      <c r="H214" s="18"/>
      <c r="I214" s="18"/>
      <c r="J214" s="17"/>
    </row>
    <row r="215" spans="1:15">
      <c r="A215" s="19"/>
      <c r="B215" s="20"/>
      <c r="C215" s="21"/>
      <c r="D215" s="21"/>
      <c r="E215" s="21"/>
      <c r="F215" s="21"/>
      <c r="G215" s="21"/>
      <c r="H215" s="20"/>
      <c r="I215" s="20"/>
      <c r="J215" s="18"/>
    </row>
    <row r="216" spans="1:15">
      <c r="A216" s="354" t="s">
        <v>54</v>
      </c>
      <c r="B216" s="356" t="s">
        <v>55</v>
      </c>
      <c r="C216" s="358" t="s">
        <v>148</v>
      </c>
      <c r="D216" s="360" t="s">
        <v>56</v>
      </c>
      <c r="E216" s="361"/>
      <c r="F216" s="361"/>
      <c r="G216" s="362"/>
      <c r="H216" s="363" t="s">
        <v>57</v>
      </c>
      <c r="I216" s="365" t="s">
        <v>58</v>
      </c>
      <c r="J216" s="20"/>
    </row>
    <row r="217" spans="1:15">
      <c r="A217" s="355"/>
      <c r="B217" s="357"/>
      <c r="C217" s="359"/>
      <c r="D217" s="22" t="s">
        <v>24</v>
      </c>
      <c r="E217" s="22" t="s">
        <v>25</v>
      </c>
      <c r="F217" s="170" t="s">
        <v>124</v>
      </c>
      <c r="G217" s="22" t="s">
        <v>59</v>
      </c>
      <c r="H217" s="364"/>
      <c r="I217" s="366"/>
      <c r="J217" s="367" t="s">
        <v>149</v>
      </c>
      <c r="K217" s="155"/>
    </row>
    <row r="218" spans="1:15">
      <c r="A218" s="24"/>
      <c r="B218" s="25" t="s">
        <v>60</v>
      </c>
      <c r="C218" s="26"/>
      <c r="D218" s="26"/>
      <c r="E218" s="26"/>
      <c r="F218" s="26"/>
      <c r="G218" s="26"/>
      <c r="H218" s="26"/>
      <c r="I218" s="27"/>
      <c r="J218" s="368"/>
      <c r="K218" s="155"/>
    </row>
    <row r="219" spans="1:15">
      <c r="A219" s="130" t="s">
        <v>73</v>
      </c>
      <c r="B219" s="135" t="s">
        <v>48</v>
      </c>
      <c r="C219" s="33" t="e">
        <f>#REF!</f>
        <v>#REF!</v>
      </c>
      <c r="D219" s="32"/>
      <c r="E219" s="33">
        <v>970765</v>
      </c>
      <c r="F219" s="33"/>
      <c r="G219" s="33"/>
      <c r="H219" s="57">
        <v>0</v>
      </c>
      <c r="I219" s="33">
        <v>980165</v>
      </c>
      <c r="J219" s="31" t="e">
        <f t="shared" ref="J219:J220" si="106">+SUM(C219:G219)-(H219+I219)</f>
        <v>#REF!</v>
      </c>
      <c r="K219" s="156" t="e">
        <f>J219=#REF!</f>
        <v>#REF!</v>
      </c>
    </row>
    <row r="220" spans="1:15">
      <c r="A220" s="130" t="s">
        <v>73</v>
      </c>
      <c r="B220" s="135" t="s">
        <v>31</v>
      </c>
      <c r="C220" s="33" t="e">
        <f>#REF!</f>
        <v>#REF!</v>
      </c>
      <c r="D220" s="32"/>
      <c r="E220" s="33">
        <v>58000</v>
      </c>
      <c r="F220" s="33"/>
      <c r="G220" s="33"/>
      <c r="H220" s="33">
        <v>0</v>
      </c>
      <c r="I220" s="33">
        <v>59500</v>
      </c>
      <c r="J220" s="107" t="e">
        <f t="shared" si="106"/>
        <v>#REF!</v>
      </c>
      <c r="K220" s="156" t="e">
        <f>J220=#REF!</f>
        <v>#REF!</v>
      </c>
    </row>
    <row r="221" spans="1:15">
      <c r="A221" s="130" t="s">
        <v>73</v>
      </c>
      <c r="B221" s="136" t="s">
        <v>30</v>
      </c>
      <c r="C221" s="33" t="e">
        <f>#REF!</f>
        <v>#REF!</v>
      </c>
      <c r="D221" s="127"/>
      <c r="E221" s="53">
        <v>557150</v>
      </c>
      <c r="F221" s="53"/>
      <c r="G221" s="53"/>
      <c r="H221" s="53">
        <v>0</v>
      </c>
      <c r="I221" s="53">
        <v>556650</v>
      </c>
      <c r="J221" s="132" t="e">
        <f>+SUM(C221:G221)-(H221+I221)</f>
        <v>#REF!</v>
      </c>
      <c r="K221" s="156" t="e">
        <f>J221=#REF!</f>
        <v>#REF!</v>
      </c>
    </row>
    <row r="222" spans="1:15">
      <c r="A222" s="130" t="s">
        <v>73</v>
      </c>
      <c r="B222" s="137" t="s">
        <v>85</v>
      </c>
      <c r="C222" s="128" t="e">
        <f>#REF!</f>
        <v>#REF!</v>
      </c>
      <c r="D222" s="131"/>
      <c r="E222" s="146"/>
      <c r="F222" s="146"/>
      <c r="G222" s="146"/>
      <c r="H222" s="146">
        <v>0</v>
      </c>
      <c r="I222" s="146">
        <v>0</v>
      </c>
      <c r="J222" s="129" t="e">
        <f>+SUM(C222:G222)-(H222+I222)</f>
        <v>#REF!</v>
      </c>
      <c r="K222" s="156" t="e">
        <f>J222=#REF!</f>
        <v>#REF!</v>
      </c>
    </row>
    <row r="223" spans="1:15">
      <c r="A223" s="130" t="s">
        <v>73</v>
      </c>
      <c r="B223" s="137" t="s">
        <v>84</v>
      </c>
      <c r="C223" s="128" t="e">
        <f>#REF!</f>
        <v>#REF!</v>
      </c>
      <c r="D223" s="131"/>
      <c r="E223" s="146"/>
      <c r="F223" s="146"/>
      <c r="G223" s="146"/>
      <c r="H223" s="146">
        <v>0</v>
      </c>
      <c r="I223" s="146">
        <v>0</v>
      </c>
      <c r="J223" s="129" t="e">
        <f t="shared" ref="J223:J228" si="107">+SUM(C223:G223)-(H223+I223)</f>
        <v>#REF!</v>
      </c>
      <c r="K223" s="156" t="e">
        <f>J223=#REF!</f>
        <v>#REF!</v>
      </c>
    </row>
    <row r="224" spans="1:15">
      <c r="A224" s="130" t="s">
        <v>73</v>
      </c>
      <c r="B224" s="135" t="s">
        <v>36</v>
      </c>
      <c r="C224" s="33" t="e">
        <f>#REF!</f>
        <v>#REF!</v>
      </c>
      <c r="D224" s="32"/>
      <c r="E224" s="33">
        <v>941000</v>
      </c>
      <c r="F224" s="33"/>
      <c r="G224" s="110"/>
      <c r="H224" s="110">
        <v>0</v>
      </c>
      <c r="I224" s="33">
        <v>1084725</v>
      </c>
      <c r="J224" s="31" t="e">
        <f t="shared" si="107"/>
        <v>#REF!</v>
      </c>
      <c r="K224" s="156" t="e">
        <f>J224=#REF!</f>
        <v>#REF!</v>
      </c>
    </row>
    <row r="225" spans="1:15">
      <c r="A225" s="130" t="s">
        <v>73</v>
      </c>
      <c r="B225" s="135" t="s">
        <v>94</v>
      </c>
      <c r="C225" s="33" t="e">
        <f>#REF!</f>
        <v>#REF!</v>
      </c>
      <c r="D225" s="32"/>
      <c r="E225" s="33">
        <v>52000</v>
      </c>
      <c r="F225" s="110"/>
      <c r="G225" s="110"/>
      <c r="H225" s="110">
        <v>0</v>
      </c>
      <c r="I225" s="33">
        <v>67000</v>
      </c>
      <c r="J225" s="31" t="e">
        <f t="shared" si="107"/>
        <v>#REF!</v>
      </c>
      <c r="K225" s="156" t="e">
        <f>J225=#REF!</f>
        <v>#REF!</v>
      </c>
    </row>
    <row r="226" spans="1:15">
      <c r="A226" s="130" t="s">
        <v>73</v>
      </c>
      <c r="B226" s="135" t="s">
        <v>29</v>
      </c>
      <c r="C226" s="33" t="e">
        <f>#REF!</f>
        <v>#REF!</v>
      </c>
      <c r="D226" s="32"/>
      <c r="E226" s="33">
        <v>515000</v>
      </c>
      <c r="F226" s="110"/>
      <c r="G226" s="110"/>
      <c r="H226" s="110">
        <v>0</v>
      </c>
      <c r="I226" s="33">
        <v>655500</v>
      </c>
      <c r="J226" s="31" t="e">
        <f t="shared" si="107"/>
        <v>#REF!</v>
      </c>
      <c r="K226" s="156" t="e">
        <f>J226=#REF!</f>
        <v>#REF!</v>
      </c>
    </row>
    <row r="227" spans="1:15">
      <c r="A227" s="130" t="s">
        <v>73</v>
      </c>
      <c r="B227" s="135" t="s">
        <v>32</v>
      </c>
      <c r="C227" s="33" t="e">
        <f>#REF!</f>
        <v>#REF!</v>
      </c>
      <c r="D227" s="32"/>
      <c r="E227" s="33">
        <v>10000</v>
      </c>
      <c r="F227" s="110"/>
      <c r="G227" s="110"/>
      <c r="H227" s="33">
        <v>500</v>
      </c>
      <c r="I227" s="33">
        <v>15300</v>
      </c>
      <c r="J227" s="31" t="e">
        <f t="shared" si="107"/>
        <v>#REF!</v>
      </c>
      <c r="K227" s="156" t="e">
        <f>J227=#REF!</f>
        <v>#REF!</v>
      </c>
    </row>
    <row r="228" spans="1:15">
      <c r="A228" s="130" t="s">
        <v>73</v>
      </c>
      <c r="B228" s="136" t="s">
        <v>114</v>
      </c>
      <c r="C228" s="33" t="e">
        <f>#REF!</f>
        <v>#REF!</v>
      </c>
      <c r="D228" s="127"/>
      <c r="E228" s="53">
        <v>20000</v>
      </c>
      <c r="F228" s="53"/>
      <c r="G228" s="147"/>
      <c r="H228" s="53">
        <v>0</v>
      </c>
      <c r="I228" s="53">
        <v>28000</v>
      </c>
      <c r="J228" s="31" t="e">
        <f t="shared" si="107"/>
        <v>#REF!</v>
      </c>
      <c r="K228" s="156" t="e">
        <f>J228=#REF!</f>
        <v>#REF!</v>
      </c>
    </row>
    <row r="229" spans="1:15">
      <c r="A229" s="35" t="s">
        <v>61</v>
      </c>
      <c r="B229" s="36"/>
      <c r="C229" s="36"/>
      <c r="D229" s="36"/>
      <c r="E229" s="36"/>
      <c r="F229" s="36"/>
      <c r="G229" s="36"/>
      <c r="H229" s="36"/>
      <c r="I229" s="36"/>
      <c r="J229" s="37"/>
      <c r="K229" s="155"/>
    </row>
    <row r="230" spans="1:15">
      <c r="A230" s="130" t="s">
        <v>73</v>
      </c>
      <c r="B230" s="38" t="s">
        <v>62</v>
      </c>
      <c r="C230" s="39" t="e">
        <f>#REF!</f>
        <v>#REF!</v>
      </c>
      <c r="D230" s="51">
        <v>6000500</v>
      </c>
      <c r="E230" s="109"/>
      <c r="F230" s="51"/>
      <c r="G230" s="148"/>
      <c r="H230" s="53">
        <v>3123915</v>
      </c>
      <c r="I230" s="134">
        <v>3367697</v>
      </c>
      <c r="J230" s="46" t="e">
        <f>+SUM(C230:G230)-(H230+I230)</f>
        <v>#REF!</v>
      </c>
      <c r="K230" s="156" t="e">
        <f>J230=#REF!</f>
        <v>#REF!</v>
      </c>
    </row>
    <row r="231" spans="1:15">
      <c r="A231" s="44" t="s">
        <v>63</v>
      </c>
      <c r="B231" s="25"/>
      <c r="C231" s="36"/>
      <c r="D231" s="25"/>
      <c r="E231" s="25"/>
      <c r="F231" s="25"/>
      <c r="G231" s="25"/>
      <c r="H231" s="25"/>
      <c r="I231" s="25"/>
      <c r="J231" s="37"/>
      <c r="K231" s="155"/>
    </row>
    <row r="232" spans="1:15">
      <c r="A232" s="130" t="s">
        <v>73</v>
      </c>
      <c r="B232" s="38" t="s">
        <v>64</v>
      </c>
      <c r="C232" s="133" t="e">
        <f>#REF!</f>
        <v>#REF!</v>
      </c>
      <c r="D232" s="140"/>
      <c r="E232" s="51"/>
      <c r="F232" s="51"/>
      <c r="G232" s="51"/>
      <c r="H232" s="53">
        <v>2000000</v>
      </c>
      <c r="I232" s="55">
        <v>271244</v>
      </c>
      <c r="J232" s="46" t="e">
        <f>+SUM(C232:G232)-(H232+I232)</f>
        <v>#REF!</v>
      </c>
      <c r="K232" s="156" t="e">
        <f>+J232=#REF!</f>
        <v>#REF!</v>
      </c>
    </row>
    <row r="233" spans="1:15">
      <c r="A233" s="130" t="s">
        <v>73</v>
      </c>
      <c r="B233" s="38" t="s">
        <v>65</v>
      </c>
      <c r="C233" s="133" t="e">
        <f>#REF!</f>
        <v>#REF!</v>
      </c>
      <c r="D233" s="51">
        <v>31201251</v>
      </c>
      <c r="E233" s="50"/>
      <c r="F233" s="50"/>
      <c r="G233" s="50"/>
      <c r="H233" s="33">
        <v>4000000</v>
      </c>
      <c r="I233" s="52">
        <v>6204544</v>
      </c>
      <c r="J233" s="46" t="e">
        <f>SUM(C233:G233)-(H233+I233)</f>
        <v>#REF!</v>
      </c>
      <c r="K233" s="156" t="e">
        <f>+J233=#REF!</f>
        <v>#REF!</v>
      </c>
    </row>
    <row r="234" spans="1:15" ht="15.75">
      <c r="C234" s="151" t="e">
        <f>SUM(C219:C233)</f>
        <v>#REF!</v>
      </c>
      <c r="I234" s="149">
        <f>SUM(I219:I233)</f>
        <v>13290325</v>
      </c>
      <c r="J234" s="111" t="e">
        <f>+SUM(J219:J233)</f>
        <v>#REF!</v>
      </c>
      <c r="K234" s="5" t="e">
        <f>J234=#REF!</f>
        <v>#REF!</v>
      </c>
    </row>
    <row r="235" spans="1:15" s="171" customFormat="1" ht="16.5">
      <c r="A235" s="14"/>
      <c r="B235" s="175"/>
      <c r="C235" s="174"/>
      <c r="D235" s="174"/>
      <c r="E235" s="173"/>
      <c r="F235" s="174"/>
      <c r="G235" s="174" t="e">
        <f>+#REF!-J234</f>
        <v>#REF!</v>
      </c>
      <c r="H235" s="174"/>
      <c r="I235" s="174"/>
      <c r="L235" s="172"/>
      <c r="M235" s="172"/>
      <c r="N235" s="172"/>
      <c r="O235" s="172"/>
    </row>
    <row r="236" spans="1:15" ht="16.5">
      <c r="A236" s="14"/>
      <c r="B236" s="15"/>
      <c r="C236" s="12"/>
      <c r="D236" s="12"/>
      <c r="E236" s="13"/>
      <c r="F236" s="12"/>
      <c r="G236" s="12"/>
      <c r="H236" s="12"/>
      <c r="I236" s="12"/>
    </row>
    <row r="237" spans="1:15">
      <c r="A237" s="16" t="s">
        <v>53</v>
      </c>
      <c r="B237" s="16"/>
      <c r="C237" s="16"/>
      <c r="D237" s="17"/>
      <c r="E237" s="17"/>
      <c r="F237" s="17"/>
      <c r="G237" s="17"/>
      <c r="H237" s="17"/>
      <c r="I237" s="17"/>
    </row>
    <row r="238" spans="1:15">
      <c r="A238" s="18" t="s">
        <v>141</v>
      </c>
      <c r="B238" s="18"/>
      <c r="C238" s="18"/>
      <c r="D238" s="18"/>
      <c r="E238" s="18"/>
      <c r="F238" s="18"/>
      <c r="G238" s="18"/>
      <c r="H238" s="18"/>
      <c r="I238" s="18"/>
      <c r="J238" s="17"/>
    </row>
    <row r="239" spans="1:15">
      <c r="A239" s="19"/>
      <c r="B239" s="20"/>
      <c r="C239" s="21"/>
      <c r="D239" s="21"/>
      <c r="E239" s="21"/>
      <c r="F239" s="21"/>
      <c r="G239" s="21"/>
      <c r="H239" s="20"/>
      <c r="I239" s="20"/>
      <c r="J239" s="18"/>
    </row>
    <row r="240" spans="1:15">
      <c r="A240" s="354" t="s">
        <v>54</v>
      </c>
      <c r="B240" s="356" t="s">
        <v>55</v>
      </c>
      <c r="C240" s="358" t="s">
        <v>143</v>
      </c>
      <c r="D240" s="360" t="s">
        <v>56</v>
      </c>
      <c r="E240" s="361"/>
      <c r="F240" s="361"/>
      <c r="G240" s="362"/>
      <c r="H240" s="363" t="s">
        <v>57</v>
      </c>
      <c r="I240" s="365" t="s">
        <v>58</v>
      </c>
      <c r="J240" s="20"/>
    </row>
    <row r="241" spans="1:11">
      <c r="A241" s="355"/>
      <c r="B241" s="357"/>
      <c r="C241" s="359"/>
      <c r="D241" s="22" t="s">
        <v>24</v>
      </c>
      <c r="E241" s="22" t="s">
        <v>25</v>
      </c>
      <c r="F241" s="168" t="s">
        <v>124</v>
      </c>
      <c r="G241" s="22" t="s">
        <v>59</v>
      </c>
      <c r="H241" s="364"/>
      <c r="I241" s="366"/>
      <c r="J241" s="367" t="s">
        <v>142</v>
      </c>
      <c r="K241" s="155"/>
    </row>
    <row r="242" spans="1:11">
      <c r="A242" s="24"/>
      <c r="B242" s="25" t="s">
        <v>60</v>
      </c>
      <c r="C242" s="26"/>
      <c r="D242" s="26"/>
      <c r="E242" s="26"/>
      <c r="F242" s="26"/>
      <c r="G242" s="26"/>
      <c r="H242" s="26"/>
      <c r="I242" s="27"/>
      <c r="J242" s="368"/>
      <c r="K242" s="155"/>
    </row>
    <row r="243" spans="1:11">
      <c r="A243" s="130" t="s">
        <v>144</v>
      </c>
      <c r="B243" s="135" t="s">
        <v>77</v>
      </c>
      <c r="C243" s="33" t="e">
        <f>+#REF!</f>
        <v>#REF!</v>
      </c>
      <c r="D243" s="32"/>
      <c r="E243" s="33">
        <v>114000</v>
      </c>
      <c r="F243" s="33"/>
      <c r="G243" s="33"/>
      <c r="H243" s="57">
        <v>11050</v>
      </c>
      <c r="I243" s="33">
        <v>112000</v>
      </c>
      <c r="J243" s="31" t="e">
        <f>+SUM(C243:G243)-(H243+I243)</f>
        <v>#REF!</v>
      </c>
      <c r="K243" s="156" t="e">
        <f>J243=#REF!</f>
        <v>#REF!</v>
      </c>
    </row>
    <row r="244" spans="1:11">
      <c r="A244" s="130" t="s">
        <v>144</v>
      </c>
      <c r="B244" s="135" t="s">
        <v>48</v>
      </c>
      <c r="C244" s="33" t="e">
        <f t="shared" ref="C244:C254" si="108">+C221</f>
        <v>#REF!</v>
      </c>
      <c r="D244" s="32"/>
      <c r="E244" s="33">
        <v>87350</v>
      </c>
      <c r="F244" s="33">
        <f>60000+62000</f>
        <v>122000</v>
      </c>
      <c r="G244" s="33"/>
      <c r="H244" s="57">
        <v>161395</v>
      </c>
      <c r="I244" s="33">
        <v>281200</v>
      </c>
      <c r="J244" s="31" t="e">
        <f t="shared" ref="J244:J245" si="109">+SUM(C244:G244)-(H244+I244)</f>
        <v>#REF!</v>
      </c>
      <c r="K244" s="156" t="e">
        <f t="shared" ref="K244:K254" si="110">J244=I221</f>
        <v>#REF!</v>
      </c>
    </row>
    <row r="245" spans="1:11">
      <c r="A245" s="130" t="s">
        <v>144</v>
      </c>
      <c r="B245" s="135" t="s">
        <v>31</v>
      </c>
      <c r="C245" s="33" t="e">
        <f t="shared" si="108"/>
        <v>#REF!</v>
      </c>
      <c r="D245" s="32"/>
      <c r="E245" s="33">
        <v>371500</v>
      </c>
      <c r="F245" s="33"/>
      <c r="G245" s="33"/>
      <c r="H245" s="33">
        <f>62000+81500+137000</f>
        <v>280500</v>
      </c>
      <c r="I245" s="33">
        <v>177000</v>
      </c>
      <c r="J245" s="107" t="e">
        <f t="shared" si="109"/>
        <v>#REF!</v>
      </c>
      <c r="K245" s="156" t="e">
        <f t="shared" si="110"/>
        <v>#REF!</v>
      </c>
    </row>
    <row r="246" spans="1:11">
      <c r="A246" s="130" t="s">
        <v>144</v>
      </c>
      <c r="B246" s="135" t="s">
        <v>78</v>
      </c>
      <c r="C246" s="33" t="e">
        <f t="shared" si="108"/>
        <v>#REF!</v>
      </c>
      <c r="D246" s="110"/>
      <c r="E246" s="33">
        <v>35560</v>
      </c>
      <c r="F246" s="33">
        <f>10000+81500</f>
        <v>91500</v>
      </c>
      <c r="G246" s="33"/>
      <c r="H246" s="33">
        <v>35000</v>
      </c>
      <c r="I246" s="33">
        <v>159750</v>
      </c>
      <c r="J246" s="107" t="e">
        <f>+SUM(C246:G246)-(H246+I246)</f>
        <v>#REF!</v>
      </c>
      <c r="K246" s="156" t="e">
        <f t="shared" si="110"/>
        <v>#REF!</v>
      </c>
    </row>
    <row r="247" spans="1:11">
      <c r="A247" s="130" t="s">
        <v>144</v>
      </c>
      <c r="B247" s="136" t="s">
        <v>30</v>
      </c>
      <c r="C247" s="33" t="e">
        <f t="shared" si="108"/>
        <v>#REF!</v>
      </c>
      <c r="D247" s="127"/>
      <c r="E247" s="53">
        <v>372085</v>
      </c>
      <c r="F247" s="53"/>
      <c r="G247" s="53"/>
      <c r="H247" s="53"/>
      <c r="I247" s="53">
        <v>336400</v>
      </c>
      <c r="J247" s="132" t="e">
        <f>+SUM(C247:G247)-(H247+I247)</f>
        <v>#REF!</v>
      </c>
      <c r="K247" s="156" t="e">
        <f t="shared" si="110"/>
        <v>#REF!</v>
      </c>
    </row>
    <row r="248" spans="1:11">
      <c r="A248" s="130" t="s">
        <v>144</v>
      </c>
      <c r="B248" s="137" t="s">
        <v>85</v>
      </c>
      <c r="C248" s="128" t="e">
        <f t="shared" si="108"/>
        <v>#REF!</v>
      </c>
      <c r="D248" s="131"/>
      <c r="E248" s="146"/>
      <c r="F248" s="146"/>
      <c r="G248" s="146"/>
      <c r="H248" s="146"/>
      <c r="I248" s="146"/>
      <c r="J248" s="129" t="e">
        <f>+SUM(C248:G248)-(H248+I248)</f>
        <v>#REF!</v>
      </c>
      <c r="K248" s="156" t="e">
        <f t="shared" si="110"/>
        <v>#REF!</v>
      </c>
    </row>
    <row r="249" spans="1:11">
      <c r="A249" s="130" t="s">
        <v>144</v>
      </c>
      <c r="B249" s="137" t="s">
        <v>84</v>
      </c>
      <c r="C249" s="128" t="e">
        <f t="shared" si="108"/>
        <v>#REF!</v>
      </c>
      <c r="D249" s="131"/>
      <c r="E249" s="146"/>
      <c r="F249" s="146"/>
      <c r="G249" s="146"/>
      <c r="H249" s="146"/>
      <c r="I249" s="146"/>
      <c r="J249" s="129" t="e">
        <f t="shared" ref="J249:J254" si="111">+SUM(C249:G249)-(H249+I249)</f>
        <v>#REF!</v>
      </c>
      <c r="K249" s="156" t="e">
        <f t="shared" si="110"/>
        <v>#REF!</v>
      </c>
    </row>
    <row r="250" spans="1:11">
      <c r="A250" s="130" t="s">
        <v>144</v>
      </c>
      <c r="B250" s="135" t="s">
        <v>36</v>
      </c>
      <c r="C250" s="33" t="e">
        <f t="shared" si="108"/>
        <v>#REF!</v>
      </c>
      <c r="D250" s="32"/>
      <c r="E250" s="33">
        <v>400000</v>
      </c>
      <c r="F250" s="33">
        <v>137000</v>
      </c>
      <c r="G250" s="110"/>
      <c r="H250" s="110"/>
      <c r="I250" s="33">
        <v>563500</v>
      </c>
      <c r="J250" s="31" t="e">
        <f t="shared" si="111"/>
        <v>#REF!</v>
      </c>
      <c r="K250" s="156" t="e">
        <f t="shared" si="110"/>
        <v>#REF!</v>
      </c>
    </row>
    <row r="251" spans="1:11">
      <c r="A251" s="130" t="s">
        <v>144</v>
      </c>
      <c r="B251" s="135" t="s">
        <v>94</v>
      </c>
      <c r="C251" s="33" t="e">
        <f t="shared" si="108"/>
        <v>#REF!</v>
      </c>
      <c r="D251" s="32"/>
      <c r="E251" s="33">
        <v>35000</v>
      </c>
      <c r="F251" s="110"/>
      <c r="G251" s="110"/>
      <c r="H251" s="110"/>
      <c r="I251" s="33">
        <v>23500</v>
      </c>
      <c r="J251" s="31" t="e">
        <f t="shared" si="111"/>
        <v>#REF!</v>
      </c>
      <c r="K251" s="156" t="e">
        <f t="shared" si="110"/>
        <v>#REF!</v>
      </c>
    </row>
    <row r="252" spans="1:11">
      <c r="A252" s="130" t="s">
        <v>144</v>
      </c>
      <c r="B252" s="135" t="s">
        <v>29</v>
      </c>
      <c r="C252" s="33">
        <f t="shared" si="108"/>
        <v>0</v>
      </c>
      <c r="D252" s="32"/>
      <c r="E252" s="33">
        <v>454000</v>
      </c>
      <c r="F252" s="110"/>
      <c r="G252" s="110"/>
      <c r="H252" s="110"/>
      <c r="I252" s="33">
        <v>329100</v>
      </c>
      <c r="J252" s="31">
        <f t="shared" si="111"/>
        <v>124900</v>
      </c>
      <c r="K252" s="156" t="b">
        <f t="shared" si="110"/>
        <v>0</v>
      </c>
    </row>
    <row r="253" spans="1:11">
      <c r="A253" s="130" t="s">
        <v>144</v>
      </c>
      <c r="B253" s="135" t="s">
        <v>32</v>
      </c>
      <c r="C253" s="33" t="e">
        <f t="shared" si="108"/>
        <v>#REF!</v>
      </c>
      <c r="D253" s="32"/>
      <c r="E253" s="33"/>
      <c r="F253" s="110"/>
      <c r="G253" s="110"/>
      <c r="H253" s="33">
        <v>20000</v>
      </c>
      <c r="I253" s="33">
        <v>5000</v>
      </c>
      <c r="J253" s="31" t="e">
        <f t="shared" si="111"/>
        <v>#REF!</v>
      </c>
      <c r="K253" s="156" t="e">
        <f t="shared" si="110"/>
        <v>#REF!</v>
      </c>
    </row>
    <row r="254" spans="1:11">
      <c r="A254" s="130" t="s">
        <v>144</v>
      </c>
      <c r="B254" s="136" t="s">
        <v>114</v>
      </c>
      <c r="C254" s="33">
        <f t="shared" si="108"/>
        <v>0</v>
      </c>
      <c r="D254" s="127"/>
      <c r="E254" s="53">
        <v>231000</v>
      </c>
      <c r="F254" s="53"/>
      <c r="G254" s="147"/>
      <c r="H254" s="53">
        <v>90000</v>
      </c>
      <c r="I254" s="53">
        <v>180000</v>
      </c>
      <c r="J254" s="31">
        <f t="shared" si="111"/>
        <v>-39000</v>
      </c>
      <c r="K254" s="156" t="b">
        <f t="shared" si="110"/>
        <v>0</v>
      </c>
    </row>
    <row r="255" spans="1:11">
      <c r="A255" s="35" t="s">
        <v>61</v>
      </c>
      <c r="B255" s="36"/>
      <c r="C255" s="36"/>
      <c r="D255" s="36"/>
      <c r="E255" s="36"/>
      <c r="F255" s="36"/>
      <c r="G255" s="36"/>
      <c r="H255" s="36"/>
      <c r="I255" s="36"/>
      <c r="J255" s="37"/>
      <c r="K255" s="155"/>
    </row>
    <row r="256" spans="1:11">
      <c r="A256" s="130" t="s">
        <v>144</v>
      </c>
      <c r="B256" s="38" t="s">
        <v>62</v>
      </c>
      <c r="C256" s="39" t="e">
        <f>+C220</f>
        <v>#REF!</v>
      </c>
      <c r="D256" s="51">
        <v>5000000</v>
      </c>
      <c r="E256" s="109"/>
      <c r="F256" s="51">
        <v>217445</v>
      </c>
      <c r="G256" s="148"/>
      <c r="H256" s="139">
        <v>2070495</v>
      </c>
      <c r="I256" s="134">
        <v>3286349</v>
      </c>
      <c r="J256" s="46" t="e">
        <f>+SUM(C256:G256)-(H256+I256)</f>
        <v>#REF!</v>
      </c>
      <c r="K256" s="156" t="e">
        <f>J256=I220</f>
        <v>#REF!</v>
      </c>
    </row>
    <row r="257" spans="1:11">
      <c r="A257" s="44" t="s">
        <v>63</v>
      </c>
      <c r="B257" s="25"/>
      <c r="C257" s="36"/>
      <c r="D257" s="25"/>
      <c r="E257" s="25"/>
      <c r="F257" s="25"/>
      <c r="G257" s="25"/>
      <c r="H257" s="25"/>
      <c r="I257" s="25"/>
      <c r="J257" s="37"/>
      <c r="K257" s="155"/>
    </row>
    <row r="258" spans="1:11">
      <c r="A258" s="130" t="s">
        <v>144</v>
      </c>
      <c r="B258" s="38" t="s">
        <v>64</v>
      </c>
      <c r="C258" s="133" t="e">
        <f>+#REF!</f>
        <v>#REF!</v>
      </c>
      <c r="D258" s="140">
        <v>7900099</v>
      </c>
      <c r="E258" s="51"/>
      <c r="F258" s="51"/>
      <c r="G258" s="51"/>
      <c r="H258" s="53">
        <v>3000000</v>
      </c>
      <c r="I258" s="55">
        <v>379529</v>
      </c>
      <c r="J258" s="46" t="e">
        <f>+SUM(C258:G258)-(H258+I258)</f>
        <v>#REF!</v>
      </c>
      <c r="K258" s="156" t="e">
        <f>+J258=#REF!</f>
        <v>#REF!</v>
      </c>
    </row>
    <row r="259" spans="1:11">
      <c r="A259" s="130" t="s">
        <v>144</v>
      </c>
      <c r="B259" s="38" t="s">
        <v>65</v>
      </c>
      <c r="C259" s="133" t="e">
        <f>+C219</f>
        <v>#REF!</v>
      </c>
      <c r="D259" s="51"/>
      <c r="E259" s="50"/>
      <c r="F259" s="50"/>
      <c r="G259" s="50"/>
      <c r="H259" s="33">
        <v>2000000</v>
      </c>
      <c r="I259" s="52">
        <v>5392233</v>
      </c>
      <c r="J259" s="46" t="e">
        <f>SUM(C259:G259)-(H259+I259)</f>
        <v>#REF!</v>
      </c>
      <c r="K259" s="156" t="e">
        <f>+J259=I219</f>
        <v>#REF!</v>
      </c>
    </row>
    <row r="260" spans="1:11" ht="15.75">
      <c r="C260" s="151" t="e">
        <f>SUM(C243:C259)</f>
        <v>#REF!</v>
      </c>
      <c r="I260" s="149">
        <f>SUM(I243:I259)</f>
        <v>11225561</v>
      </c>
      <c r="J260" s="111" t="e">
        <f>+SUM(J243:J259)</f>
        <v>#REF!</v>
      </c>
      <c r="K260" s="5" t="e">
        <f>J260=I232</f>
        <v>#REF!</v>
      </c>
    </row>
    <row r="261" spans="1:11" ht="16.5">
      <c r="A261" s="14"/>
      <c r="B261" s="15"/>
      <c r="C261" s="12"/>
      <c r="D261" s="12"/>
      <c r="E261" s="13"/>
      <c r="F261" s="12"/>
      <c r="G261" s="12"/>
      <c r="H261" s="12"/>
      <c r="I261" s="12"/>
    </row>
    <row r="262" spans="1:11">
      <c r="A262" s="16" t="s">
        <v>53</v>
      </c>
      <c r="B262" s="16"/>
      <c r="C262" s="16"/>
      <c r="D262" s="17"/>
      <c r="E262" s="17"/>
      <c r="F262" s="17"/>
      <c r="G262" s="17"/>
      <c r="H262" s="17"/>
      <c r="I262" s="17"/>
    </row>
    <row r="263" spans="1:11">
      <c r="A263" s="18" t="s">
        <v>132</v>
      </c>
      <c r="B263" s="18"/>
      <c r="C263" s="18"/>
      <c r="D263" s="18"/>
      <c r="E263" s="18"/>
      <c r="F263" s="18"/>
      <c r="G263" s="18"/>
      <c r="H263" s="18"/>
      <c r="I263" s="18"/>
      <c r="J263" s="17"/>
    </row>
    <row r="264" spans="1:11">
      <c r="A264" s="19"/>
      <c r="B264" s="20"/>
      <c r="C264" s="21"/>
      <c r="D264" s="21"/>
      <c r="E264" s="21"/>
      <c r="F264" s="21"/>
      <c r="G264" s="21"/>
      <c r="H264" s="20"/>
      <c r="I264" s="20"/>
      <c r="J264" s="18"/>
    </row>
    <row r="265" spans="1:11">
      <c r="A265" s="354" t="s">
        <v>54</v>
      </c>
      <c r="B265" s="356" t="s">
        <v>55</v>
      </c>
      <c r="C265" s="358" t="s">
        <v>133</v>
      </c>
      <c r="D265" s="360" t="s">
        <v>56</v>
      </c>
      <c r="E265" s="361"/>
      <c r="F265" s="361"/>
      <c r="G265" s="362"/>
      <c r="H265" s="363" t="s">
        <v>57</v>
      </c>
      <c r="I265" s="365" t="s">
        <v>58</v>
      </c>
      <c r="J265" s="20"/>
    </row>
    <row r="266" spans="1:11">
      <c r="A266" s="355"/>
      <c r="B266" s="357"/>
      <c r="C266" s="359"/>
      <c r="D266" s="22" t="s">
        <v>24</v>
      </c>
      <c r="E266" s="22" t="s">
        <v>25</v>
      </c>
      <c r="F266" s="167" t="s">
        <v>124</v>
      </c>
      <c r="G266" s="22" t="s">
        <v>59</v>
      </c>
      <c r="H266" s="364"/>
      <c r="I266" s="366"/>
      <c r="J266" s="367" t="s">
        <v>134</v>
      </c>
      <c r="K266" s="155"/>
    </row>
    <row r="267" spans="1:11">
      <c r="A267" s="24"/>
      <c r="B267" s="25" t="s">
        <v>60</v>
      </c>
      <c r="C267" s="26"/>
      <c r="D267" s="26"/>
      <c r="E267" s="26"/>
      <c r="F267" s="26"/>
      <c r="G267" s="26"/>
      <c r="H267" s="26"/>
      <c r="I267" s="27"/>
      <c r="J267" s="368"/>
      <c r="K267" s="155"/>
    </row>
    <row r="268" spans="1:11">
      <c r="A268" s="130" t="s">
        <v>135</v>
      </c>
      <c r="B268" s="135" t="s">
        <v>77</v>
      </c>
      <c r="C268" s="33">
        <v>40050</v>
      </c>
      <c r="D268" s="32"/>
      <c r="E268" s="33">
        <v>104000</v>
      </c>
      <c r="F268" s="33"/>
      <c r="G268" s="33"/>
      <c r="H268" s="57">
        <v>54000</v>
      </c>
      <c r="I268" s="33">
        <v>81000</v>
      </c>
      <c r="J268" s="31">
        <f>+SUM(C268:G268)-(H268+I268)</f>
        <v>9050</v>
      </c>
      <c r="K268" s="156" t="e">
        <f>J268=#REF!</f>
        <v>#REF!</v>
      </c>
    </row>
    <row r="269" spans="1:11">
      <c r="A269" s="130" t="s">
        <v>135</v>
      </c>
      <c r="B269" s="135" t="s">
        <v>48</v>
      </c>
      <c r="C269" s="33">
        <v>38845</v>
      </c>
      <c r="D269" s="32"/>
      <c r="E269" s="33">
        <v>1550000</v>
      </c>
      <c r="F269" s="33"/>
      <c r="G269" s="33"/>
      <c r="H269" s="57">
        <v>311000</v>
      </c>
      <c r="I269" s="33">
        <v>1017400</v>
      </c>
      <c r="J269" s="31">
        <f t="shared" ref="J269:J270" si="112">+SUM(C269:G269)-(H269+I269)</f>
        <v>260445</v>
      </c>
      <c r="K269" s="156" t="b">
        <f>J269=I221</f>
        <v>0</v>
      </c>
    </row>
    <row r="270" spans="1:11">
      <c r="A270" s="130" t="s">
        <v>135</v>
      </c>
      <c r="B270" s="135" t="s">
        <v>31</v>
      </c>
      <c r="C270" s="33">
        <v>6895</v>
      </c>
      <c r="D270" s="32"/>
      <c r="E270" s="33">
        <v>581000</v>
      </c>
      <c r="F270" s="33"/>
      <c r="G270" s="33"/>
      <c r="H270" s="33"/>
      <c r="I270" s="33">
        <v>498900</v>
      </c>
      <c r="J270" s="107">
        <f t="shared" si="112"/>
        <v>88995</v>
      </c>
      <c r="K270" s="156" t="b">
        <f>J270=I222</f>
        <v>0</v>
      </c>
    </row>
    <row r="271" spans="1:11">
      <c r="A271" s="130" t="s">
        <v>135</v>
      </c>
      <c r="B271" s="135" t="s">
        <v>78</v>
      </c>
      <c r="C271" s="33">
        <v>28540</v>
      </c>
      <c r="D271" s="110"/>
      <c r="E271" s="33">
        <v>332000</v>
      </c>
      <c r="F271" s="33">
        <v>10000</v>
      </c>
      <c r="G271" s="33"/>
      <c r="H271" s="33"/>
      <c r="I271" s="33">
        <v>302850</v>
      </c>
      <c r="J271" s="107">
        <f>+SUM(C271:G271)-(H271+I271)</f>
        <v>67690</v>
      </c>
      <c r="K271" s="156" t="b">
        <f>J271=I223</f>
        <v>0</v>
      </c>
    </row>
    <row r="272" spans="1:11">
      <c r="A272" s="130" t="s">
        <v>135</v>
      </c>
      <c r="B272" s="135" t="s">
        <v>70</v>
      </c>
      <c r="C272" s="33">
        <v>184</v>
      </c>
      <c r="D272" s="110"/>
      <c r="E272" s="33"/>
      <c r="F272" s="33"/>
      <c r="G272" s="33"/>
      <c r="H272" s="33">
        <v>184</v>
      </c>
      <c r="I272" s="33"/>
      <c r="J272" s="107">
        <f t="shared" ref="J272" si="113">+SUM(C272:G272)-(H272+I272)</f>
        <v>0</v>
      </c>
      <c r="K272" s="156" t="e">
        <f>J272=#REF!</f>
        <v>#REF!</v>
      </c>
    </row>
    <row r="273" spans="1:11">
      <c r="A273" s="130" t="s">
        <v>135</v>
      </c>
      <c r="B273" s="136" t="s">
        <v>30</v>
      </c>
      <c r="C273" s="33">
        <v>68200</v>
      </c>
      <c r="D273" s="127"/>
      <c r="E273" s="53">
        <v>638000</v>
      </c>
      <c r="F273" s="53">
        <v>45000</v>
      </c>
      <c r="G273" s="53"/>
      <c r="H273" s="53"/>
      <c r="I273" s="53">
        <v>787385</v>
      </c>
      <c r="J273" s="132">
        <f>+SUM(C273:G273)-(H273+I273)</f>
        <v>-36185</v>
      </c>
      <c r="K273" s="156" t="b">
        <f t="shared" ref="K273:K280" si="114">J273=I224</f>
        <v>0</v>
      </c>
    </row>
    <row r="274" spans="1:11">
      <c r="A274" s="130" t="s">
        <v>135</v>
      </c>
      <c r="B274" s="137" t="s">
        <v>85</v>
      </c>
      <c r="C274" s="128">
        <v>233614</v>
      </c>
      <c r="D274" s="131"/>
      <c r="E274" s="146"/>
      <c r="F274" s="146"/>
      <c r="G274" s="146"/>
      <c r="H274" s="146"/>
      <c r="I274" s="146"/>
      <c r="J274" s="129">
        <f>+SUM(C274:G274)-(H274+I274)</f>
        <v>233614</v>
      </c>
      <c r="K274" s="156" t="b">
        <f t="shared" si="114"/>
        <v>0</v>
      </c>
    </row>
    <row r="275" spans="1:11">
      <c r="A275" s="130" t="s">
        <v>135</v>
      </c>
      <c r="B275" s="137" t="s">
        <v>84</v>
      </c>
      <c r="C275" s="128">
        <v>249769</v>
      </c>
      <c r="D275" s="131"/>
      <c r="E275" s="146"/>
      <c r="F275" s="146"/>
      <c r="G275" s="146"/>
      <c r="H275" s="146"/>
      <c r="I275" s="146"/>
      <c r="J275" s="129">
        <f t="shared" ref="J275:J280" si="115">+SUM(C275:G275)-(H275+I275)</f>
        <v>249769</v>
      </c>
      <c r="K275" s="156" t="b">
        <f t="shared" si="114"/>
        <v>0</v>
      </c>
    </row>
    <row r="276" spans="1:11">
      <c r="A276" s="130" t="s">
        <v>135</v>
      </c>
      <c r="B276" s="135" t="s">
        <v>36</v>
      </c>
      <c r="C276" s="33">
        <v>-4675</v>
      </c>
      <c r="D276" s="32"/>
      <c r="E276" s="33">
        <v>494000</v>
      </c>
      <c r="F276" s="33">
        <v>256000</v>
      </c>
      <c r="G276" s="110"/>
      <c r="H276" s="110">
        <v>6500</v>
      </c>
      <c r="I276" s="33">
        <v>607250</v>
      </c>
      <c r="J276" s="31">
        <f t="shared" si="115"/>
        <v>131575</v>
      </c>
      <c r="K276" s="156" t="b">
        <f t="shared" si="114"/>
        <v>0</v>
      </c>
    </row>
    <row r="277" spans="1:11">
      <c r="A277" s="130" t="s">
        <v>135</v>
      </c>
      <c r="B277" s="135" t="s">
        <v>94</v>
      </c>
      <c r="C277" s="33">
        <v>5000</v>
      </c>
      <c r="D277" s="32"/>
      <c r="E277" s="33">
        <v>30000</v>
      </c>
      <c r="F277" s="110"/>
      <c r="G277" s="110"/>
      <c r="H277" s="110"/>
      <c r="I277" s="33">
        <v>29500</v>
      </c>
      <c r="J277" s="31">
        <f t="shared" si="115"/>
        <v>5500</v>
      </c>
      <c r="K277" s="156" t="b">
        <f t="shared" si="114"/>
        <v>0</v>
      </c>
    </row>
    <row r="278" spans="1:11">
      <c r="A278" s="130" t="s">
        <v>135</v>
      </c>
      <c r="B278" s="135" t="s">
        <v>29</v>
      </c>
      <c r="C278" s="33">
        <v>72800</v>
      </c>
      <c r="D278" s="32"/>
      <c r="E278" s="33">
        <v>446000</v>
      </c>
      <c r="F278" s="110"/>
      <c r="G278" s="110"/>
      <c r="H278" s="110"/>
      <c r="I278" s="33">
        <v>512600</v>
      </c>
      <c r="J278" s="31">
        <f t="shared" si="115"/>
        <v>6200</v>
      </c>
      <c r="K278" s="156" t="b">
        <f t="shared" si="114"/>
        <v>0</v>
      </c>
    </row>
    <row r="279" spans="1:11">
      <c r="A279" s="130" t="s">
        <v>135</v>
      </c>
      <c r="B279" s="135" t="s">
        <v>32</v>
      </c>
      <c r="C279" s="33">
        <v>47300</v>
      </c>
      <c r="D279" s="32"/>
      <c r="E279" s="33">
        <v>5000</v>
      </c>
      <c r="F279" s="110">
        <v>6500</v>
      </c>
      <c r="G279" s="110"/>
      <c r="H279" s="33">
        <v>20000</v>
      </c>
      <c r="I279" s="33">
        <v>8000</v>
      </c>
      <c r="J279" s="31">
        <f t="shared" si="115"/>
        <v>30800</v>
      </c>
      <c r="K279" s="156" t="b">
        <f t="shared" si="114"/>
        <v>0</v>
      </c>
    </row>
    <row r="280" spans="1:11">
      <c r="A280" s="130" t="s">
        <v>135</v>
      </c>
      <c r="B280" s="136" t="s">
        <v>114</v>
      </c>
      <c r="C280" s="33">
        <v>79600</v>
      </c>
      <c r="D280" s="127"/>
      <c r="E280" s="53"/>
      <c r="F280" s="53"/>
      <c r="G280" s="147"/>
      <c r="H280" s="53"/>
      <c r="I280" s="53">
        <v>37707</v>
      </c>
      <c r="J280" s="31">
        <f t="shared" si="115"/>
        <v>41893</v>
      </c>
      <c r="K280" s="156" t="b">
        <f t="shared" si="114"/>
        <v>0</v>
      </c>
    </row>
    <row r="281" spans="1:11">
      <c r="A281" s="35" t="s">
        <v>61</v>
      </c>
      <c r="B281" s="36"/>
      <c r="C281" s="36"/>
      <c r="D281" s="36"/>
      <c r="E281" s="36"/>
      <c r="F281" s="36"/>
      <c r="G281" s="36"/>
      <c r="H281" s="36"/>
      <c r="I281" s="36"/>
      <c r="J281" s="37"/>
      <c r="K281" s="155"/>
    </row>
    <row r="282" spans="1:11">
      <c r="A282" s="130" t="s">
        <v>135</v>
      </c>
      <c r="B282" s="38" t="s">
        <v>62</v>
      </c>
      <c r="C282" s="39">
        <v>467929</v>
      </c>
      <c r="D282" s="51">
        <v>6310000</v>
      </c>
      <c r="E282" s="109"/>
      <c r="F282" s="51">
        <v>74184</v>
      </c>
      <c r="G282" s="148"/>
      <c r="H282" s="139">
        <v>4180000</v>
      </c>
      <c r="I282" s="134">
        <v>1710965</v>
      </c>
      <c r="J282" s="46">
        <f>+SUM(C282:G282)-(H282+I282)</f>
        <v>961148</v>
      </c>
      <c r="K282" s="156" t="b">
        <f>J282=I220</f>
        <v>0</v>
      </c>
    </row>
    <row r="283" spans="1:11">
      <c r="A283" s="44" t="s">
        <v>63</v>
      </c>
      <c r="B283" s="25"/>
      <c r="C283" s="36"/>
      <c r="D283" s="25"/>
      <c r="E283" s="25"/>
      <c r="F283" s="25"/>
      <c r="G283" s="25"/>
      <c r="H283" s="25"/>
      <c r="I283" s="25"/>
      <c r="J283" s="37"/>
      <c r="K283" s="155"/>
    </row>
    <row r="284" spans="1:11">
      <c r="A284" s="130" t="s">
        <v>135</v>
      </c>
      <c r="B284" s="38" t="s">
        <v>64</v>
      </c>
      <c r="C284" s="133">
        <v>7405927</v>
      </c>
      <c r="D284" s="140"/>
      <c r="E284" s="51"/>
      <c r="F284" s="51"/>
      <c r="G284" s="51"/>
      <c r="H284" s="53">
        <v>2000000</v>
      </c>
      <c r="I284" s="55">
        <v>1710232</v>
      </c>
      <c r="J284" s="46">
        <f>+SUM(C284:G284)-(H284+I284)</f>
        <v>3695695</v>
      </c>
      <c r="K284" s="156" t="e">
        <f>+J284=#REF!</f>
        <v>#REF!</v>
      </c>
    </row>
    <row r="285" spans="1:11">
      <c r="A285" s="130" t="s">
        <v>135</v>
      </c>
      <c r="B285" s="38" t="s">
        <v>65</v>
      </c>
      <c r="C285" s="133">
        <v>22972065</v>
      </c>
      <c r="D285" s="51"/>
      <c r="E285" s="50"/>
      <c r="F285" s="50"/>
      <c r="G285" s="50"/>
      <c r="H285" s="33">
        <v>4310000</v>
      </c>
      <c r="I285" s="52">
        <v>3055511</v>
      </c>
      <c r="J285" s="46">
        <f>SUM(C285:G285)-(H285+I285)</f>
        <v>15606554</v>
      </c>
      <c r="K285" s="156" t="b">
        <f>+J285=I219</f>
        <v>0</v>
      </c>
    </row>
    <row r="286" spans="1:11" ht="15.75">
      <c r="C286" s="151">
        <f>SUM(C268:C285)</f>
        <v>31712043</v>
      </c>
      <c r="I286" s="149">
        <f>SUM(I268:I285)</f>
        <v>10359300</v>
      </c>
      <c r="J286" s="111">
        <f>+SUM(J268:J285)</f>
        <v>21352743</v>
      </c>
      <c r="K286" s="5" t="b">
        <f>J286=I232</f>
        <v>0</v>
      </c>
    </row>
    <row r="287" spans="1:11" ht="16.5">
      <c r="A287" s="14"/>
      <c r="B287" s="15"/>
      <c r="C287" s="12"/>
      <c r="D287" s="12"/>
      <c r="E287" s="13"/>
      <c r="F287" s="12"/>
      <c r="G287" s="12"/>
      <c r="H287" s="12"/>
      <c r="I287" s="12"/>
    </row>
    <row r="288" spans="1:11">
      <c r="A288" s="16" t="s">
        <v>53</v>
      </c>
      <c r="B288" s="16"/>
      <c r="C288" s="16"/>
      <c r="D288" s="17"/>
      <c r="E288" s="17"/>
      <c r="F288" s="17"/>
      <c r="G288" s="17"/>
      <c r="H288" s="17"/>
      <c r="I288" s="17"/>
    </row>
    <row r="289" spans="1:11">
      <c r="A289" s="18" t="s">
        <v>125</v>
      </c>
      <c r="B289" s="18"/>
      <c r="C289" s="18"/>
      <c r="D289" s="18"/>
      <c r="E289" s="18"/>
      <c r="F289" s="18"/>
      <c r="G289" s="18"/>
      <c r="H289" s="18"/>
      <c r="I289" s="18"/>
      <c r="J289" s="17"/>
    </row>
    <row r="290" spans="1:11">
      <c r="A290" s="19"/>
      <c r="B290" s="20"/>
      <c r="C290" s="21"/>
      <c r="D290" s="21"/>
      <c r="E290" s="21"/>
      <c r="F290" s="21"/>
      <c r="G290" s="21"/>
      <c r="H290" s="20"/>
      <c r="I290" s="20"/>
      <c r="J290" s="18"/>
    </row>
    <row r="291" spans="1:11">
      <c r="A291" s="354" t="s">
        <v>54</v>
      </c>
      <c r="B291" s="356" t="s">
        <v>55</v>
      </c>
      <c r="C291" s="358" t="s">
        <v>126</v>
      </c>
      <c r="D291" s="360" t="s">
        <v>56</v>
      </c>
      <c r="E291" s="361"/>
      <c r="F291" s="361"/>
      <c r="G291" s="362"/>
      <c r="H291" s="363" t="s">
        <v>57</v>
      </c>
      <c r="I291" s="365" t="s">
        <v>58</v>
      </c>
      <c r="J291" s="20"/>
    </row>
    <row r="292" spans="1:11">
      <c r="A292" s="355"/>
      <c r="B292" s="357"/>
      <c r="C292" s="359"/>
      <c r="D292" s="22" t="s">
        <v>24</v>
      </c>
      <c r="E292" s="22" t="s">
        <v>25</v>
      </c>
      <c r="F292" s="166" t="s">
        <v>124</v>
      </c>
      <c r="G292" s="22" t="s">
        <v>59</v>
      </c>
      <c r="H292" s="364"/>
      <c r="I292" s="366"/>
      <c r="J292" s="367" t="s">
        <v>127</v>
      </c>
      <c r="K292" s="155"/>
    </row>
    <row r="293" spans="1:11">
      <c r="A293" s="24"/>
      <c r="B293" s="25" t="s">
        <v>60</v>
      </c>
      <c r="C293" s="26"/>
      <c r="D293" s="26"/>
      <c r="E293" s="26"/>
      <c r="F293" s="26"/>
      <c r="G293" s="26"/>
      <c r="H293" s="26"/>
      <c r="I293" s="27"/>
      <c r="J293" s="368"/>
      <c r="K293" s="155"/>
    </row>
    <row r="294" spans="1:11">
      <c r="A294" s="130" t="s">
        <v>128</v>
      </c>
      <c r="B294" s="135" t="s">
        <v>77</v>
      </c>
      <c r="C294" s="33">
        <v>-450</v>
      </c>
      <c r="D294" s="32"/>
      <c r="E294" s="33">
        <v>168000</v>
      </c>
      <c r="F294" s="33">
        <v>55000</v>
      </c>
      <c r="G294" s="33"/>
      <c r="H294" s="57"/>
      <c r="I294" s="33">
        <v>182500</v>
      </c>
      <c r="J294" s="31">
        <f>+SUM(C294:G294)-(H294+I294)</f>
        <v>40050</v>
      </c>
      <c r="K294" s="156"/>
    </row>
    <row r="295" spans="1:11">
      <c r="A295" s="130" t="s">
        <v>128</v>
      </c>
      <c r="B295" s="135" t="s">
        <v>48</v>
      </c>
      <c r="C295" s="33">
        <v>12510</v>
      </c>
      <c r="D295" s="32"/>
      <c r="E295" s="33">
        <v>303000</v>
      </c>
      <c r="F295" s="33"/>
      <c r="G295" s="33"/>
      <c r="H295" s="57"/>
      <c r="I295" s="33">
        <v>276665</v>
      </c>
      <c r="J295" s="31">
        <f t="shared" ref="J295:J296" si="116">+SUM(C295:G295)-(H295+I295)</f>
        <v>38845</v>
      </c>
      <c r="K295" s="156"/>
    </row>
    <row r="296" spans="1:11">
      <c r="A296" s="130" t="s">
        <v>128</v>
      </c>
      <c r="B296" s="135" t="s">
        <v>31</v>
      </c>
      <c r="C296" s="33">
        <v>2895</v>
      </c>
      <c r="D296" s="32"/>
      <c r="E296" s="33">
        <v>40000</v>
      </c>
      <c r="F296" s="33"/>
      <c r="G296" s="33"/>
      <c r="H296" s="33"/>
      <c r="I296" s="33">
        <v>36000</v>
      </c>
      <c r="J296" s="107">
        <f t="shared" si="116"/>
        <v>6895</v>
      </c>
      <c r="K296" s="156"/>
    </row>
    <row r="297" spans="1:11">
      <c r="A297" s="130" t="s">
        <v>128</v>
      </c>
      <c r="B297" s="135" t="s">
        <v>78</v>
      </c>
      <c r="C297" s="33">
        <v>62040</v>
      </c>
      <c r="D297" s="110"/>
      <c r="E297" s="33"/>
      <c r="F297" s="33"/>
      <c r="G297" s="33"/>
      <c r="H297" s="33">
        <v>25000</v>
      </c>
      <c r="I297" s="33">
        <v>8500</v>
      </c>
      <c r="J297" s="107">
        <f>+SUM(C297:G297)-(H297+I297)</f>
        <v>28540</v>
      </c>
      <c r="K297" s="156"/>
    </row>
    <row r="298" spans="1:11">
      <c r="A298" s="130" t="s">
        <v>128</v>
      </c>
      <c r="B298" s="135" t="s">
        <v>70</v>
      </c>
      <c r="C298" s="33">
        <v>184</v>
      </c>
      <c r="D298" s="110"/>
      <c r="E298" s="33">
        <v>0</v>
      </c>
      <c r="F298" s="33"/>
      <c r="G298" s="33"/>
      <c r="H298" s="33"/>
      <c r="I298" s="33">
        <v>0</v>
      </c>
      <c r="J298" s="107">
        <f t="shared" ref="J298" si="117">+SUM(C298:G298)-(H298+I298)</f>
        <v>184</v>
      </c>
      <c r="K298" s="156"/>
    </row>
    <row r="299" spans="1:11">
      <c r="A299" s="130" t="s">
        <v>128</v>
      </c>
      <c r="B299" s="136" t="s">
        <v>30</v>
      </c>
      <c r="C299" s="33">
        <v>-36500</v>
      </c>
      <c r="D299" s="127"/>
      <c r="E299" s="53">
        <v>523500</v>
      </c>
      <c r="F299" s="53"/>
      <c r="G299" s="53"/>
      <c r="H299" s="53"/>
      <c r="I299" s="53">
        <v>418800</v>
      </c>
      <c r="J299" s="132">
        <f>+SUM(C299:G299)-(H299+I299)</f>
        <v>68200</v>
      </c>
      <c r="K299" s="156"/>
    </row>
    <row r="300" spans="1:11">
      <c r="A300" s="130" t="s">
        <v>128</v>
      </c>
      <c r="B300" s="137" t="s">
        <v>85</v>
      </c>
      <c r="C300" s="128">
        <v>233614</v>
      </c>
      <c r="D300" s="131"/>
      <c r="E300" s="146"/>
      <c r="F300" s="146"/>
      <c r="G300" s="146"/>
      <c r="H300" s="146"/>
      <c r="I300" s="146"/>
      <c r="J300" s="129">
        <f>+SUM(C300:G300)-(H300+I300)</f>
        <v>233614</v>
      </c>
      <c r="K300" s="156"/>
    </row>
    <row r="301" spans="1:11">
      <c r="A301" s="130" t="s">
        <v>128</v>
      </c>
      <c r="B301" s="137" t="s">
        <v>84</v>
      </c>
      <c r="C301" s="128">
        <v>249769</v>
      </c>
      <c r="D301" s="131"/>
      <c r="E301" s="146"/>
      <c r="F301" s="146"/>
      <c r="G301" s="146"/>
      <c r="H301" s="146"/>
      <c r="I301" s="146"/>
      <c r="J301" s="129">
        <f t="shared" ref="J301:J306" si="118">+SUM(C301:G301)-(H301+I301)</f>
        <v>249769</v>
      </c>
      <c r="K301" s="156"/>
    </row>
    <row r="302" spans="1:11">
      <c r="A302" s="130" t="s">
        <v>128</v>
      </c>
      <c r="B302" s="135" t="s">
        <v>36</v>
      </c>
      <c r="C302" s="33">
        <v>71200</v>
      </c>
      <c r="D302" s="32"/>
      <c r="E302" s="33">
        <v>1056000</v>
      </c>
      <c r="F302" s="33"/>
      <c r="G302" s="110"/>
      <c r="H302" s="110">
        <v>55000</v>
      </c>
      <c r="I302" s="33">
        <v>1076875</v>
      </c>
      <c r="J302" s="31">
        <f t="shared" si="118"/>
        <v>-4675</v>
      </c>
      <c r="K302" s="156"/>
    </row>
    <row r="303" spans="1:11">
      <c r="A303" s="130" t="s">
        <v>128</v>
      </c>
      <c r="B303" s="135" t="s">
        <v>94</v>
      </c>
      <c r="C303" s="33">
        <v>6000</v>
      </c>
      <c r="D303" s="32"/>
      <c r="E303" s="33">
        <v>20000</v>
      </c>
      <c r="F303" s="110"/>
      <c r="G303" s="110"/>
      <c r="H303" s="110"/>
      <c r="I303" s="33">
        <v>21000</v>
      </c>
      <c r="J303" s="31">
        <f t="shared" si="118"/>
        <v>5000</v>
      </c>
      <c r="K303" s="156"/>
    </row>
    <row r="304" spans="1:11">
      <c r="A304" s="130" t="s">
        <v>128</v>
      </c>
      <c r="B304" s="135" t="s">
        <v>29</v>
      </c>
      <c r="C304" s="33">
        <v>167700</v>
      </c>
      <c r="D304" s="32"/>
      <c r="E304" s="33">
        <v>473000</v>
      </c>
      <c r="F304" s="110"/>
      <c r="G304" s="110"/>
      <c r="H304" s="110"/>
      <c r="I304" s="33">
        <v>567900</v>
      </c>
      <c r="J304" s="31">
        <f t="shared" si="118"/>
        <v>72800</v>
      </c>
      <c r="K304" s="156"/>
    </row>
    <row r="305" spans="1:11">
      <c r="A305" s="130" t="s">
        <v>128</v>
      </c>
      <c r="B305" s="135" t="s">
        <v>32</v>
      </c>
      <c r="C305" s="33">
        <v>65300</v>
      </c>
      <c r="D305" s="32"/>
      <c r="E305" s="33">
        <v>10000</v>
      </c>
      <c r="F305" s="110"/>
      <c r="G305" s="110"/>
      <c r="H305" s="110">
        <v>20000</v>
      </c>
      <c r="I305" s="33">
        <v>8000</v>
      </c>
      <c r="J305" s="31">
        <f t="shared" si="118"/>
        <v>47300</v>
      </c>
      <c r="K305" s="156"/>
    </row>
    <row r="306" spans="1:11">
      <c r="A306" s="130" t="s">
        <v>128</v>
      </c>
      <c r="B306" s="136" t="s">
        <v>114</v>
      </c>
      <c r="C306" s="33">
        <v>-11700</v>
      </c>
      <c r="D306" s="127"/>
      <c r="E306" s="53">
        <v>385800</v>
      </c>
      <c r="F306" s="53"/>
      <c r="G306" s="147"/>
      <c r="H306" s="53"/>
      <c r="I306" s="53">
        <v>294500</v>
      </c>
      <c r="J306" s="31">
        <f t="shared" si="118"/>
        <v>79600</v>
      </c>
      <c r="K306" s="156"/>
    </row>
    <row r="307" spans="1:11">
      <c r="A307" s="35" t="s">
        <v>61</v>
      </c>
      <c r="B307" s="36"/>
      <c r="C307" s="36"/>
      <c r="D307" s="36"/>
      <c r="E307" s="36"/>
      <c r="F307" s="36"/>
      <c r="G307" s="36"/>
      <c r="H307" s="36"/>
      <c r="I307" s="36"/>
      <c r="J307" s="37"/>
      <c r="K307" s="155"/>
    </row>
    <row r="308" spans="1:11">
      <c r="A308" s="130" t="s">
        <v>128</v>
      </c>
      <c r="B308" s="38" t="s">
        <v>62</v>
      </c>
      <c r="C308" s="39">
        <v>1672959</v>
      </c>
      <c r="D308" s="51">
        <v>3341000</v>
      </c>
      <c r="E308" s="109"/>
      <c r="F308" s="109">
        <v>45000</v>
      </c>
      <c r="G308" s="148"/>
      <c r="H308" s="139">
        <v>2979300</v>
      </c>
      <c r="I308" s="134">
        <v>1611730</v>
      </c>
      <c r="J308" s="46">
        <f>+SUM(C308:G308)-(H308+I308)</f>
        <v>467929</v>
      </c>
      <c r="K308" s="156"/>
    </row>
    <row r="309" spans="1:11">
      <c r="A309" s="44" t="s">
        <v>63</v>
      </c>
      <c r="B309" s="25"/>
      <c r="C309" s="36"/>
      <c r="D309" s="25"/>
      <c r="E309" s="25"/>
      <c r="F309" s="25"/>
      <c r="G309" s="25"/>
      <c r="H309" s="25"/>
      <c r="I309" s="25"/>
      <c r="J309" s="37"/>
      <c r="K309" s="155"/>
    </row>
    <row r="310" spans="1:11">
      <c r="A310" s="130" t="s">
        <v>128</v>
      </c>
      <c r="B310" s="38" t="s">
        <v>64</v>
      </c>
      <c r="C310" s="133">
        <v>2957378</v>
      </c>
      <c r="D310" s="140">
        <v>7828953</v>
      </c>
      <c r="E310" s="51"/>
      <c r="F310" s="51"/>
      <c r="G310" s="51"/>
      <c r="H310" s="53">
        <v>3000000</v>
      </c>
      <c r="I310" s="55">
        <v>380404</v>
      </c>
      <c r="J310" s="46">
        <f>+SUM(C310:G310)-(H310+I310)</f>
        <v>7405927</v>
      </c>
      <c r="K310" s="156"/>
    </row>
    <row r="311" spans="1:11">
      <c r="A311" s="130" t="s">
        <v>128</v>
      </c>
      <c r="B311" s="38" t="s">
        <v>65</v>
      </c>
      <c r="C311" s="133">
        <v>28018504</v>
      </c>
      <c r="D311" s="51"/>
      <c r="E311" s="50"/>
      <c r="F311" s="50"/>
      <c r="G311" s="50"/>
      <c r="H311" s="33">
        <v>341000</v>
      </c>
      <c r="I311" s="52">
        <v>4705439</v>
      </c>
      <c r="J311" s="46">
        <f>SUM(C311:G311)-(H311+I311)</f>
        <v>22972065</v>
      </c>
      <c r="K311" s="156"/>
    </row>
    <row r="312" spans="1:11" ht="15.75">
      <c r="C312" s="151">
        <f>SUM(C294:C311)</f>
        <v>33471403</v>
      </c>
      <c r="I312" s="149">
        <f>SUM(I294:I311)</f>
        <v>9588313</v>
      </c>
      <c r="J312" s="111">
        <f>+SUM(J294:J311)</f>
        <v>31712043</v>
      </c>
    </row>
    <row r="313" spans="1:11" ht="16.5">
      <c r="A313" s="14"/>
      <c r="B313" s="15"/>
      <c r="C313" s="12" t="e">
        <f>C312=C232</f>
        <v>#REF!</v>
      </c>
      <c r="D313" s="12"/>
      <c r="E313" s="13"/>
      <c r="F313" s="12"/>
      <c r="G313" s="12"/>
      <c r="H313" s="12"/>
      <c r="I313" s="12"/>
    </row>
    <row r="314" spans="1:11">
      <c r="A314" s="16" t="s">
        <v>53</v>
      </c>
      <c r="B314" s="16"/>
      <c r="C314" s="16"/>
      <c r="D314" s="17"/>
      <c r="E314" s="17"/>
      <c r="F314" s="17"/>
      <c r="G314" s="17"/>
      <c r="H314" s="17"/>
      <c r="I314" s="17"/>
    </row>
    <row r="315" spans="1:11">
      <c r="A315" s="18" t="s">
        <v>120</v>
      </c>
      <c r="B315" s="18"/>
      <c r="C315" s="18"/>
      <c r="D315" s="18"/>
      <c r="E315" s="18"/>
      <c r="F315" s="18"/>
      <c r="G315" s="18"/>
      <c r="H315" s="18"/>
      <c r="I315" s="18"/>
      <c r="J315" s="17"/>
    </row>
    <row r="316" spans="1:11">
      <c r="A316" s="19"/>
      <c r="B316" s="20"/>
      <c r="C316" s="21"/>
      <c r="D316" s="21"/>
      <c r="E316" s="21"/>
      <c r="F316" s="21"/>
      <c r="G316" s="21"/>
      <c r="H316" s="20"/>
      <c r="I316" s="20"/>
      <c r="J316" s="18"/>
    </row>
    <row r="317" spans="1:11">
      <c r="A317" s="354" t="s">
        <v>54</v>
      </c>
      <c r="B317" s="356" t="s">
        <v>55</v>
      </c>
      <c r="C317" s="358" t="s">
        <v>122</v>
      </c>
      <c r="D317" s="360" t="s">
        <v>56</v>
      </c>
      <c r="E317" s="361"/>
      <c r="F317" s="361"/>
      <c r="G317" s="362"/>
      <c r="H317" s="363" t="s">
        <v>57</v>
      </c>
      <c r="I317" s="365" t="s">
        <v>58</v>
      </c>
      <c r="J317" s="20"/>
    </row>
    <row r="318" spans="1:11">
      <c r="A318" s="355"/>
      <c r="B318" s="357"/>
      <c r="C318" s="359"/>
      <c r="D318" s="22" t="s">
        <v>24</v>
      </c>
      <c r="E318" s="22" t="s">
        <v>25</v>
      </c>
      <c r="F318" s="154" t="s">
        <v>124</v>
      </c>
      <c r="G318" s="22" t="s">
        <v>59</v>
      </c>
      <c r="H318" s="364"/>
      <c r="I318" s="366"/>
      <c r="J318" s="367" t="s">
        <v>123</v>
      </c>
      <c r="K318" s="155"/>
    </row>
    <row r="319" spans="1:11">
      <c r="A319" s="24"/>
      <c r="B319" s="25" t="s">
        <v>60</v>
      </c>
      <c r="C319" s="26"/>
      <c r="D319" s="26"/>
      <c r="E319" s="26"/>
      <c r="F319" s="26"/>
      <c r="G319" s="26"/>
      <c r="H319" s="26"/>
      <c r="I319" s="27"/>
      <c r="J319" s="368"/>
      <c r="K319" s="155"/>
    </row>
    <row r="320" spans="1:11">
      <c r="A320" s="130" t="s">
        <v>121</v>
      </c>
      <c r="B320" s="135" t="s">
        <v>77</v>
      </c>
      <c r="C320" s="33">
        <v>7670</v>
      </c>
      <c r="D320" s="32"/>
      <c r="E320" s="33">
        <v>438000</v>
      </c>
      <c r="F320" s="33"/>
      <c r="G320" s="33"/>
      <c r="H320" s="57">
        <v>40000</v>
      </c>
      <c r="I320" s="33">
        <v>406120</v>
      </c>
      <c r="J320" s="31">
        <f>+SUM(C320:G320)-(H320+I320)</f>
        <v>-450</v>
      </c>
      <c r="K320" s="156" t="e">
        <f>J320=#REF!</f>
        <v>#REF!</v>
      </c>
    </row>
    <row r="321" spans="1:11">
      <c r="A321" s="130" t="s">
        <v>121</v>
      </c>
      <c r="B321" s="135" t="s">
        <v>48</v>
      </c>
      <c r="C321" s="33">
        <v>4710</v>
      </c>
      <c r="D321" s="32"/>
      <c r="E321" s="33">
        <v>303000</v>
      </c>
      <c r="F321" s="33">
        <f>25000+91000+62000</f>
        <v>178000</v>
      </c>
      <c r="G321" s="33"/>
      <c r="H321" s="57">
        <v>29000</v>
      </c>
      <c r="I321" s="33">
        <v>444200</v>
      </c>
      <c r="J321" s="31">
        <f t="shared" ref="J321:J322" si="119">+SUM(C321:G321)-(H321+I321)</f>
        <v>12510</v>
      </c>
      <c r="K321" s="156" t="b">
        <f>J321=I221</f>
        <v>0</v>
      </c>
    </row>
    <row r="322" spans="1:11">
      <c r="A322" s="130" t="s">
        <v>121</v>
      </c>
      <c r="B322" s="135" t="s">
        <v>31</v>
      </c>
      <c r="C322" s="33">
        <v>9295</v>
      </c>
      <c r="D322" s="32"/>
      <c r="E322" s="33">
        <v>743000</v>
      </c>
      <c r="F322" s="33">
        <v>2000</v>
      </c>
      <c r="G322" s="33"/>
      <c r="H322" s="33">
        <f>103000+91000+137000+101000+91000</f>
        <v>523000</v>
      </c>
      <c r="I322" s="33">
        <v>228400</v>
      </c>
      <c r="J322" s="107">
        <f t="shared" si="119"/>
        <v>2895</v>
      </c>
      <c r="K322" s="156" t="b">
        <f>J322=I222</f>
        <v>0</v>
      </c>
    </row>
    <row r="323" spans="1:11">
      <c r="A323" s="130" t="s">
        <v>121</v>
      </c>
      <c r="B323" s="135" t="s">
        <v>78</v>
      </c>
      <c r="C323" s="33">
        <v>-25100</v>
      </c>
      <c r="D323" s="110"/>
      <c r="E323" s="33">
        <v>121100</v>
      </c>
      <c r="F323" s="33">
        <f>103000+1000+28000+137000</f>
        <v>269000</v>
      </c>
      <c r="G323" s="33"/>
      <c r="H323" s="33"/>
      <c r="I323" s="33">
        <v>302960</v>
      </c>
      <c r="J323" s="107">
        <f>+SUM(C323:G323)-(H323+I323)</f>
        <v>62040</v>
      </c>
      <c r="K323" s="156" t="b">
        <f>J323=I223</f>
        <v>0</v>
      </c>
    </row>
    <row r="324" spans="1:11">
      <c r="A324" s="130" t="s">
        <v>121</v>
      </c>
      <c r="B324" s="135" t="s">
        <v>70</v>
      </c>
      <c r="C324" s="33">
        <v>7384</v>
      </c>
      <c r="D324" s="110"/>
      <c r="E324" s="33">
        <v>319000</v>
      </c>
      <c r="F324" s="33">
        <v>101000</v>
      </c>
      <c r="G324" s="33"/>
      <c r="H324" s="33">
        <v>62000</v>
      </c>
      <c r="I324" s="33">
        <v>365200</v>
      </c>
      <c r="J324" s="107">
        <f t="shared" ref="J324" si="120">+SUM(C324:G324)-(H324+I324)</f>
        <v>184</v>
      </c>
      <c r="K324" s="156" t="e">
        <f>J324=#REF!</f>
        <v>#REF!</v>
      </c>
    </row>
    <row r="325" spans="1:11">
      <c r="A325" s="130" t="s">
        <v>121</v>
      </c>
      <c r="B325" s="136" t="s">
        <v>30</v>
      </c>
      <c r="C325" s="33">
        <v>61300</v>
      </c>
      <c r="D325" s="127"/>
      <c r="E325" s="53">
        <v>931200</v>
      </c>
      <c r="F325" s="53"/>
      <c r="G325" s="53"/>
      <c r="H325" s="53">
        <v>28000</v>
      </c>
      <c r="I325" s="53">
        <v>1001000</v>
      </c>
      <c r="J325" s="132">
        <f>+SUM(C325:G325)-(H325+I325)</f>
        <v>-36500</v>
      </c>
      <c r="K325" s="156" t="b">
        <f t="shared" ref="K325:K332" si="121">J325=I224</f>
        <v>0</v>
      </c>
    </row>
    <row r="326" spans="1:11">
      <c r="A326" s="130" t="s">
        <v>121</v>
      </c>
      <c r="B326" s="137" t="s">
        <v>85</v>
      </c>
      <c r="C326" s="128">
        <v>233614</v>
      </c>
      <c r="D326" s="131"/>
      <c r="E326" s="146"/>
      <c r="F326" s="146"/>
      <c r="G326" s="146"/>
      <c r="H326" s="146"/>
      <c r="I326" s="146"/>
      <c r="J326" s="129">
        <f>+SUM(C326:G326)-(H326+I326)</f>
        <v>233614</v>
      </c>
      <c r="K326" s="156" t="b">
        <f t="shared" si="121"/>
        <v>0</v>
      </c>
    </row>
    <row r="327" spans="1:11">
      <c r="A327" s="130" t="s">
        <v>121</v>
      </c>
      <c r="B327" s="137" t="s">
        <v>84</v>
      </c>
      <c r="C327" s="128">
        <v>249769</v>
      </c>
      <c r="D327" s="131"/>
      <c r="E327" s="146"/>
      <c r="F327" s="146"/>
      <c r="G327" s="146"/>
      <c r="H327" s="146"/>
      <c r="I327" s="146"/>
      <c r="J327" s="129">
        <f t="shared" ref="J327:J330" si="122">+SUM(C327:G327)-(H327+I327)</f>
        <v>249769</v>
      </c>
      <c r="K327" s="156" t="b">
        <f t="shared" si="121"/>
        <v>0</v>
      </c>
    </row>
    <row r="328" spans="1:11">
      <c r="A328" s="130" t="s">
        <v>121</v>
      </c>
      <c r="B328" s="135" t="s">
        <v>36</v>
      </c>
      <c r="C328" s="33">
        <v>4500</v>
      </c>
      <c r="D328" s="32"/>
      <c r="E328" s="33">
        <v>234000</v>
      </c>
      <c r="F328" s="33">
        <v>40000</v>
      </c>
      <c r="G328" s="110"/>
      <c r="H328" s="110"/>
      <c r="I328" s="33">
        <v>207300</v>
      </c>
      <c r="J328" s="31">
        <f t="shared" si="122"/>
        <v>71200</v>
      </c>
      <c r="K328" s="156" t="b">
        <f t="shared" si="121"/>
        <v>0</v>
      </c>
    </row>
    <row r="329" spans="1:11">
      <c r="A329" s="130" t="s">
        <v>121</v>
      </c>
      <c r="B329" s="135" t="s">
        <v>94</v>
      </c>
      <c r="C329" s="33">
        <v>-6000</v>
      </c>
      <c r="D329" s="32"/>
      <c r="E329" s="33">
        <v>61000</v>
      </c>
      <c r="F329" s="110"/>
      <c r="G329" s="110"/>
      <c r="H329" s="110"/>
      <c r="I329" s="33">
        <v>49000</v>
      </c>
      <c r="J329" s="31">
        <f t="shared" si="122"/>
        <v>6000</v>
      </c>
      <c r="K329" s="156" t="b">
        <f t="shared" si="121"/>
        <v>0</v>
      </c>
    </row>
    <row r="330" spans="1:11">
      <c r="A330" s="130" t="s">
        <v>121</v>
      </c>
      <c r="B330" s="135" t="s">
        <v>29</v>
      </c>
      <c r="C330" s="33">
        <v>72200</v>
      </c>
      <c r="D330" s="32"/>
      <c r="E330" s="33">
        <v>722000</v>
      </c>
      <c r="F330" s="110"/>
      <c r="G330" s="110"/>
      <c r="H330" s="110"/>
      <c r="I330" s="33">
        <v>626500</v>
      </c>
      <c r="J330" s="31">
        <f t="shared" si="122"/>
        <v>167700</v>
      </c>
      <c r="K330" s="156" t="b">
        <f t="shared" si="121"/>
        <v>0</v>
      </c>
    </row>
    <row r="331" spans="1:11">
      <c r="A331" s="130" t="s">
        <v>121</v>
      </c>
      <c r="B331" s="135" t="s">
        <v>32</v>
      </c>
      <c r="C331" s="33">
        <v>9300</v>
      </c>
      <c r="D331" s="32"/>
      <c r="E331" s="33">
        <v>60000</v>
      </c>
      <c r="F331" s="110"/>
      <c r="G331" s="110"/>
      <c r="H331" s="110"/>
      <c r="I331" s="33">
        <v>4000</v>
      </c>
      <c r="J331" s="31">
        <f t="shared" ref="J331:J332" si="123">+SUM(C331:G331)-(H331+I331)</f>
        <v>65300</v>
      </c>
      <c r="K331" s="156" t="b">
        <f t="shared" si="121"/>
        <v>0</v>
      </c>
    </row>
    <row r="332" spans="1:11">
      <c r="A332" s="130" t="s">
        <v>121</v>
      </c>
      <c r="B332" s="136" t="s">
        <v>114</v>
      </c>
      <c r="C332" s="33">
        <v>-14000</v>
      </c>
      <c r="D332" s="127"/>
      <c r="E332" s="53">
        <v>378000</v>
      </c>
      <c r="F332" s="53">
        <f>29000+91000</f>
        <v>120000</v>
      </c>
      <c r="G332" s="147"/>
      <c r="H332" s="53">
        <f>2000+1000+25000</f>
        <v>28000</v>
      </c>
      <c r="I332" s="53">
        <v>467700</v>
      </c>
      <c r="J332" s="31">
        <f t="shared" si="123"/>
        <v>-11700</v>
      </c>
      <c r="K332" s="156" t="b">
        <f t="shared" si="121"/>
        <v>0</v>
      </c>
    </row>
    <row r="333" spans="1:11">
      <c r="A333" s="35" t="s">
        <v>61</v>
      </c>
      <c r="B333" s="36"/>
      <c r="C333" s="36"/>
      <c r="D333" s="36"/>
      <c r="E333" s="36"/>
      <c r="F333" s="36"/>
      <c r="G333" s="36"/>
      <c r="H333" s="36"/>
      <c r="I333" s="36"/>
      <c r="J333" s="37"/>
      <c r="K333" s="155"/>
    </row>
    <row r="334" spans="1:11">
      <c r="A334" s="130" t="s">
        <v>121</v>
      </c>
      <c r="B334" s="38" t="s">
        <v>62</v>
      </c>
      <c r="C334" s="39">
        <v>1148337</v>
      </c>
      <c r="D334" s="51">
        <v>7000000</v>
      </c>
      <c r="E334" s="109"/>
      <c r="F334" s="109"/>
      <c r="G334" s="148"/>
      <c r="H334" s="139">
        <v>4310300</v>
      </c>
      <c r="I334" s="134">
        <v>2165078</v>
      </c>
      <c r="J334" s="46">
        <f>+SUM(C334:G334)-(H334+I334)</f>
        <v>1672959</v>
      </c>
      <c r="K334" s="156" t="b">
        <f>J334=I220</f>
        <v>0</v>
      </c>
    </row>
    <row r="335" spans="1:11">
      <c r="A335" s="44" t="s">
        <v>63</v>
      </c>
      <c r="B335" s="25"/>
      <c r="C335" s="36"/>
      <c r="D335" s="25"/>
      <c r="E335" s="25"/>
      <c r="F335" s="25"/>
      <c r="G335" s="25"/>
      <c r="H335" s="25"/>
      <c r="I335" s="25"/>
      <c r="J335" s="37"/>
      <c r="K335" s="155"/>
    </row>
    <row r="336" spans="1:11">
      <c r="A336" s="130" t="s">
        <v>121</v>
      </c>
      <c r="B336" s="38" t="s">
        <v>64</v>
      </c>
      <c r="C336" s="133">
        <v>10113263</v>
      </c>
      <c r="D336" s="140">
        <v>0</v>
      </c>
      <c r="E336" s="51"/>
      <c r="F336" s="51"/>
      <c r="G336" s="51"/>
      <c r="H336" s="53">
        <v>7000000</v>
      </c>
      <c r="I336" s="55">
        <v>155885</v>
      </c>
      <c r="J336" s="46">
        <f>+SUM(C336:G336)-(H336+I336)</f>
        <v>2957378</v>
      </c>
      <c r="K336" s="156" t="e">
        <f>+J336=#REF!</f>
        <v>#REF!</v>
      </c>
    </row>
    <row r="337" spans="1:11">
      <c r="A337" s="130" t="s">
        <v>121</v>
      </c>
      <c r="B337" s="38" t="s">
        <v>65</v>
      </c>
      <c r="C337" s="133">
        <v>6219904</v>
      </c>
      <c r="D337" s="51">
        <v>28506579</v>
      </c>
      <c r="E337" s="50"/>
      <c r="F337" s="50"/>
      <c r="G337" s="50"/>
      <c r="H337" s="33"/>
      <c r="I337" s="52">
        <v>6707979</v>
      </c>
      <c r="J337" s="46">
        <f>SUM(C337:G337)-(H337+I337)</f>
        <v>28018504</v>
      </c>
      <c r="K337" s="156" t="b">
        <f>+J337=I219</f>
        <v>0</v>
      </c>
    </row>
    <row r="338" spans="1:11" ht="15.75">
      <c r="C338" s="151">
        <f>SUM(C320:C337)</f>
        <v>18096146</v>
      </c>
      <c r="I338" s="149">
        <f>SUM(I320:I337)</f>
        <v>13131322</v>
      </c>
      <c r="J338" s="111">
        <f>+SUM(J320:J337)</f>
        <v>33471403</v>
      </c>
      <c r="K338" s="5" t="b">
        <f>J338=I232</f>
        <v>0</v>
      </c>
    </row>
    <row r="339" spans="1:11" ht="16.5">
      <c r="A339" s="14"/>
      <c r="B339" s="15"/>
      <c r="C339" s="12" t="e">
        <f>C338=C232</f>
        <v>#REF!</v>
      </c>
      <c r="D339" s="12"/>
      <c r="E339" s="13"/>
      <c r="F339" s="12"/>
      <c r="G339" s="12"/>
      <c r="H339" s="12"/>
      <c r="I339" s="12"/>
    </row>
    <row r="340" spans="1:11" ht="16.5">
      <c r="A340" s="14"/>
      <c r="B340" s="15"/>
      <c r="C340" s="12"/>
      <c r="D340" s="12"/>
      <c r="E340" s="13"/>
      <c r="F340" s="12"/>
      <c r="G340" s="12"/>
      <c r="H340" s="12"/>
      <c r="I340" s="12"/>
    </row>
    <row r="341" spans="1:11">
      <c r="A341" s="16" t="s">
        <v>53</v>
      </c>
      <c r="B341" s="16"/>
      <c r="C341" s="16"/>
      <c r="D341" s="17"/>
      <c r="E341" s="17"/>
      <c r="F341" s="17"/>
      <c r="G341" s="17"/>
      <c r="H341" s="17"/>
      <c r="I341" s="17"/>
    </row>
    <row r="342" spans="1:11">
      <c r="A342" s="18" t="s">
        <v>115</v>
      </c>
      <c r="B342" s="18"/>
      <c r="C342" s="18"/>
      <c r="D342" s="18"/>
      <c r="E342" s="18"/>
      <c r="F342" s="18"/>
      <c r="G342" s="18"/>
      <c r="H342" s="18"/>
      <c r="I342" s="18"/>
      <c r="J342" s="17"/>
    </row>
    <row r="343" spans="1:11">
      <c r="A343" s="19"/>
      <c r="B343" s="20"/>
      <c r="C343" s="21"/>
      <c r="D343" s="21"/>
      <c r="E343" s="21"/>
      <c r="F343" s="21"/>
      <c r="G343" s="21"/>
      <c r="H343" s="20"/>
      <c r="I343" s="20"/>
      <c r="J343" s="18"/>
    </row>
    <row r="344" spans="1:11">
      <c r="A344" s="354" t="s">
        <v>54</v>
      </c>
      <c r="B344" s="356" t="s">
        <v>55</v>
      </c>
      <c r="C344" s="358" t="s">
        <v>117</v>
      </c>
      <c r="D344" s="360" t="s">
        <v>56</v>
      </c>
      <c r="E344" s="361"/>
      <c r="F344" s="361"/>
      <c r="G344" s="362"/>
      <c r="H344" s="363" t="s">
        <v>57</v>
      </c>
      <c r="I344" s="365" t="s">
        <v>58</v>
      </c>
      <c r="J344" s="20"/>
    </row>
    <row r="345" spans="1:11">
      <c r="A345" s="355"/>
      <c r="B345" s="357"/>
      <c r="C345" s="359"/>
      <c r="D345" s="22" t="s">
        <v>24</v>
      </c>
      <c r="E345" s="22" t="s">
        <v>25</v>
      </c>
      <c r="F345" s="152" t="s">
        <v>119</v>
      </c>
      <c r="G345" s="22" t="s">
        <v>59</v>
      </c>
      <c r="H345" s="364"/>
      <c r="I345" s="366"/>
      <c r="J345" s="367" t="s">
        <v>118</v>
      </c>
    </row>
    <row r="346" spans="1:11">
      <c r="A346" s="24"/>
      <c r="B346" s="25" t="s">
        <v>60</v>
      </c>
      <c r="C346" s="26"/>
      <c r="D346" s="26"/>
      <c r="E346" s="26"/>
      <c r="F346" s="26"/>
      <c r="G346" s="26"/>
      <c r="H346" s="26"/>
      <c r="I346" s="27"/>
      <c r="J346" s="368"/>
    </row>
    <row r="347" spans="1:11">
      <c r="A347" s="130" t="s">
        <v>116</v>
      </c>
      <c r="B347" s="135" t="s">
        <v>77</v>
      </c>
      <c r="C347" s="33">
        <v>3670</v>
      </c>
      <c r="D347" s="32"/>
      <c r="E347" s="33">
        <v>118000</v>
      </c>
      <c r="F347" s="33">
        <v>4000</v>
      </c>
      <c r="G347" s="33"/>
      <c r="H347" s="57"/>
      <c r="I347" s="33">
        <v>118000</v>
      </c>
      <c r="J347" s="31">
        <f>+SUM(C347:G347)-(H347+I347)</f>
        <v>7670</v>
      </c>
      <c r="K347" s="153"/>
    </row>
    <row r="348" spans="1:11">
      <c r="A348" s="130" t="s">
        <v>116</v>
      </c>
      <c r="B348" s="135" t="s">
        <v>48</v>
      </c>
      <c r="C348" s="33">
        <v>-540</v>
      </c>
      <c r="D348" s="32"/>
      <c r="E348" s="33">
        <v>209750</v>
      </c>
      <c r="F348" s="33">
        <v>5000</v>
      </c>
      <c r="G348" s="33"/>
      <c r="H348" s="57"/>
      <c r="I348" s="33">
        <v>209500</v>
      </c>
      <c r="J348" s="31">
        <f t="shared" ref="J348:J349" si="124">+SUM(C348:G348)-(H348+I348)</f>
        <v>4710</v>
      </c>
      <c r="K348" s="153"/>
    </row>
    <row r="349" spans="1:11">
      <c r="A349" s="130" t="s">
        <v>116</v>
      </c>
      <c r="B349" s="135" t="s">
        <v>31</v>
      </c>
      <c r="C349" s="33">
        <v>2395</v>
      </c>
      <c r="D349" s="32"/>
      <c r="E349" s="33">
        <v>70000</v>
      </c>
      <c r="F349" s="33">
        <v>4000</v>
      </c>
      <c r="G349" s="33"/>
      <c r="H349" s="33"/>
      <c r="I349" s="33">
        <v>67100</v>
      </c>
      <c r="J349" s="107">
        <f t="shared" si="124"/>
        <v>9295</v>
      </c>
      <c r="K349" s="153"/>
    </row>
    <row r="350" spans="1:11">
      <c r="A350" s="130" t="s">
        <v>116</v>
      </c>
      <c r="B350" s="135" t="s">
        <v>78</v>
      </c>
      <c r="C350" s="33">
        <v>96100</v>
      </c>
      <c r="D350" s="110"/>
      <c r="E350" s="33">
        <v>488100</v>
      </c>
      <c r="F350" s="33">
        <v>4000</v>
      </c>
      <c r="G350" s="33"/>
      <c r="H350" s="33">
        <v>61600</v>
      </c>
      <c r="I350" s="33">
        <v>551700</v>
      </c>
      <c r="J350" s="107">
        <f>+SUM(C350:G350)-(H350+I350)</f>
        <v>-25100</v>
      </c>
      <c r="K350" s="153"/>
    </row>
    <row r="351" spans="1:11">
      <c r="A351" s="130" t="s">
        <v>116</v>
      </c>
      <c r="B351" s="135" t="s">
        <v>70</v>
      </c>
      <c r="C351" s="33">
        <v>13884</v>
      </c>
      <c r="D351" s="110"/>
      <c r="E351" s="33">
        <v>194000</v>
      </c>
      <c r="F351" s="33"/>
      <c r="G351" s="33"/>
      <c r="H351" s="33">
        <v>17000</v>
      </c>
      <c r="I351" s="33">
        <v>183500</v>
      </c>
      <c r="J351" s="107">
        <f t="shared" ref="J351" si="125">+SUM(C351:G351)-(H351+I351)</f>
        <v>7384</v>
      </c>
      <c r="K351" s="153"/>
    </row>
    <row r="352" spans="1:11">
      <c r="A352" s="130" t="s">
        <v>116</v>
      </c>
      <c r="B352" s="136" t="s">
        <v>30</v>
      </c>
      <c r="C352" s="33">
        <v>72400</v>
      </c>
      <c r="D352" s="127"/>
      <c r="E352" s="53">
        <v>599900</v>
      </c>
      <c r="F352" s="53"/>
      <c r="G352" s="53"/>
      <c r="H352" s="53"/>
      <c r="I352" s="53">
        <v>611000</v>
      </c>
      <c r="J352" s="132">
        <f>+SUM(C352:G352)-(H352+I352)</f>
        <v>61300</v>
      </c>
      <c r="K352" s="153"/>
    </row>
    <row r="353" spans="1:11">
      <c r="A353" s="130" t="s">
        <v>116</v>
      </c>
      <c r="B353" s="137" t="s">
        <v>85</v>
      </c>
      <c r="C353" s="128">
        <v>233614</v>
      </c>
      <c r="D353" s="131"/>
      <c r="E353" s="146"/>
      <c r="F353" s="146"/>
      <c r="G353" s="146"/>
      <c r="H353" s="146"/>
      <c r="I353" s="146"/>
      <c r="J353" s="129">
        <f>+SUM(C353:G353)-(H353+I353)</f>
        <v>233614</v>
      </c>
      <c r="K353" s="153"/>
    </row>
    <row r="354" spans="1:11">
      <c r="A354" s="130" t="s">
        <v>116</v>
      </c>
      <c r="B354" s="137" t="s">
        <v>84</v>
      </c>
      <c r="C354" s="128">
        <v>249769</v>
      </c>
      <c r="D354" s="131"/>
      <c r="E354" s="146"/>
      <c r="F354" s="146"/>
      <c r="G354" s="146"/>
      <c r="H354" s="146"/>
      <c r="I354" s="146"/>
      <c r="J354" s="129">
        <f t="shared" ref="J354:J361" si="126">+SUM(C354:G354)-(H354+I354)</f>
        <v>249769</v>
      </c>
      <c r="K354" s="153"/>
    </row>
    <row r="355" spans="1:11">
      <c r="A355" s="130" t="s">
        <v>116</v>
      </c>
      <c r="B355" s="135" t="s">
        <v>36</v>
      </c>
      <c r="C355" s="33">
        <v>18490</v>
      </c>
      <c r="D355" s="32"/>
      <c r="E355" s="33">
        <v>796460</v>
      </c>
      <c r="F355" s="33">
        <v>61600</v>
      </c>
      <c r="G355" s="110"/>
      <c r="H355" s="110"/>
      <c r="I355" s="33">
        <v>872050</v>
      </c>
      <c r="J355" s="31">
        <f t="shared" si="126"/>
        <v>4500</v>
      </c>
      <c r="K355" s="153"/>
    </row>
    <row r="356" spans="1:11">
      <c r="A356" s="130" t="s">
        <v>116</v>
      </c>
      <c r="B356" s="135" t="s">
        <v>94</v>
      </c>
      <c r="C356" s="33">
        <v>4500</v>
      </c>
      <c r="D356" s="32"/>
      <c r="E356" s="33">
        <v>40000</v>
      </c>
      <c r="F356" s="110"/>
      <c r="G356" s="110"/>
      <c r="H356" s="110"/>
      <c r="I356" s="33">
        <v>50500</v>
      </c>
      <c r="J356" s="31">
        <f t="shared" si="126"/>
        <v>-6000</v>
      </c>
      <c r="K356" s="153"/>
    </row>
    <row r="357" spans="1:11">
      <c r="A357" s="130" t="s">
        <v>116</v>
      </c>
      <c r="B357" s="135" t="s">
        <v>29</v>
      </c>
      <c r="C357" s="33">
        <v>44200</v>
      </c>
      <c r="D357" s="32"/>
      <c r="E357" s="33">
        <v>60000</v>
      </c>
      <c r="F357" s="110"/>
      <c r="G357" s="110"/>
      <c r="H357" s="110"/>
      <c r="I357" s="33">
        <v>32000</v>
      </c>
      <c r="J357" s="31">
        <f t="shared" si="126"/>
        <v>72200</v>
      </c>
      <c r="K357" s="153"/>
    </row>
    <row r="358" spans="1:11">
      <c r="A358" s="130" t="s">
        <v>116</v>
      </c>
      <c r="B358" s="135" t="s">
        <v>95</v>
      </c>
      <c r="C358" s="33">
        <v>-851709</v>
      </c>
      <c r="D358" s="32"/>
      <c r="E358" s="33">
        <v>851709</v>
      </c>
      <c r="F358" s="110"/>
      <c r="G358" s="110"/>
      <c r="H358" s="110"/>
      <c r="I358" s="33"/>
      <c r="J358" s="31">
        <f>+SUM(C358:G358)-(H358+I358)</f>
        <v>0</v>
      </c>
      <c r="K358" s="153"/>
    </row>
    <row r="359" spans="1:11">
      <c r="A359" s="130" t="s">
        <v>116</v>
      </c>
      <c r="B359" s="135" t="s">
        <v>102</v>
      </c>
      <c r="C359" s="33">
        <v>90300</v>
      </c>
      <c r="D359" s="32"/>
      <c r="E359" s="33">
        <v>69200</v>
      </c>
      <c r="F359" s="110"/>
      <c r="G359" s="110"/>
      <c r="H359" s="110"/>
      <c r="I359" s="33">
        <v>159500</v>
      </c>
      <c r="J359" s="31">
        <f t="shared" si="126"/>
        <v>0</v>
      </c>
      <c r="K359" s="153"/>
    </row>
    <row r="360" spans="1:11">
      <c r="A360" s="130" t="s">
        <v>116</v>
      </c>
      <c r="B360" s="135" t="s">
        <v>32</v>
      </c>
      <c r="C360" s="33">
        <v>300</v>
      </c>
      <c r="D360" s="32"/>
      <c r="E360" s="33">
        <v>20000</v>
      </c>
      <c r="F360" s="110"/>
      <c r="G360" s="110"/>
      <c r="H360" s="110"/>
      <c r="I360" s="33">
        <v>11000</v>
      </c>
      <c r="J360" s="31">
        <f t="shared" si="126"/>
        <v>9300</v>
      </c>
      <c r="K360" s="153"/>
    </row>
    <row r="361" spans="1:11">
      <c r="A361" s="130" t="s">
        <v>116</v>
      </c>
      <c r="B361" s="136" t="s">
        <v>114</v>
      </c>
      <c r="C361" s="33">
        <v>0</v>
      </c>
      <c r="D361" s="127"/>
      <c r="E361" s="145"/>
      <c r="F361" s="145"/>
      <c r="G361" s="147"/>
      <c r="H361" s="145"/>
      <c r="I361" s="53">
        <v>14000</v>
      </c>
      <c r="J361" s="31">
        <f t="shared" si="126"/>
        <v>-14000</v>
      </c>
      <c r="K361" s="153"/>
    </row>
    <row r="362" spans="1:11">
      <c r="A362" s="35" t="s">
        <v>61</v>
      </c>
      <c r="B362" s="36"/>
      <c r="C362" s="36"/>
      <c r="D362" s="36"/>
      <c r="E362" s="36"/>
      <c r="F362" s="36"/>
      <c r="G362" s="36"/>
      <c r="H362" s="36"/>
      <c r="I362" s="36"/>
      <c r="J362" s="37"/>
    </row>
    <row r="363" spans="1:11">
      <c r="A363" s="130" t="s">
        <v>116</v>
      </c>
      <c r="B363" s="38" t="s">
        <v>62</v>
      </c>
      <c r="C363" s="39" t="e">
        <f>C220</f>
        <v>#REF!</v>
      </c>
      <c r="D363" s="51">
        <v>5872000</v>
      </c>
      <c r="E363" s="109"/>
      <c r="F363" s="109"/>
      <c r="G363" s="148"/>
      <c r="H363" s="139">
        <v>3517119</v>
      </c>
      <c r="I363" s="134">
        <v>1523260</v>
      </c>
      <c r="J363" s="46" t="e">
        <f>+SUM(C363:G363)-(H363+I363)</f>
        <v>#REF!</v>
      </c>
      <c r="K363" s="153"/>
    </row>
    <row r="364" spans="1:11">
      <c r="A364" s="44" t="s">
        <v>63</v>
      </c>
      <c r="B364" s="25"/>
      <c r="C364" s="36"/>
      <c r="D364" s="25"/>
      <c r="E364" s="25"/>
      <c r="F364" s="25"/>
      <c r="G364" s="25"/>
      <c r="H364" s="25"/>
      <c r="I364" s="25"/>
      <c r="J364" s="37"/>
    </row>
    <row r="365" spans="1:11">
      <c r="A365" s="130" t="s">
        <v>116</v>
      </c>
      <c r="B365" s="38" t="s">
        <v>64</v>
      </c>
      <c r="C365" s="133" t="e">
        <f>#REF!</f>
        <v>#REF!</v>
      </c>
      <c r="D365" s="140">
        <v>10380044</v>
      </c>
      <c r="E365" s="51"/>
      <c r="F365" s="51"/>
      <c r="G365" s="51"/>
      <c r="H365" s="53">
        <v>5500000</v>
      </c>
      <c r="I365" s="55">
        <v>277455</v>
      </c>
      <c r="J365" s="46" t="e">
        <f>+SUM(C365:G365)-(H365+I365)</f>
        <v>#REF!</v>
      </c>
      <c r="K365" s="153"/>
    </row>
    <row r="366" spans="1:11">
      <c r="A366" s="130" t="s">
        <v>116</v>
      </c>
      <c r="B366" s="38" t="s">
        <v>65</v>
      </c>
      <c r="C366" s="133" t="e">
        <f>C219</f>
        <v>#REF!</v>
      </c>
      <c r="D366" s="51"/>
      <c r="E366" s="50"/>
      <c r="F366" s="50"/>
      <c r="G366" s="50"/>
      <c r="H366" s="33">
        <v>372000</v>
      </c>
      <c r="I366" s="52">
        <v>4601760</v>
      </c>
      <c r="J366" s="46" t="e">
        <f>SUM(C366:G366)-(H366+I366)</f>
        <v>#REF!</v>
      </c>
      <c r="K366" s="153"/>
    </row>
    <row r="367" spans="1:11" ht="15.75">
      <c r="C367" s="151" t="e">
        <f>SUM(C347:C366)</f>
        <v>#REF!</v>
      </c>
      <c r="I367" s="149">
        <f>SUM(I347:I366)</f>
        <v>9282325</v>
      </c>
      <c r="J367" s="111" t="e">
        <f>+SUM(J347:J366)</f>
        <v>#REF!</v>
      </c>
    </row>
    <row r="368" spans="1:11" ht="16.5">
      <c r="A368" s="14"/>
      <c r="B368" s="15"/>
      <c r="C368" s="12"/>
      <c r="D368" s="12"/>
      <c r="E368" s="13"/>
      <c r="F368" s="12"/>
      <c r="G368" s="12"/>
      <c r="H368" s="12"/>
      <c r="I368" s="12"/>
    </row>
    <row r="369" spans="1:11">
      <c r="A369" s="16" t="s">
        <v>53</v>
      </c>
      <c r="B369" s="16"/>
      <c r="C369" s="16"/>
      <c r="D369" s="17"/>
      <c r="E369" s="17"/>
      <c r="F369" s="17"/>
      <c r="G369" s="17"/>
      <c r="H369" s="17"/>
      <c r="I369" s="17"/>
    </row>
    <row r="370" spans="1:11">
      <c r="A370" s="18" t="s">
        <v>110</v>
      </c>
      <c r="B370" s="18"/>
      <c r="C370" s="18"/>
      <c r="D370" s="18"/>
      <c r="E370" s="18"/>
      <c r="F370" s="18"/>
      <c r="G370" s="18"/>
      <c r="H370" s="18"/>
      <c r="I370" s="18"/>
      <c r="J370" s="17"/>
    </row>
    <row r="371" spans="1:11">
      <c r="A371" s="19"/>
      <c r="B371" s="20"/>
      <c r="C371" s="21"/>
      <c r="D371" s="21"/>
      <c r="E371" s="21"/>
      <c r="F371" s="21"/>
      <c r="G371" s="21"/>
      <c r="H371" s="20"/>
      <c r="I371" s="20"/>
      <c r="J371" s="18"/>
    </row>
    <row r="372" spans="1:11">
      <c r="A372" s="354" t="s">
        <v>54</v>
      </c>
      <c r="B372" s="356" t="s">
        <v>55</v>
      </c>
      <c r="C372" s="358" t="s">
        <v>111</v>
      </c>
      <c r="D372" s="360" t="s">
        <v>56</v>
      </c>
      <c r="E372" s="361"/>
      <c r="F372" s="361"/>
      <c r="G372" s="362"/>
      <c r="H372" s="363" t="s">
        <v>57</v>
      </c>
      <c r="I372" s="365" t="s">
        <v>58</v>
      </c>
      <c r="J372" s="20"/>
    </row>
    <row r="373" spans="1:11">
      <c r="A373" s="355"/>
      <c r="B373" s="357"/>
      <c r="C373" s="359"/>
      <c r="D373" s="22" t="s">
        <v>24</v>
      </c>
      <c r="E373" s="22" t="s">
        <v>25</v>
      </c>
      <c r="F373" s="150" t="s">
        <v>113</v>
      </c>
      <c r="G373" s="22" t="s">
        <v>59</v>
      </c>
      <c r="H373" s="364"/>
      <c r="I373" s="366"/>
      <c r="J373" s="367" t="s">
        <v>112</v>
      </c>
    </row>
    <row r="374" spans="1:11">
      <c r="A374" s="24"/>
      <c r="B374" s="25" t="s">
        <v>60</v>
      </c>
      <c r="C374" s="26"/>
      <c r="D374" s="26"/>
      <c r="E374" s="26"/>
      <c r="F374" s="26"/>
      <c r="G374" s="26"/>
      <c r="H374" s="26"/>
      <c r="I374" s="27"/>
      <c r="J374" s="368"/>
    </row>
    <row r="375" spans="1:11">
      <c r="A375" s="130" t="s">
        <v>109</v>
      </c>
      <c r="B375" s="135" t="s">
        <v>77</v>
      </c>
      <c r="C375" s="33">
        <v>-11330</v>
      </c>
      <c r="D375" s="32"/>
      <c r="E375" s="33">
        <v>201400</v>
      </c>
      <c r="F375" s="33">
        <v>184300</v>
      </c>
      <c r="G375" s="33"/>
      <c r="H375" s="57"/>
      <c r="I375" s="33">
        <v>370700</v>
      </c>
      <c r="J375" s="31">
        <f>+SUM(C375:G375)-(H375+I375)</f>
        <v>3670</v>
      </c>
      <c r="K375" s="70"/>
    </row>
    <row r="376" spans="1:11">
      <c r="A376" s="130" t="s">
        <v>109</v>
      </c>
      <c r="B376" s="135" t="s">
        <v>48</v>
      </c>
      <c r="C376" s="33">
        <v>8260</v>
      </c>
      <c r="D376" s="32"/>
      <c r="E376" s="33">
        <v>357900</v>
      </c>
      <c r="F376" s="33"/>
      <c r="G376" s="33"/>
      <c r="H376" s="57">
        <v>50000</v>
      </c>
      <c r="I376" s="33">
        <v>316700</v>
      </c>
      <c r="J376" s="31">
        <f t="shared" ref="J376:J377" si="127">+SUM(C376:G376)-(H376+I376)</f>
        <v>-540</v>
      </c>
      <c r="K376" s="70"/>
    </row>
    <row r="377" spans="1:11">
      <c r="A377" s="130" t="s">
        <v>109</v>
      </c>
      <c r="B377" s="135" t="s">
        <v>31</v>
      </c>
      <c r="C377" s="33">
        <v>3795</v>
      </c>
      <c r="D377" s="32"/>
      <c r="E377" s="33">
        <v>20000</v>
      </c>
      <c r="F377" s="33"/>
      <c r="G377" s="33"/>
      <c r="H377" s="33"/>
      <c r="I377" s="33">
        <v>21400</v>
      </c>
      <c r="J377" s="107">
        <f t="shared" si="127"/>
        <v>2395</v>
      </c>
      <c r="K377" s="70"/>
    </row>
    <row r="378" spans="1:11">
      <c r="A378" s="130" t="s">
        <v>109</v>
      </c>
      <c r="B378" s="135" t="s">
        <v>78</v>
      </c>
      <c r="C378" s="33">
        <v>-83100</v>
      </c>
      <c r="D378" s="110"/>
      <c r="E378" s="33">
        <v>699200</v>
      </c>
      <c r="F378" s="33"/>
      <c r="G378" s="33"/>
      <c r="H378" s="33"/>
      <c r="I378" s="33">
        <v>520000</v>
      </c>
      <c r="J378" s="107">
        <f>+SUM(C378:G378)-(H378+I378)</f>
        <v>96100</v>
      </c>
      <c r="K378" s="70"/>
    </row>
    <row r="379" spans="1:11">
      <c r="A379" s="130" t="s">
        <v>109</v>
      </c>
      <c r="B379" s="135" t="s">
        <v>70</v>
      </c>
      <c r="C379" s="33">
        <v>1784</v>
      </c>
      <c r="D379" s="110"/>
      <c r="E379" s="33">
        <v>568600</v>
      </c>
      <c r="F379" s="33">
        <v>50000</v>
      </c>
      <c r="G379" s="33"/>
      <c r="H379" s="33">
        <v>184300</v>
      </c>
      <c r="I379" s="33">
        <v>422200</v>
      </c>
      <c r="J379" s="107">
        <f t="shared" ref="J379" si="128">+SUM(C379:G379)-(H379+I379)</f>
        <v>13884</v>
      </c>
      <c r="K379" s="70"/>
    </row>
    <row r="380" spans="1:11">
      <c r="A380" s="130" t="s">
        <v>109</v>
      </c>
      <c r="B380" s="136" t="s">
        <v>30</v>
      </c>
      <c r="C380" s="33">
        <v>88800</v>
      </c>
      <c r="D380" s="127"/>
      <c r="E380" s="53">
        <v>694600</v>
      </c>
      <c r="F380" s="53"/>
      <c r="G380" s="53"/>
      <c r="H380" s="53"/>
      <c r="I380" s="53">
        <v>711000</v>
      </c>
      <c r="J380" s="132">
        <f>+SUM(C380:G380)-(H380+I380)</f>
        <v>72400</v>
      </c>
      <c r="K380" s="70"/>
    </row>
    <row r="381" spans="1:11">
      <c r="A381" s="130" t="s">
        <v>109</v>
      </c>
      <c r="B381" s="137" t="s">
        <v>85</v>
      </c>
      <c r="C381" s="128">
        <v>233614</v>
      </c>
      <c r="D381" s="131"/>
      <c r="E381" s="146"/>
      <c r="F381" s="146"/>
      <c r="G381" s="146"/>
      <c r="H381" s="146"/>
      <c r="I381" s="146"/>
      <c r="J381" s="129">
        <f>+SUM(C381:G381)-(H381+I381)</f>
        <v>233614</v>
      </c>
      <c r="K381" s="70"/>
    </row>
    <row r="382" spans="1:11">
      <c r="A382" s="130" t="s">
        <v>109</v>
      </c>
      <c r="B382" s="137" t="s">
        <v>84</v>
      </c>
      <c r="C382" s="128">
        <v>249769</v>
      </c>
      <c r="D382" s="131"/>
      <c r="E382" s="146"/>
      <c r="F382" s="146"/>
      <c r="G382" s="146"/>
      <c r="H382" s="146"/>
      <c r="I382" s="146"/>
      <c r="J382" s="129">
        <f t="shared" ref="J382:J386" si="129">+SUM(C382:G382)-(H382+I382)</f>
        <v>249769</v>
      </c>
      <c r="K382" s="70"/>
    </row>
    <row r="383" spans="1:11">
      <c r="A383" s="130" t="s">
        <v>109</v>
      </c>
      <c r="B383" s="135" t="s">
        <v>36</v>
      </c>
      <c r="C383" s="33">
        <v>7890</v>
      </c>
      <c r="D383" s="32"/>
      <c r="E383" s="33">
        <v>135600</v>
      </c>
      <c r="F383" s="110"/>
      <c r="G383" s="110"/>
      <c r="H383" s="110"/>
      <c r="I383" s="33">
        <v>125000</v>
      </c>
      <c r="J383" s="31">
        <f t="shared" si="129"/>
        <v>18490</v>
      </c>
      <c r="K383" s="70"/>
    </row>
    <row r="384" spans="1:11">
      <c r="A384" s="130" t="s">
        <v>109</v>
      </c>
      <c r="B384" s="135" t="s">
        <v>94</v>
      </c>
      <c r="C384" s="33">
        <v>5000</v>
      </c>
      <c r="D384" s="32"/>
      <c r="E384" s="33">
        <v>30000</v>
      </c>
      <c r="F384" s="110"/>
      <c r="G384" s="110"/>
      <c r="H384" s="110"/>
      <c r="I384" s="33">
        <v>30500</v>
      </c>
      <c r="J384" s="31">
        <f t="shared" si="129"/>
        <v>4500</v>
      </c>
      <c r="K384" s="70"/>
    </row>
    <row r="385" spans="1:11">
      <c r="A385" s="130" t="s">
        <v>109</v>
      </c>
      <c r="B385" s="135" t="s">
        <v>29</v>
      </c>
      <c r="C385" s="33">
        <v>57700</v>
      </c>
      <c r="D385" s="32"/>
      <c r="E385" s="33">
        <v>639000</v>
      </c>
      <c r="F385" s="110"/>
      <c r="G385" s="110"/>
      <c r="H385" s="110"/>
      <c r="I385" s="33">
        <v>652500</v>
      </c>
      <c r="J385" s="31">
        <f t="shared" si="129"/>
        <v>44200</v>
      </c>
      <c r="K385" s="70"/>
    </row>
    <row r="386" spans="1:11">
      <c r="A386" s="130" t="s">
        <v>109</v>
      </c>
      <c r="B386" s="135" t="s">
        <v>95</v>
      </c>
      <c r="C386" s="33">
        <v>-32081</v>
      </c>
      <c r="D386" s="32"/>
      <c r="E386" s="110"/>
      <c r="F386" s="110"/>
      <c r="G386" s="110"/>
      <c r="H386" s="110"/>
      <c r="I386" s="33">
        <v>819628</v>
      </c>
      <c r="J386" s="31">
        <f t="shared" si="129"/>
        <v>-851709</v>
      </c>
      <c r="K386" s="70"/>
    </row>
    <row r="387" spans="1:11">
      <c r="A387" s="130" t="s">
        <v>109</v>
      </c>
      <c r="B387" s="135" t="s">
        <v>102</v>
      </c>
      <c r="C387" s="33">
        <v>62000</v>
      </c>
      <c r="D387" s="32"/>
      <c r="E387" s="33">
        <v>622600</v>
      </c>
      <c r="F387" s="110"/>
      <c r="G387" s="110"/>
      <c r="H387" s="110"/>
      <c r="I387" s="33">
        <v>594300</v>
      </c>
      <c r="J387" s="31">
        <f>+SUM(C387:G387)-(H387+I387)</f>
        <v>90300</v>
      </c>
      <c r="K387" s="70"/>
    </row>
    <row r="388" spans="1:11">
      <c r="A388" s="130" t="s">
        <v>109</v>
      </c>
      <c r="B388" s="136" t="s">
        <v>32</v>
      </c>
      <c r="C388" s="33">
        <v>4300</v>
      </c>
      <c r="D388" s="127"/>
      <c r="E388" s="145"/>
      <c r="F388" s="145"/>
      <c r="G388" s="147"/>
      <c r="H388" s="145"/>
      <c r="I388" s="53">
        <v>4000</v>
      </c>
      <c r="J388" s="31">
        <f t="shared" ref="J388" si="130">+SUM(C388:G388)-(H388+I388)</f>
        <v>300</v>
      </c>
      <c r="K388" s="70"/>
    </row>
    <row r="389" spans="1:11">
      <c r="A389" s="35" t="s">
        <v>61</v>
      </c>
      <c r="B389" s="36"/>
      <c r="C389" s="36"/>
      <c r="D389" s="36"/>
      <c r="E389" s="36"/>
      <c r="F389" s="36"/>
      <c r="G389" s="36"/>
      <c r="H389" s="36"/>
      <c r="I389" s="36"/>
      <c r="J389" s="37"/>
      <c r="K389" s="70"/>
    </row>
    <row r="390" spans="1:11">
      <c r="A390" s="130" t="s">
        <v>109</v>
      </c>
      <c r="B390" s="38" t="s">
        <v>62</v>
      </c>
      <c r="C390" s="39">
        <v>62150</v>
      </c>
      <c r="D390" s="51">
        <v>5500000</v>
      </c>
      <c r="E390" s="109"/>
      <c r="F390" s="109"/>
      <c r="G390" s="148"/>
      <c r="H390" s="139">
        <v>3968900</v>
      </c>
      <c r="I390" s="134">
        <v>1276534</v>
      </c>
      <c r="J390" s="46">
        <f>+SUM(C390:G390)-(H390+I390)</f>
        <v>316716</v>
      </c>
      <c r="K390" s="70"/>
    </row>
    <row r="391" spans="1:11">
      <c r="A391" s="44" t="s">
        <v>63</v>
      </c>
      <c r="B391" s="25"/>
      <c r="C391" s="36"/>
      <c r="D391" s="25"/>
      <c r="E391" s="25"/>
      <c r="F391" s="25"/>
      <c r="G391" s="25"/>
      <c r="H391" s="25"/>
      <c r="I391" s="25"/>
      <c r="J391" s="37"/>
    </row>
    <row r="392" spans="1:11">
      <c r="A392" s="130" t="s">
        <v>109</v>
      </c>
      <c r="B392" s="38" t="s">
        <v>64</v>
      </c>
      <c r="C392" s="133">
        <v>11284555</v>
      </c>
      <c r="D392" s="140"/>
      <c r="E392" s="51"/>
      <c r="F392" s="51"/>
      <c r="G392" s="51"/>
      <c r="H392" s="53">
        <v>5500000</v>
      </c>
      <c r="I392" s="55">
        <v>273881</v>
      </c>
      <c r="J392" s="46">
        <f>+SUM(C392:G392)-(H392+I392)</f>
        <v>5510674</v>
      </c>
      <c r="K392" s="70"/>
    </row>
    <row r="393" spans="1:11">
      <c r="A393" s="130" t="s">
        <v>109</v>
      </c>
      <c r="B393" s="38" t="s">
        <v>65</v>
      </c>
      <c r="C393" s="133">
        <v>2158645</v>
      </c>
      <c r="D393" s="51">
        <v>15435980</v>
      </c>
      <c r="E393" s="50"/>
      <c r="F393" s="50"/>
      <c r="G393" s="50"/>
      <c r="H393" s="33"/>
      <c r="I393" s="52">
        <v>6400961</v>
      </c>
      <c r="J393" s="46">
        <f>SUM(C393:G393)-(H393+I393)</f>
        <v>11193664</v>
      </c>
      <c r="K393" s="70"/>
    </row>
    <row r="394" spans="1:11" ht="15.75">
      <c r="C394" s="151">
        <f>SUM(C375:C393)</f>
        <v>14101751</v>
      </c>
      <c r="I394" s="149">
        <f>SUM(I375:I393)</f>
        <v>12539304</v>
      </c>
      <c r="J394" s="111">
        <f>+SUM(J375:J393)</f>
        <v>16998427</v>
      </c>
    </row>
    <row r="395" spans="1:11" ht="16.5">
      <c r="A395" s="10"/>
      <c r="B395" s="11"/>
      <c r="C395" s="12"/>
      <c r="D395" s="12"/>
      <c r="E395" s="12"/>
      <c r="F395" s="12"/>
      <c r="G395" s="12"/>
      <c r="H395" s="12"/>
      <c r="I395" s="12"/>
      <c r="J395" s="141"/>
    </row>
    <row r="396" spans="1:11" ht="16.5">
      <c r="A396" s="14"/>
      <c r="B396" s="15"/>
      <c r="C396" s="12"/>
      <c r="D396" s="12"/>
      <c r="E396" s="13"/>
      <c r="F396" s="12"/>
      <c r="G396" s="12"/>
      <c r="H396" s="12"/>
      <c r="I396" s="12"/>
    </row>
    <row r="397" spans="1:11">
      <c r="A397" s="16" t="s">
        <v>53</v>
      </c>
      <c r="B397" s="16"/>
      <c r="C397" s="16"/>
      <c r="D397" s="17"/>
      <c r="E397" s="17"/>
      <c r="F397" s="17"/>
      <c r="G397" s="17"/>
      <c r="H397" s="17"/>
      <c r="I397" s="17"/>
    </row>
    <row r="398" spans="1:11">
      <c r="A398" s="18" t="s">
        <v>107</v>
      </c>
      <c r="B398" s="18"/>
      <c r="C398" s="18"/>
      <c r="D398" s="18"/>
      <c r="E398" s="18"/>
      <c r="F398" s="18"/>
      <c r="G398" s="18"/>
      <c r="H398" s="18"/>
      <c r="I398" s="18"/>
      <c r="J398" s="17"/>
    </row>
    <row r="399" spans="1:11">
      <c r="A399" s="19"/>
      <c r="B399" s="20"/>
      <c r="C399" s="21"/>
      <c r="D399" s="21"/>
      <c r="E399" s="21"/>
      <c r="F399" s="21"/>
      <c r="G399" s="21"/>
      <c r="H399" s="20"/>
      <c r="I399" s="20"/>
      <c r="J399" s="18"/>
    </row>
    <row r="400" spans="1:11">
      <c r="A400" s="354" t="s">
        <v>54</v>
      </c>
      <c r="B400" s="356" t="s">
        <v>55</v>
      </c>
      <c r="C400" s="358" t="s">
        <v>105</v>
      </c>
      <c r="D400" s="360" t="s">
        <v>56</v>
      </c>
      <c r="E400" s="361"/>
      <c r="F400" s="361"/>
      <c r="G400" s="362"/>
      <c r="H400" s="363" t="s">
        <v>57</v>
      </c>
      <c r="I400" s="365" t="s">
        <v>58</v>
      </c>
      <c r="J400" s="20"/>
    </row>
    <row r="401" spans="1:11">
      <c r="A401" s="355"/>
      <c r="B401" s="357"/>
      <c r="C401" s="359"/>
      <c r="D401" s="22" t="s">
        <v>24</v>
      </c>
      <c r="E401" s="22" t="s">
        <v>25</v>
      </c>
      <c r="F401" s="142" t="s">
        <v>108</v>
      </c>
      <c r="G401" s="22" t="s">
        <v>59</v>
      </c>
      <c r="H401" s="364"/>
      <c r="I401" s="366"/>
      <c r="J401" s="367" t="s">
        <v>106</v>
      </c>
    </row>
    <row r="402" spans="1:11">
      <c r="A402" s="24"/>
      <c r="B402" s="25" t="s">
        <v>60</v>
      </c>
      <c r="C402" s="26"/>
      <c r="D402" s="26"/>
      <c r="E402" s="26"/>
      <c r="F402" s="26"/>
      <c r="G402" s="26"/>
      <c r="H402" s="26"/>
      <c r="I402" s="27"/>
      <c r="J402" s="368"/>
    </row>
    <row r="403" spans="1:11">
      <c r="A403" s="130" t="s">
        <v>104</v>
      </c>
      <c r="B403" s="135" t="s">
        <v>77</v>
      </c>
      <c r="C403" s="33">
        <v>22200</v>
      </c>
      <c r="D403" s="32"/>
      <c r="E403" s="33">
        <v>439970</v>
      </c>
      <c r="F403" s="110"/>
      <c r="G403" s="110"/>
      <c r="H403" s="144"/>
      <c r="I403" s="33">
        <v>473500</v>
      </c>
      <c r="J403" s="31">
        <f>+SUM(C403:G403)-(H403+I403)</f>
        <v>-11330</v>
      </c>
      <c r="K403" s="70"/>
    </row>
    <row r="404" spans="1:11">
      <c r="A404" s="130" t="s">
        <v>104</v>
      </c>
      <c r="B404" s="135" t="s">
        <v>48</v>
      </c>
      <c r="C404" s="33">
        <v>3060</v>
      </c>
      <c r="D404" s="32"/>
      <c r="E404" s="33">
        <v>157200</v>
      </c>
      <c r="F404" s="33"/>
      <c r="G404" s="33"/>
      <c r="H404" s="57"/>
      <c r="I404" s="33">
        <v>152000</v>
      </c>
      <c r="J404" s="31">
        <f t="shared" ref="J404:J405" si="131">+SUM(C404:G404)-(H404+I404)</f>
        <v>8260</v>
      </c>
      <c r="K404" s="70"/>
    </row>
    <row r="405" spans="1:11">
      <c r="A405" s="130" t="s">
        <v>104</v>
      </c>
      <c r="B405" s="135" t="s">
        <v>31</v>
      </c>
      <c r="C405" s="33">
        <v>3795</v>
      </c>
      <c r="D405" s="32"/>
      <c r="E405" s="33">
        <v>45000</v>
      </c>
      <c r="F405" s="33"/>
      <c r="G405" s="33"/>
      <c r="H405" s="33"/>
      <c r="I405" s="33">
        <v>45000</v>
      </c>
      <c r="J405" s="107">
        <f t="shared" si="131"/>
        <v>3795</v>
      </c>
      <c r="K405" s="70"/>
    </row>
    <row r="406" spans="1:11">
      <c r="A406" s="130" t="s">
        <v>104</v>
      </c>
      <c r="B406" s="135" t="s">
        <v>78</v>
      </c>
      <c r="C406" s="33">
        <v>2300</v>
      </c>
      <c r="D406" s="110"/>
      <c r="E406" s="33">
        <v>266600</v>
      </c>
      <c r="F406" s="33">
        <v>159900</v>
      </c>
      <c r="G406" s="33"/>
      <c r="H406" s="33">
        <v>25000</v>
      </c>
      <c r="I406" s="33">
        <v>486900</v>
      </c>
      <c r="J406" s="107">
        <f>+SUM(C406:G406)-(H406+I406)</f>
        <v>-83100</v>
      </c>
      <c r="K406" s="70"/>
    </row>
    <row r="407" spans="1:11">
      <c r="A407" s="130" t="s">
        <v>104</v>
      </c>
      <c r="B407" s="135" t="s">
        <v>70</v>
      </c>
      <c r="C407" s="33">
        <v>-14216</v>
      </c>
      <c r="D407" s="110"/>
      <c r="E407" s="33">
        <v>622600</v>
      </c>
      <c r="F407" s="33">
        <v>25000</v>
      </c>
      <c r="G407" s="33"/>
      <c r="H407" s="33">
        <v>260700</v>
      </c>
      <c r="I407" s="33">
        <v>370900</v>
      </c>
      <c r="J407" s="107">
        <f>+SUM(C407:G407)-(H407+I407)</f>
        <v>1784</v>
      </c>
      <c r="K407" s="70"/>
    </row>
    <row r="408" spans="1:11">
      <c r="A408" s="130" t="s">
        <v>104</v>
      </c>
      <c r="B408" s="136" t="s">
        <v>30</v>
      </c>
      <c r="C408" s="53">
        <v>143300</v>
      </c>
      <c r="D408" s="127"/>
      <c r="E408" s="53">
        <v>466500</v>
      </c>
      <c r="F408" s="145"/>
      <c r="G408" s="145"/>
      <c r="H408" s="145"/>
      <c r="I408" s="53">
        <v>521000</v>
      </c>
      <c r="J408" s="132">
        <f>+SUM(C408:G408)-(H408+I408)</f>
        <v>88800</v>
      </c>
      <c r="K408" s="70"/>
    </row>
    <row r="409" spans="1:11">
      <c r="A409" s="130" t="s">
        <v>104</v>
      </c>
      <c r="B409" s="137" t="s">
        <v>85</v>
      </c>
      <c r="C409" s="128">
        <v>233614</v>
      </c>
      <c r="D409" s="131"/>
      <c r="E409" s="146"/>
      <c r="F409" s="146"/>
      <c r="G409" s="146"/>
      <c r="H409" s="146"/>
      <c r="I409" s="146"/>
      <c r="J409" s="129">
        <f>+SUM(C409:G409)-(H409+I409)</f>
        <v>233614</v>
      </c>
      <c r="K409" s="70"/>
    </row>
    <row r="410" spans="1:11">
      <c r="A410" s="130" t="s">
        <v>104</v>
      </c>
      <c r="B410" s="137" t="s">
        <v>84</v>
      </c>
      <c r="C410" s="128">
        <v>249768</v>
      </c>
      <c r="D410" s="131"/>
      <c r="E410" s="146"/>
      <c r="F410" s="146"/>
      <c r="G410" s="146"/>
      <c r="H410" s="146"/>
      <c r="I410" s="146"/>
      <c r="J410" s="129">
        <f t="shared" ref="J410:J416" si="132">+SUM(C410:G410)-(H410+I410)</f>
        <v>249768</v>
      </c>
      <c r="K410" s="70"/>
    </row>
    <row r="411" spans="1:11">
      <c r="A411" s="130" t="s">
        <v>104</v>
      </c>
      <c r="B411" s="135" t="s">
        <v>36</v>
      </c>
      <c r="C411" s="33">
        <v>55090</v>
      </c>
      <c r="D411" s="32"/>
      <c r="E411" s="33">
        <v>143000</v>
      </c>
      <c r="F411" s="33">
        <v>70800</v>
      </c>
      <c r="G411" s="110"/>
      <c r="H411" s="110"/>
      <c r="I411" s="33">
        <v>261000</v>
      </c>
      <c r="J411" s="31">
        <f t="shared" si="132"/>
        <v>7890</v>
      </c>
      <c r="K411" s="70"/>
    </row>
    <row r="412" spans="1:11">
      <c r="A412" s="130" t="s">
        <v>104</v>
      </c>
      <c r="B412" s="135" t="s">
        <v>94</v>
      </c>
      <c r="C412" s="33">
        <v>0</v>
      </c>
      <c r="D412" s="32"/>
      <c r="E412" s="33">
        <v>30000</v>
      </c>
      <c r="F412" s="110"/>
      <c r="G412" s="110"/>
      <c r="H412" s="110"/>
      <c r="I412" s="33">
        <v>25000</v>
      </c>
      <c r="J412" s="31">
        <f t="shared" si="132"/>
        <v>5000</v>
      </c>
      <c r="K412" s="70"/>
    </row>
    <row r="413" spans="1:11">
      <c r="A413" s="130" t="s">
        <v>104</v>
      </c>
      <c r="B413" s="135" t="s">
        <v>29</v>
      </c>
      <c r="C413" s="33">
        <v>110700</v>
      </c>
      <c r="D413" s="32"/>
      <c r="E413" s="33">
        <v>375000</v>
      </c>
      <c r="F413" s="33">
        <v>30000</v>
      </c>
      <c r="G413" s="110"/>
      <c r="H413" s="110"/>
      <c r="I413" s="33">
        <v>458000</v>
      </c>
      <c r="J413" s="31">
        <f t="shared" si="132"/>
        <v>57700</v>
      </c>
      <c r="K413" s="70"/>
    </row>
    <row r="414" spans="1:11">
      <c r="A414" s="130" t="s">
        <v>104</v>
      </c>
      <c r="B414" s="135" t="s">
        <v>95</v>
      </c>
      <c r="C414" s="33">
        <v>-32081</v>
      </c>
      <c r="D414" s="32"/>
      <c r="E414" s="110">
        <v>0</v>
      </c>
      <c r="F414" s="110"/>
      <c r="G414" s="110"/>
      <c r="H414" s="110"/>
      <c r="I414" s="110">
        <v>0</v>
      </c>
      <c r="J414" s="31">
        <f t="shared" si="132"/>
        <v>-32081</v>
      </c>
      <c r="K414" s="70"/>
    </row>
    <row r="415" spans="1:11">
      <c r="A415" s="130" t="s">
        <v>104</v>
      </c>
      <c r="B415" s="135" t="s">
        <v>102</v>
      </c>
      <c r="C415" s="33">
        <v>0</v>
      </c>
      <c r="D415" s="32"/>
      <c r="E415" s="33">
        <v>82000</v>
      </c>
      <c r="F415" s="110"/>
      <c r="G415" s="110"/>
      <c r="H415" s="110"/>
      <c r="I415" s="33">
        <v>20000</v>
      </c>
      <c r="J415" s="31">
        <f>+SUM(C415:G415)-(H415+I415)</f>
        <v>62000</v>
      </c>
      <c r="K415" s="70"/>
    </row>
    <row r="416" spans="1:11">
      <c r="A416" s="130" t="s">
        <v>104</v>
      </c>
      <c r="B416" s="136" t="s">
        <v>32</v>
      </c>
      <c r="C416" s="53">
        <v>7300</v>
      </c>
      <c r="D416" s="127"/>
      <c r="E416" s="145"/>
      <c r="F416" s="145"/>
      <c r="G416" s="147"/>
      <c r="H416" s="145"/>
      <c r="I416" s="53">
        <v>3000</v>
      </c>
      <c r="J416" s="31">
        <f t="shared" si="132"/>
        <v>4300</v>
      </c>
      <c r="K416" s="70"/>
    </row>
    <row r="417" spans="1:11">
      <c r="A417" s="35" t="s">
        <v>61</v>
      </c>
      <c r="B417" s="36"/>
      <c r="C417" s="36"/>
      <c r="D417" s="36"/>
      <c r="E417" s="36"/>
      <c r="F417" s="36"/>
      <c r="G417" s="36"/>
      <c r="H417" s="36"/>
      <c r="I417" s="36"/>
      <c r="J417" s="37"/>
      <c r="K417" s="70"/>
    </row>
    <row r="418" spans="1:11">
      <c r="A418" s="130" t="s">
        <v>104</v>
      </c>
      <c r="B418" s="38" t="s">
        <v>62</v>
      </c>
      <c r="C418" s="39">
        <v>817769</v>
      </c>
      <c r="D418" s="51">
        <v>3000000</v>
      </c>
      <c r="E418" s="109"/>
      <c r="F418" s="109"/>
      <c r="G418" s="148"/>
      <c r="H418" s="139">
        <v>2627870</v>
      </c>
      <c r="I418" s="134">
        <v>1127749</v>
      </c>
      <c r="J418" s="46">
        <f>+SUM(C418:G418)-(H418+I418)</f>
        <v>62150</v>
      </c>
      <c r="K418" s="70"/>
    </row>
    <row r="419" spans="1:11">
      <c r="A419" s="44" t="s">
        <v>63</v>
      </c>
      <c r="B419" s="25"/>
      <c r="C419" s="36"/>
      <c r="D419" s="25"/>
      <c r="E419" s="25"/>
      <c r="F419" s="25"/>
      <c r="G419" s="25"/>
      <c r="H419" s="25"/>
      <c r="I419" s="25"/>
      <c r="J419" s="37"/>
    </row>
    <row r="420" spans="1:11">
      <c r="A420" s="130" t="s">
        <v>104</v>
      </c>
      <c r="B420" s="38" t="s">
        <v>64</v>
      </c>
      <c r="C420" s="133">
        <v>14712920</v>
      </c>
      <c r="D420" s="140"/>
      <c r="E420" s="51"/>
      <c r="F420" s="51"/>
      <c r="G420" s="51"/>
      <c r="H420" s="53">
        <v>3000000</v>
      </c>
      <c r="I420" s="55">
        <v>428365</v>
      </c>
      <c r="J420" s="46">
        <f>+SUM(C420:G420)-(H420+I420)</f>
        <v>11284555</v>
      </c>
      <c r="K420" s="70"/>
    </row>
    <row r="421" spans="1:11">
      <c r="A421" s="130" t="s">
        <v>104</v>
      </c>
      <c r="B421" s="38" t="s">
        <v>65</v>
      </c>
      <c r="C421" s="133">
        <v>8361083</v>
      </c>
      <c r="D421" s="51"/>
      <c r="E421" s="50"/>
      <c r="F421" s="50"/>
      <c r="G421" s="50"/>
      <c r="H421" s="33"/>
      <c r="I421" s="52">
        <v>6202438</v>
      </c>
      <c r="J421" s="46">
        <f>SUM(C421:G421)-(H421+I421)</f>
        <v>2158645</v>
      </c>
      <c r="K421" s="70"/>
    </row>
    <row r="422" spans="1:11" ht="15.75">
      <c r="C422" s="9"/>
      <c r="I422" s="149">
        <f>SUM(I403:I421)</f>
        <v>10574852</v>
      </c>
      <c r="J422" s="111">
        <f>+SUM(J403:J421)</f>
        <v>14101750</v>
      </c>
      <c r="K422" s="9">
        <f>J422-C394</f>
        <v>-1</v>
      </c>
    </row>
    <row r="423" spans="1:11" ht="16.5">
      <c r="A423" s="10"/>
      <c r="B423" s="11"/>
      <c r="C423" s="12"/>
      <c r="D423" s="12"/>
      <c r="E423" s="12"/>
      <c r="F423" s="12"/>
      <c r="G423" s="12"/>
      <c r="H423" s="12"/>
      <c r="I423" s="12"/>
      <c r="J423" s="141"/>
    </row>
    <row r="424" spans="1:11">
      <c r="A424" s="16" t="s">
        <v>53</v>
      </c>
      <c r="B424" s="16"/>
      <c r="C424" s="16"/>
      <c r="D424" s="17"/>
      <c r="E424" s="17"/>
      <c r="F424" s="17"/>
      <c r="G424" s="17"/>
      <c r="H424" s="17"/>
      <c r="I424" s="17"/>
    </row>
    <row r="425" spans="1:11">
      <c r="A425" s="18" t="s">
        <v>96</v>
      </c>
      <c r="B425" s="18"/>
      <c r="C425" s="18"/>
      <c r="D425" s="18"/>
      <c r="E425" s="18"/>
      <c r="F425" s="18"/>
      <c r="G425" s="18"/>
      <c r="H425" s="18"/>
      <c r="I425" s="18"/>
      <c r="J425" s="17"/>
    </row>
    <row r="426" spans="1:11">
      <c r="A426" s="19"/>
      <c r="B426" s="20"/>
      <c r="C426" s="21"/>
      <c r="D426" s="21"/>
      <c r="E426" s="21"/>
      <c r="F426" s="21"/>
      <c r="G426" s="21"/>
      <c r="H426" s="20"/>
      <c r="I426" s="20"/>
      <c r="J426" s="18"/>
    </row>
    <row r="427" spans="1:11" ht="15" customHeight="1">
      <c r="A427" s="354" t="s">
        <v>54</v>
      </c>
      <c r="B427" s="356" t="s">
        <v>55</v>
      </c>
      <c r="C427" s="358" t="s">
        <v>97</v>
      </c>
      <c r="D427" s="360" t="s">
        <v>56</v>
      </c>
      <c r="E427" s="361"/>
      <c r="F427" s="361"/>
      <c r="G427" s="362"/>
      <c r="H427" s="363" t="s">
        <v>57</v>
      </c>
      <c r="I427" s="365" t="s">
        <v>58</v>
      </c>
      <c r="J427" s="20"/>
    </row>
    <row r="428" spans="1:11" ht="15" customHeight="1">
      <c r="A428" s="355"/>
      <c r="B428" s="357"/>
      <c r="C428" s="359"/>
      <c r="D428" s="22" t="s">
        <v>24</v>
      </c>
      <c r="E428" s="22" t="s">
        <v>25</v>
      </c>
      <c r="F428" s="122" t="s">
        <v>100</v>
      </c>
      <c r="G428" s="22" t="s">
        <v>59</v>
      </c>
      <c r="H428" s="364"/>
      <c r="I428" s="366"/>
      <c r="J428" s="367" t="s">
        <v>98</v>
      </c>
    </row>
    <row r="429" spans="1:11">
      <c r="A429" s="24"/>
      <c r="B429" s="25" t="s">
        <v>60</v>
      </c>
      <c r="C429" s="26"/>
      <c r="D429" s="26"/>
      <c r="E429" s="26"/>
      <c r="F429" s="26"/>
      <c r="G429" s="26"/>
      <c r="H429" s="26"/>
      <c r="I429" s="27"/>
      <c r="J429" s="368"/>
    </row>
    <row r="430" spans="1:11">
      <c r="A430" s="130" t="s">
        <v>99</v>
      </c>
      <c r="B430" s="135" t="s">
        <v>77</v>
      </c>
      <c r="C430" s="33">
        <v>-10750</v>
      </c>
      <c r="D430" s="32"/>
      <c r="E430" s="32">
        <v>170625</v>
      </c>
      <c r="F430" s="32">
        <v>301700</v>
      </c>
      <c r="G430" s="32"/>
      <c r="H430" s="57">
        <v>27000</v>
      </c>
      <c r="I430" s="33">
        <v>412375</v>
      </c>
      <c r="J430" s="31">
        <f>+SUM(C430:G430)-(H430+I430)</f>
        <v>22200</v>
      </c>
      <c r="K430" s="70"/>
    </row>
    <row r="431" spans="1:11">
      <c r="A431" s="130" t="s">
        <v>99</v>
      </c>
      <c r="B431" s="135" t="s">
        <v>48</v>
      </c>
      <c r="C431" s="33">
        <v>9060</v>
      </c>
      <c r="D431" s="32"/>
      <c r="E431" s="32">
        <v>0</v>
      </c>
      <c r="F431" s="32"/>
      <c r="G431" s="32"/>
      <c r="H431" s="57"/>
      <c r="I431" s="33">
        <v>6000</v>
      </c>
      <c r="J431" s="31">
        <f t="shared" ref="J431:J432" si="133">+SUM(C431:G431)-(H431+I431)</f>
        <v>3060</v>
      </c>
      <c r="K431" s="70"/>
    </row>
    <row r="432" spans="1:11">
      <c r="A432" s="130" t="s">
        <v>99</v>
      </c>
      <c r="B432" s="135" t="s">
        <v>31</v>
      </c>
      <c r="C432" s="33">
        <v>1195</v>
      </c>
      <c r="D432" s="32"/>
      <c r="E432" s="32">
        <v>75000</v>
      </c>
      <c r="F432" s="33"/>
      <c r="G432" s="33"/>
      <c r="H432" s="33"/>
      <c r="I432" s="33">
        <v>72400</v>
      </c>
      <c r="J432" s="107">
        <f t="shared" si="133"/>
        <v>3795</v>
      </c>
      <c r="K432" s="70"/>
    </row>
    <row r="433" spans="1:11">
      <c r="A433" s="130" t="s">
        <v>99</v>
      </c>
      <c r="B433" s="135" t="s">
        <v>78</v>
      </c>
      <c r="C433" s="33">
        <v>-8600</v>
      </c>
      <c r="D433" s="110"/>
      <c r="E433" s="32">
        <v>596900</v>
      </c>
      <c r="F433" s="33"/>
      <c r="G433" s="33"/>
      <c r="H433" s="33"/>
      <c r="I433" s="33">
        <v>586000</v>
      </c>
      <c r="J433" s="107">
        <f>+SUM(C433:G433)-(H433+I433)</f>
        <v>2300</v>
      </c>
      <c r="K433" s="70"/>
    </row>
    <row r="434" spans="1:11">
      <c r="A434" s="130" t="s">
        <v>99</v>
      </c>
      <c r="B434" s="135" t="s">
        <v>70</v>
      </c>
      <c r="C434" s="33">
        <v>8884</v>
      </c>
      <c r="D434" s="110"/>
      <c r="E434" s="32">
        <v>618600</v>
      </c>
      <c r="F434" s="33">
        <v>27000</v>
      </c>
      <c r="G434" s="33"/>
      <c r="H434" s="33">
        <v>301700</v>
      </c>
      <c r="I434" s="33">
        <v>367000</v>
      </c>
      <c r="J434" s="107">
        <f t="shared" ref="J434" si="134">+SUM(C434:G434)-(H434+I434)</f>
        <v>-14216</v>
      </c>
      <c r="K434" s="70"/>
    </row>
    <row r="435" spans="1:11">
      <c r="A435" s="127" t="s">
        <v>99</v>
      </c>
      <c r="B435" s="136" t="s">
        <v>30</v>
      </c>
      <c r="C435" s="53">
        <v>191600</v>
      </c>
      <c r="D435" s="127"/>
      <c r="E435" s="127">
        <v>777000</v>
      </c>
      <c r="F435" s="53"/>
      <c r="G435" s="53"/>
      <c r="H435" s="53"/>
      <c r="I435" s="53">
        <v>825300</v>
      </c>
      <c r="J435" s="132">
        <f>+SUM(C435:G435)-(H435+I435)</f>
        <v>143300</v>
      </c>
      <c r="K435" s="70"/>
    </row>
    <row r="436" spans="1:11">
      <c r="A436" s="131" t="s">
        <v>99</v>
      </c>
      <c r="B436" s="137" t="s">
        <v>85</v>
      </c>
      <c r="C436" s="128">
        <v>233614</v>
      </c>
      <c r="D436" s="131"/>
      <c r="E436" s="131"/>
      <c r="F436" s="131"/>
      <c r="G436" s="131"/>
      <c r="H436" s="128"/>
      <c r="I436" s="128"/>
      <c r="J436" s="129">
        <f>+SUM(C436:G436)-(H436+I436)</f>
        <v>233614</v>
      </c>
      <c r="K436" s="70"/>
    </row>
    <row r="437" spans="1:11">
      <c r="A437" s="131" t="s">
        <v>99</v>
      </c>
      <c r="B437" s="137" t="s">
        <v>84</v>
      </c>
      <c r="C437" s="128">
        <v>249769</v>
      </c>
      <c r="D437" s="131"/>
      <c r="E437" s="131"/>
      <c r="F437" s="131"/>
      <c r="G437" s="131"/>
      <c r="H437" s="128"/>
      <c r="I437" s="128"/>
      <c r="J437" s="129">
        <f t="shared" ref="J437:J442" si="135">+SUM(C437:G437)-(H437+I437)</f>
        <v>249769</v>
      </c>
      <c r="K437" s="70"/>
    </row>
    <row r="438" spans="1:11">
      <c r="A438" s="130" t="s">
        <v>99</v>
      </c>
      <c r="B438" s="135" t="s">
        <v>36</v>
      </c>
      <c r="C438" s="33">
        <v>-3510</v>
      </c>
      <c r="D438" s="32"/>
      <c r="E438" s="32">
        <v>240100</v>
      </c>
      <c r="F438" s="32"/>
      <c r="G438" s="32"/>
      <c r="H438" s="33"/>
      <c r="I438" s="33">
        <v>181500</v>
      </c>
      <c r="J438" s="31">
        <f t="shared" si="135"/>
        <v>55090</v>
      </c>
      <c r="K438" s="70"/>
    </row>
    <row r="439" spans="1:11">
      <c r="A439" s="130" t="s">
        <v>99</v>
      </c>
      <c r="B439" s="135" t="s">
        <v>94</v>
      </c>
      <c r="C439" s="33">
        <v>0</v>
      </c>
      <c r="D439" s="32"/>
      <c r="E439" s="32">
        <v>5000</v>
      </c>
      <c r="F439" s="32"/>
      <c r="G439" s="32"/>
      <c r="H439" s="33"/>
      <c r="I439" s="33">
        <v>5000</v>
      </c>
      <c r="J439" s="31">
        <f t="shared" si="135"/>
        <v>0</v>
      </c>
      <c r="K439" s="70"/>
    </row>
    <row r="440" spans="1:11">
      <c r="A440" s="130" t="s">
        <v>99</v>
      </c>
      <c r="B440" s="135" t="s">
        <v>29</v>
      </c>
      <c r="C440" s="33">
        <v>111200</v>
      </c>
      <c r="D440" s="32"/>
      <c r="E440" s="32">
        <v>704000</v>
      </c>
      <c r="F440" s="32"/>
      <c r="G440" s="32"/>
      <c r="H440" s="33"/>
      <c r="I440" s="33">
        <v>704500</v>
      </c>
      <c r="J440" s="31">
        <f t="shared" si="135"/>
        <v>110700</v>
      </c>
      <c r="K440" s="70"/>
    </row>
    <row r="441" spans="1:11">
      <c r="A441" s="130" t="s">
        <v>99</v>
      </c>
      <c r="B441" s="135" t="s">
        <v>95</v>
      </c>
      <c r="C441" s="33">
        <v>-32081</v>
      </c>
      <c r="D441" s="32"/>
      <c r="E441" s="32">
        <v>0</v>
      </c>
      <c r="F441" s="32"/>
      <c r="G441" s="32"/>
      <c r="H441" s="33"/>
      <c r="I441" s="33">
        <v>0</v>
      </c>
      <c r="J441" s="31">
        <f t="shared" si="135"/>
        <v>-32081</v>
      </c>
      <c r="K441" s="70"/>
    </row>
    <row r="442" spans="1:11">
      <c r="A442" s="130" t="s">
        <v>99</v>
      </c>
      <c r="B442" s="136" t="s">
        <v>32</v>
      </c>
      <c r="C442" s="53">
        <v>5300</v>
      </c>
      <c r="D442" s="127"/>
      <c r="E442" s="127">
        <v>10000</v>
      </c>
      <c r="F442" s="127"/>
      <c r="G442" s="138"/>
      <c r="H442" s="53"/>
      <c r="I442" s="53">
        <v>8000</v>
      </c>
      <c r="J442" s="31">
        <f t="shared" si="135"/>
        <v>7300</v>
      </c>
      <c r="K442" s="70"/>
    </row>
    <row r="443" spans="1:11">
      <c r="A443" s="35" t="s">
        <v>61</v>
      </c>
      <c r="B443" s="36"/>
      <c r="C443" s="36"/>
      <c r="D443" s="36"/>
      <c r="E443" s="36"/>
      <c r="F443" s="36"/>
      <c r="G443" s="36"/>
      <c r="H443" s="36"/>
      <c r="I443" s="36"/>
      <c r="J443" s="37"/>
      <c r="K443" s="70"/>
    </row>
    <row r="444" spans="1:11">
      <c r="A444" s="28" t="s">
        <v>99</v>
      </c>
      <c r="B444" s="38" t="s">
        <v>62</v>
      </c>
      <c r="C444" s="39">
        <v>733034</v>
      </c>
      <c r="D444" s="40">
        <v>4293000</v>
      </c>
      <c r="E444" s="40"/>
      <c r="F444" s="40"/>
      <c r="G444" s="133"/>
      <c r="H444" s="139">
        <v>3197225</v>
      </c>
      <c r="I444" s="134">
        <v>1011040</v>
      </c>
      <c r="J444" s="46">
        <f>+SUM(C444:G444)-(H444+I444)</f>
        <v>817769</v>
      </c>
      <c r="K444" s="70"/>
    </row>
    <row r="445" spans="1:11">
      <c r="A445" s="44" t="s">
        <v>63</v>
      </c>
      <c r="B445" s="25"/>
      <c r="C445" s="36"/>
      <c r="D445" s="25"/>
      <c r="E445" s="25"/>
      <c r="F445" s="25"/>
      <c r="G445" s="25"/>
      <c r="H445" s="25"/>
      <c r="I445" s="25"/>
      <c r="J445" s="37"/>
    </row>
    <row r="446" spans="1:11">
      <c r="A446" s="28" t="s">
        <v>99</v>
      </c>
      <c r="B446" s="38" t="s">
        <v>64</v>
      </c>
      <c r="C446" s="133">
        <v>19184971</v>
      </c>
      <c r="D446" s="140"/>
      <c r="E446" s="51"/>
      <c r="F446" s="51"/>
      <c r="G446" s="51"/>
      <c r="H446" s="53">
        <v>4000000</v>
      </c>
      <c r="I446" s="55">
        <v>472051</v>
      </c>
      <c r="J446" s="46">
        <f>+SUM(C446:G446)-(H446+I446)</f>
        <v>14712920</v>
      </c>
      <c r="K446" s="70"/>
    </row>
    <row r="447" spans="1:11">
      <c r="A447" s="28" t="s">
        <v>99</v>
      </c>
      <c r="B447" s="38" t="s">
        <v>65</v>
      </c>
      <c r="C447" s="133">
        <v>14419055</v>
      </c>
      <c r="D447" s="51"/>
      <c r="E447" s="50"/>
      <c r="F447" s="50"/>
      <c r="G447" s="50"/>
      <c r="H447" s="33">
        <v>293000</v>
      </c>
      <c r="I447" s="52">
        <v>5764972</v>
      </c>
      <c r="J447" s="46">
        <f>SUM(C447:G447)-(H447+I447)</f>
        <v>8361083</v>
      </c>
      <c r="K447" s="70"/>
    </row>
    <row r="448" spans="1:11" ht="15.75">
      <c r="C448" s="9"/>
      <c r="I448" s="9"/>
      <c r="J448" s="111">
        <f>+SUM(J430:J447)</f>
        <v>24676603</v>
      </c>
    </row>
    <row r="449" spans="1:10" ht="16.5">
      <c r="A449" s="10"/>
      <c r="B449" s="11"/>
      <c r="C449" s="12"/>
      <c r="D449" s="12"/>
      <c r="E449" s="12"/>
      <c r="F449" s="12"/>
      <c r="G449" s="12"/>
      <c r="H449" s="12"/>
      <c r="I449" s="12"/>
      <c r="J449" s="141"/>
    </row>
    <row r="450" spans="1:10">
      <c r="A450" s="16" t="s">
        <v>53</v>
      </c>
      <c r="B450" s="16"/>
      <c r="C450" s="16"/>
      <c r="D450" s="17"/>
      <c r="E450" s="17"/>
      <c r="F450" s="17"/>
      <c r="G450" s="17"/>
      <c r="H450" s="17"/>
      <c r="I450" s="17"/>
    </row>
    <row r="451" spans="1:10">
      <c r="A451" s="18" t="s">
        <v>88</v>
      </c>
      <c r="B451" s="18"/>
      <c r="C451" s="18"/>
      <c r="D451" s="18"/>
      <c r="E451" s="18"/>
      <c r="F451" s="18"/>
      <c r="G451" s="18"/>
      <c r="H451" s="18"/>
      <c r="I451" s="18"/>
      <c r="J451" s="17"/>
    </row>
    <row r="452" spans="1:10" ht="15" customHeight="1">
      <c r="A452" s="19"/>
      <c r="B452" s="20"/>
      <c r="C452" s="21"/>
      <c r="D452" s="21"/>
      <c r="E452" s="21"/>
      <c r="F452" s="21"/>
      <c r="G452" s="21"/>
      <c r="H452" s="20"/>
      <c r="I452" s="20"/>
      <c r="J452" s="18"/>
    </row>
    <row r="453" spans="1:10" ht="15" customHeight="1">
      <c r="A453" s="354" t="s">
        <v>54</v>
      </c>
      <c r="B453" s="356" t="s">
        <v>55</v>
      </c>
      <c r="C453" s="358" t="s">
        <v>89</v>
      </c>
      <c r="D453" s="360" t="s">
        <v>56</v>
      </c>
      <c r="E453" s="361"/>
      <c r="F453" s="361"/>
      <c r="G453" s="362"/>
      <c r="H453" s="363" t="s">
        <v>57</v>
      </c>
      <c r="I453" s="365" t="s">
        <v>58</v>
      </c>
      <c r="J453" s="20"/>
    </row>
    <row r="454" spans="1:10" ht="15" customHeight="1">
      <c r="A454" s="355"/>
      <c r="B454" s="357"/>
      <c r="C454" s="359"/>
      <c r="D454" s="22" t="s">
        <v>24</v>
      </c>
      <c r="E454" s="22" t="s">
        <v>25</v>
      </c>
      <c r="F454" s="112" t="s">
        <v>92</v>
      </c>
      <c r="G454" s="22" t="s">
        <v>59</v>
      </c>
      <c r="H454" s="364"/>
      <c r="I454" s="366"/>
      <c r="J454" s="367" t="s">
        <v>90</v>
      </c>
    </row>
    <row r="455" spans="1:10">
      <c r="A455" s="24"/>
      <c r="B455" s="25" t="s">
        <v>60</v>
      </c>
      <c r="C455" s="26"/>
      <c r="D455" s="26"/>
      <c r="E455" s="26"/>
      <c r="F455" s="26"/>
      <c r="G455" s="26"/>
      <c r="H455" s="26"/>
      <c r="I455" s="27"/>
      <c r="J455" s="368"/>
    </row>
    <row r="456" spans="1:10" ht="16.5">
      <c r="A456" s="28" t="s">
        <v>91</v>
      </c>
      <c r="B456" s="8" t="s">
        <v>77</v>
      </c>
      <c r="C456" s="29" t="e">
        <f>+#REF!</f>
        <v>#REF!</v>
      </c>
      <c r="D456" s="30"/>
      <c r="E456" s="30">
        <v>271100</v>
      </c>
      <c r="F456" s="30">
        <f>112800+126500</f>
        <v>239300</v>
      </c>
      <c r="G456" s="30"/>
      <c r="H456" s="57"/>
      <c r="I456" s="34">
        <v>521950</v>
      </c>
      <c r="J456" s="31" t="e">
        <f>+SUM(C456:G456)-(H456+I456)</f>
        <v>#REF!</v>
      </c>
    </row>
    <row r="457" spans="1:10" ht="16.5">
      <c r="A457" s="28" t="s">
        <v>91</v>
      </c>
      <c r="B457" s="8" t="s">
        <v>48</v>
      </c>
      <c r="C457" s="29" t="e">
        <f>+C221</f>
        <v>#REF!</v>
      </c>
      <c r="D457" s="30"/>
      <c r="E457" s="30">
        <v>625000</v>
      </c>
      <c r="F457" s="30"/>
      <c r="G457" s="30"/>
      <c r="H457" s="57">
        <v>247500</v>
      </c>
      <c r="I457" s="34">
        <v>371500</v>
      </c>
      <c r="J457" s="31" t="e">
        <f t="shared" ref="J457:J458" si="136">+SUM(C457:G457)-(H457+I457)</f>
        <v>#REF!</v>
      </c>
    </row>
    <row r="458" spans="1:10" ht="16.5">
      <c r="A458" s="28" t="s">
        <v>91</v>
      </c>
      <c r="B458" s="8" t="s">
        <v>31</v>
      </c>
      <c r="C458" s="29" t="e">
        <f>+C222</f>
        <v>#REF!</v>
      </c>
      <c r="D458" s="30"/>
      <c r="E458" s="30">
        <v>60000</v>
      </c>
      <c r="F458" s="106"/>
      <c r="G458" s="106"/>
      <c r="H458" s="33"/>
      <c r="I458" s="56">
        <v>67200</v>
      </c>
      <c r="J458" s="107" t="e">
        <f t="shared" si="136"/>
        <v>#REF!</v>
      </c>
    </row>
    <row r="459" spans="1:10" ht="15.75" customHeight="1">
      <c r="A459" s="28" t="s">
        <v>91</v>
      </c>
      <c r="B459" s="8" t="s">
        <v>78</v>
      </c>
      <c r="C459" s="29" t="e">
        <f>+C223</f>
        <v>#REF!</v>
      </c>
      <c r="D459" s="58"/>
      <c r="E459" s="30">
        <v>140000</v>
      </c>
      <c r="F459" s="106">
        <v>270500</v>
      </c>
      <c r="G459" s="106"/>
      <c r="H459" s="33"/>
      <c r="I459" s="33">
        <v>417300</v>
      </c>
      <c r="J459" s="107" t="e">
        <f>+SUM(C459:G459)-(H459+I459)</f>
        <v>#REF!</v>
      </c>
    </row>
    <row r="460" spans="1:10" ht="16.5">
      <c r="A460" s="28" t="s">
        <v>91</v>
      </c>
      <c r="B460" s="8" t="s">
        <v>70</v>
      </c>
      <c r="C460" s="29">
        <v>15984</v>
      </c>
      <c r="D460" s="58"/>
      <c r="E460" s="30">
        <v>256400</v>
      </c>
      <c r="F460" s="106"/>
      <c r="G460" s="106"/>
      <c r="H460" s="33"/>
      <c r="I460" s="34">
        <v>263500</v>
      </c>
      <c r="J460" s="107">
        <f t="shared" ref="J460" si="137">+SUM(C460:G460)-(H460+I460)</f>
        <v>8884</v>
      </c>
    </row>
    <row r="461" spans="1:10" ht="16.5">
      <c r="A461" s="28" t="s">
        <v>91</v>
      </c>
      <c r="B461" s="8" t="s">
        <v>30</v>
      </c>
      <c r="C461" s="29" t="e">
        <f t="shared" ref="C461:C465" si="138">+C224</f>
        <v>#REF!</v>
      </c>
      <c r="D461" s="30"/>
      <c r="E461" s="30">
        <v>858500</v>
      </c>
      <c r="F461" s="106"/>
      <c r="G461" s="106"/>
      <c r="H461" s="33"/>
      <c r="I461" s="34">
        <v>645000</v>
      </c>
      <c r="J461" s="107" t="e">
        <f>+SUM(C461:G461)-(H461+I461)</f>
        <v>#REF!</v>
      </c>
    </row>
    <row r="462" spans="1:10" ht="16.5">
      <c r="A462" s="28" t="s">
        <v>91</v>
      </c>
      <c r="B462" s="8" t="s">
        <v>36</v>
      </c>
      <c r="C462" s="29" t="e">
        <f t="shared" si="138"/>
        <v>#REF!</v>
      </c>
      <c r="D462" s="30"/>
      <c r="E462" s="30">
        <v>800700</v>
      </c>
      <c r="F462" s="30"/>
      <c r="G462" s="30"/>
      <c r="H462" s="33">
        <v>262300</v>
      </c>
      <c r="I462" s="34">
        <v>543600</v>
      </c>
      <c r="J462" s="31" t="e">
        <f>+SUM(C462:G462)-(H462+I462)</f>
        <v>#REF!</v>
      </c>
    </row>
    <row r="463" spans="1:10" ht="16.5">
      <c r="A463" s="28" t="s">
        <v>91</v>
      </c>
      <c r="B463" s="8" t="s">
        <v>29</v>
      </c>
      <c r="C463" s="29" t="e">
        <f t="shared" si="138"/>
        <v>#REF!</v>
      </c>
      <c r="D463" s="30"/>
      <c r="E463" s="30">
        <v>971600</v>
      </c>
      <c r="F463" s="30"/>
      <c r="G463" s="30"/>
      <c r="H463" s="33">
        <v>200000</v>
      </c>
      <c r="I463" s="34">
        <v>639450</v>
      </c>
      <c r="J463" s="31" t="e">
        <f t="shared" ref="J463:J464" si="139">+SUM(C463:G463)-(H463+I463)</f>
        <v>#REF!</v>
      </c>
    </row>
    <row r="464" spans="1:10" ht="16.5">
      <c r="A464" s="28" t="s">
        <v>91</v>
      </c>
      <c r="B464" s="8" t="s">
        <v>5</v>
      </c>
      <c r="C464" s="29" t="e">
        <f t="shared" si="138"/>
        <v>#REF!</v>
      </c>
      <c r="D464" s="30"/>
      <c r="E464" s="30"/>
      <c r="F464" s="30"/>
      <c r="G464" s="30"/>
      <c r="H464" s="33"/>
      <c r="I464" s="56">
        <v>23000</v>
      </c>
      <c r="J464" s="31" t="e">
        <f t="shared" si="139"/>
        <v>#REF!</v>
      </c>
    </row>
    <row r="465" spans="1:11" ht="16.5">
      <c r="A465" s="28" t="s">
        <v>91</v>
      </c>
      <c r="B465" s="8" t="s">
        <v>32</v>
      </c>
      <c r="C465" s="29" t="e">
        <f t="shared" si="138"/>
        <v>#REF!</v>
      </c>
      <c r="D465" s="30"/>
      <c r="E465" s="30"/>
      <c r="F465" s="30"/>
      <c r="G465" s="30"/>
      <c r="H465" s="33"/>
      <c r="I465" s="34">
        <v>0</v>
      </c>
      <c r="J465" s="31" t="e">
        <f>+SUM(C465:G465)-(H465+I465)</f>
        <v>#REF!</v>
      </c>
    </row>
    <row r="466" spans="1:11" ht="16.5">
      <c r="A466" s="114" t="s">
        <v>91</v>
      </c>
      <c r="B466" s="115" t="s">
        <v>93</v>
      </c>
      <c r="C466" s="116">
        <v>3721074</v>
      </c>
      <c r="D466" s="117"/>
      <c r="E466" s="118"/>
      <c r="F466" s="117"/>
      <c r="G466" s="119"/>
      <c r="H466" s="116">
        <v>3721074</v>
      </c>
      <c r="I466" s="120"/>
      <c r="J466" s="121">
        <f>+SUM(C466:G466)-(H466+I466)</f>
        <v>0</v>
      </c>
    </row>
    <row r="467" spans="1:11">
      <c r="A467" s="35" t="s">
        <v>61</v>
      </c>
      <c r="B467" s="36"/>
      <c r="C467" s="36"/>
      <c r="D467" s="36"/>
      <c r="E467" s="36"/>
      <c r="F467" s="36"/>
      <c r="G467" s="36"/>
      <c r="H467" s="36"/>
      <c r="I467" s="36"/>
      <c r="J467" s="37"/>
    </row>
    <row r="468" spans="1:11">
      <c r="A468" s="28" t="s">
        <v>91</v>
      </c>
      <c r="B468" s="38" t="s">
        <v>62</v>
      </c>
      <c r="C468" s="39" t="e">
        <f>+C220</f>
        <v>#REF!</v>
      </c>
      <c r="D468" s="40">
        <v>5000000</v>
      </c>
      <c r="E468" s="40"/>
      <c r="F468" s="40"/>
      <c r="G468" s="41">
        <v>200000</v>
      </c>
      <c r="H468" s="49">
        <v>3983300</v>
      </c>
      <c r="I468" s="42">
        <v>776245</v>
      </c>
      <c r="J468" s="43" t="e">
        <f>+SUM(C468:G468)-(H468+I468)</f>
        <v>#REF!</v>
      </c>
    </row>
    <row r="469" spans="1:11">
      <c r="A469" s="44" t="s">
        <v>63</v>
      </c>
      <c r="B469" s="25"/>
      <c r="C469" s="36"/>
      <c r="D469" s="25"/>
      <c r="E469" s="25"/>
      <c r="F469" s="25"/>
      <c r="G469" s="25"/>
      <c r="H469" s="25"/>
      <c r="I469" s="25"/>
      <c r="J469" s="37"/>
    </row>
    <row r="470" spans="1:11">
      <c r="A470" s="28" t="s">
        <v>91</v>
      </c>
      <c r="B470" s="38" t="s">
        <v>64</v>
      </c>
      <c r="C470" s="45" t="e">
        <f>+#REF!</f>
        <v>#REF!</v>
      </c>
      <c r="D470" s="54">
        <v>19826114</v>
      </c>
      <c r="E470" s="51"/>
      <c r="F470" s="51"/>
      <c r="G470" s="51"/>
      <c r="H470" s="53">
        <v>5000000</v>
      </c>
      <c r="I470" s="55">
        <v>455737</v>
      </c>
      <c r="J470" s="46" t="e">
        <f>+SUM(C470:G470)-(H470+I470)</f>
        <v>#REF!</v>
      </c>
    </row>
    <row r="471" spans="1:11">
      <c r="A471" s="28" t="s">
        <v>91</v>
      </c>
      <c r="B471" s="38" t="s">
        <v>65</v>
      </c>
      <c r="C471" s="45" t="e">
        <f>+C219</f>
        <v>#REF!</v>
      </c>
      <c r="D471" s="51">
        <v>13119140</v>
      </c>
      <c r="E471" s="50"/>
      <c r="F471" s="50"/>
      <c r="G471" s="50"/>
      <c r="H471" s="33"/>
      <c r="I471" s="52">
        <v>3445919</v>
      </c>
      <c r="J471" s="46" t="e">
        <f>SUM(C471:G471)-(H471+I471)</f>
        <v>#REF!</v>
      </c>
    </row>
    <row r="472" spans="1:11">
      <c r="A472" s="162" t="s">
        <v>91</v>
      </c>
      <c r="B472" s="158" t="s">
        <v>84</v>
      </c>
      <c r="C472" s="163">
        <v>249769</v>
      </c>
      <c r="D472" s="51"/>
      <c r="E472" s="51"/>
      <c r="F472" s="51"/>
      <c r="G472" s="51"/>
      <c r="H472" s="33"/>
      <c r="I472" s="52"/>
      <c r="J472" s="164">
        <f>SUM(C472:G472)-(H472+I472)</f>
        <v>249769</v>
      </c>
    </row>
    <row r="473" spans="1:11">
      <c r="A473" s="162" t="s">
        <v>91</v>
      </c>
      <c r="B473" s="160" t="s">
        <v>85</v>
      </c>
      <c r="C473" s="163">
        <v>233614</v>
      </c>
      <c r="D473" s="51"/>
      <c r="E473" s="51"/>
      <c r="F473" s="51"/>
      <c r="G473" s="51"/>
      <c r="H473" s="33"/>
      <c r="I473" s="52"/>
      <c r="J473" s="164">
        <f>SUM(C473:G473)-(H473+I473)</f>
        <v>233614</v>
      </c>
    </row>
    <row r="474" spans="1:11">
      <c r="A474" s="162" t="s">
        <v>91</v>
      </c>
      <c r="B474" s="161" t="s">
        <v>86</v>
      </c>
      <c r="C474" s="163">
        <v>330169</v>
      </c>
      <c r="D474" s="165"/>
      <c r="E474" s="165"/>
      <c r="F474" s="165"/>
      <c r="G474" s="165"/>
      <c r="H474" s="165"/>
      <c r="I474" s="165"/>
      <c r="J474" s="164">
        <f>SUM(C474:G474)-(H474+I474)</f>
        <v>330169</v>
      </c>
    </row>
    <row r="475" spans="1:11" ht="15.75">
      <c r="C475" s="9"/>
      <c r="I475" s="9"/>
      <c r="J475" s="111" t="e">
        <f>+SUM(J456:J474)</f>
        <v>#REF!</v>
      </c>
      <c r="K475" s="113" t="e">
        <f>+J475-I232</f>
        <v>#REF!</v>
      </c>
    </row>
    <row r="477" spans="1:11">
      <c r="A477" s="16" t="s">
        <v>53</v>
      </c>
      <c r="B477" s="16"/>
      <c r="C477" s="16"/>
      <c r="D477" s="17"/>
      <c r="E477" s="17"/>
      <c r="F477" s="17"/>
      <c r="G477" s="17"/>
      <c r="H477" s="17"/>
      <c r="I477" s="17"/>
    </row>
    <row r="478" spans="1:11">
      <c r="A478" s="18" t="s">
        <v>79</v>
      </c>
      <c r="B478" s="18"/>
      <c r="C478" s="18"/>
      <c r="D478" s="18"/>
      <c r="E478" s="18"/>
      <c r="F478" s="18"/>
      <c r="G478" s="18"/>
      <c r="H478" s="18"/>
      <c r="I478" s="18"/>
      <c r="J478" s="17"/>
    </row>
    <row r="479" spans="1:11">
      <c r="A479" s="19"/>
      <c r="B479" s="20"/>
      <c r="C479" s="21"/>
      <c r="D479" s="21"/>
      <c r="E479" s="21"/>
      <c r="F479" s="21"/>
      <c r="G479" s="21"/>
      <c r="H479" s="20"/>
      <c r="I479" s="20"/>
      <c r="J479" s="18"/>
    </row>
    <row r="480" spans="1:11">
      <c r="A480" s="354" t="s">
        <v>54</v>
      </c>
      <c r="B480" s="356" t="s">
        <v>55</v>
      </c>
      <c r="C480" s="358" t="s">
        <v>81</v>
      </c>
      <c r="D480" s="360" t="s">
        <v>56</v>
      </c>
      <c r="E480" s="361"/>
      <c r="F480" s="361"/>
      <c r="G480" s="362"/>
      <c r="H480" s="363" t="s">
        <v>57</v>
      </c>
      <c r="I480" s="365" t="s">
        <v>58</v>
      </c>
      <c r="J480" s="20"/>
    </row>
    <row r="481" spans="1:10" ht="36.75" customHeight="1">
      <c r="A481" s="355"/>
      <c r="B481" s="357"/>
      <c r="C481" s="359"/>
      <c r="D481" s="22" t="s">
        <v>24</v>
      </c>
      <c r="E481" s="22" t="s">
        <v>25</v>
      </c>
      <c r="F481" s="23" t="s">
        <v>70</v>
      </c>
      <c r="G481" s="22" t="s">
        <v>59</v>
      </c>
      <c r="H481" s="364"/>
      <c r="I481" s="366"/>
      <c r="J481" s="367" t="s">
        <v>87</v>
      </c>
    </row>
    <row r="482" spans="1:10">
      <c r="A482" s="24"/>
      <c r="B482" s="25" t="s">
        <v>60</v>
      </c>
      <c r="C482" s="26"/>
      <c r="D482" s="26"/>
      <c r="E482" s="26"/>
      <c r="F482" s="26"/>
      <c r="G482" s="26"/>
      <c r="H482" s="26"/>
      <c r="I482" s="27"/>
      <c r="J482" s="368"/>
    </row>
    <row r="483" spans="1:10" ht="16.5">
      <c r="A483" s="28" t="s">
        <v>80</v>
      </c>
      <c r="B483" s="8" t="s">
        <v>77</v>
      </c>
      <c r="C483" s="29">
        <v>0</v>
      </c>
      <c r="D483" s="30"/>
      <c r="E483" s="30">
        <v>40000</v>
      </c>
      <c r="F483" s="30"/>
      <c r="G483" s="30"/>
      <c r="H483" s="57"/>
      <c r="I483" s="34">
        <v>39200</v>
      </c>
      <c r="J483" s="31">
        <f>+SUM(C483:G483)-(H483+I483)</f>
        <v>800</v>
      </c>
    </row>
    <row r="484" spans="1:10" ht="16.5">
      <c r="A484" s="28" t="s">
        <v>80</v>
      </c>
      <c r="B484" s="8" t="str">
        <f>+A221</f>
        <v>JUILLET</v>
      </c>
      <c r="C484" s="29">
        <v>19060</v>
      </c>
      <c r="D484" s="30"/>
      <c r="E484" s="30">
        <v>20000</v>
      </c>
      <c r="F484" s="30"/>
      <c r="G484" s="30"/>
      <c r="H484" s="57"/>
      <c r="I484" s="34">
        <v>36000</v>
      </c>
      <c r="J484" s="31">
        <f t="shared" ref="J484:J491" si="140">+SUM(C484:G484)-(H484+I484)</f>
        <v>3060</v>
      </c>
    </row>
    <row r="485" spans="1:10" ht="16.5">
      <c r="A485" s="28" t="s">
        <v>80</v>
      </c>
      <c r="B485" s="8" t="str">
        <f>+A222</f>
        <v>JUILLET</v>
      </c>
      <c r="C485" s="29">
        <v>8395</v>
      </c>
      <c r="D485" s="30"/>
      <c r="E485" s="30">
        <v>20000</v>
      </c>
      <c r="F485" s="106"/>
      <c r="G485" s="106"/>
      <c r="H485" s="33"/>
      <c r="I485" s="56">
        <v>20000</v>
      </c>
      <c r="J485" s="107">
        <f t="shared" si="140"/>
        <v>8395</v>
      </c>
    </row>
    <row r="486" spans="1:10" ht="16.5">
      <c r="A486" s="28" t="s">
        <v>80</v>
      </c>
      <c r="B486" s="8" t="str">
        <f>+A223</f>
        <v>JUILLET</v>
      </c>
      <c r="C486" s="29">
        <v>0</v>
      </c>
      <c r="D486" s="58"/>
      <c r="E486" s="30">
        <v>100000</v>
      </c>
      <c r="F486" s="106">
        <v>102200</v>
      </c>
      <c r="G486" s="106"/>
      <c r="H486" s="33"/>
      <c r="I486" s="33">
        <v>204000</v>
      </c>
      <c r="J486" s="107">
        <f>+SUM(C486:G486)-(H486+I486)</f>
        <v>-1800</v>
      </c>
    </row>
    <row r="487" spans="1:10" ht="16.5">
      <c r="A487" s="28" t="s">
        <v>80</v>
      </c>
      <c r="B487" s="8" t="e">
        <f>+#REF!</f>
        <v>#REF!</v>
      </c>
      <c r="C487" s="29">
        <v>7559</v>
      </c>
      <c r="D487" s="58"/>
      <c r="E487" s="30">
        <v>866200</v>
      </c>
      <c r="F487" s="106"/>
      <c r="G487" s="106"/>
      <c r="H487" s="33">
        <v>252200</v>
      </c>
      <c r="I487" s="34">
        <v>605575</v>
      </c>
      <c r="J487" s="107">
        <f t="shared" si="140"/>
        <v>15984</v>
      </c>
    </row>
    <row r="488" spans="1:10" ht="16.5">
      <c r="A488" s="28" t="s">
        <v>80</v>
      </c>
      <c r="B488" s="8" t="str">
        <f t="shared" ref="B488:B491" si="141">+A224</f>
        <v>JUILLET</v>
      </c>
      <c r="C488" s="29">
        <v>214000</v>
      </c>
      <c r="D488" s="30"/>
      <c r="E488" s="30">
        <v>724100</v>
      </c>
      <c r="F488" s="106"/>
      <c r="G488" s="106"/>
      <c r="H488" s="33"/>
      <c r="I488" s="34">
        <v>960000</v>
      </c>
      <c r="J488" s="107">
        <f>+SUM(C488:G488)-(H488+I488)</f>
        <v>-21900</v>
      </c>
    </row>
    <row r="489" spans="1:10" ht="16.5">
      <c r="A489" s="28" t="s">
        <v>80</v>
      </c>
      <c r="B489" s="8" t="str">
        <f t="shared" si="141"/>
        <v>JUILLET</v>
      </c>
      <c r="C489" s="29">
        <v>-13805</v>
      </c>
      <c r="D489" s="30"/>
      <c r="E489" s="30">
        <v>333400</v>
      </c>
      <c r="F489" s="30">
        <v>150000</v>
      </c>
      <c r="G489" s="30"/>
      <c r="H489" s="33">
        <v>129000</v>
      </c>
      <c r="I489" s="34">
        <v>338905</v>
      </c>
      <c r="J489" s="31">
        <f>+SUM(C489:G489)-(H489+I489)</f>
        <v>1690</v>
      </c>
    </row>
    <row r="490" spans="1:10" ht="16.5">
      <c r="A490" s="28" t="s">
        <v>80</v>
      </c>
      <c r="B490" s="8" t="str">
        <f t="shared" si="141"/>
        <v>JUILLET</v>
      </c>
      <c r="C490" s="29">
        <v>84350</v>
      </c>
      <c r="D490" s="30"/>
      <c r="E490" s="30">
        <v>669400</v>
      </c>
      <c r="F490" s="30"/>
      <c r="G490" s="30"/>
      <c r="H490" s="33">
        <v>100000</v>
      </c>
      <c r="I490" s="34">
        <v>674700</v>
      </c>
      <c r="J490" s="31">
        <f>+SUM(C490:G490)-(H490+I490)</f>
        <v>-20950</v>
      </c>
    </row>
    <row r="491" spans="1:10" ht="16.5">
      <c r="A491" s="28" t="s">
        <v>80</v>
      </c>
      <c r="B491" s="8" t="str">
        <f t="shared" si="141"/>
        <v>JUILLET</v>
      </c>
      <c r="C491" s="29">
        <v>-216251</v>
      </c>
      <c r="D491" s="30"/>
      <c r="E491" s="30">
        <v>242000</v>
      </c>
      <c r="F491" s="30"/>
      <c r="G491" s="30"/>
      <c r="H491" s="33"/>
      <c r="I491" s="56">
        <v>34830</v>
      </c>
      <c r="J491" s="31">
        <f t="shared" si="140"/>
        <v>-9081</v>
      </c>
    </row>
    <row r="492" spans="1:10" ht="16.5">
      <c r="A492" s="28" t="s">
        <v>80</v>
      </c>
      <c r="B492" s="8" t="s">
        <v>33</v>
      </c>
      <c r="C492" s="29">
        <v>2025</v>
      </c>
      <c r="D492" s="30"/>
      <c r="E492" s="30">
        <v>25000</v>
      </c>
      <c r="F492" s="30"/>
      <c r="G492" s="30"/>
      <c r="H492" s="33">
        <v>3025</v>
      </c>
      <c r="I492" s="34">
        <v>24000</v>
      </c>
      <c r="J492" s="31">
        <f>+SUM(C492:G492)-(H492+I492)</f>
        <v>0</v>
      </c>
    </row>
    <row r="493" spans="1:10" ht="16.5">
      <c r="A493" s="28" t="s">
        <v>80</v>
      </c>
      <c r="B493" s="8" t="s">
        <v>32</v>
      </c>
      <c r="C493" s="29">
        <v>10000</v>
      </c>
      <c r="D493" s="32"/>
      <c r="E493" s="30">
        <v>0</v>
      </c>
      <c r="F493" s="32"/>
      <c r="G493" s="32"/>
      <c r="H493" s="33"/>
      <c r="I493" s="34">
        <v>4700</v>
      </c>
      <c r="J493" s="31">
        <f>+SUM(C493:G493)-(H493+I493)</f>
        <v>5300</v>
      </c>
    </row>
    <row r="494" spans="1:10">
      <c r="A494" s="35" t="s">
        <v>61</v>
      </c>
      <c r="B494" s="36"/>
      <c r="C494" s="36"/>
      <c r="D494" s="36"/>
      <c r="E494" s="36"/>
      <c r="F494" s="36"/>
      <c r="G494" s="36"/>
      <c r="H494" s="36"/>
      <c r="I494" s="36"/>
      <c r="J494" s="37"/>
    </row>
    <row r="495" spans="1:10">
      <c r="A495" s="28" t="s">
        <v>80</v>
      </c>
      <c r="B495" s="38" t="s">
        <v>62</v>
      </c>
      <c r="C495" s="39">
        <v>791675</v>
      </c>
      <c r="D495" s="40">
        <v>3185100</v>
      </c>
      <c r="E495" s="40"/>
      <c r="F495" s="40"/>
      <c r="G495" s="41">
        <v>237025</v>
      </c>
      <c r="H495" s="49">
        <v>3045100</v>
      </c>
      <c r="I495" s="42">
        <v>876121</v>
      </c>
      <c r="J495" s="43">
        <f>+SUM(C495:G495)-(H495+I495)</f>
        <v>292579</v>
      </c>
    </row>
    <row r="496" spans="1:10">
      <c r="A496" s="44" t="s">
        <v>63</v>
      </c>
      <c r="B496" s="25"/>
      <c r="C496" s="36"/>
      <c r="D496" s="25"/>
      <c r="E496" s="25"/>
      <c r="F496" s="25"/>
      <c r="G496" s="25"/>
      <c r="H496" s="25"/>
      <c r="I496" s="25"/>
      <c r="J496" s="37"/>
    </row>
    <row r="497" spans="1:15">
      <c r="A497" s="28" t="s">
        <v>80</v>
      </c>
      <c r="B497" s="38" t="s">
        <v>64</v>
      </c>
      <c r="C497" s="45">
        <v>8039273</v>
      </c>
      <c r="D497" s="54">
        <v>0</v>
      </c>
      <c r="E497" s="51"/>
      <c r="F497" s="51"/>
      <c r="G497" s="51"/>
      <c r="H497" s="53">
        <v>3000000</v>
      </c>
      <c r="I497" s="55">
        <v>224679</v>
      </c>
      <c r="J497" s="46">
        <f>+SUM(C497:G497)-(H497+I497)</f>
        <v>4814594</v>
      </c>
    </row>
    <row r="498" spans="1:15">
      <c r="A498" s="28" t="s">
        <v>80</v>
      </c>
      <c r="B498" s="38" t="s">
        <v>65</v>
      </c>
      <c r="C498" s="45">
        <v>13283340</v>
      </c>
      <c r="D498" s="51">
        <v>0</v>
      </c>
      <c r="E498" s="50"/>
      <c r="F498" s="50"/>
      <c r="G498" s="50"/>
      <c r="H498" s="33">
        <v>185100</v>
      </c>
      <c r="I498" s="52">
        <v>8352406</v>
      </c>
      <c r="J498" s="46">
        <f>SUM(C498:G498)-(H498+I498)</f>
        <v>4745834</v>
      </c>
    </row>
    <row r="499" spans="1:15">
      <c r="A499" s="157" t="s">
        <v>80</v>
      </c>
      <c r="B499" s="158" t="s">
        <v>83</v>
      </c>
      <c r="C499" s="45">
        <v>3721074</v>
      </c>
      <c r="D499" s="157"/>
      <c r="E499" s="157"/>
      <c r="F499" s="157"/>
      <c r="G499" s="157"/>
      <c r="H499" s="157"/>
      <c r="I499" s="157"/>
      <c r="J499" s="159">
        <f>SUM(C499:G499)-(H499+I499)</f>
        <v>3721074</v>
      </c>
    </row>
    <row r="500" spans="1:15">
      <c r="A500" s="157" t="s">
        <v>80</v>
      </c>
      <c r="B500" s="158" t="s">
        <v>84</v>
      </c>
      <c r="C500" s="45">
        <v>249769</v>
      </c>
      <c r="D500" s="51"/>
      <c r="E500" s="51"/>
      <c r="F500" s="51"/>
      <c r="G500" s="51"/>
      <c r="H500" s="33"/>
      <c r="I500" s="52"/>
      <c r="J500" s="159">
        <f>SUM(C500:G500)-(H500+I500)</f>
        <v>249769</v>
      </c>
    </row>
    <row r="501" spans="1:15">
      <c r="A501" s="157" t="s">
        <v>80</v>
      </c>
      <c r="B501" s="160" t="s">
        <v>85</v>
      </c>
      <c r="C501" s="45">
        <v>233614</v>
      </c>
      <c r="D501" s="51"/>
      <c r="E501" s="51"/>
      <c r="F501" s="51"/>
      <c r="G501" s="51"/>
      <c r="H501" s="33"/>
      <c r="I501" s="52"/>
      <c r="J501" s="159">
        <f>SUM(C501:G501)-(H501+I501)</f>
        <v>233614</v>
      </c>
    </row>
    <row r="502" spans="1:15">
      <c r="A502" s="157" t="s">
        <v>80</v>
      </c>
      <c r="B502" s="161" t="s">
        <v>86</v>
      </c>
      <c r="C502" s="45">
        <v>330169</v>
      </c>
      <c r="D502" s="157"/>
      <c r="E502" s="157"/>
      <c r="F502" s="157"/>
      <c r="G502" s="157"/>
      <c r="H502" s="157"/>
      <c r="I502" s="157"/>
      <c r="J502" s="159">
        <f>SUM(C502:G502)-(H502+I502)</f>
        <v>330169</v>
      </c>
    </row>
    <row r="503" spans="1:15" ht="15.75">
      <c r="C503" s="9"/>
      <c r="I503" s="9"/>
      <c r="J503" s="111">
        <f>+SUM(J483:J502)</f>
        <v>14369131</v>
      </c>
    </row>
    <row r="504" spans="1:15">
      <c r="C504" s="9"/>
      <c r="I504" s="9"/>
      <c r="J504" s="9"/>
    </row>
    <row r="505" spans="1:15" s="74" customFormat="1">
      <c r="A505" s="72" t="s">
        <v>66</v>
      </c>
      <c r="B505" s="72"/>
      <c r="C505" s="72"/>
      <c r="D505" s="72"/>
      <c r="E505" s="72"/>
      <c r="F505" s="72"/>
      <c r="G505" s="72"/>
      <c r="H505" s="72"/>
      <c r="I505" s="72"/>
      <c r="J505" s="73"/>
      <c r="L505" s="75"/>
      <c r="M505" s="75"/>
      <c r="N505" s="75"/>
      <c r="O505" s="75"/>
    </row>
    <row r="506" spans="1:15" s="74" customFormat="1">
      <c r="A506" s="76"/>
      <c r="B506" s="73"/>
      <c r="C506" s="77"/>
      <c r="D506" s="77"/>
      <c r="E506" s="77"/>
      <c r="F506" s="77"/>
      <c r="G506" s="77"/>
      <c r="H506" s="73"/>
      <c r="I506" s="73"/>
      <c r="J506" s="72"/>
      <c r="L506" s="75"/>
      <c r="M506" s="75"/>
      <c r="N506" s="75"/>
      <c r="O506" s="75"/>
    </row>
    <row r="507" spans="1:15" s="74" customFormat="1">
      <c r="A507" s="354" t="s">
        <v>54</v>
      </c>
      <c r="B507" s="356" t="s">
        <v>55</v>
      </c>
      <c r="C507" s="358" t="s">
        <v>68</v>
      </c>
      <c r="D507" s="369" t="s">
        <v>56</v>
      </c>
      <c r="E507" s="370"/>
      <c r="F507" s="370"/>
      <c r="G507" s="371"/>
      <c r="H507" s="372" t="s">
        <v>57</v>
      </c>
      <c r="I507" s="374" t="s">
        <v>58</v>
      </c>
      <c r="J507" s="73"/>
      <c r="L507" s="75"/>
      <c r="M507" s="75"/>
      <c r="N507" s="75"/>
      <c r="O507" s="75"/>
    </row>
    <row r="508" spans="1:15" s="74" customFormat="1">
      <c r="A508" s="355"/>
      <c r="B508" s="357"/>
      <c r="C508" s="359"/>
      <c r="D508" s="22" t="s">
        <v>24</v>
      </c>
      <c r="E508" s="22" t="s">
        <v>25</v>
      </c>
      <c r="F508" s="71" t="s">
        <v>70</v>
      </c>
      <c r="G508" s="22" t="s">
        <v>59</v>
      </c>
      <c r="H508" s="373"/>
      <c r="I508" s="375"/>
      <c r="J508" s="367" t="s">
        <v>69</v>
      </c>
      <c r="L508" s="75"/>
      <c r="M508" s="75"/>
      <c r="N508" s="75"/>
      <c r="O508" s="75"/>
    </row>
    <row r="509" spans="1:15" s="74" customFormat="1">
      <c r="A509" s="78"/>
      <c r="B509" s="79" t="s">
        <v>60</v>
      </c>
      <c r="C509" s="80"/>
      <c r="D509" s="80"/>
      <c r="E509" s="80"/>
      <c r="F509" s="80"/>
      <c r="G509" s="80"/>
      <c r="H509" s="80"/>
      <c r="I509" s="81"/>
      <c r="J509" s="368"/>
      <c r="L509" s="75"/>
      <c r="M509" s="75"/>
      <c r="N509" s="75"/>
      <c r="O509" s="75"/>
    </row>
    <row r="510" spans="1:15" s="74" customFormat="1" ht="16.5">
      <c r="A510" s="82" t="s">
        <v>67</v>
      </c>
      <c r="B510" s="8" t="s">
        <v>48</v>
      </c>
      <c r="C510" s="83">
        <v>40560</v>
      </c>
      <c r="D510" s="30"/>
      <c r="E510" s="30">
        <v>0</v>
      </c>
      <c r="F510" s="30"/>
      <c r="G510" s="30"/>
      <c r="H510" s="84"/>
      <c r="I510" s="85">
        <f>+SUM([1]COMPTA_CREPIN!$F$3050:$F$3066)</f>
        <v>21500</v>
      </c>
      <c r="J510" s="31">
        <f>+SUM(C510:G510)-(H510+I510)</f>
        <v>19060</v>
      </c>
      <c r="L510" s="75"/>
      <c r="M510" s="75"/>
      <c r="N510" s="75"/>
      <c r="O510" s="75"/>
    </row>
    <row r="511" spans="1:15" s="74" customFormat="1" ht="16.5">
      <c r="A511" s="82" t="s">
        <v>67</v>
      </c>
      <c r="B511" s="8" t="s">
        <v>28</v>
      </c>
      <c r="C511" s="83">
        <v>227975</v>
      </c>
      <c r="D511" s="30"/>
      <c r="E511" s="30">
        <f>+'[2]Compta Dalia (2)'!$E$1908+'[2]Compta Dalia (2)'!$E$1909+'[2]Compta Dalia (2)'!$E$1911+'[2]Compta Dalia (2)'!$E$1917</f>
        <v>119600</v>
      </c>
      <c r="F511" s="30"/>
      <c r="G511" s="30"/>
      <c r="H511" s="84">
        <f>+'[2]Compta Dalia (2)'!$F$1919</f>
        <v>1635</v>
      </c>
      <c r="I511" s="85">
        <v>345940</v>
      </c>
      <c r="J511" s="31">
        <f t="shared" ref="J511:J518" si="142">+SUM(C511:G511)-(H511+I511)</f>
        <v>0</v>
      </c>
      <c r="L511" s="75"/>
      <c r="M511" s="75"/>
      <c r="N511" s="75"/>
      <c r="O511" s="75"/>
    </row>
    <row r="512" spans="1:15" s="74" customFormat="1" ht="16.5">
      <c r="A512" s="82" t="s">
        <v>67</v>
      </c>
      <c r="B512" s="8" t="s">
        <v>31</v>
      </c>
      <c r="C512" s="83">
        <v>-605</v>
      </c>
      <c r="D512" s="30"/>
      <c r="E512" s="30">
        <f>+'[3]compta (3)'!$E$2556+'[3]compta (3)'!$E$2557+'[3]compta (3)'!$E$2558</f>
        <v>30000</v>
      </c>
      <c r="F512" s="30"/>
      <c r="G512" s="30"/>
      <c r="H512" s="86"/>
      <c r="I512" s="87">
        <f>'[3]compta (3)'!$F$2559</f>
        <v>21000</v>
      </c>
      <c r="J512" s="31">
        <f t="shared" si="142"/>
        <v>8395</v>
      </c>
      <c r="L512" s="75"/>
      <c r="M512" s="75"/>
      <c r="N512" s="75"/>
      <c r="O512" s="75"/>
    </row>
    <row r="513" spans="1:15" s="74" customFormat="1" ht="16.5">
      <c r="A513" s="82" t="s">
        <v>67</v>
      </c>
      <c r="B513" s="105" t="s">
        <v>26</v>
      </c>
      <c r="C513" s="83">
        <v>264659</v>
      </c>
      <c r="D513" s="106"/>
      <c r="E513" s="106">
        <f>+'[4]compta (2)'!$E$2521+'[4]compta (2)'!$E$2525+'[4]compta (2)'!$E$2527+'[4]compta (2)'!$E$2529</f>
        <v>325000</v>
      </c>
      <c r="F513" s="106"/>
      <c r="G513" s="106"/>
      <c r="H513" s="33">
        <f>'[4]compta (2)'!$F$2528+60000</f>
        <v>75000</v>
      </c>
      <c r="I513" s="33">
        <f>'[4]compta (2)'!$F$2522+'[4]compta (2)'!$F$2523+'[4]compta (2)'!$F$2524+'[4]compta (2)'!$F$2526+'[4]compta (2)'!$F$2530+'[4]compta (2)'!$F$2532+'[4]compta (2)'!$F$2533+'[4]compta (2)'!$F$2534</f>
        <v>507100</v>
      </c>
      <c r="J513" s="107">
        <f t="shared" si="142"/>
        <v>7559</v>
      </c>
      <c r="L513" s="75"/>
      <c r="M513" s="75"/>
      <c r="N513" s="75"/>
      <c r="O513" s="75"/>
    </row>
    <row r="514" spans="1:15" s="74" customFormat="1" ht="16.5">
      <c r="A514" s="82" t="s">
        <v>67</v>
      </c>
      <c r="B514" s="105" t="s">
        <v>49</v>
      </c>
      <c r="C514" s="83">
        <v>272500</v>
      </c>
      <c r="D514" s="106"/>
      <c r="E514" s="106">
        <f>+'[5]COMPTA_I23C (2)'!$E$4171+'[5]COMPTA_I23C (2)'!$E$4172+'[5]COMPTA_I23C (2)'!$E$4174+'[5]COMPTA_I23C (2)'!$E$4178+'[5]COMPTA_I23C (2)'!$E$4180+'[5]COMPTA_I23C (2)'!$E$4181</f>
        <v>695000</v>
      </c>
      <c r="F514" s="106"/>
      <c r="G514" s="106"/>
      <c r="H514" s="33"/>
      <c r="I514" s="83">
        <v>753500</v>
      </c>
      <c r="J514" s="107">
        <f t="shared" si="142"/>
        <v>214000</v>
      </c>
      <c r="L514" s="75"/>
      <c r="M514" s="75"/>
      <c r="N514" s="75"/>
      <c r="O514" s="75"/>
    </row>
    <row r="515" spans="1:15" s="74" customFormat="1" ht="16.5">
      <c r="A515" s="82" t="s">
        <v>67</v>
      </c>
      <c r="B515" s="8" t="s">
        <v>36</v>
      </c>
      <c r="C515" s="83">
        <v>284595</v>
      </c>
      <c r="D515" s="30"/>
      <c r="E515" s="30">
        <f>+'[6]Feuil1 (2)'!$E$2684+'[6]Feuil1 (2)'!$E$2689+'[6]Feuil1 (2)'!$E$2691</f>
        <v>275000</v>
      </c>
      <c r="F515" s="30">
        <f>'[4]compta (2)'!$F$2531</f>
        <v>60000</v>
      </c>
      <c r="G515" s="30"/>
      <c r="H515" s="86"/>
      <c r="I515" s="85">
        <v>633400</v>
      </c>
      <c r="J515" s="31">
        <f t="shared" si="142"/>
        <v>-13805</v>
      </c>
      <c r="L515" s="75"/>
      <c r="M515" s="75"/>
      <c r="N515" s="75"/>
      <c r="O515" s="75"/>
    </row>
    <row r="516" spans="1:15" s="74" customFormat="1" ht="16.5">
      <c r="A516" s="82" t="s">
        <v>67</v>
      </c>
      <c r="B516" s="8" t="s">
        <v>27</v>
      </c>
      <c r="C516" s="83">
        <v>-1750</v>
      </c>
      <c r="D516" s="30"/>
      <c r="E516" s="30">
        <f>+'[7]Compta Jospin (2)'!$E$1583+'[7]Compta Jospin (2)'!$E$1584+'[7]Compta Jospin (2)'!$E$1587</f>
        <v>96400</v>
      </c>
      <c r="F516" s="30"/>
      <c r="G516" s="30"/>
      <c r="H516" s="86">
        <f>+'[7]Compta Jospin (2)'!$F$1592</f>
        <v>950</v>
      </c>
      <c r="I516" s="85">
        <v>93700</v>
      </c>
      <c r="J516" s="31">
        <f t="shared" si="142"/>
        <v>0</v>
      </c>
      <c r="L516" s="75"/>
      <c r="M516" s="75"/>
      <c r="N516" s="75"/>
      <c r="O516" s="75"/>
    </row>
    <row r="517" spans="1:15" s="74" customFormat="1" ht="16.5">
      <c r="A517" s="82" t="s">
        <v>67</v>
      </c>
      <c r="B517" s="8" t="s">
        <v>29</v>
      </c>
      <c r="C517" s="83">
        <v>265600</v>
      </c>
      <c r="D517" s="30"/>
      <c r="E517" s="30">
        <f>+'[8]COMPT-P29 (2)'!$E$190+'[8]COMPT-P29 (2)'!$E$191+'[8]COMPT-P29 (2)'!$E$196+'[8]COMPT-P29 (2)'!$E$201+'[8]COMPT-P29 (2)'!$E$202+'[8]COMPT-P29 (2)'!$E$204+'[8]COMPT-P29 (2)'!$E$207+'[8]COMPT-P29 (2)'!$E$215</f>
        <v>855600</v>
      </c>
      <c r="F517" s="30"/>
      <c r="G517" s="30"/>
      <c r="H517" s="86"/>
      <c r="I517" s="85">
        <v>1036850</v>
      </c>
      <c r="J517" s="31">
        <f t="shared" si="142"/>
        <v>84350</v>
      </c>
      <c r="L517" s="75"/>
      <c r="M517" s="75"/>
      <c r="N517" s="75"/>
      <c r="O517" s="75"/>
    </row>
    <row r="518" spans="1:15" s="74" customFormat="1" ht="16.5">
      <c r="A518" s="82" t="s">
        <v>67</v>
      </c>
      <c r="B518" s="8" t="s">
        <v>50</v>
      </c>
      <c r="C518" s="83">
        <f t="shared" ref="C518" si="143">+C491</f>
        <v>-216251</v>
      </c>
      <c r="D518" s="30"/>
      <c r="E518" s="30">
        <v>0</v>
      </c>
      <c r="F518" s="30"/>
      <c r="G518" s="30"/>
      <c r="H518" s="86"/>
      <c r="I518" s="87">
        <v>0</v>
      </c>
      <c r="J518" s="31">
        <f t="shared" si="142"/>
        <v>-216251</v>
      </c>
      <c r="L518" s="75"/>
      <c r="M518" s="75"/>
      <c r="N518" s="75"/>
      <c r="O518" s="75"/>
    </row>
    <row r="519" spans="1:15" s="74" customFormat="1" ht="16.5">
      <c r="A519" s="82" t="s">
        <v>67</v>
      </c>
      <c r="B519" s="8" t="s">
        <v>33</v>
      </c>
      <c r="C519" s="83">
        <v>1025</v>
      </c>
      <c r="D519" s="30"/>
      <c r="E519" s="30">
        <f>+'[9]compta shely'!$E$90+'[9]compta shely'!$E$97+'[9]compta shely'!$E$100</f>
        <v>25000</v>
      </c>
      <c r="F519" s="30"/>
      <c r="G519" s="30"/>
      <c r="H519" s="86"/>
      <c r="I519" s="85">
        <v>24000</v>
      </c>
      <c r="J519" s="31">
        <f>+SUM(C519:G519)-(H519+I519)</f>
        <v>2025</v>
      </c>
      <c r="L519" s="75"/>
      <c r="M519" s="75"/>
      <c r="N519" s="75"/>
      <c r="O519" s="75"/>
    </row>
    <row r="520" spans="1:15" s="74" customFormat="1" ht="16.5">
      <c r="A520" s="32" t="s">
        <v>67</v>
      </c>
      <c r="B520" s="8" t="s">
        <v>32</v>
      </c>
      <c r="C520" s="83">
        <v>0</v>
      </c>
      <c r="D520" s="32"/>
      <c r="E520" s="32">
        <f>+'[10]compta ted'!$E$11</f>
        <v>10000</v>
      </c>
      <c r="F520" s="32"/>
      <c r="G520" s="32"/>
      <c r="H520" s="86"/>
      <c r="I520" s="85">
        <v>0</v>
      </c>
      <c r="J520" s="31">
        <f>+SUM(C520:G520)-(H520+I520)</f>
        <v>10000</v>
      </c>
      <c r="L520" s="75"/>
      <c r="M520" s="75"/>
      <c r="N520" s="75"/>
      <c r="O520" s="75"/>
    </row>
    <row r="521" spans="1:15" s="74" customFormat="1">
      <c r="A521" s="88" t="s">
        <v>61</v>
      </c>
      <c r="B521" s="89"/>
      <c r="C521" s="89"/>
      <c r="D521" s="89"/>
      <c r="E521" s="89"/>
      <c r="F521" s="89"/>
      <c r="G521" s="89"/>
      <c r="H521" s="89"/>
      <c r="I521" s="89"/>
      <c r="J521" s="90"/>
      <c r="L521" s="75"/>
      <c r="M521" s="75"/>
      <c r="N521" s="75"/>
      <c r="O521" s="75"/>
    </row>
    <row r="522" spans="1:15" s="74" customFormat="1">
      <c r="A522" s="32" t="s">
        <v>67</v>
      </c>
      <c r="B522" s="38" t="s">
        <v>62</v>
      </c>
      <c r="C522" s="39">
        <v>954796</v>
      </c>
      <c r="D522" s="30">
        <v>3000000</v>
      </c>
      <c r="E522" s="30"/>
      <c r="F522" s="30"/>
      <c r="G522" s="91">
        <v>17585</v>
      </c>
      <c r="H522" s="92">
        <v>2431600</v>
      </c>
      <c r="I522" s="93">
        <v>749106</v>
      </c>
      <c r="J522" s="94">
        <f>+SUM(C522:G522)-(H522+I522)</f>
        <v>791675</v>
      </c>
      <c r="L522" s="75"/>
      <c r="M522" s="75"/>
      <c r="N522" s="75"/>
      <c r="O522" s="75"/>
    </row>
    <row r="523" spans="1:15" s="74" customFormat="1">
      <c r="A523" s="95" t="s">
        <v>63</v>
      </c>
      <c r="B523" s="79"/>
      <c r="C523" s="89"/>
      <c r="D523" s="79"/>
      <c r="E523" s="79"/>
      <c r="F523" s="79"/>
      <c r="G523" s="79"/>
      <c r="H523" s="79"/>
      <c r="I523" s="79"/>
      <c r="J523" s="90"/>
      <c r="L523" s="75"/>
      <c r="M523" s="75"/>
      <c r="N523" s="75"/>
      <c r="O523" s="75"/>
    </row>
    <row r="524" spans="1:15" s="74" customFormat="1">
      <c r="A524" s="32" t="s">
        <v>67</v>
      </c>
      <c r="B524" s="38" t="s">
        <v>64</v>
      </c>
      <c r="C524" s="83">
        <v>705838</v>
      </c>
      <c r="D524" s="96">
        <v>10801800</v>
      </c>
      <c r="E524" s="97"/>
      <c r="F524" s="97"/>
      <c r="G524" s="97"/>
      <c r="H524" s="98">
        <v>3000000</v>
      </c>
      <c r="I524" s="99">
        <v>468365</v>
      </c>
      <c r="J524" s="31">
        <f>+SUM(C524:G524)-(H524+I524)</f>
        <v>8039273</v>
      </c>
      <c r="L524" s="75"/>
      <c r="M524" s="75"/>
      <c r="N524" s="75"/>
      <c r="O524" s="75"/>
    </row>
    <row r="525" spans="1:15" s="74" customFormat="1">
      <c r="A525" s="32" t="s">
        <v>67</v>
      </c>
      <c r="B525" s="38" t="s">
        <v>65</v>
      </c>
      <c r="C525" s="83">
        <v>14874402</v>
      </c>
      <c r="D525" s="97">
        <v>3279785</v>
      </c>
      <c r="E525" s="100"/>
      <c r="F525" s="100"/>
      <c r="G525" s="100"/>
      <c r="H525" s="101"/>
      <c r="I525" s="102">
        <v>4870847</v>
      </c>
      <c r="J525" s="31">
        <f>SUM(C525:G525)-(H525+I525)</f>
        <v>13283340</v>
      </c>
      <c r="L525" s="75"/>
      <c r="M525" s="75"/>
      <c r="N525" s="75"/>
      <c r="O525" s="75"/>
    </row>
    <row r="526" spans="1:15" s="74" customFormat="1">
      <c r="L526" s="75"/>
      <c r="M526" s="75"/>
      <c r="N526" s="75"/>
      <c r="O526" s="75"/>
    </row>
    <row r="527" spans="1:15" s="74" customFormat="1">
      <c r="C527" s="103">
        <f>+SUM(C510:C525)</f>
        <v>17673344</v>
      </c>
      <c r="I527" s="103">
        <f>SUM(I510:I525)</f>
        <v>9525308</v>
      </c>
      <c r="J527" s="103">
        <f>+SUM(J510:J525)</f>
        <v>22229621</v>
      </c>
      <c r="L527" s="75"/>
      <c r="M527" s="75"/>
      <c r="N527" s="75"/>
      <c r="O527" s="75"/>
    </row>
    <row r="528" spans="1:15">
      <c r="C528" s="9"/>
      <c r="I528" s="9"/>
      <c r="J528" s="9"/>
    </row>
    <row r="529" spans="1:11">
      <c r="A529" s="64" t="s">
        <v>71</v>
      </c>
      <c r="B529" s="64"/>
    </row>
    <row r="530" spans="1:11">
      <c r="A530" s="65" t="s">
        <v>72</v>
      </c>
      <c r="B530" s="65"/>
      <c r="C530" s="65"/>
      <c r="D530" s="65"/>
      <c r="E530" s="65"/>
      <c r="F530" s="65"/>
      <c r="G530" s="65"/>
      <c r="H530" s="65"/>
      <c r="I530" s="65"/>
      <c r="J530" s="65"/>
    </row>
    <row r="532" spans="1:11" ht="15" customHeight="1">
      <c r="A532" s="376" t="s">
        <v>54</v>
      </c>
      <c r="B532" s="376" t="s">
        <v>55</v>
      </c>
      <c r="C532" s="387" t="s">
        <v>74</v>
      </c>
      <c r="D532" s="382" t="s">
        <v>56</v>
      </c>
      <c r="E532" s="382"/>
      <c r="F532" s="382"/>
      <c r="G532" s="382"/>
      <c r="H532" s="383" t="s">
        <v>57</v>
      </c>
      <c r="I532" s="385" t="s">
        <v>58</v>
      </c>
      <c r="J532" s="378" t="s">
        <v>75</v>
      </c>
      <c r="K532" s="379"/>
    </row>
    <row r="533" spans="1:11" ht="28.5" customHeight="1">
      <c r="A533" s="377"/>
      <c r="B533" s="377"/>
      <c r="C533" s="377"/>
      <c r="D533" s="69" t="s">
        <v>24</v>
      </c>
      <c r="E533" s="66" t="s">
        <v>25</v>
      </c>
      <c r="F533" s="66" t="s">
        <v>27</v>
      </c>
      <c r="G533" s="66" t="s">
        <v>59</v>
      </c>
      <c r="H533" s="384"/>
      <c r="I533" s="386"/>
      <c r="J533" s="380"/>
      <c r="K533" s="381"/>
    </row>
    <row r="534" spans="1:11">
      <c r="A534" s="47"/>
      <c r="B534" s="47" t="s">
        <v>60</v>
      </c>
      <c r="C534" s="49"/>
      <c r="D534" s="49"/>
      <c r="E534" s="49"/>
      <c r="F534" s="49"/>
      <c r="G534" s="49"/>
      <c r="H534" s="49"/>
      <c r="I534" s="49"/>
      <c r="J534" s="49"/>
      <c r="K534" s="47"/>
    </row>
    <row r="535" spans="1:11">
      <c r="A535" s="47" t="s">
        <v>73</v>
      </c>
      <c r="B535" s="47" t="s">
        <v>48</v>
      </c>
      <c r="C535" s="49">
        <v>89360</v>
      </c>
      <c r="D535" s="49"/>
      <c r="E535" s="49">
        <v>13000</v>
      </c>
      <c r="F535" s="49"/>
      <c r="G535" s="49"/>
      <c r="H535" s="49"/>
      <c r="I535" s="49">
        <v>61800</v>
      </c>
      <c r="J535" s="49">
        <v>40560</v>
      </c>
      <c r="K535" s="47"/>
    </row>
    <row r="536" spans="1:11">
      <c r="A536" s="47" t="s">
        <v>73</v>
      </c>
      <c r="B536" s="47" t="s">
        <v>28</v>
      </c>
      <c r="C536" s="49">
        <v>-1025</v>
      </c>
      <c r="D536" s="49"/>
      <c r="E536" s="49">
        <v>684500</v>
      </c>
      <c r="F536" s="49"/>
      <c r="G536" s="49"/>
      <c r="H536" s="49"/>
      <c r="I536" s="49">
        <v>455500</v>
      </c>
      <c r="J536" s="49">
        <v>227975</v>
      </c>
      <c r="K536" s="47"/>
    </row>
    <row r="537" spans="1:11">
      <c r="A537" s="47" t="s">
        <v>73</v>
      </c>
      <c r="B537" s="47" t="s">
        <v>31</v>
      </c>
      <c r="C537" s="49">
        <v>14395</v>
      </c>
      <c r="D537" s="49"/>
      <c r="E537" s="49">
        <v>40000</v>
      </c>
      <c r="F537" s="49"/>
      <c r="G537" s="49"/>
      <c r="H537" s="49"/>
      <c r="I537" s="49">
        <v>55000</v>
      </c>
      <c r="J537" s="49">
        <v>-605</v>
      </c>
      <c r="K537" s="47"/>
    </row>
    <row r="538" spans="1:11">
      <c r="A538" s="47" t="s">
        <v>73</v>
      </c>
      <c r="B538" s="47" t="s">
        <v>26</v>
      </c>
      <c r="C538" s="49">
        <v>8559</v>
      </c>
      <c r="D538" s="49"/>
      <c r="E538" s="49">
        <v>428750</v>
      </c>
      <c r="F538" s="49">
        <v>280200</v>
      </c>
      <c r="G538" s="49"/>
      <c r="H538" s="49"/>
      <c r="I538" s="49">
        <v>452850</v>
      </c>
      <c r="J538" s="49">
        <v>264659</v>
      </c>
      <c r="K538" s="47"/>
    </row>
    <row r="539" spans="1:11">
      <c r="A539" s="47" t="s">
        <v>73</v>
      </c>
      <c r="B539" s="47" t="s">
        <v>49</v>
      </c>
      <c r="C539" s="49">
        <v>-5750</v>
      </c>
      <c r="D539" s="49"/>
      <c r="E539" s="49">
        <v>1161750</v>
      </c>
      <c r="F539" s="49"/>
      <c r="G539" s="49"/>
      <c r="H539" s="49">
        <v>124000</v>
      </c>
      <c r="I539" s="49">
        <v>759500</v>
      </c>
      <c r="J539" s="49">
        <v>272500</v>
      </c>
      <c r="K539" s="47"/>
    </row>
    <row r="540" spans="1:11">
      <c r="A540" s="47" t="s">
        <v>73</v>
      </c>
      <c r="B540" s="47" t="s">
        <v>36</v>
      </c>
      <c r="C540" s="49">
        <v>12995</v>
      </c>
      <c r="D540" s="49"/>
      <c r="E540" s="49">
        <v>726000</v>
      </c>
      <c r="F540" s="49"/>
      <c r="G540" s="49"/>
      <c r="H540" s="49"/>
      <c r="I540" s="49">
        <v>454400</v>
      </c>
      <c r="J540" s="49">
        <v>284595</v>
      </c>
      <c r="K540" s="47"/>
    </row>
    <row r="541" spans="1:11">
      <c r="A541" s="47" t="s">
        <v>73</v>
      </c>
      <c r="B541" s="47" t="s">
        <v>27</v>
      </c>
      <c r="C541" s="49">
        <v>6050</v>
      </c>
      <c r="D541" s="49"/>
      <c r="E541" s="49">
        <v>736300</v>
      </c>
      <c r="F541" s="49"/>
      <c r="G541" s="49"/>
      <c r="H541" s="49">
        <v>405200</v>
      </c>
      <c r="I541" s="49">
        <v>338900</v>
      </c>
      <c r="J541" s="49">
        <v>-1750</v>
      </c>
      <c r="K541" s="47"/>
    </row>
    <row r="542" spans="1:11">
      <c r="A542" s="47" t="s">
        <v>73</v>
      </c>
      <c r="B542" s="47" t="s">
        <v>29</v>
      </c>
      <c r="C542" s="49">
        <v>142400</v>
      </c>
      <c r="D542" s="49"/>
      <c r="E542" s="49">
        <v>1014000</v>
      </c>
      <c r="F542" s="49"/>
      <c r="G542" s="49"/>
      <c r="H542" s="49">
        <v>100000</v>
      </c>
      <c r="I542" s="49">
        <v>790800</v>
      </c>
      <c r="J542" s="49">
        <v>265600</v>
      </c>
      <c r="K542" s="47"/>
    </row>
    <row r="543" spans="1:11">
      <c r="A543" s="47" t="s">
        <v>73</v>
      </c>
      <c r="B543" s="47" t="s">
        <v>50</v>
      </c>
      <c r="C543" s="49">
        <v>-221251.00072999997</v>
      </c>
      <c r="D543" s="49"/>
      <c r="E543" s="49">
        <v>485000</v>
      </c>
      <c r="F543" s="49"/>
      <c r="G543" s="49"/>
      <c r="H543" s="49">
        <v>5000</v>
      </c>
      <c r="I543" s="49">
        <v>475000</v>
      </c>
      <c r="J543" s="49">
        <v>-216251.00072999997</v>
      </c>
      <c r="K543" s="47"/>
    </row>
    <row r="544" spans="1:11">
      <c r="A544" s="47" t="s">
        <v>73</v>
      </c>
      <c r="B544" s="47" t="s">
        <v>33</v>
      </c>
      <c r="C544" s="49">
        <v>14225</v>
      </c>
      <c r="D544" s="49"/>
      <c r="E544" s="49">
        <v>30000</v>
      </c>
      <c r="F544" s="49"/>
      <c r="G544" s="49"/>
      <c r="H544" s="49"/>
      <c r="I544" s="49">
        <v>43200</v>
      </c>
      <c r="J544" s="49">
        <v>1025</v>
      </c>
      <c r="K544" s="47"/>
    </row>
    <row r="545" spans="1:11">
      <c r="A545" s="67" t="s">
        <v>61</v>
      </c>
      <c r="B545" s="67"/>
      <c r="C545" s="68"/>
      <c r="D545" s="68"/>
      <c r="E545" s="68"/>
      <c r="F545" s="68"/>
      <c r="G545" s="68"/>
      <c r="H545" s="68"/>
      <c r="I545" s="68"/>
      <c r="J545" s="68"/>
      <c r="K545" s="67"/>
    </row>
    <row r="546" spans="1:11">
      <c r="A546" s="47" t="s">
        <v>73</v>
      </c>
      <c r="B546" s="47" t="s">
        <v>62</v>
      </c>
      <c r="C546" s="49">
        <v>494738</v>
      </c>
      <c r="D546" s="49">
        <v>6000000</v>
      </c>
      <c r="E546" s="49"/>
      <c r="F546" s="49"/>
      <c r="G546" s="49">
        <v>105000</v>
      </c>
      <c r="H546" s="49">
        <v>5070300</v>
      </c>
      <c r="I546" s="49">
        <v>574642</v>
      </c>
      <c r="J546" s="49">
        <v>954796</v>
      </c>
      <c r="K546" s="47"/>
    </row>
    <row r="547" spans="1:11">
      <c r="A547" s="67" t="s">
        <v>63</v>
      </c>
      <c r="B547" s="67"/>
      <c r="C547" s="68"/>
      <c r="D547" s="68"/>
      <c r="E547" s="68"/>
      <c r="F547" s="68"/>
      <c r="G547" s="68"/>
      <c r="H547" s="68"/>
      <c r="I547" s="68"/>
      <c r="J547" s="68"/>
      <c r="K547" s="67"/>
    </row>
    <row r="548" spans="1:11">
      <c r="A548" s="47" t="s">
        <v>73</v>
      </c>
      <c r="B548" s="47" t="s">
        <v>64</v>
      </c>
      <c r="C548" s="49">
        <v>11363703</v>
      </c>
      <c r="D548" s="49"/>
      <c r="E548" s="49"/>
      <c r="F548" s="49"/>
      <c r="G548" s="49"/>
      <c r="H548" s="49">
        <v>10000000</v>
      </c>
      <c r="I548" s="49">
        <v>657865</v>
      </c>
      <c r="J548" s="49">
        <v>705838</v>
      </c>
      <c r="K548" s="47"/>
    </row>
    <row r="549" spans="1:11">
      <c r="A549" s="47" t="s">
        <v>73</v>
      </c>
      <c r="B549" s="47" t="s">
        <v>65</v>
      </c>
      <c r="C549" s="49">
        <v>4902843</v>
      </c>
      <c r="D549" s="49">
        <v>17119140</v>
      </c>
      <c r="E549" s="49"/>
      <c r="F549" s="49"/>
      <c r="G549" s="49"/>
      <c r="H549" s="49"/>
      <c r="I549" s="49">
        <v>7147581</v>
      </c>
      <c r="J549" s="49">
        <v>14874402</v>
      </c>
      <c r="K549" s="47"/>
    </row>
    <row r="550" spans="1:11">
      <c r="A550" s="47"/>
      <c r="B550" s="47"/>
      <c r="C550" s="49"/>
      <c r="D550" s="49"/>
      <c r="E550" s="49"/>
      <c r="F550" s="49"/>
      <c r="G550" s="49"/>
      <c r="H550" s="49"/>
      <c r="I550" s="49"/>
      <c r="J550" s="49"/>
      <c r="K550" s="47"/>
    </row>
    <row r="551" spans="1:11">
      <c r="A551" s="47"/>
      <c r="B551" s="47"/>
      <c r="C551" s="49"/>
      <c r="D551" s="49"/>
      <c r="E551" s="49"/>
      <c r="F551" s="49"/>
      <c r="G551" s="49"/>
      <c r="H551" s="49"/>
      <c r="I551" s="49">
        <v>12267038</v>
      </c>
      <c r="J551" s="49">
        <v>17673343.99927</v>
      </c>
      <c r="K551" s="47" t="b">
        <v>1</v>
      </c>
    </row>
    <row r="552" spans="1:11">
      <c r="J552" s="70" t="b">
        <f>J551=[11]TABLEAU!$I$16</f>
        <v>1</v>
      </c>
    </row>
  </sheetData>
  <mergeCells count="133">
    <mergeCell ref="A24:A25"/>
    <mergeCell ref="B24:B25"/>
    <mergeCell ref="C24:C25"/>
    <mergeCell ref="D24:G24"/>
    <mergeCell ref="H24:H25"/>
    <mergeCell ref="I24:I25"/>
    <mergeCell ref="J25:J26"/>
    <mergeCell ref="I291:I292"/>
    <mergeCell ref="J292:J293"/>
    <mergeCell ref="A291:A292"/>
    <mergeCell ref="B291:B292"/>
    <mergeCell ref="C291:C292"/>
    <mergeCell ref="D291:G291"/>
    <mergeCell ref="H291:H292"/>
    <mergeCell ref="A144:A145"/>
    <mergeCell ref="B144:B145"/>
    <mergeCell ref="C144:C145"/>
    <mergeCell ref="D144:G144"/>
    <mergeCell ref="H144:H145"/>
    <mergeCell ref="I144:I145"/>
    <mergeCell ref="J145:J146"/>
    <mergeCell ref="I216:I217"/>
    <mergeCell ref="J217:J218"/>
    <mergeCell ref="A216:A217"/>
    <mergeCell ref="A265:A266"/>
    <mergeCell ref="I427:I428"/>
    <mergeCell ref="J428:J429"/>
    <mergeCell ref="A427:A428"/>
    <mergeCell ref="B427:B428"/>
    <mergeCell ref="C427:C428"/>
    <mergeCell ref="D427:G427"/>
    <mergeCell ref="H427:H428"/>
    <mergeCell ref="I372:I373"/>
    <mergeCell ref="J373:J374"/>
    <mergeCell ref="A372:A373"/>
    <mergeCell ref="B372:B373"/>
    <mergeCell ref="C372:C373"/>
    <mergeCell ref="D372:G372"/>
    <mergeCell ref="H372:H373"/>
    <mergeCell ref="I400:I401"/>
    <mergeCell ref="J401:J402"/>
    <mergeCell ref="A400:A401"/>
    <mergeCell ref="I317:I318"/>
    <mergeCell ref="J318:J319"/>
    <mergeCell ref="A317:A318"/>
    <mergeCell ref="B317:B318"/>
    <mergeCell ref="C317:C318"/>
    <mergeCell ref="D317:G317"/>
    <mergeCell ref="A532:A533"/>
    <mergeCell ref="J481:J482"/>
    <mergeCell ref="A480:A481"/>
    <mergeCell ref="B480:B481"/>
    <mergeCell ref="C480:C481"/>
    <mergeCell ref="D480:G480"/>
    <mergeCell ref="H480:H481"/>
    <mergeCell ref="I480:I481"/>
    <mergeCell ref="B532:B533"/>
    <mergeCell ref="J532:K533"/>
    <mergeCell ref="D532:G532"/>
    <mergeCell ref="H532:H533"/>
    <mergeCell ref="I532:I533"/>
    <mergeCell ref="C532:C533"/>
    <mergeCell ref="B507:B508"/>
    <mergeCell ref="C507:C508"/>
    <mergeCell ref="C453:C454"/>
    <mergeCell ref="D453:G453"/>
    <mergeCell ref="H453:H454"/>
    <mergeCell ref="A507:A508"/>
    <mergeCell ref="D507:G507"/>
    <mergeCell ref="H507:H508"/>
    <mergeCell ref="J508:J509"/>
    <mergeCell ref="I507:I508"/>
    <mergeCell ref="I344:I345"/>
    <mergeCell ref="J345:J346"/>
    <mergeCell ref="A344:A345"/>
    <mergeCell ref="B344:B345"/>
    <mergeCell ref="C344:C345"/>
    <mergeCell ref="D344:G344"/>
    <mergeCell ref="H344:H345"/>
    <mergeCell ref="B400:B401"/>
    <mergeCell ref="C400:C401"/>
    <mergeCell ref="D400:G400"/>
    <mergeCell ref="H400:H401"/>
    <mergeCell ref="I453:I454"/>
    <mergeCell ref="J454:J455"/>
    <mergeCell ref="A453:A454"/>
    <mergeCell ref="B453:B454"/>
    <mergeCell ref="H317:H318"/>
    <mergeCell ref="B265:B266"/>
    <mergeCell ref="C265:C266"/>
    <mergeCell ref="D265:G265"/>
    <mergeCell ref="H265:H266"/>
    <mergeCell ref="I240:I241"/>
    <mergeCell ref="I265:I266"/>
    <mergeCell ref="J241:J242"/>
    <mergeCell ref="J266:J267"/>
    <mergeCell ref="A240:A241"/>
    <mergeCell ref="B240:B241"/>
    <mergeCell ref="C240:C241"/>
    <mergeCell ref="D240:G240"/>
    <mergeCell ref="H240:H241"/>
    <mergeCell ref="I169:I170"/>
    <mergeCell ref="J170:J171"/>
    <mergeCell ref="A169:A170"/>
    <mergeCell ref="B169:B170"/>
    <mergeCell ref="C169:C170"/>
    <mergeCell ref="D169:G169"/>
    <mergeCell ref="H169:H170"/>
    <mergeCell ref="I192:I193"/>
    <mergeCell ref="J193:J194"/>
    <mergeCell ref="A192:A193"/>
    <mergeCell ref="B192:B193"/>
    <mergeCell ref="C192:C193"/>
    <mergeCell ref="D192:G192"/>
    <mergeCell ref="H192:H193"/>
    <mergeCell ref="B216:B217"/>
    <mergeCell ref="C216:C217"/>
    <mergeCell ref="D216:G216"/>
    <mergeCell ref="H216:H217"/>
    <mergeCell ref="A71:A72"/>
    <mergeCell ref="B71:B72"/>
    <mergeCell ref="C71:C72"/>
    <mergeCell ref="D71:G71"/>
    <mergeCell ref="H71:H72"/>
    <mergeCell ref="I71:I72"/>
    <mergeCell ref="J72:J73"/>
    <mergeCell ref="A119:A120"/>
    <mergeCell ref="B119:B120"/>
    <mergeCell ref="C119:C120"/>
    <mergeCell ref="D119:G119"/>
    <mergeCell ref="H119:H120"/>
    <mergeCell ref="I119:I120"/>
    <mergeCell ref="J120:J1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B6"/>
  <sheetViews>
    <sheetView workbookViewId="0">
      <selection activeCell="E14" sqref="E14"/>
    </sheetView>
  </sheetViews>
  <sheetFormatPr baseColWidth="10" defaultRowHeight="15"/>
  <cols>
    <col min="1" max="1" width="21" bestFit="1" customWidth="1"/>
    <col min="2" max="2" width="16.140625" customWidth="1"/>
  </cols>
  <sheetData>
    <row r="3" spans="1:2">
      <c r="A3" s="1" t="s">
        <v>129</v>
      </c>
      <c r="B3" t="s">
        <v>136</v>
      </c>
    </row>
    <row r="4" spans="1:2">
      <c r="A4" s="2" t="s">
        <v>103</v>
      </c>
      <c r="B4" s="169">
        <v>8931444</v>
      </c>
    </row>
    <row r="5" spans="1:2">
      <c r="A5" s="2" t="s">
        <v>168</v>
      </c>
      <c r="B5" s="169">
        <v>1255970</v>
      </c>
    </row>
    <row r="6" spans="1:2">
      <c r="A6" s="2" t="s">
        <v>130</v>
      </c>
      <c r="B6" s="169">
        <v>10187414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AW19"/>
  <sheetViews>
    <sheetView workbookViewId="0">
      <pane xSplit="1" topLeftCell="AO1" activePane="topRight" state="frozen"/>
      <selection pane="topRight" activeCell="AV15" sqref="AV15"/>
    </sheetView>
  </sheetViews>
  <sheetFormatPr baseColWidth="10" defaultRowHeight="15"/>
  <cols>
    <col min="1" max="1" width="21" customWidth="1"/>
    <col min="2" max="2" width="23.85546875" bestFit="1" customWidth="1"/>
    <col min="3" max="3" width="19.140625" customWidth="1"/>
    <col min="4" max="4" width="16.140625" bestFit="1" customWidth="1"/>
    <col min="5" max="5" width="19.140625" customWidth="1"/>
    <col min="6" max="6" width="16.140625" customWidth="1"/>
    <col min="7" max="7" width="19.140625" customWidth="1"/>
    <col min="8" max="8" width="16.140625" customWidth="1"/>
    <col min="9" max="9" width="19.140625" bestFit="1" customWidth="1"/>
    <col min="10" max="10" width="16.140625" bestFit="1" customWidth="1"/>
    <col min="11" max="11" width="19.140625" customWidth="1"/>
    <col min="12" max="12" width="16.140625" bestFit="1" customWidth="1"/>
    <col min="13" max="13" width="19.140625" customWidth="1"/>
    <col min="14" max="14" width="16.140625" customWidth="1"/>
    <col min="15" max="15" width="19.140625" bestFit="1" customWidth="1"/>
    <col min="16" max="16" width="16.140625" customWidth="1"/>
    <col min="17" max="17" width="19.140625" bestFit="1" customWidth="1"/>
    <col min="18" max="18" width="16.140625" customWidth="1"/>
    <col min="19" max="19" width="19.140625" bestFit="1" customWidth="1"/>
    <col min="20" max="20" width="16.140625" customWidth="1"/>
    <col min="21" max="21" width="19.140625" customWidth="1"/>
    <col min="22" max="22" width="16.140625" customWidth="1"/>
    <col min="23" max="23" width="19.140625" customWidth="1"/>
    <col min="24" max="24" width="16.140625" customWidth="1"/>
    <col min="25" max="25" width="19.140625" bestFit="1" customWidth="1"/>
    <col min="26" max="26" width="16.140625" customWidth="1"/>
    <col min="27" max="27" width="19.140625" customWidth="1"/>
    <col min="28" max="28" width="16.140625" customWidth="1"/>
    <col min="29" max="29" width="19.140625" customWidth="1"/>
    <col min="30" max="30" width="16.140625" bestFit="1" customWidth="1"/>
    <col min="31" max="31" width="19.140625" bestFit="1" customWidth="1"/>
    <col min="32" max="32" width="16.140625" customWidth="1"/>
    <col min="33" max="33" width="19.140625" bestFit="1" customWidth="1"/>
    <col min="34" max="34" width="17.5703125" customWidth="1"/>
    <col min="35" max="35" width="19.140625" customWidth="1"/>
    <col min="36" max="36" width="16.140625" bestFit="1" customWidth="1"/>
    <col min="37" max="37" width="19.140625" customWidth="1"/>
    <col min="38" max="38" width="16.140625" bestFit="1" customWidth="1"/>
    <col min="39" max="39" width="19.140625" bestFit="1" customWidth="1"/>
    <col min="40" max="40" width="16.140625" bestFit="1" customWidth="1"/>
    <col min="41" max="41" width="19.140625" customWidth="1"/>
    <col min="42" max="42" width="21" customWidth="1"/>
    <col min="43" max="43" width="24.140625" customWidth="1"/>
    <col min="44" max="44" width="21" customWidth="1"/>
    <col min="45" max="45" width="15.85546875" customWidth="1"/>
    <col min="46" max="46" width="18.7109375" customWidth="1"/>
    <col min="47" max="47" width="16.140625" customWidth="1"/>
  </cols>
  <sheetData>
    <row r="3" spans="1:49">
      <c r="B3" s="1" t="s">
        <v>131</v>
      </c>
    </row>
    <row r="4" spans="1:49">
      <c r="B4" t="s">
        <v>352</v>
      </c>
      <c r="D4" t="s">
        <v>278</v>
      </c>
      <c r="F4" t="s">
        <v>191</v>
      </c>
      <c r="H4" t="s">
        <v>176</v>
      </c>
      <c r="J4" t="s">
        <v>254</v>
      </c>
      <c r="L4" t="s">
        <v>140</v>
      </c>
      <c r="N4" t="s">
        <v>146</v>
      </c>
      <c r="P4" t="s">
        <v>145</v>
      </c>
      <c r="R4" t="s">
        <v>35</v>
      </c>
      <c r="T4" t="s">
        <v>185</v>
      </c>
      <c r="V4" t="s">
        <v>193</v>
      </c>
      <c r="X4" t="s">
        <v>3</v>
      </c>
      <c r="Z4" t="s">
        <v>186</v>
      </c>
      <c r="AB4" t="s">
        <v>187</v>
      </c>
      <c r="AD4" t="s">
        <v>34</v>
      </c>
      <c r="AF4" t="s">
        <v>271</v>
      </c>
      <c r="AH4" t="s">
        <v>159</v>
      </c>
      <c r="AJ4" t="s">
        <v>323</v>
      </c>
      <c r="AL4" t="s">
        <v>76</v>
      </c>
      <c r="AN4" t="s">
        <v>189</v>
      </c>
      <c r="AP4" t="s">
        <v>139</v>
      </c>
      <c r="AQ4" t="s">
        <v>137</v>
      </c>
    </row>
    <row r="5" spans="1:49">
      <c r="A5" s="1" t="s">
        <v>129</v>
      </c>
      <c r="B5" t="s">
        <v>136</v>
      </c>
      <c r="C5" t="s">
        <v>138</v>
      </c>
      <c r="D5" t="s">
        <v>136</v>
      </c>
      <c r="E5" t="s">
        <v>138</v>
      </c>
      <c r="F5" t="s">
        <v>136</v>
      </c>
      <c r="G5" t="s">
        <v>138</v>
      </c>
      <c r="H5" t="s">
        <v>136</v>
      </c>
      <c r="I5" t="s">
        <v>138</v>
      </c>
      <c r="J5" t="s">
        <v>136</v>
      </c>
      <c r="K5" t="s">
        <v>138</v>
      </c>
      <c r="L5" t="s">
        <v>136</v>
      </c>
      <c r="M5" t="s">
        <v>138</v>
      </c>
      <c r="N5" t="s">
        <v>136</v>
      </c>
      <c r="O5" t="s">
        <v>138</v>
      </c>
      <c r="P5" t="s">
        <v>136</v>
      </c>
      <c r="Q5" t="s">
        <v>138</v>
      </c>
      <c r="R5" t="s">
        <v>136</v>
      </c>
      <c r="S5" t="s">
        <v>138</v>
      </c>
      <c r="T5" t="s">
        <v>136</v>
      </c>
      <c r="U5" t="s">
        <v>138</v>
      </c>
      <c r="V5" t="s">
        <v>136</v>
      </c>
      <c r="W5" t="s">
        <v>138</v>
      </c>
      <c r="X5" t="s">
        <v>136</v>
      </c>
      <c r="Y5" t="s">
        <v>138</v>
      </c>
      <c r="Z5" t="s">
        <v>136</v>
      </c>
      <c r="AA5" t="s">
        <v>138</v>
      </c>
      <c r="AB5" t="s">
        <v>136</v>
      </c>
      <c r="AC5" t="s">
        <v>138</v>
      </c>
      <c r="AD5" t="s">
        <v>136</v>
      </c>
      <c r="AE5" t="s">
        <v>138</v>
      </c>
      <c r="AF5" t="s">
        <v>136</v>
      </c>
      <c r="AG5" t="s">
        <v>138</v>
      </c>
      <c r="AH5" t="s">
        <v>136</v>
      </c>
      <c r="AI5" t="s">
        <v>138</v>
      </c>
      <c r="AJ5" t="s">
        <v>136</v>
      </c>
      <c r="AK5" t="s">
        <v>138</v>
      </c>
      <c r="AL5" t="s">
        <v>136</v>
      </c>
      <c r="AM5" t="s">
        <v>138</v>
      </c>
      <c r="AN5" t="s">
        <v>136</v>
      </c>
      <c r="AO5" t="s">
        <v>138</v>
      </c>
      <c r="AS5" s="47" t="s">
        <v>379</v>
      </c>
      <c r="AT5" s="47" t="s">
        <v>43</v>
      </c>
      <c r="AU5" s="47" t="s">
        <v>44</v>
      </c>
      <c r="AV5" s="47" t="s">
        <v>45</v>
      </c>
      <c r="AW5" s="47" t="s">
        <v>46</v>
      </c>
    </row>
    <row r="6" spans="1:49">
      <c r="A6" s="2" t="s">
        <v>175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>
        <v>179500</v>
      </c>
      <c r="AE6" s="169"/>
      <c r="AF6" s="169"/>
      <c r="AG6" s="169"/>
      <c r="AH6" s="169">
        <v>310000</v>
      </c>
      <c r="AI6" s="169"/>
      <c r="AJ6" s="169">
        <v>86500</v>
      </c>
      <c r="AK6" s="169"/>
      <c r="AL6" s="169"/>
      <c r="AM6" s="169">
        <v>567000</v>
      </c>
      <c r="AN6" s="169"/>
      <c r="AO6" s="169"/>
      <c r="AP6" s="169">
        <v>576000</v>
      </c>
      <c r="AQ6" s="169">
        <v>567000</v>
      </c>
      <c r="AS6" s="47" t="str">
        <f>A6</f>
        <v>B52</v>
      </c>
      <c r="AT6" s="49">
        <f>AM6</f>
        <v>567000</v>
      </c>
      <c r="AU6" s="49">
        <f>AL6</f>
        <v>0</v>
      </c>
      <c r="AV6" s="49">
        <f>AP6-AU6</f>
        <v>576000</v>
      </c>
      <c r="AW6" s="49">
        <v>0</v>
      </c>
    </row>
    <row r="7" spans="1:49">
      <c r="A7" s="2" t="s">
        <v>24</v>
      </c>
      <c r="B7" s="169">
        <v>23345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>
        <v>260000</v>
      </c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>
        <v>1000000</v>
      </c>
      <c r="AM7" s="169"/>
      <c r="AN7" s="169"/>
      <c r="AO7" s="169"/>
      <c r="AP7" s="169">
        <v>1283345</v>
      </c>
      <c r="AQ7" s="169"/>
      <c r="AS7" s="47" t="str">
        <f t="shared" ref="AS7:AS16" si="0">A7</f>
        <v>BCI</v>
      </c>
      <c r="AT7" s="49">
        <f t="shared" ref="AT7:AT15" si="1">AM7</f>
        <v>0</v>
      </c>
      <c r="AU7" s="49">
        <f t="shared" ref="AU7:AU16" si="2">AL7</f>
        <v>1000000</v>
      </c>
      <c r="AV7" s="49">
        <f>AP7-AU7</f>
        <v>283345</v>
      </c>
      <c r="AW7" s="49">
        <v>0</v>
      </c>
    </row>
    <row r="8" spans="1:49">
      <c r="A8" s="2" t="s">
        <v>160</v>
      </c>
      <c r="B8" s="169">
        <v>16252</v>
      </c>
      <c r="C8" s="169"/>
      <c r="D8" s="169"/>
      <c r="E8" s="169"/>
      <c r="F8" s="169"/>
      <c r="G8" s="169"/>
      <c r="H8" s="169"/>
      <c r="I8" s="169"/>
      <c r="J8" s="169"/>
      <c r="K8" s="169">
        <v>17525203</v>
      </c>
      <c r="L8" s="169"/>
      <c r="M8" s="169"/>
      <c r="N8" s="169"/>
      <c r="O8" s="169"/>
      <c r="P8" s="169">
        <v>350000</v>
      </c>
      <c r="Q8" s="169"/>
      <c r="R8" s="169"/>
      <c r="S8" s="169"/>
      <c r="T8" s="169">
        <v>5357472</v>
      </c>
      <c r="U8" s="169"/>
      <c r="V8" s="169">
        <v>500000</v>
      </c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>
        <v>2000000</v>
      </c>
      <c r="AM8" s="169"/>
      <c r="AN8" s="169"/>
      <c r="AO8" s="169"/>
      <c r="AP8" s="169">
        <v>8223724</v>
      </c>
      <c r="AQ8" s="169">
        <v>17525203</v>
      </c>
      <c r="AS8" s="47" t="str">
        <f t="shared" si="0"/>
        <v>BCI-Sous Compte</v>
      </c>
      <c r="AT8" s="49">
        <f t="shared" si="1"/>
        <v>0</v>
      </c>
      <c r="AU8" s="49">
        <f t="shared" si="2"/>
        <v>2000000</v>
      </c>
      <c r="AV8" s="49">
        <f>AP8-AU8</f>
        <v>6223724</v>
      </c>
      <c r="AW8" s="49">
        <f>GETPIVOTDATA("Somme de Received",$A$3,"Type de dépenses","Grant","Name","BCI-Sous Compte")</f>
        <v>17525203</v>
      </c>
    </row>
    <row r="9" spans="1:49">
      <c r="A9" s="2" t="s">
        <v>25</v>
      </c>
      <c r="B9" s="169"/>
      <c r="C9" s="169"/>
      <c r="D9" s="169"/>
      <c r="E9" s="169"/>
      <c r="F9" s="169"/>
      <c r="G9" s="169"/>
      <c r="H9" s="169">
        <v>18000</v>
      </c>
      <c r="I9" s="169"/>
      <c r="J9" s="169"/>
      <c r="K9" s="169"/>
      <c r="L9" s="169">
        <v>89175</v>
      </c>
      <c r="M9" s="169"/>
      <c r="N9" s="169"/>
      <c r="O9" s="169"/>
      <c r="P9" s="169">
        <v>142000</v>
      </c>
      <c r="Q9" s="169"/>
      <c r="R9" s="169">
        <v>227400</v>
      </c>
      <c r="S9" s="169"/>
      <c r="T9" s="169">
        <v>38170</v>
      </c>
      <c r="U9" s="169"/>
      <c r="V9" s="169">
        <v>74175</v>
      </c>
      <c r="W9" s="169"/>
      <c r="X9" s="169">
        <v>75625</v>
      </c>
      <c r="Y9" s="169"/>
      <c r="Z9" s="169">
        <v>284000</v>
      </c>
      <c r="AA9" s="169"/>
      <c r="AB9" s="169">
        <v>18090</v>
      </c>
      <c r="AC9" s="169"/>
      <c r="AD9" s="169"/>
      <c r="AE9" s="169"/>
      <c r="AF9" s="169"/>
      <c r="AG9" s="169"/>
      <c r="AH9" s="169"/>
      <c r="AI9" s="169"/>
      <c r="AJ9" s="169"/>
      <c r="AK9" s="169"/>
      <c r="AL9" s="169">
        <v>2530000</v>
      </c>
      <c r="AM9" s="169">
        <v>3035000</v>
      </c>
      <c r="AN9" s="169"/>
      <c r="AO9" s="169"/>
      <c r="AP9" s="169">
        <v>3496635</v>
      </c>
      <c r="AQ9" s="169">
        <v>3035000</v>
      </c>
      <c r="AS9" s="47" t="str">
        <f t="shared" si="0"/>
        <v>Caisse</v>
      </c>
      <c r="AT9" s="49">
        <f t="shared" si="1"/>
        <v>3035000</v>
      </c>
      <c r="AU9" s="49">
        <f t="shared" si="2"/>
        <v>2530000</v>
      </c>
      <c r="AV9" s="49">
        <f>AP9-AU9</f>
        <v>966635</v>
      </c>
      <c r="AW9" s="49">
        <v>0</v>
      </c>
    </row>
    <row r="10" spans="1:49">
      <c r="A10" s="2" t="s">
        <v>48</v>
      </c>
      <c r="B10" s="169"/>
      <c r="C10" s="169"/>
      <c r="D10" s="169">
        <v>90000</v>
      </c>
      <c r="E10" s="169"/>
      <c r="F10" s="169"/>
      <c r="G10" s="169"/>
      <c r="H10" s="169"/>
      <c r="I10" s="169"/>
      <c r="J10" s="169"/>
      <c r="K10" s="169"/>
      <c r="L10" s="169"/>
      <c r="M10" s="169"/>
      <c r="N10" s="169">
        <v>9000</v>
      </c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>
        <v>40900</v>
      </c>
      <c r="AE10" s="169"/>
      <c r="AF10" s="169"/>
      <c r="AG10" s="169"/>
      <c r="AH10" s="169">
        <v>50000</v>
      </c>
      <c r="AI10" s="169"/>
      <c r="AJ10" s="169"/>
      <c r="AK10" s="169"/>
      <c r="AL10" s="169">
        <v>20000</v>
      </c>
      <c r="AM10" s="169">
        <v>256000</v>
      </c>
      <c r="AN10" s="169"/>
      <c r="AO10" s="169"/>
      <c r="AP10" s="169">
        <v>209900</v>
      </c>
      <c r="AQ10" s="169">
        <v>256000</v>
      </c>
      <c r="AS10" s="47" t="str">
        <f t="shared" si="0"/>
        <v>Crépin</v>
      </c>
      <c r="AT10" s="49">
        <f t="shared" si="1"/>
        <v>256000</v>
      </c>
      <c r="AU10" s="49">
        <f t="shared" si="2"/>
        <v>20000</v>
      </c>
      <c r="AV10" s="49">
        <f>AP10-AU10</f>
        <v>189900</v>
      </c>
      <c r="AW10" s="49">
        <v>0</v>
      </c>
    </row>
    <row r="11" spans="1:49">
      <c r="A11" s="2" t="s">
        <v>155</v>
      </c>
      <c r="B11" s="169"/>
      <c r="C11" s="169"/>
      <c r="D11" s="169">
        <v>35000</v>
      </c>
      <c r="E11" s="169"/>
      <c r="F11" s="169"/>
      <c r="G11" s="169"/>
      <c r="H11" s="169"/>
      <c r="I11" s="169"/>
      <c r="J11" s="169"/>
      <c r="K11" s="169"/>
      <c r="L11" s="169"/>
      <c r="M11" s="169"/>
      <c r="N11" s="169">
        <v>29000</v>
      </c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>
        <v>106000</v>
      </c>
      <c r="AE11" s="169"/>
      <c r="AF11" s="169"/>
      <c r="AG11" s="169"/>
      <c r="AH11" s="169">
        <v>150000</v>
      </c>
      <c r="AI11" s="169"/>
      <c r="AJ11" s="169"/>
      <c r="AK11" s="169"/>
      <c r="AL11" s="169"/>
      <c r="AM11" s="169">
        <v>365000</v>
      </c>
      <c r="AN11" s="169"/>
      <c r="AO11" s="169"/>
      <c r="AP11" s="169">
        <v>320000</v>
      </c>
      <c r="AQ11" s="169">
        <v>365000</v>
      </c>
      <c r="AS11" s="47" t="str">
        <f t="shared" si="0"/>
        <v>Godfré</v>
      </c>
      <c r="AT11" s="49">
        <f t="shared" si="1"/>
        <v>365000</v>
      </c>
      <c r="AU11" s="49">
        <f t="shared" si="2"/>
        <v>0</v>
      </c>
      <c r="AV11" s="49">
        <f t="shared" ref="AV11:AV14" si="3">AP11-AU11</f>
        <v>320000</v>
      </c>
      <c r="AW11" s="49">
        <v>0</v>
      </c>
    </row>
    <row r="12" spans="1:49">
      <c r="A12" s="2" t="s">
        <v>154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>
        <v>9400</v>
      </c>
      <c r="AE12" s="169"/>
      <c r="AF12" s="169"/>
      <c r="AG12" s="169"/>
      <c r="AH12" s="169"/>
      <c r="AI12" s="169"/>
      <c r="AJ12" s="169"/>
      <c r="AK12" s="169"/>
      <c r="AL12" s="169">
        <v>15000</v>
      </c>
      <c r="AM12" s="169"/>
      <c r="AN12" s="169"/>
      <c r="AO12" s="169"/>
      <c r="AP12" s="169">
        <v>24400</v>
      </c>
      <c r="AQ12" s="169"/>
      <c r="AS12" s="47" t="str">
        <f t="shared" si="0"/>
        <v>Grace</v>
      </c>
      <c r="AT12" s="49">
        <f t="shared" si="1"/>
        <v>0</v>
      </c>
      <c r="AU12" s="49">
        <f t="shared" si="2"/>
        <v>15000</v>
      </c>
      <c r="AV12" s="49">
        <f>AP12-AU12</f>
        <v>9400</v>
      </c>
      <c r="AW12" s="49">
        <v>0</v>
      </c>
    </row>
    <row r="13" spans="1:49">
      <c r="A13" s="2" t="s">
        <v>49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>
        <v>164000</v>
      </c>
      <c r="AE13" s="169"/>
      <c r="AF13" s="169"/>
      <c r="AG13" s="169"/>
      <c r="AH13" s="169">
        <v>275000</v>
      </c>
      <c r="AI13" s="169"/>
      <c r="AJ13" s="169">
        <v>34500</v>
      </c>
      <c r="AK13" s="169"/>
      <c r="AL13" s="169"/>
      <c r="AM13" s="169">
        <v>492000</v>
      </c>
      <c r="AN13" s="169"/>
      <c r="AO13" s="169"/>
      <c r="AP13" s="169">
        <v>473500</v>
      </c>
      <c r="AQ13" s="169">
        <v>492000</v>
      </c>
      <c r="AS13" s="47" t="str">
        <f t="shared" si="0"/>
        <v>i23c</v>
      </c>
      <c r="AT13" s="49">
        <f t="shared" si="1"/>
        <v>492000</v>
      </c>
      <c r="AU13" s="49">
        <f t="shared" si="2"/>
        <v>0</v>
      </c>
      <c r="AV13" s="49">
        <f t="shared" si="3"/>
        <v>473500</v>
      </c>
      <c r="AW13" s="49">
        <v>0</v>
      </c>
    </row>
    <row r="14" spans="1:49">
      <c r="A14" s="2" t="s">
        <v>94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>
        <v>12500</v>
      </c>
      <c r="AE14" s="169"/>
      <c r="AF14" s="169"/>
      <c r="AG14" s="169"/>
      <c r="AH14" s="169"/>
      <c r="AI14" s="169"/>
      <c r="AJ14" s="169"/>
      <c r="AK14" s="169"/>
      <c r="AL14" s="169"/>
      <c r="AM14" s="169">
        <v>20000</v>
      </c>
      <c r="AN14" s="169"/>
      <c r="AO14" s="169"/>
      <c r="AP14" s="169">
        <v>12500</v>
      </c>
      <c r="AQ14" s="169">
        <v>20000</v>
      </c>
      <c r="AS14" s="47" t="str">
        <f t="shared" si="0"/>
        <v>Merveille</v>
      </c>
      <c r="AT14" s="49">
        <f t="shared" si="1"/>
        <v>20000</v>
      </c>
      <c r="AU14" s="49">
        <f t="shared" si="2"/>
        <v>0</v>
      </c>
      <c r="AV14" s="49">
        <f t="shared" si="3"/>
        <v>12500</v>
      </c>
      <c r="AW14" s="49">
        <v>0</v>
      </c>
    </row>
    <row r="15" spans="1:49">
      <c r="A15" s="2" t="s">
        <v>29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>
        <v>121500</v>
      </c>
      <c r="AE15" s="169"/>
      <c r="AF15" s="169"/>
      <c r="AG15" s="169"/>
      <c r="AH15" s="169">
        <v>375000</v>
      </c>
      <c r="AI15" s="169"/>
      <c r="AJ15" s="169">
        <v>36000</v>
      </c>
      <c r="AK15" s="169"/>
      <c r="AL15" s="169"/>
      <c r="AM15" s="169">
        <v>530000</v>
      </c>
      <c r="AN15" s="169"/>
      <c r="AO15" s="169"/>
      <c r="AP15" s="169">
        <v>532500</v>
      </c>
      <c r="AQ15" s="169">
        <v>530000</v>
      </c>
      <c r="AS15" s="47" t="str">
        <f t="shared" si="0"/>
        <v>P29</v>
      </c>
      <c r="AT15" s="49">
        <f t="shared" si="1"/>
        <v>530000</v>
      </c>
      <c r="AU15" s="49">
        <f t="shared" si="2"/>
        <v>0</v>
      </c>
      <c r="AV15" s="49">
        <f>AP15-AU15</f>
        <v>532500</v>
      </c>
      <c r="AW15" s="49">
        <v>0</v>
      </c>
    </row>
    <row r="16" spans="1:49">
      <c r="A16" s="2" t="s">
        <v>114</v>
      </c>
      <c r="B16" s="169"/>
      <c r="C16" s="169"/>
      <c r="D16" s="169"/>
      <c r="E16" s="169"/>
      <c r="F16" s="169">
        <v>513273</v>
      </c>
      <c r="G16" s="169"/>
      <c r="H16" s="169">
        <v>42637</v>
      </c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>
        <v>4000</v>
      </c>
      <c r="AE16" s="169"/>
      <c r="AF16" s="169">
        <v>40000</v>
      </c>
      <c r="AG16" s="169"/>
      <c r="AH16" s="169"/>
      <c r="AI16" s="169"/>
      <c r="AJ16" s="169"/>
      <c r="AK16" s="169"/>
      <c r="AL16" s="169"/>
      <c r="AM16" s="169"/>
      <c r="AN16" s="169"/>
      <c r="AO16" s="169">
        <v>300000</v>
      </c>
      <c r="AP16" s="169">
        <v>599910</v>
      </c>
      <c r="AQ16" s="169">
        <v>300000</v>
      </c>
      <c r="AS16" s="47" t="str">
        <f t="shared" si="0"/>
        <v>Tiffany</v>
      </c>
      <c r="AT16" s="49">
        <f>AO16</f>
        <v>300000</v>
      </c>
      <c r="AU16" s="49">
        <f t="shared" si="2"/>
        <v>0</v>
      </c>
      <c r="AV16" s="49">
        <f>AP16-AU16</f>
        <v>599910</v>
      </c>
      <c r="AW16" s="49">
        <v>0</v>
      </c>
    </row>
    <row r="17" spans="1:49">
      <c r="A17" s="2" t="s">
        <v>130</v>
      </c>
      <c r="B17" s="169">
        <v>39597</v>
      </c>
      <c r="C17" s="169"/>
      <c r="D17" s="169">
        <v>125000</v>
      </c>
      <c r="E17" s="169"/>
      <c r="F17" s="169">
        <v>513273</v>
      </c>
      <c r="G17" s="169"/>
      <c r="H17" s="169">
        <v>60637</v>
      </c>
      <c r="I17" s="169"/>
      <c r="J17" s="169"/>
      <c r="K17" s="169">
        <v>17525203</v>
      </c>
      <c r="L17" s="169">
        <v>89175</v>
      </c>
      <c r="M17" s="169"/>
      <c r="N17" s="169">
        <v>38000</v>
      </c>
      <c r="O17" s="169"/>
      <c r="P17" s="169">
        <v>492000</v>
      </c>
      <c r="Q17" s="169"/>
      <c r="R17" s="169">
        <v>227400</v>
      </c>
      <c r="S17" s="169"/>
      <c r="T17" s="169">
        <v>5395642</v>
      </c>
      <c r="U17" s="169"/>
      <c r="V17" s="169">
        <v>574175</v>
      </c>
      <c r="W17" s="169"/>
      <c r="X17" s="169">
        <v>335625</v>
      </c>
      <c r="Y17" s="169"/>
      <c r="Z17" s="169">
        <v>284000</v>
      </c>
      <c r="AA17" s="169"/>
      <c r="AB17" s="169">
        <v>18090</v>
      </c>
      <c r="AC17" s="169"/>
      <c r="AD17" s="169">
        <v>637800</v>
      </c>
      <c r="AE17" s="169"/>
      <c r="AF17" s="169">
        <v>40000</v>
      </c>
      <c r="AG17" s="169"/>
      <c r="AH17" s="169">
        <v>1160000</v>
      </c>
      <c r="AI17" s="169"/>
      <c r="AJ17" s="169">
        <v>157000</v>
      </c>
      <c r="AK17" s="169"/>
      <c r="AL17" s="169">
        <v>5565000</v>
      </c>
      <c r="AM17" s="169">
        <v>5265000</v>
      </c>
      <c r="AN17" s="169"/>
      <c r="AO17" s="169">
        <v>300000</v>
      </c>
      <c r="AP17" s="169">
        <v>15752414</v>
      </c>
      <c r="AQ17" s="169">
        <v>23090203</v>
      </c>
      <c r="AS17" s="179"/>
      <c r="AT17" s="49">
        <f>SUM(AT6:AT16)</f>
        <v>5565000</v>
      </c>
      <c r="AU17" s="49">
        <f>SUM(AU6:AU16)</f>
        <v>5565000</v>
      </c>
      <c r="AV17" s="49">
        <f>SUM(AV6:AV16)</f>
        <v>10187414</v>
      </c>
      <c r="AW17" s="49">
        <f>SUM(AW6:AW15)</f>
        <v>17525203</v>
      </c>
    </row>
    <row r="19" spans="1:49">
      <c r="AU19" s="258">
        <f>+AU17-AT17</f>
        <v>0</v>
      </c>
      <c r="AV19" s="260" t="b">
        <f>AV17=GETPIVOTDATA("Spent",Donateurs!$A$3)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B6"/>
  <sheetViews>
    <sheetView workbookViewId="0">
      <selection activeCell="B6" sqref="B6"/>
    </sheetView>
  </sheetViews>
  <sheetFormatPr baseColWidth="10" defaultRowHeight="15"/>
  <cols>
    <col min="1" max="1" width="21" bestFit="1" customWidth="1"/>
    <col min="2" max="2" width="16.28515625" bestFit="1" customWidth="1"/>
  </cols>
  <sheetData>
    <row r="3" spans="1:2">
      <c r="A3" s="1" t="s">
        <v>129</v>
      </c>
      <c r="B3" t="s">
        <v>136</v>
      </c>
    </row>
    <row r="4" spans="1:2">
      <c r="A4" s="2" t="s">
        <v>103</v>
      </c>
      <c r="B4" s="352">
        <v>8931444</v>
      </c>
    </row>
    <row r="5" spans="1:2">
      <c r="A5" s="2" t="s">
        <v>168</v>
      </c>
      <c r="B5" s="352">
        <v>1255970</v>
      </c>
    </row>
    <row r="6" spans="1:2">
      <c r="A6" s="2" t="s">
        <v>130</v>
      </c>
      <c r="B6" s="352">
        <v>10187414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B58"/>
  <sheetViews>
    <sheetView workbookViewId="0">
      <selection activeCell="K12" sqref="K12"/>
    </sheetView>
  </sheetViews>
  <sheetFormatPr baseColWidth="10" defaultRowHeight="15"/>
  <cols>
    <col min="1" max="1" width="21" bestFit="1" customWidth="1"/>
    <col min="2" max="2" width="16.140625" customWidth="1"/>
  </cols>
  <sheetData>
    <row r="3" spans="1:2">
      <c r="A3" s="1" t="s">
        <v>129</v>
      </c>
      <c r="B3" t="s">
        <v>136</v>
      </c>
    </row>
    <row r="4" spans="1:2">
      <c r="A4" s="2" t="s">
        <v>352</v>
      </c>
      <c r="B4" s="169">
        <v>39597</v>
      </c>
    </row>
    <row r="5" spans="1:2">
      <c r="A5" s="353" t="s">
        <v>360</v>
      </c>
      <c r="B5" s="169">
        <v>16252</v>
      </c>
    </row>
    <row r="6" spans="1:2">
      <c r="A6" s="353" t="s">
        <v>511</v>
      </c>
      <c r="B6" s="169">
        <v>23345</v>
      </c>
    </row>
    <row r="7" spans="1:2">
      <c r="A7" s="2" t="s">
        <v>278</v>
      </c>
      <c r="B7" s="169">
        <v>125000</v>
      </c>
    </row>
    <row r="8" spans="1:2">
      <c r="A8" s="353" t="s">
        <v>511</v>
      </c>
      <c r="B8" s="169">
        <v>125000</v>
      </c>
    </row>
    <row r="9" spans="1:2">
      <c r="A9" s="2" t="s">
        <v>191</v>
      </c>
      <c r="B9" s="169">
        <v>513273</v>
      </c>
    </row>
    <row r="10" spans="1:2">
      <c r="A10" s="353" t="s">
        <v>361</v>
      </c>
      <c r="B10" s="169">
        <v>513273</v>
      </c>
    </row>
    <row r="11" spans="1:2">
      <c r="A11" s="2" t="s">
        <v>176</v>
      </c>
      <c r="B11" s="169">
        <v>60637</v>
      </c>
    </row>
    <row r="12" spans="1:2">
      <c r="A12" s="353">
        <v>7</v>
      </c>
      <c r="B12" s="169">
        <v>18000</v>
      </c>
    </row>
    <row r="13" spans="1:2">
      <c r="A13" s="353" t="s">
        <v>376</v>
      </c>
      <c r="B13" s="169">
        <v>42637</v>
      </c>
    </row>
    <row r="14" spans="1:2">
      <c r="A14" s="2" t="s">
        <v>254</v>
      </c>
      <c r="B14" s="169"/>
    </row>
    <row r="15" spans="1:2">
      <c r="A15" s="353" t="s">
        <v>511</v>
      </c>
      <c r="B15" s="169"/>
    </row>
    <row r="16" spans="1:2">
      <c r="A16" s="2" t="s">
        <v>140</v>
      </c>
      <c r="B16" s="169">
        <v>89175</v>
      </c>
    </row>
    <row r="17" spans="1:2">
      <c r="A17" s="353" t="s">
        <v>362</v>
      </c>
      <c r="B17" s="169">
        <v>89175</v>
      </c>
    </row>
    <row r="18" spans="1:2">
      <c r="A18" s="2" t="s">
        <v>146</v>
      </c>
      <c r="B18" s="169">
        <v>38000</v>
      </c>
    </row>
    <row r="19" spans="1:2">
      <c r="A19" s="353" t="s">
        <v>511</v>
      </c>
      <c r="B19" s="169">
        <v>38000</v>
      </c>
    </row>
    <row r="20" spans="1:2">
      <c r="A20" s="2" t="s">
        <v>145</v>
      </c>
      <c r="B20" s="169">
        <v>492000</v>
      </c>
    </row>
    <row r="21" spans="1:2">
      <c r="A21" s="353" t="s">
        <v>364</v>
      </c>
      <c r="B21" s="169">
        <v>150000</v>
      </c>
    </row>
    <row r="22" spans="1:2">
      <c r="A22" s="353" t="s">
        <v>363</v>
      </c>
      <c r="B22" s="169">
        <v>342000</v>
      </c>
    </row>
    <row r="23" spans="1:2">
      <c r="A23" s="2" t="s">
        <v>35</v>
      </c>
      <c r="B23" s="169">
        <v>227400</v>
      </c>
    </row>
    <row r="24" spans="1:2">
      <c r="A24" s="353" t="s">
        <v>365</v>
      </c>
      <c r="B24" s="169">
        <v>220900</v>
      </c>
    </row>
    <row r="25" spans="1:2">
      <c r="A25" s="353" t="s">
        <v>511</v>
      </c>
      <c r="B25" s="169">
        <v>6500</v>
      </c>
    </row>
    <row r="26" spans="1:2">
      <c r="A26" s="2" t="s">
        <v>185</v>
      </c>
      <c r="B26" s="169">
        <v>5395642</v>
      </c>
    </row>
    <row r="27" spans="1:2">
      <c r="A27" s="353" t="s">
        <v>370</v>
      </c>
      <c r="B27" s="169">
        <v>2623828</v>
      </c>
    </row>
    <row r="28" spans="1:2">
      <c r="A28" s="353" t="s">
        <v>368</v>
      </c>
      <c r="B28" s="169">
        <v>162518</v>
      </c>
    </row>
    <row r="29" spans="1:2">
      <c r="A29" s="353" t="s">
        <v>369</v>
      </c>
      <c r="B29" s="169">
        <v>824455</v>
      </c>
    </row>
    <row r="30" spans="1:2">
      <c r="A30" s="353" t="s">
        <v>367</v>
      </c>
      <c r="B30" s="169">
        <v>740000</v>
      </c>
    </row>
    <row r="31" spans="1:2">
      <c r="A31" s="353" t="s">
        <v>366</v>
      </c>
      <c r="B31" s="169">
        <v>1044841</v>
      </c>
    </row>
    <row r="32" spans="1:2">
      <c r="A32" s="2" t="s">
        <v>193</v>
      </c>
      <c r="B32" s="169">
        <v>574175</v>
      </c>
    </row>
    <row r="33" spans="1:2">
      <c r="A33" s="353" t="s">
        <v>371</v>
      </c>
      <c r="B33" s="169">
        <v>500000</v>
      </c>
    </row>
    <row r="34" spans="1:2">
      <c r="A34" s="353" t="s">
        <v>372</v>
      </c>
      <c r="B34" s="169">
        <v>74175</v>
      </c>
    </row>
    <row r="35" spans="1:2">
      <c r="A35" s="2" t="s">
        <v>3</v>
      </c>
      <c r="B35" s="169">
        <v>335625</v>
      </c>
    </row>
    <row r="36" spans="1:2">
      <c r="A36" s="353" t="s">
        <v>511</v>
      </c>
      <c r="B36" s="169">
        <v>335625</v>
      </c>
    </row>
    <row r="37" spans="1:2">
      <c r="A37" s="2" t="s">
        <v>186</v>
      </c>
      <c r="B37" s="169">
        <v>284000</v>
      </c>
    </row>
    <row r="38" spans="1:2">
      <c r="A38" s="353" t="s">
        <v>373</v>
      </c>
      <c r="B38" s="169">
        <v>243000</v>
      </c>
    </row>
    <row r="39" spans="1:2">
      <c r="A39" s="353" t="s">
        <v>511</v>
      </c>
      <c r="B39" s="169">
        <v>41000</v>
      </c>
    </row>
    <row r="40" spans="1:2">
      <c r="A40" s="2" t="s">
        <v>187</v>
      </c>
      <c r="B40" s="169">
        <v>18090</v>
      </c>
    </row>
    <row r="41" spans="1:2">
      <c r="A41" s="353" t="s">
        <v>360</v>
      </c>
      <c r="B41" s="169">
        <v>18090</v>
      </c>
    </row>
    <row r="42" spans="1:2">
      <c r="A42" s="2" t="s">
        <v>34</v>
      </c>
      <c r="B42" s="169">
        <v>637800</v>
      </c>
    </row>
    <row r="43" spans="1:2">
      <c r="A43" s="353" t="s">
        <v>374</v>
      </c>
      <c r="B43" s="169">
        <v>458300</v>
      </c>
    </row>
    <row r="44" spans="1:2">
      <c r="A44" s="353" t="s">
        <v>511</v>
      </c>
      <c r="B44" s="169">
        <v>179500</v>
      </c>
    </row>
    <row r="45" spans="1:2">
      <c r="A45" s="2" t="s">
        <v>271</v>
      </c>
      <c r="B45" s="169">
        <v>40000</v>
      </c>
    </row>
    <row r="46" spans="1:2">
      <c r="A46" s="353" t="s">
        <v>511</v>
      </c>
      <c r="B46" s="169">
        <v>40000</v>
      </c>
    </row>
    <row r="47" spans="1:2">
      <c r="A47" s="2" t="s">
        <v>159</v>
      </c>
      <c r="B47" s="169">
        <v>1160000</v>
      </c>
    </row>
    <row r="48" spans="1:2">
      <c r="A48" s="353" t="s">
        <v>378</v>
      </c>
      <c r="B48" s="169">
        <v>850000</v>
      </c>
    </row>
    <row r="49" spans="1:2">
      <c r="A49" s="353" t="s">
        <v>511</v>
      </c>
      <c r="B49" s="169">
        <v>310000</v>
      </c>
    </row>
    <row r="50" spans="1:2">
      <c r="A50" s="2" t="s">
        <v>323</v>
      </c>
      <c r="B50" s="169">
        <v>157000</v>
      </c>
    </row>
    <row r="51" spans="1:2">
      <c r="A51" s="353" t="s">
        <v>511</v>
      </c>
      <c r="B51" s="169">
        <v>157000</v>
      </c>
    </row>
    <row r="52" spans="1:2">
      <c r="A52" s="2" t="s">
        <v>76</v>
      </c>
      <c r="B52" s="169">
        <v>5565000</v>
      </c>
    </row>
    <row r="53" spans="1:2">
      <c r="A53" s="353" t="s">
        <v>511</v>
      </c>
      <c r="B53" s="169">
        <v>5565000</v>
      </c>
    </row>
    <row r="54" spans="1:2">
      <c r="A54" s="2" t="s">
        <v>189</v>
      </c>
      <c r="B54" s="169"/>
    </row>
    <row r="55" spans="1:2">
      <c r="A55" s="353" t="s">
        <v>511</v>
      </c>
      <c r="B55" s="169"/>
    </row>
    <row r="56" spans="1:2">
      <c r="A56" s="2" t="s">
        <v>511</v>
      </c>
      <c r="B56" s="169"/>
    </row>
    <row r="57" spans="1:2">
      <c r="A57" s="353" t="s">
        <v>511</v>
      </c>
      <c r="B57" s="169"/>
    </row>
    <row r="58" spans="1:2">
      <c r="A58" s="2" t="s">
        <v>130</v>
      </c>
      <c r="B58" s="169">
        <v>15752414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P443"/>
  <sheetViews>
    <sheetView zoomScale="70" zoomScaleNormal="70" workbookViewId="0">
      <pane ySplit="11" topLeftCell="A12" activePane="bottomLeft" state="frozen"/>
      <selection pane="bottomLeft" activeCell="D8" sqref="D8"/>
    </sheetView>
  </sheetViews>
  <sheetFormatPr baseColWidth="10" defaultColWidth="11.42578125" defaultRowHeight="15.75"/>
  <cols>
    <col min="1" max="1" width="20.5703125" style="239" customWidth="1"/>
    <col min="2" max="2" width="111.5703125" style="178" customWidth="1"/>
    <col min="3" max="3" width="21.28515625" style="178" customWidth="1"/>
    <col min="4" max="4" width="22" style="178" customWidth="1"/>
    <col min="5" max="5" width="17.7109375" style="196" customWidth="1"/>
    <col min="6" max="6" width="18.5703125" style="343" customWidth="1"/>
    <col min="7" max="7" width="16.7109375" style="197" customWidth="1"/>
    <col min="8" max="8" width="17.7109375" style="178" customWidth="1"/>
    <col min="9" max="9" width="12.5703125" style="184" customWidth="1"/>
    <col min="10" max="10" width="12" style="184" customWidth="1"/>
    <col min="11" max="11" width="12" style="178" customWidth="1"/>
    <col min="12" max="12" width="9.5703125" style="178" customWidth="1"/>
    <col min="13" max="13" width="18.140625" style="178" customWidth="1"/>
    <col min="14" max="14" width="16.28515625" style="177" customWidth="1"/>
    <col min="15" max="15" width="70.5703125" style="261" customWidth="1"/>
    <col min="16" max="16384" width="11.42578125" style="178"/>
  </cols>
  <sheetData>
    <row r="1" spans="1:15" s="193" customFormat="1" ht="26.25" customHeight="1">
      <c r="A1" s="388" t="s">
        <v>194</v>
      </c>
      <c r="B1" s="388"/>
      <c r="C1" s="388"/>
      <c r="D1" s="388"/>
      <c r="E1" s="388"/>
      <c r="F1" s="389"/>
      <c r="G1" s="388"/>
      <c r="H1" s="388"/>
      <c r="I1" s="390"/>
      <c r="J1" s="388"/>
      <c r="K1" s="388"/>
      <c r="L1" s="388"/>
      <c r="M1" s="388"/>
      <c r="N1" s="388"/>
      <c r="O1" s="391"/>
    </row>
    <row r="2" spans="1:15">
      <c r="B2" s="194" t="s">
        <v>178</v>
      </c>
      <c r="C2" s="195">
        <v>10222494</v>
      </c>
    </row>
    <row r="4" spans="1:15">
      <c r="B4" s="198" t="s">
        <v>6</v>
      </c>
      <c r="C4" s="198" t="s">
        <v>7</v>
      </c>
    </row>
    <row r="5" spans="1:15">
      <c r="B5" s="178" t="s">
        <v>8</v>
      </c>
      <c r="C5" s="199">
        <f>SUM(E13:E1140)</f>
        <v>23090203</v>
      </c>
      <c r="E5" s="196" t="s">
        <v>101</v>
      </c>
      <c r="H5" s="199"/>
    </row>
    <row r="6" spans="1:15">
      <c r="B6" s="178" t="s">
        <v>9</v>
      </c>
      <c r="C6" s="199">
        <f>SUM(F13:F1141)</f>
        <v>15752414</v>
      </c>
      <c r="E6" s="259">
        <f>+C7-Récapitulatif!I16</f>
        <v>0</v>
      </c>
      <c r="J6" s="216"/>
      <c r="K6" s="192"/>
    </row>
    <row r="7" spans="1:15">
      <c r="B7" s="313" t="s">
        <v>10</v>
      </c>
      <c r="C7" s="334">
        <f>C2+C5-C6</f>
        <v>17560283</v>
      </c>
      <c r="D7" s="200">
        <f>C7-Récapitulatif!I16</f>
        <v>0</v>
      </c>
      <c r="K7" s="192"/>
    </row>
    <row r="9" spans="1:15">
      <c r="B9" s="190"/>
    </row>
    <row r="11" spans="1:15">
      <c r="A11" s="257" t="s">
        <v>0</v>
      </c>
      <c r="B11" s="203" t="s">
        <v>11</v>
      </c>
      <c r="C11" s="203" t="s">
        <v>12</v>
      </c>
      <c r="D11" s="203" t="s">
        <v>13</v>
      </c>
      <c r="E11" s="219" t="s">
        <v>14</v>
      </c>
      <c r="F11" s="344" t="s">
        <v>15</v>
      </c>
      <c r="G11" s="204" t="s">
        <v>16</v>
      </c>
      <c r="H11" s="203" t="s">
        <v>17</v>
      </c>
      <c r="I11" s="205" t="s">
        <v>18</v>
      </c>
      <c r="J11" s="205" t="s">
        <v>19</v>
      </c>
      <c r="K11" s="203" t="s">
        <v>20</v>
      </c>
      <c r="L11" s="203" t="s">
        <v>21</v>
      </c>
      <c r="M11" s="203" t="s">
        <v>82</v>
      </c>
      <c r="N11" s="255" t="s">
        <v>23</v>
      </c>
      <c r="O11" s="203" t="s">
        <v>22</v>
      </c>
    </row>
    <row r="12" spans="1:15" ht="15.75" customHeight="1">
      <c r="A12" s="317">
        <v>44562</v>
      </c>
      <c r="B12" s="229" t="s">
        <v>178</v>
      </c>
      <c r="C12" s="229"/>
      <c r="D12" s="229"/>
      <c r="E12" s="247"/>
      <c r="F12" s="246"/>
      <c r="G12" s="315">
        <f>+C2</f>
        <v>10222494</v>
      </c>
      <c r="H12" s="229"/>
      <c r="I12" s="314"/>
      <c r="J12" s="229"/>
      <c r="K12" s="229"/>
      <c r="L12" s="229" t="s">
        <v>188</v>
      </c>
      <c r="M12" s="229"/>
      <c r="N12" s="229"/>
      <c r="O12" s="229"/>
    </row>
    <row r="13" spans="1:15" ht="15" customHeight="1">
      <c r="A13" s="317">
        <v>44564</v>
      </c>
      <c r="B13" s="229" t="s">
        <v>175</v>
      </c>
      <c r="C13" s="229" t="s">
        <v>76</v>
      </c>
      <c r="D13" s="229"/>
      <c r="E13" s="247"/>
      <c r="F13" s="247">
        <v>156000</v>
      </c>
      <c r="G13" s="247">
        <f t="shared" ref="G13:G76" si="0">+G12+E13-F13</f>
        <v>10066494</v>
      </c>
      <c r="H13" s="229" t="s">
        <v>25</v>
      </c>
      <c r="I13" s="314" t="s">
        <v>245</v>
      </c>
      <c r="J13" s="229"/>
      <c r="K13" s="229"/>
      <c r="L13" s="229" t="s">
        <v>188</v>
      </c>
      <c r="M13" s="229"/>
      <c r="N13" s="229"/>
      <c r="O13" s="229"/>
    </row>
    <row r="14" spans="1:15" ht="15" customHeight="1">
      <c r="A14" s="317">
        <v>44564</v>
      </c>
      <c r="B14" s="229" t="s">
        <v>202</v>
      </c>
      <c r="C14" s="229" t="s">
        <v>76</v>
      </c>
      <c r="D14" s="229"/>
      <c r="E14" s="247"/>
      <c r="F14" s="247">
        <v>143000</v>
      </c>
      <c r="G14" s="247">
        <f t="shared" si="0"/>
        <v>9923494</v>
      </c>
      <c r="H14" s="229" t="s">
        <v>25</v>
      </c>
      <c r="I14" s="314" t="s">
        <v>245</v>
      </c>
      <c r="J14" s="229"/>
      <c r="K14" s="229"/>
      <c r="L14" s="229" t="s">
        <v>188</v>
      </c>
      <c r="M14" s="229"/>
      <c r="N14" s="229"/>
      <c r="O14" s="229"/>
    </row>
    <row r="15" spans="1:15" ht="15" customHeight="1">
      <c r="A15" s="317">
        <v>44564</v>
      </c>
      <c r="B15" s="229" t="s">
        <v>29</v>
      </c>
      <c r="C15" s="229" t="s">
        <v>76</v>
      </c>
      <c r="D15" s="229"/>
      <c r="E15" s="247"/>
      <c r="F15" s="247">
        <v>136000</v>
      </c>
      <c r="G15" s="247">
        <f t="shared" si="0"/>
        <v>9787494</v>
      </c>
      <c r="H15" s="229" t="s">
        <v>25</v>
      </c>
      <c r="I15" s="314" t="s">
        <v>245</v>
      </c>
      <c r="J15" s="229"/>
      <c r="K15" s="229"/>
      <c r="L15" s="229" t="s">
        <v>188</v>
      </c>
      <c r="M15" s="229"/>
      <c r="N15" s="229"/>
      <c r="O15" s="229"/>
    </row>
    <row r="16" spans="1:15" ht="15" customHeight="1">
      <c r="A16" s="317">
        <v>44564</v>
      </c>
      <c r="B16" s="229" t="s">
        <v>203</v>
      </c>
      <c r="C16" s="229" t="s">
        <v>186</v>
      </c>
      <c r="D16" s="229" t="s">
        <v>204</v>
      </c>
      <c r="E16" s="247"/>
      <c r="F16" s="342">
        <v>21000</v>
      </c>
      <c r="G16" s="247">
        <f t="shared" si="0"/>
        <v>9766494</v>
      </c>
      <c r="H16" s="229" t="s">
        <v>25</v>
      </c>
      <c r="I16" s="314" t="s">
        <v>217</v>
      </c>
      <c r="J16" s="229" t="s">
        <v>103</v>
      </c>
      <c r="K16" s="229" t="s">
        <v>358</v>
      </c>
      <c r="L16" s="229" t="s">
        <v>188</v>
      </c>
      <c r="M16" s="178" t="s">
        <v>405</v>
      </c>
      <c r="N16" s="229" t="s">
        <v>373</v>
      </c>
      <c r="O16" s="229"/>
    </row>
    <row r="17" spans="1:15" ht="15" customHeight="1">
      <c r="A17" s="317">
        <v>44564</v>
      </c>
      <c r="B17" s="229" t="s">
        <v>205</v>
      </c>
      <c r="C17" s="229" t="s">
        <v>186</v>
      </c>
      <c r="D17" s="229" t="s">
        <v>166</v>
      </c>
      <c r="E17" s="247"/>
      <c r="F17" s="342">
        <v>37000</v>
      </c>
      <c r="G17" s="247">
        <f t="shared" si="0"/>
        <v>9729494</v>
      </c>
      <c r="H17" s="229" t="s">
        <v>25</v>
      </c>
      <c r="I17" s="314" t="s">
        <v>217</v>
      </c>
      <c r="J17" s="229" t="s">
        <v>103</v>
      </c>
      <c r="K17" s="229" t="s">
        <v>358</v>
      </c>
      <c r="L17" s="229" t="s">
        <v>188</v>
      </c>
      <c r="M17" s="178" t="s">
        <v>406</v>
      </c>
      <c r="N17" s="229" t="s">
        <v>373</v>
      </c>
      <c r="O17" s="229"/>
    </row>
    <row r="18" spans="1:15" ht="15" customHeight="1">
      <c r="A18" s="317">
        <v>44564</v>
      </c>
      <c r="B18" s="229" t="s">
        <v>206</v>
      </c>
      <c r="C18" s="229" t="s">
        <v>186</v>
      </c>
      <c r="D18" s="229" t="s">
        <v>4</v>
      </c>
      <c r="E18" s="247"/>
      <c r="F18" s="342">
        <v>20000</v>
      </c>
      <c r="G18" s="247">
        <f t="shared" si="0"/>
        <v>9709494</v>
      </c>
      <c r="H18" s="229" t="s">
        <v>25</v>
      </c>
      <c r="I18" s="314" t="s">
        <v>217</v>
      </c>
      <c r="J18" s="229" t="s">
        <v>103</v>
      </c>
      <c r="K18" s="229" t="s">
        <v>358</v>
      </c>
      <c r="L18" s="229" t="s">
        <v>188</v>
      </c>
      <c r="M18" s="178" t="s">
        <v>407</v>
      </c>
      <c r="N18" s="229" t="s">
        <v>373</v>
      </c>
      <c r="O18" s="229"/>
    </row>
    <row r="19" spans="1:15" ht="15" customHeight="1">
      <c r="A19" s="320">
        <v>44564</v>
      </c>
      <c r="B19" s="321" t="s">
        <v>207</v>
      </c>
      <c r="C19" s="229" t="s">
        <v>186</v>
      </c>
      <c r="D19" s="229" t="s">
        <v>4</v>
      </c>
      <c r="E19" s="229"/>
      <c r="F19" s="229">
        <v>10000</v>
      </c>
      <c r="G19" s="247">
        <f t="shared" si="0"/>
        <v>9699494</v>
      </c>
      <c r="H19" s="253" t="s">
        <v>25</v>
      </c>
      <c r="I19" s="314" t="s">
        <v>217</v>
      </c>
      <c r="J19" s="229" t="s">
        <v>168</v>
      </c>
      <c r="K19" s="229" t="s">
        <v>359</v>
      </c>
      <c r="L19" s="229" t="s">
        <v>188</v>
      </c>
      <c r="N19" s="229"/>
      <c r="O19" s="229"/>
    </row>
    <row r="20" spans="1:15" ht="15" customHeight="1">
      <c r="A20" s="317">
        <v>44564</v>
      </c>
      <c r="B20" s="229" t="s">
        <v>208</v>
      </c>
      <c r="C20" s="229" t="s">
        <v>186</v>
      </c>
      <c r="D20" s="229" t="s">
        <v>204</v>
      </c>
      <c r="E20" s="247"/>
      <c r="F20" s="342">
        <v>32000</v>
      </c>
      <c r="G20" s="247">
        <f t="shared" si="0"/>
        <v>9667494</v>
      </c>
      <c r="H20" s="229" t="s">
        <v>25</v>
      </c>
      <c r="I20" s="314" t="s">
        <v>217</v>
      </c>
      <c r="J20" s="229" t="s">
        <v>103</v>
      </c>
      <c r="K20" s="229" t="s">
        <v>358</v>
      </c>
      <c r="L20" s="229" t="s">
        <v>188</v>
      </c>
      <c r="M20" s="178" t="s">
        <v>408</v>
      </c>
      <c r="N20" s="229" t="s">
        <v>373</v>
      </c>
      <c r="O20" s="229"/>
    </row>
    <row r="21" spans="1:15" ht="15" customHeight="1">
      <c r="A21" s="317">
        <v>44564</v>
      </c>
      <c r="B21" s="229" t="s">
        <v>209</v>
      </c>
      <c r="C21" s="229" t="s">
        <v>186</v>
      </c>
      <c r="D21" s="229" t="s">
        <v>166</v>
      </c>
      <c r="E21" s="247"/>
      <c r="F21" s="342">
        <v>5000</v>
      </c>
      <c r="G21" s="247">
        <f t="shared" si="0"/>
        <v>9662494</v>
      </c>
      <c r="H21" s="229" t="s">
        <v>25</v>
      </c>
      <c r="I21" s="314" t="s">
        <v>217</v>
      </c>
      <c r="J21" s="229" t="s">
        <v>103</v>
      </c>
      <c r="K21" s="229" t="s">
        <v>358</v>
      </c>
      <c r="L21" s="229" t="s">
        <v>188</v>
      </c>
      <c r="M21" s="178" t="s">
        <v>409</v>
      </c>
      <c r="N21" s="229" t="s">
        <v>373</v>
      </c>
      <c r="O21" s="229"/>
    </row>
    <row r="22" spans="1:15" ht="15" customHeight="1">
      <c r="A22" s="317">
        <v>44564</v>
      </c>
      <c r="B22" s="229" t="s">
        <v>210</v>
      </c>
      <c r="C22" s="229" t="s">
        <v>186</v>
      </c>
      <c r="D22" s="229" t="s">
        <v>4</v>
      </c>
      <c r="E22" s="247"/>
      <c r="F22" s="342">
        <v>32000</v>
      </c>
      <c r="G22" s="247">
        <f t="shared" si="0"/>
        <v>9630494</v>
      </c>
      <c r="H22" s="229" t="s">
        <v>25</v>
      </c>
      <c r="I22" s="314" t="s">
        <v>217</v>
      </c>
      <c r="J22" s="229" t="s">
        <v>103</v>
      </c>
      <c r="K22" s="229" t="s">
        <v>358</v>
      </c>
      <c r="L22" s="229" t="s">
        <v>188</v>
      </c>
      <c r="M22" s="178" t="s">
        <v>410</v>
      </c>
      <c r="N22" s="229" t="s">
        <v>373</v>
      </c>
      <c r="O22" s="229"/>
    </row>
    <row r="23" spans="1:15" ht="15" customHeight="1">
      <c r="A23" s="317">
        <v>44564</v>
      </c>
      <c r="B23" s="229" t="s">
        <v>211</v>
      </c>
      <c r="C23" s="229" t="s">
        <v>186</v>
      </c>
      <c r="D23" s="229" t="s">
        <v>4</v>
      </c>
      <c r="E23" s="247"/>
      <c r="F23" s="247">
        <v>16000</v>
      </c>
      <c r="G23" s="247">
        <f t="shared" si="0"/>
        <v>9614494</v>
      </c>
      <c r="H23" s="229" t="s">
        <v>25</v>
      </c>
      <c r="I23" s="314" t="s">
        <v>217</v>
      </c>
      <c r="J23" s="229" t="s">
        <v>168</v>
      </c>
      <c r="K23" s="229" t="s">
        <v>359</v>
      </c>
      <c r="L23" s="229" t="s">
        <v>188</v>
      </c>
      <c r="N23" s="229"/>
      <c r="O23" s="229"/>
    </row>
    <row r="24" spans="1:15" ht="15" customHeight="1">
      <c r="A24" s="320">
        <v>44564</v>
      </c>
      <c r="B24" s="321" t="s">
        <v>353</v>
      </c>
      <c r="C24" s="229" t="s">
        <v>352</v>
      </c>
      <c r="D24" s="229" t="s">
        <v>216</v>
      </c>
      <c r="E24" s="322"/>
      <c r="F24" s="342">
        <v>16252</v>
      </c>
      <c r="G24" s="247">
        <f t="shared" si="0"/>
        <v>9598242</v>
      </c>
      <c r="H24" s="229" t="s">
        <v>160</v>
      </c>
      <c r="I24" s="314" t="s">
        <v>264</v>
      </c>
      <c r="J24" s="229" t="s">
        <v>103</v>
      </c>
      <c r="K24" s="229" t="s">
        <v>358</v>
      </c>
      <c r="L24" s="229" t="s">
        <v>188</v>
      </c>
      <c r="M24" s="178" t="s">
        <v>411</v>
      </c>
      <c r="N24" s="229" t="s">
        <v>360</v>
      </c>
      <c r="O24" s="229"/>
    </row>
    <row r="25" spans="1:15" ht="15" customHeight="1">
      <c r="A25" s="320">
        <v>44564</v>
      </c>
      <c r="B25" s="229" t="s">
        <v>265</v>
      </c>
      <c r="C25" s="229" t="s">
        <v>352</v>
      </c>
      <c r="D25" s="229" t="s">
        <v>216</v>
      </c>
      <c r="E25" s="246"/>
      <c r="F25" s="229">
        <v>23345</v>
      </c>
      <c r="G25" s="247">
        <f t="shared" si="0"/>
        <v>9574897</v>
      </c>
      <c r="H25" s="229" t="s">
        <v>24</v>
      </c>
      <c r="I25" s="314" t="s">
        <v>264</v>
      </c>
      <c r="J25" s="229" t="s">
        <v>168</v>
      </c>
      <c r="K25" s="229" t="s">
        <v>359</v>
      </c>
      <c r="L25" s="229" t="s">
        <v>188</v>
      </c>
      <c r="N25" s="229"/>
      <c r="O25" s="229"/>
    </row>
    <row r="26" spans="1:15" ht="15" customHeight="1">
      <c r="A26" s="320">
        <v>44564</v>
      </c>
      <c r="B26" s="321" t="s">
        <v>302</v>
      </c>
      <c r="C26" s="321" t="s">
        <v>303</v>
      </c>
      <c r="D26" s="229"/>
      <c r="E26" s="251">
        <v>156000</v>
      </c>
      <c r="F26" s="251"/>
      <c r="G26" s="247">
        <f t="shared" si="0"/>
        <v>9730897</v>
      </c>
      <c r="H26" s="253" t="s">
        <v>175</v>
      </c>
      <c r="I26" s="314" t="s">
        <v>245</v>
      </c>
      <c r="J26" s="229"/>
      <c r="K26" s="229"/>
      <c r="L26" s="229" t="s">
        <v>188</v>
      </c>
      <c r="M26" s="178" t="s">
        <v>415</v>
      </c>
      <c r="N26" s="229"/>
      <c r="O26" s="229"/>
    </row>
    <row r="27" spans="1:15" ht="15" customHeight="1">
      <c r="A27" s="317">
        <v>44564</v>
      </c>
      <c r="B27" s="229" t="s">
        <v>327</v>
      </c>
      <c r="C27" s="229" t="s">
        <v>76</v>
      </c>
      <c r="D27" s="229"/>
      <c r="E27" s="247">
        <v>143000</v>
      </c>
      <c r="F27" s="247"/>
      <c r="G27" s="247">
        <f t="shared" si="0"/>
        <v>9873897</v>
      </c>
      <c r="H27" s="229" t="s">
        <v>49</v>
      </c>
      <c r="I27" s="314" t="s">
        <v>245</v>
      </c>
      <c r="J27" s="229"/>
      <c r="K27" s="229"/>
      <c r="L27" s="229" t="s">
        <v>188</v>
      </c>
      <c r="M27" s="178" t="s">
        <v>416</v>
      </c>
      <c r="N27" s="229"/>
      <c r="O27" s="229"/>
    </row>
    <row r="28" spans="1:15" ht="15" customHeight="1">
      <c r="A28" s="318">
        <v>44564</v>
      </c>
      <c r="B28" s="233" t="s">
        <v>387</v>
      </c>
      <c r="C28" s="229" t="s">
        <v>34</v>
      </c>
      <c r="D28" s="229" t="s">
        <v>4</v>
      </c>
      <c r="E28" s="249"/>
      <c r="F28" s="346">
        <v>15000</v>
      </c>
      <c r="G28" s="247">
        <f t="shared" si="0"/>
        <v>9858897</v>
      </c>
      <c r="H28" s="233" t="s">
        <v>49</v>
      </c>
      <c r="I28" s="314" t="s">
        <v>217</v>
      </c>
      <c r="J28" s="229" t="s">
        <v>103</v>
      </c>
      <c r="K28" s="229" t="s">
        <v>358</v>
      </c>
      <c r="L28" s="229" t="s">
        <v>188</v>
      </c>
      <c r="M28" s="178" t="s">
        <v>412</v>
      </c>
      <c r="N28" s="233" t="s">
        <v>374</v>
      </c>
      <c r="O28" s="233"/>
    </row>
    <row r="29" spans="1:15" ht="15" customHeight="1">
      <c r="A29" s="320">
        <v>44564</v>
      </c>
      <c r="B29" s="321" t="s">
        <v>339</v>
      </c>
      <c r="C29" s="229" t="s">
        <v>76</v>
      </c>
      <c r="D29" s="229"/>
      <c r="E29" s="251">
        <v>136000</v>
      </c>
      <c r="F29" s="251"/>
      <c r="G29" s="247">
        <f t="shared" si="0"/>
        <v>9994897</v>
      </c>
      <c r="H29" s="253" t="s">
        <v>29</v>
      </c>
      <c r="I29" s="314" t="s">
        <v>245</v>
      </c>
      <c r="J29" s="229"/>
      <c r="K29" s="229"/>
      <c r="L29" s="229" t="s">
        <v>188</v>
      </c>
      <c r="M29" s="229"/>
      <c r="N29" s="229"/>
      <c r="O29" s="229"/>
    </row>
    <row r="30" spans="1:15" ht="15" customHeight="1">
      <c r="A30" s="317">
        <v>44565</v>
      </c>
      <c r="B30" s="229" t="s">
        <v>340</v>
      </c>
      <c r="C30" s="229" t="s">
        <v>159</v>
      </c>
      <c r="D30" s="229" t="s">
        <v>4</v>
      </c>
      <c r="E30" s="229"/>
      <c r="F30" s="342">
        <v>80000</v>
      </c>
      <c r="G30" s="247">
        <f t="shared" si="0"/>
        <v>9914897</v>
      </c>
      <c r="H30" s="229" t="s">
        <v>29</v>
      </c>
      <c r="I30" s="314" t="s">
        <v>245</v>
      </c>
      <c r="J30" s="229" t="s">
        <v>103</v>
      </c>
      <c r="K30" s="229" t="s">
        <v>358</v>
      </c>
      <c r="L30" s="229" t="s">
        <v>188</v>
      </c>
      <c r="M30" s="178" t="s">
        <v>413</v>
      </c>
      <c r="N30" s="229" t="s">
        <v>378</v>
      </c>
      <c r="O30" s="229"/>
    </row>
    <row r="31" spans="1:15" ht="15" customHeight="1">
      <c r="A31" s="320">
        <v>44565</v>
      </c>
      <c r="B31" s="321" t="s">
        <v>397</v>
      </c>
      <c r="C31" s="321" t="s">
        <v>34</v>
      </c>
      <c r="D31" s="229" t="s">
        <v>4</v>
      </c>
      <c r="E31" s="251"/>
      <c r="F31" s="347">
        <v>15000</v>
      </c>
      <c r="G31" s="247">
        <f t="shared" si="0"/>
        <v>9899897</v>
      </c>
      <c r="H31" s="253" t="s">
        <v>29</v>
      </c>
      <c r="I31" s="314" t="s">
        <v>217</v>
      </c>
      <c r="J31" s="229" t="s">
        <v>103</v>
      </c>
      <c r="K31" s="229" t="s">
        <v>358</v>
      </c>
      <c r="L31" s="229" t="s">
        <v>188</v>
      </c>
      <c r="M31" s="178" t="s">
        <v>414</v>
      </c>
      <c r="N31" s="233" t="s">
        <v>374</v>
      </c>
      <c r="O31" s="229"/>
    </row>
    <row r="32" spans="1:15" ht="15" customHeight="1">
      <c r="A32" s="320">
        <v>44565</v>
      </c>
      <c r="B32" s="321" t="s">
        <v>246</v>
      </c>
      <c r="C32" s="229" t="s">
        <v>193</v>
      </c>
      <c r="D32" s="228" t="s">
        <v>216</v>
      </c>
      <c r="E32" s="253"/>
      <c r="F32" s="342">
        <v>500000</v>
      </c>
      <c r="G32" s="247">
        <f t="shared" si="0"/>
        <v>9399897</v>
      </c>
      <c r="H32" s="229" t="s">
        <v>160</v>
      </c>
      <c r="I32" s="314">
        <v>3643592</v>
      </c>
      <c r="J32" s="229" t="s">
        <v>103</v>
      </c>
      <c r="K32" s="253" t="s">
        <v>358</v>
      </c>
      <c r="L32" s="229" t="s">
        <v>188</v>
      </c>
      <c r="M32" s="178" t="s">
        <v>415</v>
      </c>
      <c r="N32" s="229" t="s">
        <v>371</v>
      </c>
      <c r="O32" s="229"/>
    </row>
    <row r="33" spans="1:15" ht="15" customHeight="1">
      <c r="A33" s="317">
        <v>44565</v>
      </c>
      <c r="B33" s="229" t="s">
        <v>266</v>
      </c>
      <c r="C33" s="229" t="s">
        <v>3</v>
      </c>
      <c r="D33" s="229" t="s">
        <v>216</v>
      </c>
      <c r="E33" s="229"/>
      <c r="F33" s="229">
        <v>260000</v>
      </c>
      <c r="G33" s="247">
        <f t="shared" si="0"/>
        <v>9139897</v>
      </c>
      <c r="H33" s="229" t="s">
        <v>24</v>
      </c>
      <c r="I33" s="314">
        <v>3654466</v>
      </c>
      <c r="J33" s="229" t="s">
        <v>168</v>
      </c>
      <c r="K33" s="229" t="s">
        <v>359</v>
      </c>
      <c r="L33" s="229" t="s">
        <v>188</v>
      </c>
      <c r="M33" s="229"/>
      <c r="N33" s="229"/>
      <c r="O33" s="229"/>
    </row>
    <row r="34" spans="1:15" ht="15.75" customHeight="1">
      <c r="A34" s="317">
        <v>44565</v>
      </c>
      <c r="B34" s="229" t="s">
        <v>304</v>
      </c>
      <c r="C34" s="229" t="s">
        <v>34</v>
      </c>
      <c r="D34" s="229" t="s">
        <v>4</v>
      </c>
      <c r="E34" s="247"/>
      <c r="F34" s="247">
        <v>15000</v>
      </c>
      <c r="G34" s="247">
        <f t="shared" si="0"/>
        <v>9124897</v>
      </c>
      <c r="H34" s="229" t="s">
        <v>175</v>
      </c>
      <c r="I34" s="314" t="s">
        <v>217</v>
      </c>
      <c r="J34" s="229" t="s">
        <v>168</v>
      </c>
      <c r="K34" s="229" t="s">
        <v>359</v>
      </c>
      <c r="L34" s="229" t="s">
        <v>188</v>
      </c>
      <c r="M34" s="233"/>
      <c r="N34" s="233"/>
      <c r="O34" s="229"/>
    </row>
    <row r="35" spans="1:15" ht="15" customHeight="1">
      <c r="A35" s="317">
        <v>44565</v>
      </c>
      <c r="B35" s="229" t="s">
        <v>305</v>
      </c>
      <c r="C35" s="229" t="s">
        <v>306</v>
      </c>
      <c r="D35" s="229" t="s">
        <v>4</v>
      </c>
      <c r="E35" s="247"/>
      <c r="F35" s="247">
        <v>80000</v>
      </c>
      <c r="G35" s="247">
        <f t="shared" si="0"/>
        <v>9044897</v>
      </c>
      <c r="H35" s="229" t="s">
        <v>175</v>
      </c>
      <c r="I35" s="314" t="s">
        <v>245</v>
      </c>
      <c r="J35" s="229" t="s">
        <v>168</v>
      </c>
      <c r="K35" s="229" t="s">
        <v>359</v>
      </c>
      <c r="L35" s="229" t="s">
        <v>188</v>
      </c>
      <c r="M35" s="229"/>
      <c r="N35" s="229"/>
      <c r="O35" s="229"/>
    </row>
    <row r="36" spans="1:15" ht="15.75" customHeight="1">
      <c r="A36" s="318">
        <v>44565</v>
      </c>
      <c r="B36" s="233" t="s">
        <v>389</v>
      </c>
      <c r="C36" s="233" t="s">
        <v>159</v>
      </c>
      <c r="D36" s="229" t="s">
        <v>4</v>
      </c>
      <c r="E36" s="249"/>
      <c r="F36" s="346">
        <v>80000</v>
      </c>
      <c r="G36" s="247">
        <f t="shared" si="0"/>
        <v>8964897</v>
      </c>
      <c r="H36" s="233" t="s">
        <v>49</v>
      </c>
      <c r="I36" s="314" t="s">
        <v>245</v>
      </c>
      <c r="J36" s="229" t="s">
        <v>103</v>
      </c>
      <c r="K36" s="229" t="s">
        <v>358</v>
      </c>
      <c r="L36" s="229" t="s">
        <v>188</v>
      </c>
      <c r="M36" s="178" t="s">
        <v>416</v>
      </c>
      <c r="N36" s="229" t="s">
        <v>378</v>
      </c>
      <c r="O36" s="233"/>
    </row>
    <row r="37" spans="1:15" ht="15.75" customHeight="1">
      <c r="A37" s="317">
        <v>44566</v>
      </c>
      <c r="B37" s="229" t="s">
        <v>212</v>
      </c>
      <c r="C37" s="229" t="s">
        <v>76</v>
      </c>
      <c r="D37" s="228"/>
      <c r="E37" s="229">
        <v>1000000</v>
      </c>
      <c r="F37" s="229"/>
      <c r="G37" s="247">
        <f t="shared" si="0"/>
        <v>9964897</v>
      </c>
      <c r="H37" s="229" t="s">
        <v>25</v>
      </c>
      <c r="I37" s="314" t="s">
        <v>245</v>
      </c>
      <c r="J37" s="229"/>
      <c r="K37" s="229"/>
      <c r="L37" s="229" t="s">
        <v>188</v>
      </c>
      <c r="M37" s="229"/>
      <c r="N37" s="229"/>
      <c r="O37" s="229"/>
    </row>
    <row r="38" spans="1:15" ht="15.75" customHeight="1">
      <c r="A38" s="317">
        <v>44566</v>
      </c>
      <c r="B38" s="229" t="s">
        <v>213</v>
      </c>
      <c r="C38" s="229" t="s">
        <v>76</v>
      </c>
      <c r="D38" s="228"/>
      <c r="E38" s="229">
        <v>1000000</v>
      </c>
      <c r="F38" s="229"/>
      <c r="G38" s="247">
        <f t="shared" si="0"/>
        <v>10964897</v>
      </c>
      <c r="H38" s="229" t="s">
        <v>25</v>
      </c>
      <c r="I38" s="314" t="s">
        <v>245</v>
      </c>
      <c r="J38" s="229"/>
      <c r="K38" s="229"/>
      <c r="L38" s="229" t="s">
        <v>188</v>
      </c>
      <c r="M38" s="229"/>
      <c r="N38" s="229"/>
      <c r="O38" s="229"/>
    </row>
    <row r="39" spans="1:15" ht="15.75" customHeight="1">
      <c r="A39" s="317">
        <v>44566</v>
      </c>
      <c r="B39" s="229" t="s">
        <v>48</v>
      </c>
      <c r="C39" s="229" t="s">
        <v>76</v>
      </c>
      <c r="D39" s="229"/>
      <c r="E39" s="247"/>
      <c r="F39" s="247">
        <v>91000</v>
      </c>
      <c r="G39" s="247">
        <f t="shared" si="0"/>
        <v>10873897</v>
      </c>
      <c r="H39" s="229" t="s">
        <v>25</v>
      </c>
      <c r="I39" s="314" t="s">
        <v>245</v>
      </c>
      <c r="J39" s="229"/>
      <c r="K39" s="229"/>
      <c r="L39" s="229" t="s">
        <v>188</v>
      </c>
      <c r="M39" s="229"/>
      <c r="N39" s="229"/>
      <c r="O39" s="229"/>
    </row>
    <row r="40" spans="1:15" ht="15.75" customHeight="1">
      <c r="A40" s="317">
        <v>44566</v>
      </c>
      <c r="B40" s="229" t="s">
        <v>214</v>
      </c>
      <c r="C40" s="229" t="s">
        <v>145</v>
      </c>
      <c r="D40" s="229" t="s">
        <v>166</v>
      </c>
      <c r="E40" s="247"/>
      <c r="F40" s="342">
        <v>76000</v>
      </c>
      <c r="G40" s="247">
        <f t="shared" si="0"/>
        <v>10797897</v>
      </c>
      <c r="H40" s="229" t="s">
        <v>25</v>
      </c>
      <c r="I40" s="314" t="s">
        <v>217</v>
      </c>
      <c r="J40" s="229" t="s">
        <v>103</v>
      </c>
      <c r="K40" s="229" t="s">
        <v>358</v>
      </c>
      <c r="L40" s="229" t="s">
        <v>188</v>
      </c>
      <c r="M40" s="178" t="s">
        <v>417</v>
      </c>
      <c r="N40" s="229" t="s">
        <v>363</v>
      </c>
      <c r="O40" s="229"/>
    </row>
    <row r="41" spans="1:15" ht="15.75" customHeight="1">
      <c r="A41" s="317">
        <v>44566</v>
      </c>
      <c r="B41" s="229" t="s">
        <v>215</v>
      </c>
      <c r="C41" s="229" t="s">
        <v>35</v>
      </c>
      <c r="D41" s="229" t="s">
        <v>216</v>
      </c>
      <c r="E41" s="247"/>
      <c r="F41" s="342">
        <v>74000</v>
      </c>
      <c r="G41" s="247">
        <f t="shared" si="0"/>
        <v>10723897</v>
      </c>
      <c r="H41" s="229" t="s">
        <v>25</v>
      </c>
      <c r="I41" s="314" t="s">
        <v>217</v>
      </c>
      <c r="J41" s="229" t="s">
        <v>103</v>
      </c>
      <c r="K41" s="229" t="s">
        <v>358</v>
      </c>
      <c r="L41" s="229" t="s">
        <v>188</v>
      </c>
      <c r="M41" s="178" t="s">
        <v>418</v>
      </c>
      <c r="N41" s="229" t="s">
        <v>365</v>
      </c>
      <c r="O41" s="229"/>
    </row>
    <row r="42" spans="1:15" ht="15.75" customHeight="1">
      <c r="A42" s="317">
        <v>44566</v>
      </c>
      <c r="B42" s="229" t="s">
        <v>247</v>
      </c>
      <c r="C42" s="229" t="s">
        <v>76</v>
      </c>
      <c r="D42" s="248"/>
      <c r="E42" s="229"/>
      <c r="F42" s="229">
        <v>1000000</v>
      </c>
      <c r="G42" s="247">
        <f t="shared" si="0"/>
        <v>9723897</v>
      </c>
      <c r="H42" s="229" t="s">
        <v>160</v>
      </c>
      <c r="I42" s="314">
        <v>3643595</v>
      </c>
      <c r="J42" s="229"/>
      <c r="K42" s="229"/>
      <c r="L42" s="229" t="s">
        <v>188</v>
      </c>
      <c r="M42" s="229"/>
      <c r="N42" s="229"/>
      <c r="O42" s="229"/>
    </row>
    <row r="43" spans="1:15" ht="15.75" customHeight="1">
      <c r="A43" s="317">
        <v>44566</v>
      </c>
      <c r="B43" s="229" t="s">
        <v>267</v>
      </c>
      <c r="C43" s="247" t="s">
        <v>76</v>
      </c>
      <c r="D43" s="247"/>
      <c r="E43" s="246"/>
      <c r="F43" s="229">
        <v>1000000</v>
      </c>
      <c r="G43" s="247">
        <f t="shared" si="0"/>
        <v>8723897</v>
      </c>
      <c r="H43" s="229" t="s">
        <v>24</v>
      </c>
      <c r="I43" s="314">
        <v>3654467</v>
      </c>
      <c r="J43" s="229"/>
      <c r="K43" s="229"/>
      <c r="L43" s="229" t="s">
        <v>188</v>
      </c>
      <c r="M43" s="229"/>
      <c r="N43" s="229"/>
      <c r="O43" s="229"/>
    </row>
    <row r="44" spans="1:15" ht="15" customHeight="1">
      <c r="A44" s="319">
        <v>44566</v>
      </c>
      <c r="B44" s="321" t="s">
        <v>275</v>
      </c>
      <c r="C44" s="238" t="s">
        <v>76</v>
      </c>
      <c r="D44" s="238"/>
      <c r="E44" s="251">
        <v>91000</v>
      </c>
      <c r="F44" s="251"/>
      <c r="G44" s="247">
        <f t="shared" si="0"/>
        <v>8814897</v>
      </c>
      <c r="H44" s="321" t="s">
        <v>48</v>
      </c>
      <c r="I44" s="314" t="s">
        <v>245</v>
      </c>
      <c r="J44" s="238"/>
      <c r="K44" s="321"/>
      <c r="L44" s="229" t="s">
        <v>188</v>
      </c>
      <c r="M44" s="229"/>
      <c r="N44" s="229"/>
      <c r="O44" s="238"/>
    </row>
    <row r="45" spans="1:15" ht="15" customHeight="1">
      <c r="A45" s="319">
        <v>44567</v>
      </c>
      <c r="B45" s="321" t="s">
        <v>356</v>
      </c>
      <c r="C45" s="229" t="s">
        <v>34</v>
      </c>
      <c r="D45" s="229" t="s">
        <v>2</v>
      </c>
      <c r="E45" s="251"/>
      <c r="F45" s="347">
        <v>10000</v>
      </c>
      <c r="G45" s="247">
        <f t="shared" si="0"/>
        <v>8804897</v>
      </c>
      <c r="H45" s="321" t="s">
        <v>48</v>
      </c>
      <c r="I45" s="314" t="s">
        <v>217</v>
      </c>
      <c r="J45" s="229" t="s">
        <v>103</v>
      </c>
      <c r="K45" s="229" t="s">
        <v>358</v>
      </c>
      <c r="L45" s="229" t="s">
        <v>188</v>
      </c>
      <c r="M45" s="178" t="s">
        <v>419</v>
      </c>
      <c r="N45" s="233" t="s">
        <v>374</v>
      </c>
      <c r="O45" s="238"/>
    </row>
    <row r="46" spans="1:15" ht="15" customHeight="1">
      <c r="A46" s="317">
        <v>44567</v>
      </c>
      <c r="B46" s="229" t="s">
        <v>175</v>
      </c>
      <c r="C46" s="229" t="s">
        <v>76</v>
      </c>
      <c r="D46" s="229"/>
      <c r="E46" s="247"/>
      <c r="F46" s="247">
        <v>150000</v>
      </c>
      <c r="G46" s="247">
        <f t="shared" si="0"/>
        <v>8654897</v>
      </c>
      <c r="H46" s="229" t="s">
        <v>25</v>
      </c>
      <c r="I46" s="314" t="s">
        <v>245</v>
      </c>
      <c r="J46" s="229"/>
      <c r="K46" s="229"/>
      <c r="L46" s="229" t="s">
        <v>188</v>
      </c>
      <c r="M46" s="229"/>
      <c r="N46" s="229"/>
      <c r="O46" s="229"/>
    </row>
    <row r="47" spans="1:15" ht="15" customHeight="1">
      <c r="A47" s="317">
        <v>44567</v>
      </c>
      <c r="B47" s="229" t="s">
        <v>30</v>
      </c>
      <c r="C47" s="229" t="s">
        <v>76</v>
      </c>
      <c r="D47" s="229"/>
      <c r="E47" s="247"/>
      <c r="F47" s="247">
        <v>150000</v>
      </c>
      <c r="G47" s="247">
        <f t="shared" si="0"/>
        <v>8504897</v>
      </c>
      <c r="H47" s="229" t="s">
        <v>25</v>
      </c>
      <c r="I47" s="314" t="s">
        <v>245</v>
      </c>
      <c r="J47" s="229"/>
      <c r="K47" s="229"/>
      <c r="L47" s="229" t="s">
        <v>188</v>
      </c>
      <c r="M47" s="229"/>
      <c r="N47" s="229"/>
      <c r="O47" s="229"/>
    </row>
    <row r="48" spans="1:15" ht="15" customHeight="1">
      <c r="A48" s="317">
        <v>44567</v>
      </c>
      <c r="B48" s="229" t="s">
        <v>29</v>
      </c>
      <c r="C48" s="247" t="s">
        <v>76</v>
      </c>
      <c r="D48" s="247"/>
      <c r="E48" s="247"/>
      <c r="F48" s="229">
        <v>150000</v>
      </c>
      <c r="G48" s="247">
        <f t="shared" si="0"/>
        <v>8354897</v>
      </c>
      <c r="H48" s="229" t="s">
        <v>25</v>
      </c>
      <c r="I48" s="314" t="s">
        <v>245</v>
      </c>
      <c r="J48" s="229"/>
      <c r="K48" s="229"/>
      <c r="L48" s="229" t="s">
        <v>188</v>
      </c>
      <c r="M48" s="229"/>
      <c r="N48" s="229"/>
      <c r="O48" s="229"/>
    </row>
    <row r="49" spans="1:15" ht="15" customHeight="1">
      <c r="A49" s="317">
        <v>44567</v>
      </c>
      <c r="B49" s="229" t="s">
        <v>218</v>
      </c>
      <c r="C49" s="229" t="s">
        <v>187</v>
      </c>
      <c r="D49" s="229" t="s">
        <v>216</v>
      </c>
      <c r="E49" s="229"/>
      <c r="F49" s="342">
        <v>13500</v>
      </c>
      <c r="G49" s="247">
        <f t="shared" si="0"/>
        <v>8341397</v>
      </c>
      <c r="H49" s="229" t="s">
        <v>25</v>
      </c>
      <c r="I49" s="314" t="s">
        <v>217</v>
      </c>
      <c r="J49" s="229" t="s">
        <v>103</v>
      </c>
      <c r="K49" s="229" t="s">
        <v>358</v>
      </c>
      <c r="L49" s="229" t="s">
        <v>188</v>
      </c>
      <c r="M49" s="178" t="s">
        <v>420</v>
      </c>
      <c r="N49" s="229" t="s">
        <v>360</v>
      </c>
      <c r="O49" s="229"/>
    </row>
    <row r="50" spans="1:15" ht="15" customHeight="1">
      <c r="A50" s="317">
        <v>44567</v>
      </c>
      <c r="B50" s="229" t="s">
        <v>219</v>
      </c>
      <c r="C50" s="229" t="s">
        <v>193</v>
      </c>
      <c r="D50" s="228" t="s">
        <v>216</v>
      </c>
      <c r="E50" s="247"/>
      <c r="F50" s="342">
        <v>74175</v>
      </c>
      <c r="G50" s="247">
        <f t="shared" si="0"/>
        <v>8267222</v>
      </c>
      <c r="H50" s="229" t="s">
        <v>25</v>
      </c>
      <c r="I50" s="314" t="s">
        <v>217</v>
      </c>
      <c r="J50" s="229" t="s">
        <v>103</v>
      </c>
      <c r="K50" s="229" t="s">
        <v>358</v>
      </c>
      <c r="L50" s="229" t="s">
        <v>188</v>
      </c>
      <c r="M50" s="178" t="s">
        <v>421</v>
      </c>
      <c r="N50" s="229" t="s">
        <v>372</v>
      </c>
      <c r="O50" s="229"/>
    </row>
    <row r="51" spans="1:15" ht="15" customHeight="1">
      <c r="A51" s="319">
        <v>44567</v>
      </c>
      <c r="B51" s="321" t="s">
        <v>276</v>
      </c>
      <c r="C51" s="229" t="s">
        <v>159</v>
      </c>
      <c r="D51" s="229" t="s">
        <v>2</v>
      </c>
      <c r="E51" s="251"/>
      <c r="F51" s="347">
        <v>20000</v>
      </c>
      <c r="G51" s="247">
        <f t="shared" si="0"/>
        <v>8247222</v>
      </c>
      <c r="H51" s="321" t="s">
        <v>48</v>
      </c>
      <c r="I51" s="314" t="s">
        <v>245</v>
      </c>
      <c r="J51" s="229" t="s">
        <v>103</v>
      </c>
      <c r="K51" s="229" t="s">
        <v>358</v>
      </c>
      <c r="L51" s="229" t="s">
        <v>188</v>
      </c>
      <c r="M51" s="178" t="s">
        <v>422</v>
      </c>
      <c r="N51" s="229" t="s">
        <v>378</v>
      </c>
      <c r="O51" s="238"/>
    </row>
    <row r="52" spans="1:15" ht="15" customHeight="1">
      <c r="A52" s="317">
        <v>44567</v>
      </c>
      <c r="B52" s="229" t="s">
        <v>339</v>
      </c>
      <c r="C52" s="229" t="s">
        <v>76</v>
      </c>
      <c r="D52" s="229"/>
      <c r="E52" s="229">
        <v>150000</v>
      </c>
      <c r="F52" s="229"/>
      <c r="G52" s="247">
        <f t="shared" si="0"/>
        <v>8397222</v>
      </c>
      <c r="H52" s="229" t="s">
        <v>29</v>
      </c>
      <c r="I52" s="314" t="s">
        <v>245</v>
      </c>
      <c r="J52" s="229"/>
      <c r="K52" s="229"/>
      <c r="L52" s="229" t="s">
        <v>188</v>
      </c>
      <c r="M52" s="229"/>
      <c r="N52" s="229"/>
      <c r="O52" s="229"/>
    </row>
    <row r="53" spans="1:15" ht="15" customHeight="1">
      <c r="A53" s="317">
        <v>44567</v>
      </c>
      <c r="B53" s="229" t="s">
        <v>302</v>
      </c>
      <c r="C53" s="229" t="s">
        <v>303</v>
      </c>
      <c r="D53" s="229"/>
      <c r="E53" s="247">
        <v>150000</v>
      </c>
      <c r="F53" s="247"/>
      <c r="G53" s="247">
        <f t="shared" si="0"/>
        <v>8547222</v>
      </c>
      <c r="H53" s="229" t="s">
        <v>175</v>
      </c>
      <c r="I53" s="314" t="s">
        <v>245</v>
      </c>
      <c r="J53" s="229"/>
      <c r="K53" s="229"/>
      <c r="L53" s="229" t="s">
        <v>188</v>
      </c>
      <c r="M53" s="229"/>
      <c r="N53" s="229"/>
      <c r="O53" s="229"/>
    </row>
    <row r="54" spans="1:15" ht="15" customHeight="1">
      <c r="A54" s="317">
        <v>44568</v>
      </c>
      <c r="B54" s="229" t="s">
        <v>375</v>
      </c>
      <c r="C54" s="229" t="s">
        <v>176</v>
      </c>
      <c r="D54" s="228" t="s">
        <v>216</v>
      </c>
      <c r="E54" s="229"/>
      <c r="F54" s="342">
        <v>18000</v>
      </c>
      <c r="G54" s="247">
        <f t="shared" si="0"/>
        <v>8529222</v>
      </c>
      <c r="H54" s="229" t="s">
        <v>25</v>
      </c>
      <c r="I54" s="314" t="s">
        <v>217</v>
      </c>
      <c r="J54" s="229" t="s">
        <v>103</v>
      </c>
      <c r="K54" s="229" t="s">
        <v>358</v>
      </c>
      <c r="L54" s="229" t="s">
        <v>188</v>
      </c>
      <c r="M54" s="178" t="s">
        <v>423</v>
      </c>
      <c r="N54" s="314">
        <v>7</v>
      </c>
      <c r="O54" s="229"/>
    </row>
    <row r="55" spans="1:15" ht="15" customHeight="1">
      <c r="A55" s="317">
        <v>44568</v>
      </c>
      <c r="B55" s="229" t="s">
        <v>48</v>
      </c>
      <c r="C55" s="229" t="s">
        <v>76</v>
      </c>
      <c r="D55" s="228"/>
      <c r="E55" s="229"/>
      <c r="F55" s="248">
        <v>50000</v>
      </c>
      <c r="G55" s="247">
        <f t="shared" si="0"/>
        <v>8479222</v>
      </c>
      <c r="H55" s="229" t="s">
        <v>25</v>
      </c>
      <c r="I55" s="314" t="s">
        <v>245</v>
      </c>
      <c r="J55" s="229"/>
      <c r="K55" s="229"/>
      <c r="L55" s="229" t="s">
        <v>188</v>
      </c>
      <c r="M55" s="229"/>
      <c r="N55" s="229"/>
      <c r="O55" s="229"/>
    </row>
    <row r="56" spans="1:15" ht="15" customHeight="1">
      <c r="A56" s="317">
        <v>44568</v>
      </c>
      <c r="B56" s="229" t="s">
        <v>220</v>
      </c>
      <c r="C56" s="229" t="s">
        <v>187</v>
      </c>
      <c r="D56" s="228" t="s">
        <v>216</v>
      </c>
      <c r="E56" s="229"/>
      <c r="F56" s="342">
        <v>1500</v>
      </c>
      <c r="G56" s="247">
        <f t="shared" si="0"/>
        <v>8477722</v>
      </c>
      <c r="H56" s="229" t="s">
        <v>25</v>
      </c>
      <c r="I56" s="314" t="s">
        <v>217</v>
      </c>
      <c r="J56" s="229" t="s">
        <v>103</v>
      </c>
      <c r="K56" s="229" t="s">
        <v>358</v>
      </c>
      <c r="L56" s="229" t="s">
        <v>188</v>
      </c>
      <c r="M56" s="178" t="s">
        <v>424</v>
      </c>
      <c r="N56" s="229" t="s">
        <v>360</v>
      </c>
      <c r="O56" s="229"/>
    </row>
    <row r="57" spans="1:15" ht="15" customHeight="1">
      <c r="A57" s="317">
        <v>44568</v>
      </c>
      <c r="B57" s="229" t="s">
        <v>277</v>
      </c>
      <c r="C57" s="229" t="s">
        <v>278</v>
      </c>
      <c r="D57" s="228" t="s">
        <v>166</v>
      </c>
      <c r="E57" s="229"/>
      <c r="F57" s="229">
        <v>50000</v>
      </c>
      <c r="G57" s="247">
        <f t="shared" si="0"/>
        <v>8427722</v>
      </c>
      <c r="H57" s="229" t="s">
        <v>48</v>
      </c>
      <c r="I57" s="314" t="s">
        <v>217</v>
      </c>
      <c r="J57" s="229" t="s">
        <v>168</v>
      </c>
      <c r="K57" s="229" t="s">
        <v>359</v>
      </c>
      <c r="L57" s="229" t="s">
        <v>188</v>
      </c>
      <c r="M57" s="233"/>
      <c r="N57" s="233"/>
      <c r="O57" s="233"/>
    </row>
    <row r="58" spans="1:15" ht="15" customHeight="1">
      <c r="A58" s="317">
        <v>44568</v>
      </c>
      <c r="B58" s="229" t="s">
        <v>275</v>
      </c>
      <c r="C58" s="229" t="s">
        <v>76</v>
      </c>
      <c r="D58" s="228"/>
      <c r="E58" s="229">
        <v>50000</v>
      </c>
      <c r="F58" s="229"/>
      <c r="G58" s="247">
        <f t="shared" si="0"/>
        <v>8477722</v>
      </c>
      <c r="H58" s="229" t="s">
        <v>48</v>
      </c>
      <c r="I58" s="314" t="s">
        <v>245</v>
      </c>
      <c r="J58" s="229"/>
      <c r="K58" s="229"/>
      <c r="L58" s="229" t="s">
        <v>188</v>
      </c>
      <c r="M58" s="229"/>
      <c r="N58" s="229"/>
      <c r="O58" s="229"/>
    </row>
    <row r="59" spans="1:15" ht="15" customHeight="1">
      <c r="A59" s="317">
        <v>44568</v>
      </c>
      <c r="B59" s="229" t="s">
        <v>279</v>
      </c>
      <c r="C59" s="321" t="s">
        <v>146</v>
      </c>
      <c r="D59" s="228" t="s">
        <v>166</v>
      </c>
      <c r="E59" s="229"/>
      <c r="F59" s="248">
        <v>9000</v>
      </c>
      <c r="G59" s="247">
        <f t="shared" si="0"/>
        <v>8468722</v>
      </c>
      <c r="H59" s="229" t="s">
        <v>48</v>
      </c>
      <c r="I59" s="314" t="s">
        <v>245</v>
      </c>
      <c r="J59" s="229" t="s">
        <v>168</v>
      </c>
      <c r="K59" s="229" t="s">
        <v>359</v>
      </c>
      <c r="L59" s="229" t="s">
        <v>188</v>
      </c>
      <c r="M59" s="229"/>
      <c r="N59" s="229"/>
      <c r="O59" s="229"/>
    </row>
    <row r="60" spans="1:15" ht="15" customHeight="1">
      <c r="A60" s="317">
        <v>44568</v>
      </c>
      <c r="B60" s="229" t="s">
        <v>307</v>
      </c>
      <c r="C60" s="229" t="s">
        <v>306</v>
      </c>
      <c r="D60" s="229" t="s">
        <v>4</v>
      </c>
      <c r="E60" s="247"/>
      <c r="F60" s="247">
        <v>45000</v>
      </c>
      <c r="G60" s="247">
        <f t="shared" si="0"/>
        <v>8423722</v>
      </c>
      <c r="H60" s="229" t="s">
        <v>175</v>
      </c>
      <c r="I60" s="314" t="s">
        <v>217</v>
      </c>
      <c r="J60" s="229" t="s">
        <v>168</v>
      </c>
      <c r="K60" s="229" t="s">
        <v>359</v>
      </c>
      <c r="L60" s="229" t="s">
        <v>188</v>
      </c>
      <c r="M60" s="229"/>
      <c r="N60" s="229"/>
      <c r="O60" s="229"/>
    </row>
    <row r="61" spans="1:15" ht="15" customHeight="1">
      <c r="A61" s="317">
        <v>44568</v>
      </c>
      <c r="B61" s="229" t="s">
        <v>308</v>
      </c>
      <c r="C61" s="229" t="s">
        <v>34</v>
      </c>
      <c r="D61" s="229" t="s">
        <v>4</v>
      </c>
      <c r="E61" s="247"/>
      <c r="F61" s="247">
        <v>10000</v>
      </c>
      <c r="G61" s="247">
        <f t="shared" si="0"/>
        <v>8413722</v>
      </c>
      <c r="H61" s="229" t="s">
        <v>175</v>
      </c>
      <c r="I61" s="314" t="s">
        <v>217</v>
      </c>
      <c r="J61" s="229" t="s">
        <v>168</v>
      </c>
      <c r="K61" s="229" t="s">
        <v>359</v>
      </c>
      <c r="L61" s="229" t="s">
        <v>188</v>
      </c>
      <c r="M61" s="233"/>
      <c r="N61" s="233"/>
      <c r="O61" s="229"/>
    </row>
    <row r="62" spans="1:15" ht="15" customHeight="1">
      <c r="A62" s="317">
        <v>44568</v>
      </c>
      <c r="B62" s="229" t="s">
        <v>341</v>
      </c>
      <c r="C62" s="229" t="s">
        <v>159</v>
      </c>
      <c r="D62" s="229" t="s">
        <v>4</v>
      </c>
      <c r="E62" s="247"/>
      <c r="F62" s="342">
        <v>45000</v>
      </c>
      <c r="G62" s="247">
        <f t="shared" si="0"/>
        <v>8368722</v>
      </c>
      <c r="H62" s="229" t="s">
        <v>29</v>
      </c>
      <c r="I62" s="314" t="s">
        <v>217</v>
      </c>
      <c r="J62" s="229" t="s">
        <v>103</v>
      </c>
      <c r="K62" s="229" t="s">
        <v>358</v>
      </c>
      <c r="L62" s="229" t="s">
        <v>188</v>
      </c>
      <c r="M62" s="178" t="s">
        <v>425</v>
      </c>
      <c r="N62" s="229" t="s">
        <v>378</v>
      </c>
      <c r="O62" s="229"/>
    </row>
    <row r="63" spans="1:15" ht="15" customHeight="1">
      <c r="A63" s="317">
        <v>44568</v>
      </c>
      <c r="B63" s="229" t="s">
        <v>398</v>
      </c>
      <c r="C63" s="229" t="s">
        <v>34</v>
      </c>
      <c r="D63" s="229" t="s">
        <v>4</v>
      </c>
      <c r="E63" s="247"/>
      <c r="F63" s="342">
        <v>8000</v>
      </c>
      <c r="G63" s="247">
        <f t="shared" si="0"/>
        <v>8360722</v>
      </c>
      <c r="H63" s="229" t="s">
        <v>29</v>
      </c>
      <c r="I63" s="314" t="s">
        <v>217</v>
      </c>
      <c r="J63" s="229" t="s">
        <v>103</v>
      </c>
      <c r="K63" s="229" t="s">
        <v>358</v>
      </c>
      <c r="L63" s="229" t="s">
        <v>188</v>
      </c>
      <c r="M63" s="178" t="s">
        <v>426</v>
      </c>
      <c r="N63" s="233" t="s">
        <v>374</v>
      </c>
      <c r="O63" s="229"/>
    </row>
    <row r="64" spans="1:15" ht="15" customHeight="1">
      <c r="A64" s="318">
        <v>44569</v>
      </c>
      <c r="B64" s="233" t="s">
        <v>357</v>
      </c>
      <c r="C64" s="229" t="s">
        <v>34</v>
      </c>
      <c r="D64" s="229" t="s">
        <v>2</v>
      </c>
      <c r="E64" s="249"/>
      <c r="F64" s="346">
        <v>10000</v>
      </c>
      <c r="G64" s="247">
        <f t="shared" si="0"/>
        <v>8350722</v>
      </c>
      <c r="H64" s="233" t="s">
        <v>48</v>
      </c>
      <c r="I64" s="314" t="s">
        <v>217</v>
      </c>
      <c r="J64" s="229" t="s">
        <v>103</v>
      </c>
      <c r="K64" s="229" t="s">
        <v>358</v>
      </c>
      <c r="L64" s="229" t="s">
        <v>188</v>
      </c>
      <c r="M64" s="178" t="s">
        <v>427</v>
      </c>
      <c r="N64" s="233" t="s">
        <v>374</v>
      </c>
      <c r="O64" s="233"/>
    </row>
    <row r="65" spans="1:15" ht="15" customHeight="1">
      <c r="A65" s="317">
        <v>44569</v>
      </c>
      <c r="B65" s="229" t="s">
        <v>280</v>
      </c>
      <c r="C65" s="229" t="s">
        <v>159</v>
      </c>
      <c r="D65" s="228" t="s">
        <v>2</v>
      </c>
      <c r="E65" s="229"/>
      <c r="F65" s="342">
        <v>30000</v>
      </c>
      <c r="G65" s="247">
        <f t="shared" si="0"/>
        <v>8320722</v>
      </c>
      <c r="H65" s="229" t="s">
        <v>48</v>
      </c>
      <c r="I65" s="314" t="s">
        <v>217</v>
      </c>
      <c r="J65" s="229" t="s">
        <v>103</v>
      </c>
      <c r="K65" s="229" t="s">
        <v>358</v>
      </c>
      <c r="L65" s="229" t="s">
        <v>188</v>
      </c>
      <c r="M65" s="178" t="s">
        <v>428</v>
      </c>
      <c r="N65" s="229" t="s">
        <v>378</v>
      </c>
      <c r="O65" s="233"/>
    </row>
    <row r="66" spans="1:15" ht="15" customHeight="1">
      <c r="A66" s="317">
        <v>44569</v>
      </c>
      <c r="B66" s="229" t="s">
        <v>395</v>
      </c>
      <c r="C66" s="229" t="s">
        <v>34</v>
      </c>
      <c r="D66" s="229" t="s">
        <v>4</v>
      </c>
      <c r="E66" s="247"/>
      <c r="F66" s="342">
        <v>5000</v>
      </c>
      <c r="G66" s="247">
        <f t="shared" si="0"/>
        <v>8315722</v>
      </c>
      <c r="H66" s="229" t="s">
        <v>49</v>
      </c>
      <c r="I66" s="314" t="s">
        <v>217</v>
      </c>
      <c r="J66" s="229" t="s">
        <v>103</v>
      </c>
      <c r="K66" s="229" t="s">
        <v>358</v>
      </c>
      <c r="L66" s="229" t="s">
        <v>188</v>
      </c>
      <c r="M66" s="178" t="s">
        <v>429</v>
      </c>
      <c r="N66" s="233" t="s">
        <v>374</v>
      </c>
      <c r="O66" s="229"/>
    </row>
    <row r="67" spans="1:15" ht="15" customHeight="1">
      <c r="A67" s="317">
        <v>44569</v>
      </c>
      <c r="B67" s="229" t="s">
        <v>394</v>
      </c>
      <c r="C67" s="229" t="s">
        <v>34</v>
      </c>
      <c r="D67" s="229" t="s">
        <v>4</v>
      </c>
      <c r="E67" s="247"/>
      <c r="F67" s="342">
        <v>5000</v>
      </c>
      <c r="G67" s="247">
        <f t="shared" si="0"/>
        <v>8310722</v>
      </c>
      <c r="H67" s="229" t="s">
        <v>49</v>
      </c>
      <c r="I67" s="314" t="s">
        <v>217</v>
      </c>
      <c r="J67" s="229" t="s">
        <v>103</v>
      </c>
      <c r="K67" s="229" t="s">
        <v>358</v>
      </c>
      <c r="L67" s="229" t="s">
        <v>188</v>
      </c>
      <c r="M67" s="178" t="s">
        <v>430</v>
      </c>
      <c r="N67" s="233" t="s">
        <v>374</v>
      </c>
      <c r="O67" s="229"/>
    </row>
    <row r="68" spans="1:15" ht="15" customHeight="1">
      <c r="A68" s="317">
        <v>44569</v>
      </c>
      <c r="B68" s="229" t="s">
        <v>327</v>
      </c>
      <c r="C68" s="229" t="s">
        <v>76</v>
      </c>
      <c r="D68" s="229"/>
      <c r="E68" s="247">
        <v>150000</v>
      </c>
      <c r="F68" s="247"/>
      <c r="G68" s="247">
        <f t="shared" si="0"/>
        <v>8460722</v>
      </c>
      <c r="H68" s="229" t="s">
        <v>49</v>
      </c>
      <c r="I68" s="314" t="s">
        <v>245</v>
      </c>
      <c r="J68" s="229"/>
      <c r="K68" s="229"/>
      <c r="L68" s="229" t="s">
        <v>188</v>
      </c>
      <c r="M68" s="229"/>
      <c r="N68" s="229"/>
      <c r="O68" s="229"/>
    </row>
    <row r="69" spans="1:15" ht="15" customHeight="1">
      <c r="A69" s="317">
        <v>44570</v>
      </c>
      <c r="B69" s="229" t="s">
        <v>309</v>
      </c>
      <c r="C69" s="229" t="s">
        <v>34</v>
      </c>
      <c r="D69" s="229" t="s">
        <v>4</v>
      </c>
      <c r="E69" s="247"/>
      <c r="F69" s="247">
        <v>10000</v>
      </c>
      <c r="G69" s="247">
        <f t="shared" si="0"/>
        <v>8450722</v>
      </c>
      <c r="H69" s="229" t="s">
        <v>175</v>
      </c>
      <c r="I69" s="314" t="s">
        <v>217</v>
      </c>
      <c r="J69" s="229" t="s">
        <v>168</v>
      </c>
      <c r="K69" s="229" t="s">
        <v>359</v>
      </c>
      <c r="L69" s="229" t="s">
        <v>188</v>
      </c>
      <c r="M69" s="233"/>
      <c r="N69" s="233"/>
      <c r="O69" s="229"/>
    </row>
    <row r="70" spans="1:15" ht="15" customHeight="1">
      <c r="A70" s="317">
        <v>44570</v>
      </c>
      <c r="B70" s="229" t="s">
        <v>310</v>
      </c>
      <c r="C70" s="229" t="s">
        <v>306</v>
      </c>
      <c r="D70" s="229" t="s">
        <v>4</v>
      </c>
      <c r="E70" s="247"/>
      <c r="F70" s="247">
        <v>30000</v>
      </c>
      <c r="G70" s="247">
        <f t="shared" si="0"/>
        <v>8420722</v>
      </c>
      <c r="H70" s="229" t="s">
        <v>175</v>
      </c>
      <c r="I70" s="314" t="s">
        <v>217</v>
      </c>
      <c r="J70" s="229" t="s">
        <v>168</v>
      </c>
      <c r="K70" s="229" t="s">
        <v>359</v>
      </c>
      <c r="L70" s="229" t="s">
        <v>188</v>
      </c>
      <c r="M70" s="229"/>
      <c r="N70" s="229"/>
      <c r="O70" s="229"/>
    </row>
    <row r="71" spans="1:15" ht="15" customHeight="1">
      <c r="A71" s="317">
        <v>44570</v>
      </c>
      <c r="B71" s="229" t="s">
        <v>388</v>
      </c>
      <c r="C71" s="229" t="s">
        <v>159</v>
      </c>
      <c r="D71" s="229" t="s">
        <v>4</v>
      </c>
      <c r="E71" s="247"/>
      <c r="F71" s="342">
        <v>75000</v>
      </c>
      <c r="G71" s="247">
        <f t="shared" si="0"/>
        <v>8345722</v>
      </c>
      <c r="H71" s="229" t="s">
        <v>49</v>
      </c>
      <c r="I71" s="314" t="s">
        <v>217</v>
      </c>
      <c r="J71" s="229" t="s">
        <v>103</v>
      </c>
      <c r="K71" s="229" t="s">
        <v>358</v>
      </c>
      <c r="L71" s="229" t="s">
        <v>188</v>
      </c>
      <c r="M71" s="178" t="s">
        <v>431</v>
      </c>
      <c r="N71" s="229" t="s">
        <v>378</v>
      </c>
      <c r="O71" s="229"/>
    </row>
    <row r="72" spans="1:15" ht="15" customHeight="1">
      <c r="A72" s="317">
        <v>44570</v>
      </c>
      <c r="B72" s="229" t="s">
        <v>328</v>
      </c>
      <c r="C72" s="229" t="s">
        <v>34</v>
      </c>
      <c r="D72" s="229" t="s">
        <v>4</v>
      </c>
      <c r="E72" s="229"/>
      <c r="F72" s="342">
        <v>5000</v>
      </c>
      <c r="G72" s="247">
        <f t="shared" si="0"/>
        <v>8340722</v>
      </c>
      <c r="H72" s="229" t="s">
        <v>49</v>
      </c>
      <c r="I72" s="314" t="s">
        <v>217</v>
      </c>
      <c r="J72" s="229" t="s">
        <v>103</v>
      </c>
      <c r="K72" s="229" t="s">
        <v>358</v>
      </c>
      <c r="L72" s="229" t="s">
        <v>188</v>
      </c>
      <c r="M72" s="178" t="s">
        <v>432</v>
      </c>
      <c r="N72" s="233" t="s">
        <v>374</v>
      </c>
      <c r="O72" s="229"/>
    </row>
    <row r="73" spans="1:15" ht="15" customHeight="1">
      <c r="A73" s="317">
        <v>44570</v>
      </c>
      <c r="B73" s="229" t="s">
        <v>329</v>
      </c>
      <c r="C73" s="229" t="s">
        <v>34</v>
      </c>
      <c r="D73" s="229" t="s">
        <v>4</v>
      </c>
      <c r="E73" s="229"/>
      <c r="F73" s="342">
        <v>5000</v>
      </c>
      <c r="G73" s="247">
        <f t="shared" si="0"/>
        <v>8335722</v>
      </c>
      <c r="H73" s="229" t="s">
        <v>49</v>
      </c>
      <c r="I73" s="314" t="s">
        <v>217</v>
      </c>
      <c r="J73" s="229" t="s">
        <v>103</v>
      </c>
      <c r="K73" s="229" t="s">
        <v>358</v>
      </c>
      <c r="L73" s="229" t="s">
        <v>188</v>
      </c>
      <c r="M73" s="178" t="s">
        <v>433</v>
      </c>
      <c r="N73" s="233" t="s">
        <v>374</v>
      </c>
      <c r="O73" s="229"/>
    </row>
    <row r="74" spans="1:15" ht="15" customHeight="1">
      <c r="A74" s="317">
        <v>44570</v>
      </c>
      <c r="B74" s="229" t="s">
        <v>342</v>
      </c>
      <c r="C74" s="229" t="s">
        <v>159</v>
      </c>
      <c r="D74" s="229" t="s">
        <v>4</v>
      </c>
      <c r="E74" s="247"/>
      <c r="F74" s="342">
        <v>30000</v>
      </c>
      <c r="G74" s="247">
        <f t="shared" si="0"/>
        <v>8305722</v>
      </c>
      <c r="H74" s="229" t="s">
        <v>29</v>
      </c>
      <c r="I74" s="314" t="s">
        <v>217</v>
      </c>
      <c r="J74" s="229" t="s">
        <v>103</v>
      </c>
      <c r="K74" s="229" t="s">
        <v>358</v>
      </c>
      <c r="L74" s="229" t="s">
        <v>188</v>
      </c>
      <c r="M74" s="178" t="s">
        <v>434</v>
      </c>
      <c r="N74" s="229" t="s">
        <v>378</v>
      </c>
      <c r="O74" s="229"/>
    </row>
    <row r="75" spans="1:15" ht="15" customHeight="1">
      <c r="A75" s="317">
        <v>44570</v>
      </c>
      <c r="B75" s="229" t="s">
        <v>399</v>
      </c>
      <c r="C75" s="229" t="s">
        <v>34</v>
      </c>
      <c r="D75" s="229" t="s">
        <v>4</v>
      </c>
      <c r="E75" s="247"/>
      <c r="F75" s="342">
        <v>8000</v>
      </c>
      <c r="G75" s="247">
        <f t="shared" si="0"/>
        <v>8297722</v>
      </c>
      <c r="H75" s="229" t="s">
        <v>29</v>
      </c>
      <c r="I75" s="314" t="s">
        <v>217</v>
      </c>
      <c r="J75" s="229" t="s">
        <v>103</v>
      </c>
      <c r="K75" s="229" t="s">
        <v>358</v>
      </c>
      <c r="L75" s="229" t="s">
        <v>188</v>
      </c>
      <c r="M75" s="178" t="s">
        <v>435</v>
      </c>
      <c r="N75" s="233" t="s">
        <v>374</v>
      </c>
      <c r="O75" s="229"/>
    </row>
    <row r="76" spans="1:15" ht="17.25" customHeight="1">
      <c r="A76" s="319">
        <v>44571</v>
      </c>
      <c r="B76" s="229" t="s">
        <v>48</v>
      </c>
      <c r="C76" s="229" t="s">
        <v>76</v>
      </c>
      <c r="D76" s="229"/>
      <c r="E76" s="248"/>
      <c r="F76" s="247">
        <v>35000</v>
      </c>
      <c r="G76" s="247">
        <f t="shared" si="0"/>
        <v>8262722</v>
      </c>
      <c r="H76" s="229" t="s">
        <v>25</v>
      </c>
      <c r="I76" s="314" t="s">
        <v>245</v>
      </c>
      <c r="J76" s="323"/>
      <c r="K76" s="229"/>
      <c r="L76" s="229" t="s">
        <v>188</v>
      </c>
      <c r="M76" s="229"/>
      <c r="N76" s="229"/>
      <c r="O76" s="229"/>
    </row>
    <row r="77" spans="1:15" ht="16.5" customHeight="1">
      <c r="A77" s="317">
        <v>44571</v>
      </c>
      <c r="B77" s="229" t="s">
        <v>275</v>
      </c>
      <c r="C77" s="229" t="s">
        <v>76</v>
      </c>
      <c r="D77" s="228"/>
      <c r="E77" s="229">
        <v>35000</v>
      </c>
      <c r="F77" s="248"/>
      <c r="G77" s="247">
        <f t="shared" ref="G77:G140" si="1">+G76+E77-F77</f>
        <v>8297722</v>
      </c>
      <c r="H77" s="229" t="s">
        <v>48</v>
      </c>
      <c r="I77" s="314" t="s">
        <v>245</v>
      </c>
      <c r="J77" s="229"/>
      <c r="K77" s="229"/>
      <c r="L77" s="229" t="s">
        <v>188</v>
      </c>
      <c r="M77" s="229"/>
      <c r="N77" s="229"/>
      <c r="O77" s="229"/>
    </row>
    <row r="78" spans="1:15" ht="15" customHeight="1">
      <c r="A78" s="317">
        <v>44571</v>
      </c>
      <c r="B78" s="229" t="s">
        <v>311</v>
      </c>
      <c r="C78" s="229" t="s">
        <v>306</v>
      </c>
      <c r="D78" s="229" t="s">
        <v>4</v>
      </c>
      <c r="E78" s="247"/>
      <c r="F78" s="247">
        <v>30000</v>
      </c>
      <c r="G78" s="247">
        <f t="shared" si="1"/>
        <v>8267722</v>
      </c>
      <c r="H78" s="229" t="s">
        <v>175</v>
      </c>
      <c r="I78" s="314" t="s">
        <v>217</v>
      </c>
      <c r="J78" s="229" t="s">
        <v>168</v>
      </c>
      <c r="K78" s="229" t="s">
        <v>359</v>
      </c>
      <c r="L78" s="229" t="s">
        <v>188</v>
      </c>
      <c r="M78" s="229"/>
      <c r="N78" s="229"/>
      <c r="O78" s="229"/>
    </row>
    <row r="79" spans="1:15" ht="15" customHeight="1">
      <c r="A79" s="317">
        <v>44572</v>
      </c>
      <c r="B79" s="229" t="s">
        <v>48</v>
      </c>
      <c r="C79" s="229" t="s">
        <v>76</v>
      </c>
      <c r="D79" s="228"/>
      <c r="E79" s="229"/>
      <c r="F79" s="229">
        <v>20000</v>
      </c>
      <c r="G79" s="247">
        <f t="shared" si="1"/>
        <v>8247722</v>
      </c>
      <c r="H79" s="229" t="s">
        <v>25</v>
      </c>
      <c r="I79" s="314" t="s">
        <v>245</v>
      </c>
      <c r="J79" s="229"/>
      <c r="K79" s="229"/>
      <c r="L79" s="229" t="s">
        <v>188</v>
      </c>
      <c r="M79" s="229"/>
      <c r="N79" s="229"/>
      <c r="O79" s="229"/>
    </row>
    <row r="80" spans="1:15" ht="15" customHeight="1">
      <c r="A80" s="317">
        <v>44572</v>
      </c>
      <c r="B80" s="229" t="s">
        <v>275</v>
      </c>
      <c r="C80" s="229" t="s">
        <v>76</v>
      </c>
      <c r="D80" s="229"/>
      <c r="E80" s="229">
        <v>20000</v>
      </c>
      <c r="F80" s="229"/>
      <c r="G80" s="247">
        <f t="shared" si="1"/>
        <v>8267722</v>
      </c>
      <c r="H80" s="229" t="s">
        <v>48</v>
      </c>
      <c r="I80" s="314" t="s">
        <v>245</v>
      </c>
      <c r="J80" s="229"/>
      <c r="K80" s="229"/>
      <c r="L80" s="229" t="s">
        <v>188</v>
      </c>
      <c r="M80" s="229"/>
      <c r="N80" s="229"/>
      <c r="O80" s="229"/>
    </row>
    <row r="81" spans="1:15" ht="15" customHeight="1">
      <c r="A81" s="319">
        <v>44572</v>
      </c>
      <c r="B81" s="321" t="s">
        <v>312</v>
      </c>
      <c r="C81" s="229" t="s">
        <v>34</v>
      </c>
      <c r="D81" s="229" t="s">
        <v>4</v>
      </c>
      <c r="E81" s="251"/>
      <c r="F81" s="252">
        <v>10000</v>
      </c>
      <c r="G81" s="247">
        <f t="shared" si="1"/>
        <v>8257722</v>
      </c>
      <c r="H81" s="321" t="s">
        <v>175</v>
      </c>
      <c r="I81" s="314" t="s">
        <v>217</v>
      </c>
      <c r="J81" s="229" t="s">
        <v>168</v>
      </c>
      <c r="K81" s="229" t="s">
        <v>359</v>
      </c>
      <c r="L81" s="229" t="s">
        <v>188</v>
      </c>
      <c r="M81" s="233"/>
      <c r="N81" s="233"/>
      <c r="O81" s="238"/>
    </row>
    <row r="82" spans="1:15" ht="15" customHeight="1">
      <c r="A82" s="317">
        <v>44572</v>
      </c>
      <c r="B82" s="229" t="s">
        <v>330</v>
      </c>
      <c r="C82" s="229" t="s">
        <v>34</v>
      </c>
      <c r="D82" s="229" t="s">
        <v>4</v>
      </c>
      <c r="E82" s="229"/>
      <c r="F82" s="342">
        <v>10000</v>
      </c>
      <c r="G82" s="247">
        <f t="shared" si="1"/>
        <v>8247722</v>
      </c>
      <c r="H82" s="229" t="s">
        <v>49</v>
      </c>
      <c r="I82" s="314" t="s">
        <v>217</v>
      </c>
      <c r="J82" s="229" t="s">
        <v>103</v>
      </c>
      <c r="K82" s="229" t="s">
        <v>358</v>
      </c>
      <c r="L82" s="229" t="s">
        <v>188</v>
      </c>
      <c r="M82" s="178" t="s">
        <v>436</v>
      </c>
      <c r="N82" s="233" t="s">
        <v>374</v>
      </c>
      <c r="O82" s="229"/>
    </row>
    <row r="83" spans="1:15" ht="15" customHeight="1">
      <c r="A83" s="319">
        <v>44573</v>
      </c>
      <c r="B83" s="321" t="s">
        <v>380</v>
      </c>
      <c r="C83" s="229" t="s">
        <v>306</v>
      </c>
      <c r="D83" s="229" t="s">
        <v>4</v>
      </c>
      <c r="E83" s="251"/>
      <c r="F83" s="251">
        <v>15000</v>
      </c>
      <c r="G83" s="247">
        <f t="shared" si="1"/>
        <v>8232722</v>
      </c>
      <c r="H83" s="321" t="s">
        <v>175</v>
      </c>
      <c r="I83" s="314" t="s">
        <v>217</v>
      </c>
      <c r="J83" s="229" t="s">
        <v>168</v>
      </c>
      <c r="K83" s="229" t="s">
        <v>359</v>
      </c>
      <c r="L83" s="229" t="s">
        <v>188</v>
      </c>
      <c r="M83" s="238"/>
      <c r="N83" s="238"/>
      <c r="O83" s="238"/>
    </row>
    <row r="84" spans="1:15" ht="15" customHeight="1">
      <c r="A84" s="317">
        <v>44573</v>
      </c>
      <c r="B84" s="229" t="s">
        <v>221</v>
      </c>
      <c r="C84" s="229" t="s">
        <v>76</v>
      </c>
      <c r="D84" s="229"/>
      <c r="E84" s="247"/>
      <c r="F84" s="247">
        <v>91000</v>
      </c>
      <c r="G84" s="247">
        <f t="shared" si="1"/>
        <v>8141722</v>
      </c>
      <c r="H84" s="229" t="s">
        <v>25</v>
      </c>
      <c r="I84" s="314" t="s">
        <v>245</v>
      </c>
      <c r="J84" s="229"/>
      <c r="K84" s="229"/>
      <c r="L84" s="229" t="s">
        <v>188</v>
      </c>
      <c r="M84" s="229"/>
      <c r="N84" s="229"/>
      <c r="O84" s="229"/>
    </row>
    <row r="85" spans="1:15" ht="15" customHeight="1">
      <c r="A85" s="317">
        <v>44573</v>
      </c>
      <c r="B85" s="229" t="s">
        <v>248</v>
      </c>
      <c r="C85" s="229" t="s">
        <v>185</v>
      </c>
      <c r="D85" s="248" t="s">
        <v>2</v>
      </c>
      <c r="E85" s="229"/>
      <c r="F85" s="342">
        <v>215485</v>
      </c>
      <c r="G85" s="247">
        <f t="shared" si="1"/>
        <v>7926237</v>
      </c>
      <c r="H85" s="229" t="s">
        <v>160</v>
      </c>
      <c r="I85" s="314">
        <v>3643597</v>
      </c>
      <c r="J85" s="229" t="s">
        <v>103</v>
      </c>
      <c r="K85" s="229" t="s">
        <v>358</v>
      </c>
      <c r="L85" s="229" t="s">
        <v>188</v>
      </c>
      <c r="M85" s="178" t="s">
        <v>437</v>
      </c>
      <c r="N85" s="229" t="s">
        <v>366</v>
      </c>
      <c r="O85" s="229"/>
    </row>
    <row r="86" spans="1:15" ht="15" customHeight="1">
      <c r="A86" s="320">
        <v>44573</v>
      </c>
      <c r="B86" s="229" t="s">
        <v>249</v>
      </c>
      <c r="C86" s="229" t="s">
        <v>185</v>
      </c>
      <c r="D86" s="251" t="s">
        <v>2</v>
      </c>
      <c r="E86" s="322"/>
      <c r="F86" s="342">
        <v>221126</v>
      </c>
      <c r="G86" s="247">
        <f t="shared" si="1"/>
        <v>7705111</v>
      </c>
      <c r="H86" s="229" t="s">
        <v>160</v>
      </c>
      <c r="I86" s="324">
        <v>3643597</v>
      </c>
      <c r="J86" s="229" t="s">
        <v>103</v>
      </c>
      <c r="K86" s="229" t="s">
        <v>358</v>
      </c>
      <c r="L86" s="229" t="s">
        <v>188</v>
      </c>
      <c r="M86" s="178" t="s">
        <v>438</v>
      </c>
      <c r="N86" s="229" t="s">
        <v>369</v>
      </c>
      <c r="O86" s="229"/>
    </row>
    <row r="87" spans="1:15" ht="17.25" customHeight="1">
      <c r="A87" s="317">
        <v>44573</v>
      </c>
      <c r="B87" s="229" t="s">
        <v>250</v>
      </c>
      <c r="C87" s="229" t="s">
        <v>185</v>
      </c>
      <c r="D87" s="247" t="s">
        <v>2</v>
      </c>
      <c r="E87" s="229"/>
      <c r="F87" s="342">
        <v>161862</v>
      </c>
      <c r="G87" s="247">
        <f t="shared" si="1"/>
        <v>7543249</v>
      </c>
      <c r="H87" s="229" t="s">
        <v>160</v>
      </c>
      <c r="I87" s="314">
        <v>3643597</v>
      </c>
      <c r="J87" s="229" t="s">
        <v>103</v>
      </c>
      <c r="K87" s="229" t="s">
        <v>358</v>
      </c>
      <c r="L87" s="229" t="s">
        <v>188</v>
      </c>
      <c r="M87" s="178" t="s">
        <v>439</v>
      </c>
      <c r="N87" s="229" t="s">
        <v>366</v>
      </c>
      <c r="O87" s="229"/>
    </row>
    <row r="88" spans="1:15" ht="17.25" customHeight="1">
      <c r="A88" s="317">
        <v>44573</v>
      </c>
      <c r="B88" s="229" t="s">
        <v>251</v>
      </c>
      <c r="C88" s="229" t="s">
        <v>185</v>
      </c>
      <c r="D88" s="233" t="s">
        <v>167</v>
      </c>
      <c r="E88" s="229"/>
      <c r="F88" s="342">
        <v>124348</v>
      </c>
      <c r="G88" s="247">
        <f t="shared" si="1"/>
        <v>7418901</v>
      </c>
      <c r="H88" s="229" t="s">
        <v>160</v>
      </c>
      <c r="I88" s="314">
        <v>3643597</v>
      </c>
      <c r="J88" s="229" t="s">
        <v>103</v>
      </c>
      <c r="K88" s="229" t="s">
        <v>358</v>
      </c>
      <c r="L88" s="229" t="s">
        <v>188</v>
      </c>
      <c r="M88" s="178" t="s">
        <v>440</v>
      </c>
      <c r="N88" s="229" t="s">
        <v>368</v>
      </c>
      <c r="O88" s="229"/>
    </row>
    <row r="89" spans="1:15" ht="18.75" customHeight="1">
      <c r="A89" s="317">
        <v>44573</v>
      </c>
      <c r="B89" s="321" t="s">
        <v>252</v>
      </c>
      <c r="C89" s="229" t="s">
        <v>185</v>
      </c>
      <c r="D89" s="247" t="s">
        <v>166</v>
      </c>
      <c r="E89" s="229"/>
      <c r="F89" s="342">
        <v>51747</v>
      </c>
      <c r="G89" s="247">
        <f t="shared" si="1"/>
        <v>7367154</v>
      </c>
      <c r="H89" s="229" t="s">
        <v>160</v>
      </c>
      <c r="I89" s="314">
        <v>3643597</v>
      </c>
      <c r="J89" s="229" t="s">
        <v>103</v>
      </c>
      <c r="K89" s="229" t="s">
        <v>358</v>
      </c>
      <c r="L89" s="229" t="s">
        <v>188</v>
      </c>
      <c r="M89" s="178" t="s">
        <v>441</v>
      </c>
      <c r="N89" s="229" t="s">
        <v>369</v>
      </c>
      <c r="O89" s="229"/>
    </row>
    <row r="90" spans="1:15" ht="15" customHeight="1">
      <c r="A90" s="317">
        <v>44573</v>
      </c>
      <c r="B90" s="229" t="s">
        <v>286</v>
      </c>
      <c r="C90" s="229" t="s">
        <v>76</v>
      </c>
      <c r="D90" s="229"/>
      <c r="E90" s="247">
        <v>91000</v>
      </c>
      <c r="F90" s="247"/>
      <c r="G90" s="247">
        <f t="shared" si="1"/>
        <v>7458154</v>
      </c>
      <c r="H90" s="229" t="s">
        <v>155</v>
      </c>
      <c r="I90" s="314" t="s">
        <v>245</v>
      </c>
      <c r="J90" s="229"/>
      <c r="K90" s="229"/>
      <c r="L90" s="229" t="s">
        <v>188</v>
      </c>
      <c r="M90" s="229"/>
      <c r="N90" s="229"/>
      <c r="O90" s="229"/>
    </row>
    <row r="91" spans="1:15" ht="15" customHeight="1">
      <c r="A91" s="317">
        <v>44573</v>
      </c>
      <c r="B91" s="229" t="s">
        <v>287</v>
      </c>
      <c r="C91" s="229" t="s">
        <v>34</v>
      </c>
      <c r="D91" s="229" t="s">
        <v>166</v>
      </c>
      <c r="E91" s="247"/>
      <c r="F91" s="342">
        <v>10000</v>
      </c>
      <c r="G91" s="247">
        <f t="shared" si="1"/>
        <v>7448154</v>
      </c>
      <c r="H91" s="229" t="s">
        <v>155</v>
      </c>
      <c r="I91" s="314" t="s">
        <v>217</v>
      </c>
      <c r="J91" s="229" t="s">
        <v>103</v>
      </c>
      <c r="K91" s="229" t="s">
        <v>358</v>
      </c>
      <c r="L91" s="229" t="s">
        <v>188</v>
      </c>
      <c r="M91" s="178" t="s">
        <v>442</v>
      </c>
      <c r="N91" s="233" t="s">
        <v>374</v>
      </c>
      <c r="O91" s="229"/>
    </row>
    <row r="92" spans="1:15" ht="15" customHeight="1">
      <c r="A92" s="317">
        <v>44573</v>
      </c>
      <c r="B92" s="229" t="s">
        <v>313</v>
      </c>
      <c r="C92" s="229" t="s">
        <v>34</v>
      </c>
      <c r="D92" s="229" t="s">
        <v>4</v>
      </c>
      <c r="E92" s="229"/>
      <c r="F92" s="229">
        <v>4000</v>
      </c>
      <c r="G92" s="247">
        <f t="shared" si="1"/>
        <v>7444154</v>
      </c>
      <c r="H92" s="229" t="s">
        <v>175</v>
      </c>
      <c r="I92" s="314" t="s">
        <v>217</v>
      </c>
      <c r="J92" s="229" t="s">
        <v>168</v>
      </c>
      <c r="K92" s="229" t="s">
        <v>359</v>
      </c>
      <c r="L92" s="229" t="s">
        <v>188</v>
      </c>
      <c r="M92" s="233"/>
      <c r="N92" s="233"/>
      <c r="O92" s="229"/>
    </row>
    <row r="93" spans="1:15" ht="15" customHeight="1">
      <c r="A93" s="317">
        <v>44573</v>
      </c>
      <c r="B93" s="229" t="s">
        <v>314</v>
      </c>
      <c r="C93" s="229" t="s">
        <v>34</v>
      </c>
      <c r="D93" s="229" t="s">
        <v>4</v>
      </c>
      <c r="E93" s="229"/>
      <c r="F93" s="229">
        <v>10000</v>
      </c>
      <c r="G93" s="247">
        <f t="shared" si="1"/>
        <v>7434154</v>
      </c>
      <c r="H93" s="229" t="s">
        <v>175</v>
      </c>
      <c r="I93" s="314" t="s">
        <v>217</v>
      </c>
      <c r="J93" s="229" t="s">
        <v>168</v>
      </c>
      <c r="K93" s="229" t="s">
        <v>359</v>
      </c>
      <c r="L93" s="229" t="s">
        <v>188</v>
      </c>
      <c r="M93" s="233"/>
      <c r="N93" s="233"/>
      <c r="O93" s="233"/>
    </row>
    <row r="94" spans="1:15" ht="15" customHeight="1">
      <c r="A94" s="317">
        <v>44573</v>
      </c>
      <c r="B94" s="229" t="s">
        <v>386</v>
      </c>
      <c r="C94" s="229" t="s">
        <v>159</v>
      </c>
      <c r="D94" s="229" t="s">
        <v>4</v>
      </c>
      <c r="E94" s="229"/>
      <c r="F94" s="342">
        <v>45000</v>
      </c>
      <c r="G94" s="247">
        <f t="shared" si="1"/>
        <v>7389154</v>
      </c>
      <c r="H94" s="229" t="s">
        <v>49</v>
      </c>
      <c r="I94" s="314" t="s">
        <v>217</v>
      </c>
      <c r="J94" s="229" t="s">
        <v>103</v>
      </c>
      <c r="K94" s="229" t="s">
        <v>358</v>
      </c>
      <c r="L94" s="229" t="s">
        <v>188</v>
      </c>
      <c r="M94" s="178" t="s">
        <v>443</v>
      </c>
      <c r="N94" s="229" t="s">
        <v>378</v>
      </c>
      <c r="O94" s="229"/>
    </row>
    <row r="95" spans="1:15" ht="15" customHeight="1">
      <c r="A95" s="317">
        <v>44573</v>
      </c>
      <c r="B95" s="229" t="s">
        <v>400</v>
      </c>
      <c r="C95" s="229" t="s">
        <v>34</v>
      </c>
      <c r="D95" s="229" t="s">
        <v>4</v>
      </c>
      <c r="E95" s="247"/>
      <c r="F95" s="342">
        <v>12000</v>
      </c>
      <c r="G95" s="247">
        <f t="shared" si="1"/>
        <v>7377154</v>
      </c>
      <c r="H95" s="229" t="s">
        <v>29</v>
      </c>
      <c r="I95" s="314" t="s">
        <v>217</v>
      </c>
      <c r="J95" s="229" t="s">
        <v>103</v>
      </c>
      <c r="K95" s="229" t="s">
        <v>358</v>
      </c>
      <c r="L95" s="229" t="s">
        <v>188</v>
      </c>
      <c r="M95" s="178" t="s">
        <v>444</v>
      </c>
      <c r="N95" s="233" t="s">
        <v>374</v>
      </c>
      <c r="O95" s="229"/>
    </row>
    <row r="96" spans="1:15" ht="15" customHeight="1">
      <c r="A96" s="317">
        <v>44573</v>
      </c>
      <c r="B96" s="229" t="s">
        <v>343</v>
      </c>
      <c r="C96" s="229" t="s">
        <v>159</v>
      </c>
      <c r="D96" s="229" t="s">
        <v>4</v>
      </c>
      <c r="E96" s="247"/>
      <c r="F96" s="342">
        <v>45000</v>
      </c>
      <c r="G96" s="247">
        <f t="shared" si="1"/>
        <v>7332154</v>
      </c>
      <c r="H96" s="229" t="s">
        <v>29</v>
      </c>
      <c r="I96" s="314" t="s">
        <v>217</v>
      </c>
      <c r="J96" s="229" t="s">
        <v>103</v>
      </c>
      <c r="K96" s="229" t="s">
        <v>358</v>
      </c>
      <c r="L96" s="229" t="s">
        <v>188</v>
      </c>
      <c r="M96" s="178" t="s">
        <v>445</v>
      </c>
      <c r="N96" s="229" t="s">
        <v>378</v>
      </c>
      <c r="O96" s="229"/>
    </row>
    <row r="97" spans="1:15" ht="15" customHeight="1">
      <c r="A97" s="317">
        <v>44574</v>
      </c>
      <c r="B97" s="229" t="s">
        <v>94</v>
      </c>
      <c r="C97" s="229" t="s">
        <v>76</v>
      </c>
      <c r="D97" s="229"/>
      <c r="E97" s="247"/>
      <c r="F97" s="247">
        <v>20000</v>
      </c>
      <c r="G97" s="247">
        <f t="shared" si="1"/>
        <v>7312154</v>
      </c>
      <c r="H97" s="229" t="s">
        <v>25</v>
      </c>
      <c r="I97" s="314" t="s">
        <v>245</v>
      </c>
      <c r="J97" s="229"/>
      <c r="K97" s="229"/>
      <c r="L97" s="229" t="s">
        <v>188</v>
      </c>
      <c r="M97" s="229"/>
      <c r="N97" s="229"/>
      <c r="O97" s="229"/>
    </row>
    <row r="98" spans="1:15" ht="15" customHeight="1">
      <c r="A98" s="319">
        <v>44574</v>
      </c>
      <c r="B98" s="229" t="s">
        <v>269</v>
      </c>
      <c r="C98" s="229" t="s">
        <v>76</v>
      </c>
      <c r="D98" s="321"/>
      <c r="E98" s="248">
        <v>20000</v>
      </c>
      <c r="F98" s="247"/>
      <c r="G98" s="247">
        <f t="shared" si="1"/>
        <v>7332154</v>
      </c>
      <c r="H98" s="229" t="s">
        <v>94</v>
      </c>
      <c r="I98" s="314" t="s">
        <v>245</v>
      </c>
      <c r="J98" s="229"/>
      <c r="K98" s="229"/>
      <c r="L98" s="229" t="s">
        <v>188</v>
      </c>
      <c r="M98" s="229"/>
      <c r="N98" s="229"/>
      <c r="O98" s="229"/>
    </row>
    <row r="99" spans="1:15" ht="15" customHeight="1">
      <c r="A99" s="317">
        <v>44574</v>
      </c>
      <c r="B99" s="229" t="s">
        <v>288</v>
      </c>
      <c r="C99" s="229" t="s">
        <v>159</v>
      </c>
      <c r="D99" s="229" t="s">
        <v>166</v>
      </c>
      <c r="E99" s="247"/>
      <c r="F99" s="342">
        <v>20000</v>
      </c>
      <c r="G99" s="247">
        <f t="shared" si="1"/>
        <v>7312154</v>
      </c>
      <c r="H99" s="229" t="s">
        <v>155</v>
      </c>
      <c r="I99" s="314" t="s">
        <v>245</v>
      </c>
      <c r="J99" s="229" t="s">
        <v>103</v>
      </c>
      <c r="K99" s="229" t="s">
        <v>358</v>
      </c>
      <c r="L99" s="229" t="s">
        <v>188</v>
      </c>
      <c r="M99" s="178" t="s">
        <v>446</v>
      </c>
      <c r="N99" s="229" t="s">
        <v>378</v>
      </c>
      <c r="O99" s="229"/>
    </row>
    <row r="100" spans="1:15" ht="15" customHeight="1">
      <c r="A100" s="320">
        <v>44575</v>
      </c>
      <c r="B100" s="321" t="s">
        <v>222</v>
      </c>
      <c r="C100" s="229" t="s">
        <v>35</v>
      </c>
      <c r="D100" s="229" t="s">
        <v>216</v>
      </c>
      <c r="E100" s="251"/>
      <c r="F100" s="251">
        <v>6500</v>
      </c>
      <c r="G100" s="247">
        <f t="shared" si="1"/>
        <v>7305654</v>
      </c>
      <c r="H100" s="253" t="s">
        <v>25</v>
      </c>
      <c r="I100" s="314" t="s">
        <v>217</v>
      </c>
      <c r="J100" s="229" t="s">
        <v>168</v>
      </c>
      <c r="K100" s="229" t="s">
        <v>359</v>
      </c>
      <c r="L100" s="229" t="s">
        <v>188</v>
      </c>
      <c r="M100" s="229"/>
      <c r="N100" s="229"/>
      <c r="O100" s="229"/>
    </row>
    <row r="101" spans="1:15" ht="15" customHeight="1">
      <c r="A101" s="320">
        <v>44575</v>
      </c>
      <c r="B101" s="321" t="s">
        <v>223</v>
      </c>
      <c r="C101" s="229" t="s">
        <v>76</v>
      </c>
      <c r="D101" s="229"/>
      <c r="E101" s="251"/>
      <c r="F101" s="251">
        <v>10000</v>
      </c>
      <c r="G101" s="247">
        <f t="shared" si="1"/>
        <v>7295654</v>
      </c>
      <c r="H101" s="322" t="s">
        <v>25</v>
      </c>
      <c r="I101" s="314" t="s">
        <v>245</v>
      </c>
      <c r="J101" s="229"/>
      <c r="K101" s="229"/>
      <c r="L101" s="229" t="s">
        <v>188</v>
      </c>
      <c r="M101" s="229"/>
      <c r="N101" s="229"/>
      <c r="O101" s="229"/>
    </row>
    <row r="102" spans="1:15" ht="15" customHeight="1">
      <c r="A102" s="317">
        <v>44575</v>
      </c>
      <c r="B102" s="229" t="s">
        <v>175</v>
      </c>
      <c r="C102" s="229" t="s">
        <v>76</v>
      </c>
      <c r="D102" s="229"/>
      <c r="E102" s="247"/>
      <c r="F102" s="247">
        <v>30000</v>
      </c>
      <c r="G102" s="247">
        <f t="shared" si="1"/>
        <v>7265654</v>
      </c>
      <c r="H102" s="229" t="s">
        <v>25</v>
      </c>
      <c r="I102" s="314" t="s">
        <v>245</v>
      </c>
      <c r="J102" s="229"/>
      <c r="K102" s="229"/>
      <c r="L102" s="229" t="s">
        <v>188</v>
      </c>
      <c r="M102" s="229"/>
      <c r="N102" s="229"/>
      <c r="O102" s="229"/>
    </row>
    <row r="103" spans="1:15" ht="15" customHeight="1">
      <c r="A103" s="317">
        <v>44575</v>
      </c>
      <c r="B103" s="229" t="s">
        <v>302</v>
      </c>
      <c r="C103" s="229" t="s">
        <v>303</v>
      </c>
      <c r="D103" s="229"/>
      <c r="E103" s="246">
        <v>30000</v>
      </c>
      <c r="F103" s="246"/>
      <c r="G103" s="247">
        <f t="shared" si="1"/>
        <v>7295654</v>
      </c>
      <c r="H103" s="229" t="s">
        <v>175</v>
      </c>
      <c r="I103" s="314" t="s">
        <v>245</v>
      </c>
      <c r="J103" s="229"/>
      <c r="K103" s="229"/>
      <c r="L103" s="229" t="s">
        <v>188</v>
      </c>
      <c r="M103" s="229"/>
      <c r="N103" s="229"/>
      <c r="O103" s="229"/>
    </row>
    <row r="104" spans="1:15" ht="15" customHeight="1">
      <c r="A104" s="317">
        <v>44575</v>
      </c>
      <c r="B104" s="229" t="s">
        <v>327</v>
      </c>
      <c r="C104" s="229" t="s">
        <v>76</v>
      </c>
      <c r="D104" s="229"/>
      <c r="E104" s="229">
        <v>10000</v>
      </c>
      <c r="F104" s="248"/>
      <c r="G104" s="247">
        <f t="shared" si="1"/>
        <v>7305654</v>
      </c>
      <c r="H104" s="229" t="s">
        <v>49</v>
      </c>
      <c r="I104" s="314" t="s">
        <v>245</v>
      </c>
      <c r="J104" s="229"/>
      <c r="K104" s="229"/>
      <c r="L104" s="229" t="s">
        <v>188</v>
      </c>
      <c r="M104" s="229"/>
      <c r="N104" s="229"/>
      <c r="O104" s="229"/>
    </row>
    <row r="105" spans="1:15" ht="15" customHeight="1">
      <c r="A105" s="317">
        <v>44576</v>
      </c>
      <c r="B105" s="229" t="s">
        <v>289</v>
      </c>
      <c r="C105" s="229" t="s">
        <v>159</v>
      </c>
      <c r="D105" s="229" t="s">
        <v>166</v>
      </c>
      <c r="E105" s="247"/>
      <c r="F105" s="342">
        <v>30000</v>
      </c>
      <c r="G105" s="247">
        <f t="shared" si="1"/>
        <v>7275654</v>
      </c>
      <c r="H105" s="229" t="s">
        <v>155</v>
      </c>
      <c r="I105" s="314" t="s">
        <v>217</v>
      </c>
      <c r="J105" s="229" t="s">
        <v>103</v>
      </c>
      <c r="K105" s="229" t="s">
        <v>358</v>
      </c>
      <c r="L105" s="229" t="s">
        <v>188</v>
      </c>
      <c r="M105" s="178" t="s">
        <v>447</v>
      </c>
      <c r="N105" s="229" t="s">
        <v>378</v>
      </c>
      <c r="O105" s="229"/>
    </row>
    <row r="106" spans="1:15" ht="15" customHeight="1">
      <c r="A106" s="317">
        <v>44576</v>
      </c>
      <c r="B106" s="229" t="s">
        <v>290</v>
      </c>
      <c r="C106" s="229" t="s">
        <v>34</v>
      </c>
      <c r="D106" s="229" t="s">
        <v>166</v>
      </c>
      <c r="E106" s="247"/>
      <c r="F106" s="342">
        <v>10000</v>
      </c>
      <c r="G106" s="247">
        <f t="shared" si="1"/>
        <v>7265654</v>
      </c>
      <c r="H106" s="229" t="s">
        <v>155</v>
      </c>
      <c r="I106" s="314" t="s">
        <v>217</v>
      </c>
      <c r="J106" s="229" t="s">
        <v>103</v>
      </c>
      <c r="K106" s="229" t="s">
        <v>358</v>
      </c>
      <c r="L106" s="229" t="s">
        <v>188</v>
      </c>
      <c r="M106" s="178" t="s">
        <v>448</v>
      </c>
      <c r="N106" s="233" t="s">
        <v>374</v>
      </c>
      <c r="O106" s="229"/>
    </row>
    <row r="107" spans="1:15" ht="15" customHeight="1">
      <c r="A107" s="317">
        <v>44578</v>
      </c>
      <c r="B107" s="229" t="s">
        <v>224</v>
      </c>
      <c r="C107" s="229" t="s">
        <v>186</v>
      </c>
      <c r="D107" s="229" t="s">
        <v>204</v>
      </c>
      <c r="E107" s="247"/>
      <c r="F107" s="342">
        <v>31000</v>
      </c>
      <c r="G107" s="247">
        <f t="shared" si="1"/>
        <v>7234654</v>
      </c>
      <c r="H107" s="229" t="s">
        <v>25</v>
      </c>
      <c r="I107" s="314" t="s">
        <v>217</v>
      </c>
      <c r="J107" s="229" t="s">
        <v>103</v>
      </c>
      <c r="K107" s="229" t="s">
        <v>358</v>
      </c>
      <c r="L107" s="229" t="s">
        <v>188</v>
      </c>
      <c r="M107" s="178" t="s">
        <v>449</v>
      </c>
      <c r="N107" s="229" t="s">
        <v>373</v>
      </c>
      <c r="O107" s="229"/>
    </row>
    <row r="108" spans="1:15" ht="15" customHeight="1">
      <c r="A108" s="317">
        <v>44578</v>
      </c>
      <c r="B108" s="229" t="s">
        <v>225</v>
      </c>
      <c r="C108" s="229" t="s">
        <v>186</v>
      </c>
      <c r="D108" s="228" t="s">
        <v>166</v>
      </c>
      <c r="E108" s="229"/>
      <c r="F108" s="342">
        <v>15000</v>
      </c>
      <c r="G108" s="247">
        <f t="shared" si="1"/>
        <v>7219654</v>
      </c>
      <c r="H108" s="229" t="s">
        <v>25</v>
      </c>
      <c r="I108" s="314" t="s">
        <v>217</v>
      </c>
      <c r="J108" s="229" t="s">
        <v>103</v>
      </c>
      <c r="K108" s="229" t="s">
        <v>358</v>
      </c>
      <c r="L108" s="229" t="s">
        <v>188</v>
      </c>
      <c r="M108" s="178" t="s">
        <v>450</v>
      </c>
      <c r="N108" s="229" t="s">
        <v>373</v>
      </c>
      <c r="O108" s="233"/>
    </row>
    <row r="109" spans="1:15" ht="15" customHeight="1">
      <c r="A109" s="317">
        <v>44578</v>
      </c>
      <c r="B109" s="229" t="s">
        <v>226</v>
      </c>
      <c r="C109" s="229" t="s">
        <v>186</v>
      </c>
      <c r="D109" s="229" t="s">
        <v>4</v>
      </c>
      <c r="E109" s="229"/>
      <c r="F109" s="342">
        <v>20000</v>
      </c>
      <c r="G109" s="247">
        <f t="shared" si="1"/>
        <v>7199654</v>
      </c>
      <c r="H109" s="229" t="s">
        <v>25</v>
      </c>
      <c r="I109" s="314" t="s">
        <v>217</v>
      </c>
      <c r="J109" s="229" t="s">
        <v>103</v>
      </c>
      <c r="K109" s="229" t="s">
        <v>358</v>
      </c>
      <c r="L109" s="229" t="s">
        <v>188</v>
      </c>
      <c r="M109" s="178" t="s">
        <v>451</v>
      </c>
      <c r="N109" s="229" t="s">
        <v>373</v>
      </c>
      <c r="O109" s="233"/>
    </row>
    <row r="110" spans="1:15" ht="15" customHeight="1">
      <c r="A110" s="318">
        <v>44578</v>
      </c>
      <c r="B110" s="233" t="s">
        <v>227</v>
      </c>
      <c r="C110" s="233" t="s">
        <v>186</v>
      </c>
      <c r="D110" s="229" t="s">
        <v>4</v>
      </c>
      <c r="E110" s="249"/>
      <c r="F110" s="249">
        <v>10000</v>
      </c>
      <c r="G110" s="247">
        <f t="shared" si="1"/>
        <v>7189654</v>
      </c>
      <c r="H110" s="233" t="s">
        <v>25</v>
      </c>
      <c r="I110" s="314" t="s">
        <v>217</v>
      </c>
      <c r="J110" s="229" t="s">
        <v>168</v>
      </c>
      <c r="K110" s="229" t="s">
        <v>359</v>
      </c>
      <c r="L110" s="229" t="s">
        <v>188</v>
      </c>
      <c r="M110" s="233"/>
      <c r="N110" s="233"/>
      <c r="O110" s="233"/>
    </row>
    <row r="111" spans="1:15" ht="15" customHeight="1">
      <c r="A111" s="317">
        <v>44578</v>
      </c>
      <c r="B111" s="229" t="s">
        <v>228</v>
      </c>
      <c r="C111" s="229" t="s">
        <v>186</v>
      </c>
      <c r="D111" s="228" t="s">
        <v>204</v>
      </c>
      <c r="E111" s="229"/>
      <c r="F111" s="342">
        <v>15000</v>
      </c>
      <c r="G111" s="247">
        <f t="shared" si="1"/>
        <v>7174654</v>
      </c>
      <c r="H111" s="229" t="s">
        <v>25</v>
      </c>
      <c r="I111" s="314" t="s">
        <v>217</v>
      </c>
      <c r="J111" s="229" t="s">
        <v>103</v>
      </c>
      <c r="K111" s="229" t="s">
        <v>358</v>
      </c>
      <c r="L111" s="229" t="s">
        <v>188</v>
      </c>
      <c r="M111" s="178" t="s">
        <v>452</v>
      </c>
      <c r="N111" s="229" t="s">
        <v>373</v>
      </c>
      <c r="O111" s="229"/>
    </row>
    <row r="112" spans="1:15" ht="18.75" customHeight="1">
      <c r="A112" s="317">
        <v>44578</v>
      </c>
      <c r="B112" s="229" t="s">
        <v>229</v>
      </c>
      <c r="C112" s="229" t="s">
        <v>186</v>
      </c>
      <c r="D112" s="229" t="s">
        <v>166</v>
      </c>
      <c r="E112" s="246"/>
      <c r="F112" s="343">
        <v>5000</v>
      </c>
      <c r="G112" s="247">
        <f t="shared" si="1"/>
        <v>7169654</v>
      </c>
      <c r="H112" s="229" t="s">
        <v>25</v>
      </c>
      <c r="I112" s="314" t="s">
        <v>217</v>
      </c>
      <c r="J112" s="229" t="s">
        <v>103</v>
      </c>
      <c r="K112" s="229" t="s">
        <v>358</v>
      </c>
      <c r="L112" s="229" t="s">
        <v>188</v>
      </c>
      <c r="M112" s="178" t="s">
        <v>453</v>
      </c>
      <c r="N112" s="229" t="s">
        <v>373</v>
      </c>
      <c r="O112" s="229"/>
    </row>
    <row r="113" spans="1:15" ht="18.75" customHeight="1">
      <c r="A113" s="317">
        <v>44578</v>
      </c>
      <c r="B113" s="229" t="s">
        <v>230</v>
      </c>
      <c r="C113" s="229" t="s">
        <v>186</v>
      </c>
      <c r="D113" s="229" t="s">
        <v>4</v>
      </c>
      <c r="E113" s="246"/>
      <c r="F113" s="343">
        <v>10000</v>
      </c>
      <c r="G113" s="247">
        <f t="shared" si="1"/>
        <v>7159654</v>
      </c>
      <c r="H113" s="229" t="s">
        <v>25</v>
      </c>
      <c r="I113" s="314" t="s">
        <v>217</v>
      </c>
      <c r="J113" s="229" t="s">
        <v>103</v>
      </c>
      <c r="K113" s="229" t="s">
        <v>358</v>
      </c>
      <c r="L113" s="229" t="s">
        <v>188</v>
      </c>
      <c r="M113" s="178" t="s">
        <v>454</v>
      </c>
      <c r="N113" s="229" t="s">
        <v>373</v>
      </c>
      <c r="O113" s="229"/>
    </row>
    <row r="114" spans="1:15" ht="18.75" customHeight="1">
      <c r="A114" s="317">
        <v>44578</v>
      </c>
      <c r="B114" s="229" t="s">
        <v>231</v>
      </c>
      <c r="C114" s="229" t="s">
        <v>186</v>
      </c>
      <c r="D114" s="229" t="s">
        <v>4</v>
      </c>
      <c r="E114" s="247"/>
      <c r="F114" s="247">
        <v>5000</v>
      </c>
      <c r="G114" s="247">
        <f t="shared" si="1"/>
        <v>7154654</v>
      </c>
      <c r="H114" s="229" t="s">
        <v>25</v>
      </c>
      <c r="I114" s="314" t="s">
        <v>217</v>
      </c>
      <c r="J114" s="229" t="s">
        <v>168</v>
      </c>
      <c r="K114" s="229" t="s">
        <v>359</v>
      </c>
      <c r="L114" s="229" t="s">
        <v>188</v>
      </c>
      <c r="M114" s="229"/>
      <c r="N114" s="229"/>
      <c r="O114" s="229"/>
    </row>
    <row r="115" spans="1:15" ht="16.5" customHeight="1">
      <c r="A115" s="317">
        <v>44578</v>
      </c>
      <c r="B115" s="229" t="s">
        <v>29</v>
      </c>
      <c r="C115" s="229" t="s">
        <v>76</v>
      </c>
      <c r="D115" s="229"/>
      <c r="E115" s="247"/>
      <c r="F115" s="247">
        <v>31000</v>
      </c>
      <c r="G115" s="247">
        <f t="shared" si="1"/>
        <v>7123654</v>
      </c>
      <c r="H115" s="229" t="s">
        <v>25</v>
      </c>
      <c r="I115" s="314" t="s">
        <v>245</v>
      </c>
      <c r="J115" s="229"/>
      <c r="K115" s="229"/>
      <c r="L115" s="229" t="s">
        <v>188</v>
      </c>
      <c r="M115" s="229"/>
      <c r="N115" s="229"/>
      <c r="O115" s="229"/>
    </row>
    <row r="116" spans="1:15" ht="15" customHeight="1">
      <c r="A116" s="320">
        <v>44578</v>
      </c>
      <c r="B116" s="229" t="s">
        <v>302</v>
      </c>
      <c r="C116" s="229" t="s">
        <v>303</v>
      </c>
      <c r="D116" s="229"/>
      <c r="E116" s="229">
        <v>10000</v>
      </c>
      <c r="F116" s="229"/>
      <c r="G116" s="247">
        <f t="shared" si="1"/>
        <v>7133654</v>
      </c>
      <c r="H116" s="229" t="s">
        <v>175</v>
      </c>
      <c r="I116" s="314" t="s">
        <v>245</v>
      </c>
      <c r="J116" s="229"/>
      <c r="K116" s="229"/>
      <c r="L116" s="229" t="s">
        <v>188</v>
      </c>
      <c r="M116" s="229"/>
      <c r="N116" s="229"/>
      <c r="O116" s="229"/>
    </row>
    <row r="117" spans="1:15" ht="15" customHeight="1">
      <c r="A117" s="317">
        <v>44578</v>
      </c>
      <c r="B117" s="229" t="s">
        <v>175</v>
      </c>
      <c r="C117" s="229" t="s">
        <v>76</v>
      </c>
      <c r="D117" s="229"/>
      <c r="E117" s="247"/>
      <c r="F117" s="247">
        <v>10000</v>
      </c>
      <c r="G117" s="247">
        <f t="shared" si="1"/>
        <v>7123654</v>
      </c>
      <c r="H117" s="229" t="s">
        <v>25</v>
      </c>
      <c r="I117" s="314" t="s">
        <v>245</v>
      </c>
      <c r="J117" s="229"/>
      <c r="K117" s="229"/>
      <c r="L117" s="229" t="s">
        <v>188</v>
      </c>
      <c r="M117" s="229"/>
      <c r="N117" s="229"/>
      <c r="O117" s="229"/>
    </row>
    <row r="118" spans="1:15" ht="15" customHeight="1">
      <c r="A118" s="317">
        <v>44578</v>
      </c>
      <c r="B118" s="229" t="s">
        <v>339</v>
      </c>
      <c r="C118" s="247" t="s">
        <v>76</v>
      </c>
      <c r="D118" s="247"/>
      <c r="E118" s="229">
        <v>31000</v>
      </c>
      <c r="F118" s="229"/>
      <c r="G118" s="247">
        <f t="shared" si="1"/>
        <v>7154654</v>
      </c>
      <c r="H118" s="229" t="s">
        <v>29</v>
      </c>
      <c r="I118" s="314" t="s">
        <v>245</v>
      </c>
      <c r="J118" s="229"/>
      <c r="K118" s="229"/>
      <c r="L118" s="229" t="s">
        <v>188</v>
      </c>
      <c r="M118" s="229"/>
      <c r="N118" s="229"/>
      <c r="O118" s="229"/>
    </row>
    <row r="119" spans="1:15" ht="15" customHeight="1">
      <c r="A119" s="317">
        <v>44579</v>
      </c>
      <c r="B119" s="229" t="s">
        <v>232</v>
      </c>
      <c r="C119" s="229" t="s">
        <v>76</v>
      </c>
      <c r="D119" s="229"/>
      <c r="E119" s="247"/>
      <c r="F119" s="247">
        <v>20000</v>
      </c>
      <c r="G119" s="247">
        <f t="shared" si="1"/>
        <v>7134654</v>
      </c>
      <c r="H119" s="229" t="s">
        <v>25</v>
      </c>
      <c r="I119" s="314" t="s">
        <v>245</v>
      </c>
      <c r="J119" s="229"/>
      <c r="K119" s="229"/>
      <c r="L119" s="229" t="s">
        <v>188</v>
      </c>
      <c r="M119" s="229"/>
      <c r="N119" s="229"/>
      <c r="O119" s="229"/>
    </row>
    <row r="120" spans="1:15" ht="15" customHeight="1">
      <c r="A120" s="317">
        <v>44579</v>
      </c>
      <c r="B120" s="229" t="s">
        <v>396</v>
      </c>
      <c r="C120" s="247" t="s">
        <v>176</v>
      </c>
      <c r="D120" s="247" t="s">
        <v>2</v>
      </c>
      <c r="E120" s="247"/>
      <c r="F120" s="342">
        <v>42637</v>
      </c>
      <c r="G120" s="247">
        <f t="shared" si="1"/>
        <v>7092017</v>
      </c>
      <c r="H120" s="229" t="s">
        <v>114</v>
      </c>
      <c r="I120" s="314" t="s">
        <v>217</v>
      </c>
      <c r="J120" s="229" t="s">
        <v>103</v>
      </c>
      <c r="K120" s="229" t="s">
        <v>358</v>
      </c>
      <c r="L120" s="229" t="s">
        <v>188</v>
      </c>
      <c r="M120" s="178" t="s">
        <v>455</v>
      </c>
      <c r="N120" s="229" t="s">
        <v>376</v>
      </c>
      <c r="O120" s="229"/>
    </row>
    <row r="121" spans="1:15" ht="15" customHeight="1">
      <c r="A121" s="317">
        <v>44579</v>
      </c>
      <c r="B121" s="229" t="s">
        <v>272</v>
      </c>
      <c r="C121" s="229" t="s">
        <v>191</v>
      </c>
      <c r="D121" s="321" t="s">
        <v>2</v>
      </c>
      <c r="E121" s="247"/>
      <c r="F121" s="342">
        <v>382633</v>
      </c>
      <c r="G121" s="247">
        <f t="shared" si="1"/>
        <v>6709384</v>
      </c>
      <c r="H121" s="229" t="s">
        <v>114</v>
      </c>
      <c r="I121" s="314" t="s">
        <v>217</v>
      </c>
      <c r="J121" s="229" t="s">
        <v>103</v>
      </c>
      <c r="K121" s="229" t="s">
        <v>358</v>
      </c>
      <c r="L121" s="229" t="s">
        <v>188</v>
      </c>
      <c r="M121" s="178" t="s">
        <v>456</v>
      </c>
      <c r="N121" s="229" t="s">
        <v>361</v>
      </c>
      <c r="O121" s="229"/>
    </row>
    <row r="122" spans="1:15" ht="15" customHeight="1">
      <c r="A122" s="317">
        <v>44579</v>
      </c>
      <c r="B122" s="229" t="s">
        <v>391</v>
      </c>
      <c r="C122" s="229" t="s">
        <v>191</v>
      </c>
      <c r="D122" s="229" t="s">
        <v>2</v>
      </c>
      <c r="E122" s="247"/>
      <c r="F122" s="342">
        <v>21863</v>
      </c>
      <c r="G122" s="247">
        <f t="shared" si="1"/>
        <v>6687521</v>
      </c>
      <c r="H122" s="229" t="s">
        <v>114</v>
      </c>
      <c r="I122" s="314" t="s">
        <v>217</v>
      </c>
      <c r="J122" s="229" t="s">
        <v>103</v>
      </c>
      <c r="K122" s="229" t="s">
        <v>358</v>
      </c>
      <c r="L122" s="229" t="s">
        <v>188</v>
      </c>
      <c r="M122" s="178" t="s">
        <v>457</v>
      </c>
      <c r="N122" s="229" t="s">
        <v>361</v>
      </c>
      <c r="O122" s="229"/>
    </row>
    <row r="123" spans="1:15" ht="15" customHeight="1">
      <c r="A123" s="317">
        <v>44579</v>
      </c>
      <c r="B123" s="229" t="s">
        <v>392</v>
      </c>
      <c r="C123" s="229" t="s">
        <v>191</v>
      </c>
      <c r="D123" s="229" t="s">
        <v>2</v>
      </c>
      <c r="E123" s="247"/>
      <c r="F123" s="342">
        <v>108777</v>
      </c>
      <c r="G123" s="247">
        <f t="shared" si="1"/>
        <v>6578744</v>
      </c>
      <c r="H123" s="229" t="s">
        <v>114</v>
      </c>
      <c r="I123" s="314" t="s">
        <v>217</v>
      </c>
      <c r="J123" s="229" t="s">
        <v>103</v>
      </c>
      <c r="K123" s="229" t="s">
        <v>358</v>
      </c>
      <c r="L123" s="229" t="s">
        <v>188</v>
      </c>
      <c r="M123" s="178" t="s">
        <v>458</v>
      </c>
      <c r="N123" s="229" t="s">
        <v>361</v>
      </c>
      <c r="O123" s="229"/>
    </row>
    <row r="124" spans="1:15" ht="15" customHeight="1">
      <c r="A124" s="317">
        <v>44579</v>
      </c>
      <c r="B124" s="229" t="s">
        <v>281</v>
      </c>
      <c r="C124" s="229" t="s">
        <v>76</v>
      </c>
      <c r="D124" s="321"/>
      <c r="E124" s="229">
        <v>20000</v>
      </c>
      <c r="F124" s="248"/>
      <c r="G124" s="247">
        <f t="shared" si="1"/>
        <v>6598744</v>
      </c>
      <c r="H124" s="229" t="s">
        <v>48</v>
      </c>
      <c r="I124" s="314" t="s">
        <v>245</v>
      </c>
      <c r="J124" s="229"/>
      <c r="K124" s="229"/>
      <c r="L124" s="229" t="s">
        <v>188</v>
      </c>
      <c r="M124" s="229"/>
      <c r="N124" s="229"/>
      <c r="O124" s="229"/>
    </row>
    <row r="125" spans="1:15" ht="15" customHeight="1">
      <c r="A125" s="319">
        <v>44579</v>
      </c>
      <c r="B125" s="229" t="s">
        <v>344</v>
      </c>
      <c r="C125" s="229" t="s">
        <v>159</v>
      </c>
      <c r="D125" s="229" t="s">
        <v>4</v>
      </c>
      <c r="E125" s="248"/>
      <c r="F125" s="342">
        <v>10000</v>
      </c>
      <c r="G125" s="247">
        <f t="shared" si="1"/>
        <v>6588744</v>
      </c>
      <c r="H125" s="229" t="s">
        <v>29</v>
      </c>
      <c r="I125" s="314" t="s">
        <v>245</v>
      </c>
      <c r="J125" s="229" t="s">
        <v>103</v>
      </c>
      <c r="K125" s="229" t="s">
        <v>358</v>
      </c>
      <c r="L125" s="229" t="s">
        <v>188</v>
      </c>
      <c r="M125" s="178" t="s">
        <v>459</v>
      </c>
      <c r="N125" s="229" t="s">
        <v>378</v>
      </c>
      <c r="O125" s="229"/>
    </row>
    <row r="126" spans="1:15" ht="15.75" customHeight="1">
      <c r="A126" s="319">
        <v>44580</v>
      </c>
      <c r="B126" s="229" t="s">
        <v>175</v>
      </c>
      <c r="C126" s="229" t="s">
        <v>76</v>
      </c>
      <c r="D126" s="229"/>
      <c r="E126" s="248"/>
      <c r="F126" s="247">
        <v>15000</v>
      </c>
      <c r="G126" s="247">
        <f t="shared" si="1"/>
        <v>6573744</v>
      </c>
      <c r="H126" s="229" t="s">
        <v>25</v>
      </c>
      <c r="I126" s="314" t="s">
        <v>245</v>
      </c>
      <c r="J126" s="229"/>
      <c r="K126" s="229"/>
      <c r="L126" s="229" t="s">
        <v>188</v>
      </c>
      <c r="M126" s="229"/>
      <c r="N126" s="229"/>
      <c r="O126" s="229"/>
    </row>
    <row r="127" spans="1:15" ht="15" customHeight="1">
      <c r="A127" s="317">
        <v>44580</v>
      </c>
      <c r="B127" s="229" t="s">
        <v>175</v>
      </c>
      <c r="C127" s="229" t="s">
        <v>76</v>
      </c>
      <c r="D127" s="229"/>
      <c r="E127" s="229"/>
      <c r="F127" s="229">
        <v>30000</v>
      </c>
      <c r="G127" s="247">
        <f t="shared" si="1"/>
        <v>6543744</v>
      </c>
      <c r="H127" s="229" t="s">
        <v>25</v>
      </c>
      <c r="I127" s="314" t="s">
        <v>245</v>
      </c>
      <c r="J127" s="229"/>
      <c r="K127" s="229"/>
      <c r="L127" s="229" t="s">
        <v>188</v>
      </c>
      <c r="M127" s="229"/>
      <c r="N127" s="229"/>
      <c r="O127" s="229"/>
    </row>
    <row r="128" spans="1:15" ht="15" customHeight="1">
      <c r="A128" s="317">
        <v>44580</v>
      </c>
      <c r="B128" s="229" t="s">
        <v>233</v>
      </c>
      <c r="C128" s="229" t="s">
        <v>35</v>
      </c>
      <c r="D128" s="228" t="s">
        <v>216</v>
      </c>
      <c r="E128" s="229"/>
      <c r="F128" s="342">
        <v>26900</v>
      </c>
      <c r="G128" s="247">
        <f t="shared" si="1"/>
        <v>6516844</v>
      </c>
      <c r="H128" s="229" t="s">
        <v>25</v>
      </c>
      <c r="I128" s="314" t="s">
        <v>217</v>
      </c>
      <c r="J128" s="229" t="s">
        <v>103</v>
      </c>
      <c r="K128" s="229" t="s">
        <v>358</v>
      </c>
      <c r="L128" s="229" t="s">
        <v>188</v>
      </c>
      <c r="M128" s="178" t="s">
        <v>460</v>
      </c>
      <c r="N128" s="229" t="s">
        <v>365</v>
      </c>
      <c r="O128" s="229"/>
    </row>
    <row r="129" spans="1:15" s="313" customFormat="1" ht="15" customHeight="1">
      <c r="A129" s="325">
        <v>44580</v>
      </c>
      <c r="B129" s="326" t="s">
        <v>253</v>
      </c>
      <c r="C129" s="327" t="s">
        <v>254</v>
      </c>
      <c r="D129" s="327"/>
      <c r="E129" s="328">
        <v>17525203</v>
      </c>
      <c r="F129" s="348"/>
      <c r="G129" s="247">
        <f t="shared" si="1"/>
        <v>24042047</v>
      </c>
      <c r="H129" s="326" t="s">
        <v>160</v>
      </c>
      <c r="I129" s="332" t="s">
        <v>264</v>
      </c>
      <c r="J129" s="326" t="s">
        <v>103</v>
      </c>
      <c r="K129" s="328" t="s">
        <v>358</v>
      </c>
      <c r="L129" s="326" t="s">
        <v>188</v>
      </c>
      <c r="M129" s="178"/>
      <c r="N129" s="333"/>
      <c r="O129" s="333"/>
    </row>
    <row r="130" spans="1:15" ht="15" customHeight="1">
      <c r="A130" s="317">
        <v>44580</v>
      </c>
      <c r="B130" s="229" t="s">
        <v>377</v>
      </c>
      <c r="C130" s="229" t="s">
        <v>271</v>
      </c>
      <c r="D130" s="229" t="s">
        <v>2</v>
      </c>
      <c r="E130" s="247"/>
      <c r="F130" s="247">
        <v>40000</v>
      </c>
      <c r="G130" s="247">
        <f t="shared" si="1"/>
        <v>24002047</v>
      </c>
      <c r="H130" s="229" t="s">
        <v>114</v>
      </c>
      <c r="I130" s="314" t="s">
        <v>217</v>
      </c>
      <c r="J130" s="229" t="s">
        <v>168</v>
      </c>
      <c r="K130" s="229" t="s">
        <v>359</v>
      </c>
      <c r="L130" s="229" t="s">
        <v>188</v>
      </c>
      <c r="M130" s="229"/>
      <c r="N130" s="229"/>
      <c r="O130" s="229"/>
    </row>
    <row r="131" spans="1:15" ht="15" customHeight="1">
      <c r="A131" s="320">
        <v>44580</v>
      </c>
      <c r="B131" s="321" t="s">
        <v>302</v>
      </c>
      <c r="C131" s="321" t="s">
        <v>303</v>
      </c>
      <c r="D131" s="229"/>
      <c r="E131" s="251">
        <v>30000</v>
      </c>
      <c r="F131" s="251"/>
      <c r="G131" s="247">
        <f t="shared" si="1"/>
        <v>24032047</v>
      </c>
      <c r="H131" s="253" t="s">
        <v>175</v>
      </c>
      <c r="I131" s="314" t="s">
        <v>245</v>
      </c>
      <c r="J131" s="229"/>
      <c r="K131" s="229"/>
      <c r="L131" s="229" t="s">
        <v>188</v>
      </c>
      <c r="M131" s="229"/>
      <c r="N131" s="229"/>
      <c r="O131" s="229"/>
    </row>
    <row r="132" spans="1:15" ht="15" customHeight="1">
      <c r="A132" s="317">
        <v>44580</v>
      </c>
      <c r="B132" s="229" t="s">
        <v>302</v>
      </c>
      <c r="C132" s="229" t="s">
        <v>303</v>
      </c>
      <c r="D132" s="229"/>
      <c r="E132" s="247">
        <v>15000</v>
      </c>
      <c r="F132" s="247"/>
      <c r="G132" s="247">
        <f t="shared" si="1"/>
        <v>24047047</v>
      </c>
      <c r="H132" s="229" t="s">
        <v>175</v>
      </c>
      <c r="I132" s="314" t="s">
        <v>245</v>
      </c>
      <c r="J132" s="229"/>
      <c r="K132" s="229"/>
      <c r="L132" s="229" t="s">
        <v>188</v>
      </c>
      <c r="M132" s="229"/>
      <c r="N132" s="229"/>
      <c r="O132" s="229"/>
    </row>
    <row r="133" spans="1:15" ht="15" customHeight="1">
      <c r="A133" s="319">
        <v>44580</v>
      </c>
      <c r="B133" s="229" t="s">
        <v>345</v>
      </c>
      <c r="C133" s="229" t="s">
        <v>159</v>
      </c>
      <c r="D133" s="229" t="s">
        <v>4</v>
      </c>
      <c r="E133" s="229"/>
      <c r="F133" s="342">
        <v>15000</v>
      </c>
      <c r="G133" s="247">
        <f t="shared" si="1"/>
        <v>24032047</v>
      </c>
      <c r="H133" s="229" t="s">
        <v>29</v>
      </c>
      <c r="I133" s="314" t="s">
        <v>217</v>
      </c>
      <c r="J133" s="229" t="s">
        <v>103</v>
      </c>
      <c r="K133" s="229" t="s">
        <v>358</v>
      </c>
      <c r="L133" s="229" t="s">
        <v>188</v>
      </c>
      <c r="M133" s="178" t="s">
        <v>461</v>
      </c>
      <c r="N133" s="229" t="s">
        <v>378</v>
      </c>
      <c r="O133" s="229"/>
    </row>
    <row r="134" spans="1:15" ht="15" customHeight="1">
      <c r="A134" s="317">
        <v>44581</v>
      </c>
      <c r="B134" s="229" t="s">
        <v>327</v>
      </c>
      <c r="C134" s="229" t="s">
        <v>76</v>
      </c>
      <c r="D134" s="229"/>
      <c r="E134" s="247">
        <v>69000</v>
      </c>
      <c r="F134" s="247"/>
      <c r="G134" s="247">
        <f t="shared" si="1"/>
        <v>24101047</v>
      </c>
      <c r="H134" s="229" t="s">
        <v>49</v>
      </c>
      <c r="I134" s="314" t="s">
        <v>245</v>
      </c>
      <c r="J134" s="229"/>
      <c r="K134" s="229"/>
      <c r="L134" s="229" t="s">
        <v>188</v>
      </c>
      <c r="M134" s="229"/>
      <c r="N134" s="229"/>
      <c r="O134" s="229"/>
    </row>
    <row r="135" spans="1:15" ht="15" customHeight="1">
      <c r="A135" s="317">
        <v>44581</v>
      </c>
      <c r="B135" s="229" t="s">
        <v>234</v>
      </c>
      <c r="C135" s="229" t="s">
        <v>76</v>
      </c>
      <c r="D135" s="229"/>
      <c r="E135" s="229"/>
      <c r="F135" s="229">
        <v>25000</v>
      </c>
      <c r="G135" s="247">
        <f t="shared" si="1"/>
        <v>24076047</v>
      </c>
      <c r="H135" s="229" t="s">
        <v>25</v>
      </c>
      <c r="I135" s="314" t="s">
        <v>245</v>
      </c>
      <c r="J135" s="229"/>
      <c r="K135" s="229"/>
      <c r="L135" s="229" t="s">
        <v>188</v>
      </c>
      <c r="M135" s="229"/>
      <c r="N135" s="229"/>
      <c r="O135" s="229"/>
    </row>
    <row r="136" spans="1:15" ht="15" customHeight="1">
      <c r="A136" s="317">
        <v>44581</v>
      </c>
      <c r="B136" s="229" t="s">
        <v>223</v>
      </c>
      <c r="C136" s="229" t="s">
        <v>76</v>
      </c>
      <c r="D136" s="229"/>
      <c r="E136" s="229"/>
      <c r="F136" s="248">
        <v>69000</v>
      </c>
      <c r="G136" s="247">
        <f t="shared" si="1"/>
        <v>24007047</v>
      </c>
      <c r="H136" s="229" t="s">
        <v>25</v>
      </c>
      <c r="I136" s="314" t="s">
        <v>245</v>
      </c>
      <c r="J136" s="229"/>
      <c r="K136" s="229"/>
      <c r="L136" s="229" t="s">
        <v>188</v>
      </c>
      <c r="M136" s="229"/>
      <c r="N136" s="229"/>
      <c r="O136" s="229"/>
    </row>
    <row r="137" spans="1:15" ht="15" customHeight="1">
      <c r="A137" s="317">
        <v>44581</v>
      </c>
      <c r="B137" s="229" t="s">
        <v>291</v>
      </c>
      <c r="C137" s="229" t="s">
        <v>76</v>
      </c>
      <c r="D137" s="229"/>
      <c r="E137" s="247">
        <v>25000</v>
      </c>
      <c r="F137" s="247"/>
      <c r="G137" s="247">
        <f t="shared" si="1"/>
        <v>24032047</v>
      </c>
      <c r="H137" s="229" t="s">
        <v>155</v>
      </c>
      <c r="I137" s="314" t="s">
        <v>245</v>
      </c>
      <c r="J137" s="229"/>
      <c r="K137" s="229"/>
      <c r="L137" s="229" t="s">
        <v>188</v>
      </c>
      <c r="M137" s="229"/>
      <c r="N137" s="229"/>
      <c r="O137" s="229"/>
    </row>
    <row r="138" spans="1:15" ht="15" customHeight="1">
      <c r="A138" s="317">
        <v>44582</v>
      </c>
      <c r="B138" s="229" t="s">
        <v>384</v>
      </c>
      <c r="C138" s="229" t="s">
        <v>159</v>
      </c>
      <c r="D138" s="229" t="s">
        <v>4</v>
      </c>
      <c r="E138" s="229"/>
      <c r="F138" s="342">
        <v>10000</v>
      </c>
      <c r="G138" s="247">
        <f t="shared" si="1"/>
        <v>24022047</v>
      </c>
      <c r="H138" s="229" t="s">
        <v>49</v>
      </c>
      <c r="I138" s="314" t="s">
        <v>245</v>
      </c>
      <c r="J138" s="229" t="s">
        <v>103</v>
      </c>
      <c r="K138" s="229" t="s">
        <v>358</v>
      </c>
      <c r="L138" s="229" t="s">
        <v>188</v>
      </c>
      <c r="M138" s="178" t="s">
        <v>462</v>
      </c>
      <c r="N138" s="229" t="s">
        <v>378</v>
      </c>
      <c r="O138" s="229"/>
    </row>
    <row r="139" spans="1:15" ht="15" customHeight="1">
      <c r="A139" s="317">
        <v>44582</v>
      </c>
      <c r="B139" s="229" t="s">
        <v>331</v>
      </c>
      <c r="C139" s="229" t="s">
        <v>34</v>
      </c>
      <c r="D139" s="229" t="s">
        <v>4</v>
      </c>
      <c r="E139" s="247"/>
      <c r="F139" s="342">
        <v>7000</v>
      </c>
      <c r="G139" s="247">
        <f t="shared" si="1"/>
        <v>24015047</v>
      </c>
      <c r="H139" s="229" t="s">
        <v>49</v>
      </c>
      <c r="I139" s="314" t="s">
        <v>217</v>
      </c>
      <c r="J139" s="229" t="s">
        <v>103</v>
      </c>
      <c r="K139" s="229" t="s">
        <v>358</v>
      </c>
      <c r="L139" s="229" t="s">
        <v>188</v>
      </c>
      <c r="M139" s="178" t="s">
        <v>463</v>
      </c>
      <c r="N139" s="233" t="s">
        <v>374</v>
      </c>
      <c r="O139" s="229"/>
    </row>
    <row r="140" spans="1:15" ht="15" customHeight="1">
      <c r="A140" s="317">
        <v>44582</v>
      </c>
      <c r="B140" s="229" t="s">
        <v>175</v>
      </c>
      <c r="C140" s="229" t="s">
        <v>76</v>
      </c>
      <c r="D140" s="229"/>
      <c r="E140" s="229"/>
      <c r="F140" s="248">
        <v>10000</v>
      </c>
      <c r="G140" s="247">
        <f t="shared" si="1"/>
        <v>24005047</v>
      </c>
      <c r="H140" s="229" t="s">
        <v>25</v>
      </c>
      <c r="I140" s="314" t="s">
        <v>245</v>
      </c>
      <c r="J140" s="229"/>
      <c r="K140" s="229"/>
      <c r="L140" s="229" t="s">
        <v>188</v>
      </c>
      <c r="M140" s="229"/>
      <c r="N140" s="229"/>
      <c r="O140" s="229"/>
    </row>
    <row r="141" spans="1:15" ht="15" customHeight="1">
      <c r="A141" s="329">
        <v>44582</v>
      </c>
      <c r="B141" s="229" t="s">
        <v>221</v>
      </c>
      <c r="C141" s="229" t="s">
        <v>76</v>
      </c>
      <c r="D141" s="330"/>
      <c r="E141" s="250"/>
      <c r="F141" s="250">
        <v>91000</v>
      </c>
      <c r="G141" s="247">
        <f t="shared" ref="G141:G204" si="2">+G140+E141-F141</f>
        <v>23914047</v>
      </c>
      <c r="H141" s="331" t="s">
        <v>25</v>
      </c>
      <c r="I141" s="314" t="s">
        <v>245</v>
      </c>
      <c r="J141" s="228"/>
      <c r="K141" s="331"/>
      <c r="L141" s="229" t="s">
        <v>188</v>
      </c>
      <c r="M141" s="229"/>
      <c r="N141" s="229"/>
      <c r="O141" s="229"/>
    </row>
    <row r="142" spans="1:15" ht="15" customHeight="1">
      <c r="A142" s="320">
        <v>44582</v>
      </c>
      <c r="B142" s="321" t="s">
        <v>221</v>
      </c>
      <c r="C142" s="229" t="s">
        <v>76</v>
      </c>
      <c r="D142" s="229"/>
      <c r="E142" s="251"/>
      <c r="F142" s="251">
        <v>60000</v>
      </c>
      <c r="G142" s="247">
        <f t="shared" si="2"/>
        <v>23854047</v>
      </c>
      <c r="H142" s="253" t="s">
        <v>25</v>
      </c>
      <c r="I142" s="314" t="s">
        <v>245</v>
      </c>
      <c r="J142" s="229"/>
      <c r="K142" s="229"/>
      <c r="L142" s="229" t="s">
        <v>188</v>
      </c>
      <c r="M142" s="229"/>
      <c r="N142" s="229"/>
      <c r="O142" s="229"/>
    </row>
    <row r="143" spans="1:15" ht="15" customHeight="1">
      <c r="A143" s="317">
        <v>44582</v>
      </c>
      <c r="B143" s="229" t="s">
        <v>235</v>
      </c>
      <c r="C143" s="229" t="s">
        <v>145</v>
      </c>
      <c r="D143" s="228" t="s">
        <v>166</v>
      </c>
      <c r="E143" s="247"/>
      <c r="F143" s="349">
        <v>66000</v>
      </c>
      <c r="G143" s="247">
        <f t="shared" si="2"/>
        <v>23788047</v>
      </c>
      <c r="H143" s="229" t="s">
        <v>25</v>
      </c>
      <c r="I143" s="314" t="s">
        <v>217</v>
      </c>
      <c r="J143" s="229" t="s">
        <v>103</v>
      </c>
      <c r="K143" s="229" t="s">
        <v>358</v>
      </c>
      <c r="L143" s="229" t="s">
        <v>188</v>
      </c>
      <c r="M143" s="178" t="s">
        <v>464</v>
      </c>
      <c r="N143" s="229" t="s">
        <v>363</v>
      </c>
      <c r="O143" s="229"/>
    </row>
    <row r="144" spans="1:15" ht="15" customHeight="1">
      <c r="A144" s="317">
        <v>44582</v>
      </c>
      <c r="B144" s="229" t="s">
        <v>29</v>
      </c>
      <c r="C144" s="229" t="s">
        <v>76</v>
      </c>
      <c r="D144" s="229"/>
      <c r="E144" s="247"/>
      <c r="F144" s="247">
        <v>110000</v>
      </c>
      <c r="G144" s="247">
        <f t="shared" si="2"/>
        <v>23678047</v>
      </c>
      <c r="H144" s="229" t="s">
        <v>25</v>
      </c>
      <c r="I144" s="314" t="s">
        <v>245</v>
      </c>
      <c r="J144" s="229"/>
      <c r="K144" s="229"/>
      <c r="L144" s="229" t="s">
        <v>188</v>
      </c>
      <c r="M144" s="229"/>
      <c r="N144" s="229"/>
      <c r="O144" s="229"/>
    </row>
    <row r="145" spans="1:15" ht="15" customHeight="1">
      <c r="A145" s="317">
        <v>44582</v>
      </c>
      <c r="B145" s="229" t="s">
        <v>236</v>
      </c>
      <c r="C145" s="229" t="s">
        <v>76</v>
      </c>
      <c r="D145" s="229"/>
      <c r="E145" s="247"/>
      <c r="F145" s="247">
        <v>300000</v>
      </c>
      <c r="G145" s="247">
        <f t="shared" si="2"/>
        <v>23378047</v>
      </c>
      <c r="H145" s="229" t="s">
        <v>25</v>
      </c>
      <c r="I145" s="314" t="s">
        <v>245</v>
      </c>
      <c r="J145" s="229"/>
      <c r="K145" s="229"/>
      <c r="L145" s="229" t="s">
        <v>188</v>
      </c>
      <c r="M145" s="229"/>
      <c r="N145" s="229"/>
      <c r="O145" s="229"/>
    </row>
    <row r="146" spans="1:15" ht="15" customHeight="1">
      <c r="A146" s="317">
        <v>44582</v>
      </c>
      <c r="B146" s="229" t="s">
        <v>237</v>
      </c>
      <c r="C146" s="229" t="s">
        <v>140</v>
      </c>
      <c r="D146" s="228" t="s">
        <v>216</v>
      </c>
      <c r="E146" s="229"/>
      <c r="F146" s="342">
        <v>89175</v>
      </c>
      <c r="G146" s="247">
        <f t="shared" si="2"/>
        <v>23288872</v>
      </c>
      <c r="H146" s="229" t="s">
        <v>25</v>
      </c>
      <c r="I146" s="314" t="s">
        <v>217</v>
      </c>
      <c r="J146" s="233" t="s">
        <v>103</v>
      </c>
      <c r="K146" s="233" t="s">
        <v>358</v>
      </c>
      <c r="L146" s="229" t="s">
        <v>188</v>
      </c>
      <c r="M146" s="178" t="s">
        <v>465</v>
      </c>
      <c r="N146" s="233" t="s">
        <v>362</v>
      </c>
      <c r="O146" s="233"/>
    </row>
    <row r="147" spans="1:15" ht="15" customHeight="1">
      <c r="A147" s="317">
        <v>44582</v>
      </c>
      <c r="B147" s="229" t="s">
        <v>238</v>
      </c>
      <c r="C147" s="229" t="s">
        <v>76</v>
      </c>
      <c r="D147" s="228"/>
      <c r="E147" s="229">
        <v>1000000</v>
      </c>
      <c r="F147" s="248"/>
      <c r="G147" s="247">
        <f t="shared" si="2"/>
        <v>24288872</v>
      </c>
      <c r="H147" s="229" t="s">
        <v>25</v>
      </c>
      <c r="I147" s="314" t="s">
        <v>245</v>
      </c>
      <c r="J147" s="229"/>
      <c r="K147" s="229"/>
      <c r="L147" s="229" t="s">
        <v>188</v>
      </c>
      <c r="M147" s="229"/>
      <c r="N147" s="229"/>
      <c r="O147" s="229"/>
    </row>
    <row r="148" spans="1:15" ht="15" customHeight="1">
      <c r="A148" s="320">
        <v>44582</v>
      </c>
      <c r="B148" s="321" t="s">
        <v>30</v>
      </c>
      <c r="C148" s="229" t="s">
        <v>76</v>
      </c>
      <c r="D148" s="322"/>
      <c r="E148" s="251"/>
      <c r="F148" s="252">
        <v>120000</v>
      </c>
      <c r="G148" s="247">
        <f t="shared" si="2"/>
        <v>24168872</v>
      </c>
      <c r="H148" s="321" t="s">
        <v>25</v>
      </c>
      <c r="I148" s="314" t="s">
        <v>245</v>
      </c>
      <c r="J148" s="229"/>
      <c r="K148" s="229"/>
      <c r="L148" s="229" t="s">
        <v>188</v>
      </c>
      <c r="M148" s="229"/>
      <c r="N148" s="229"/>
      <c r="O148" s="229"/>
    </row>
    <row r="149" spans="1:15" ht="15" customHeight="1">
      <c r="A149" s="320">
        <v>44582</v>
      </c>
      <c r="B149" s="321" t="s">
        <v>175</v>
      </c>
      <c r="C149" s="229" t="s">
        <v>76</v>
      </c>
      <c r="D149" s="321"/>
      <c r="E149" s="251"/>
      <c r="F149" s="251">
        <v>166000</v>
      </c>
      <c r="G149" s="247">
        <f t="shared" si="2"/>
        <v>24002872</v>
      </c>
      <c r="H149" s="253" t="s">
        <v>25</v>
      </c>
      <c r="I149" s="314" t="s">
        <v>245</v>
      </c>
      <c r="J149" s="322"/>
      <c r="K149" s="253"/>
      <c r="L149" s="229" t="s">
        <v>188</v>
      </c>
      <c r="M149" s="229"/>
      <c r="N149" s="229"/>
      <c r="O149" s="229"/>
    </row>
    <row r="150" spans="1:15" ht="15" customHeight="1">
      <c r="A150" s="317">
        <v>44582</v>
      </c>
      <c r="B150" s="229" t="s">
        <v>286</v>
      </c>
      <c r="C150" s="229" t="s">
        <v>76</v>
      </c>
      <c r="D150" s="228"/>
      <c r="E150" s="250">
        <v>91000</v>
      </c>
      <c r="F150" s="229"/>
      <c r="G150" s="247">
        <f t="shared" si="2"/>
        <v>24093872</v>
      </c>
      <c r="H150" s="229" t="s">
        <v>155</v>
      </c>
      <c r="I150" s="314" t="s">
        <v>245</v>
      </c>
      <c r="J150" s="229"/>
      <c r="K150" s="229"/>
      <c r="L150" s="229" t="s">
        <v>188</v>
      </c>
      <c r="M150" s="229"/>
      <c r="N150" s="229"/>
      <c r="O150" s="229"/>
    </row>
    <row r="151" spans="1:15" ht="15" customHeight="1">
      <c r="A151" s="317">
        <v>44582</v>
      </c>
      <c r="B151" s="229" t="s">
        <v>286</v>
      </c>
      <c r="C151" s="229" t="s">
        <v>76</v>
      </c>
      <c r="D151" s="228"/>
      <c r="E151" s="251">
        <v>60000</v>
      </c>
      <c r="F151" s="229"/>
      <c r="G151" s="247">
        <f t="shared" si="2"/>
        <v>24153872</v>
      </c>
      <c r="H151" s="229" t="s">
        <v>155</v>
      </c>
      <c r="I151" s="314" t="s">
        <v>245</v>
      </c>
      <c r="J151" s="229"/>
      <c r="K151" s="229"/>
      <c r="L151" s="229" t="s">
        <v>188</v>
      </c>
      <c r="M151" s="229"/>
      <c r="N151" s="229"/>
      <c r="O151" s="229"/>
    </row>
    <row r="152" spans="1:15" ht="15" customHeight="1">
      <c r="A152" s="329">
        <v>44582</v>
      </c>
      <c r="B152" s="330" t="s">
        <v>302</v>
      </c>
      <c r="C152" s="229" t="s">
        <v>303</v>
      </c>
      <c r="D152" s="330"/>
      <c r="E152" s="250">
        <v>10000</v>
      </c>
      <c r="F152" s="250"/>
      <c r="G152" s="247">
        <f t="shared" si="2"/>
        <v>24163872</v>
      </c>
      <c r="H152" s="331" t="s">
        <v>175</v>
      </c>
      <c r="I152" s="314" t="s">
        <v>245</v>
      </c>
      <c r="J152" s="228"/>
      <c r="K152" s="331"/>
      <c r="L152" s="229" t="s">
        <v>188</v>
      </c>
      <c r="M152" s="229"/>
      <c r="N152" s="229"/>
      <c r="O152" s="229"/>
    </row>
    <row r="153" spans="1:15" ht="15" customHeight="1">
      <c r="A153" s="317">
        <v>44582</v>
      </c>
      <c r="B153" s="229" t="s">
        <v>339</v>
      </c>
      <c r="C153" s="229" t="s">
        <v>76</v>
      </c>
      <c r="D153" s="229"/>
      <c r="E153" s="247">
        <v>110000</v>
      </c>
      <c r="F153" s="247"/>
      <c r="G153" s="247">
        <f t="shared" si="2"/>
        <v>24273872</v>
      </c>
      <c r="H153" s="229" t="s">
        <v>29</v>
      </c>
      <c r="I153" s="314" t="s">
        <v>245</v>
      </c>
      <c r="J153" s="229"/>
      <c r="K153" s="229"/>
      <c r="L153" s="229" t="s">
        <v>188</v>
      </c>
      <c r="M153" s="229"/>
      <c r="N153" s="229"/>
      <c r="O153" s="229"/>
    </row>
    <row r="154" spans="1:15" ht="15" customHeight="1">
      <c r="A154" s="320">
        <v>44583</v>
      </c>
      <c r="B154" s="321" t="s">
        <v>382</v>
      </c>
      <c r="C154" s="229" t="s">
        <v>159</v>
      </c>
      <c r="D154" s="229" t="s">
        <v>4</v>
      </c>
      <c r="E154" s="251"/>
      <c r="F154" s="350">
        <v>15000</v>
      </c>
      <c r="G154" s="247">
        <f t="shared" si="2"/>
        <v>24258872</v>
      </c>
      <c r="H154" s="253" t="s">
        <v>49</v>
      </c>
      <c r="I154" s="314" t="s">
        <v>217</v>
      </c>
      <c r="J154" s="229" t="s">
        <v>103</v>
      </c>
      <c r="K154" s="229" t="s">
        <v>358</v>
      </c>
      <c r="L154" s="229" t="s">
        <v>188</v>
      </c>
      <c r="M154" s="178" t="s">
        <v>466</v>
      </c>
      <c r="N154" s="229" t="s">
        <v>378</v>
      </c>
      <c r="O154" s="229"/>
    </row>
    <row r="155" spans="1:15" ht="15" customHeight="1">
      <c r="A155" s="317">
        <v>44583</v>
      </c>
      <c r="B155" s="229" t="s">
        <v>383</v>
      </c>
      <c r="C155" s="229" t="s">
        <v>34</v>
      </c>
      <c r="D155" s="229" t="s">
        <v>4</v>
      </c>
      <c r="E155" s="247"/>
      <c r="F155" s="349">
        <v>7000</v>
      </c>
      <c r="G155" s="247">
        <f t="shared" si="2"/>
        <v>24251872</v>
      </c>
      <c r="H155" s="229" t="s">
        <v>49</v>
      </c>
      <c r="I155" s="314" t="s">
        <v>217</v>
      </c>
      <c r="J155" s="229" t="s">
        <v>103</v>
      </c>
      <c r="K155" s="229" t="s">
        <v>358</v>
      </c>
      <c r="L155" s="229" t="s">
        <v>188</v>
      </c>
      <c r="M155" s="178" t="s">
        <v>467</v>
      </c>
      <c r="N155" s="233" t="s">
        <v>374</v>
      </c>
      <c r="O155" s="229"/>
    </row>
    <row r="156" spans="1:15" ht="15" customHeight="1">
      <c r="A156" s="319">
        <v>44583</v>
      </c>
      <c r="B156" s="321" t="s">
        <v>292</v>
      </c>
      <c r="C156" s="229" t="s">
        <v>34</v>
      </c>
      <c r="D156" s="229" t="s">
        <v>166</v>
      </c>
      <c r="E156" s="251"/>
      <c r="F156" s="342">
        <v>10000</v>
      </c>
      <c r="G156" s="247">
        <f t="shared" si="2"/>
        <v>24241872</v>
      </c>
      <c r="H156" s="321" t="s">
        <v>155</v>
      </c>
      <c r="I156" s="314" t="s">
        <v>217</v>
      </c>
      <c r="J156" s="229" t="s">
        <v>103</v>
      </c>
      <c r="K156" s="229" t="s">
        <v>358</v>
      </c>
      <c r="L156" s="229" t="s">
        <v>188</v>
      </c>
      <c r="M156" s="178" t="s">
        <v>468</v>
      </c>
      <c r="N156" s="233" t="s">
        <v>374</v>
      </c>
      <c r="O156" s="238"/>
    </row>
    <row r="157" spans="1:15" ht="15" customHeight="1">
      <c r="A157" s="317">
        <v>44584</v>
      </c>
      <c r="B157" s="229" t="s">
        <v>293</v>
      </c>
      <c r="C157" s="229" t="s">
        <v>159</v>
      </c>
      <c r="D157" s="228" t="s">
        <v>166</v>
      </c>
      <c r="E157" s="229"/>
      <c r="F157" s="342">
        <v>20000</v>
      </c>
      <c r="G157" s="247">
        <f t="shared" si="2"/>
        <v>24221872</v>
      </c>
      <c r="H157" s="229" t="s">
        <v>155</v>
      </c>
      <c r="I157" s="314" t="s">
        <v>245</v>
      </c>
      <c r="J157" s="229" t="s">
        <v>103</v>
      </c>
      <c r="K157" s="229" t="s">
        <v>358</v>
      </c>
      <c r="L157" s="229" t="s">
        <v>188</v>
      </c>
      <c r="M157" s="178" t="s">
        <v>469</v>
      </c>
      <c r="N157" s="229" t="s">
        <v>378</v>
      </c>
      <c r="O157" s="229"/>
    </row>
    <row r="158" spans="1:15" ht="17.25" customHeight="1">
      <c r="A158" s="317">
        <v>44584</v>
      </c>
      <c r="B158" s="229" t="s">
        <v>401</v>
      </c>
      <c r="C158" s="229" t="s">
        <v>34</v>
      </c>
      <c r="D158" s="229" t="s">
        <v>4</v>
      </c>
      <c r="E158" s="247"/>
      <c r="F158" s="342">
        <v>12000</v>
      </c>
      <c r="G158" s="247">
        <f t="shared" si="2"/>
        <v>24209872</v>
      </c>
      <c r="H158" s="229" t="s">
        <v>29</v>
      </c>
      <c r="I158" s="314" t="s">
        <v>217</v>
      </c>
      <c r="J158" s="229" t="s">
        <v>103</v>
      </c>
      <c r="K158" s="229" t="s">
        <v>358</v>
      </c>
      <c r="L158" s="229" t="s">
        <v>188</v>
      </c>
      <c r="M158" s="178" t="s">
        <v>470</v>
      </c>
      <c r="N158" s="233" t="s">
        <v>374</v>
      </c>
      <c r="O158" s="229"/>
    </row>
    <row r="159" spans="1:15" ht="15" customHeight="1">
      <c r="A159" s="320">
        <v>44585</v>
      </c>
      <c r="B159" s="229" t="s">
        <v>255</v>
      </c>
      <c r="C159" s="251" t="s">
        <v>76</v>
      </c>
      <c r="D159" s="251"/>
      <c r="E159" s="321"/>
      <c r="F159" s="229">
        <v>1000000</v>
      </c>
      <c r="G159" s="247">
        <f t="shared" si="2"/>
        <v>23209872</v>
      </c>
      <c r="H159" s="229" t="s">
        <v>160</v>
      </c>
      <c r="I159" s="316">
        <v>3643601</v>
      </c>
      <c r="J159" s="229"/>
      <c r="K159" s="321"/>
      <c r="L159" s="229" t="s">
        <v>188</v>
      </c>
      <c r="M159" s="238"/>
      <c r="N159" s="238"/>
      <c r="O159" s="238"/>
    </row>
    <row r="160" spans="1:15" ht="18.75" customHeight="1">
      <c r="A160" s="320">
        <v>44585</v>
      </c>
      <c r="B160" s="229" t="s">
        <v>256</v>
      </c>
      <c r="C160" s="229" t="s">
        <v>185</v>
      </c>
      <c r="D160" s="251" t="s">
        <v>2</v>
      </c>
      <c r="E160" s="321"/>
      <c r="F160" s="342">
        <v>1311914</v>
      </c>
      <c r="G160" s="247">
        <f t="shared" si="2"/>
        <v>21897958</v>
      </c>
      <c r="H160" s="229" t="s">
        <v>160</v>
      </c>
      <c r="I160" s="316">
        <v>3643598</v>
      </c>
      <c r="J160" s="229" t="s">
        <v>103</v>
      </c>
      <c r="K160" s="229" t="s">
        <v>358</v>
      </c>
      <c r="L160" s="229" t="s">
        <v>188</v>
      </c>
      <c r="M160" s="178" t="s">
        <v>471</v>
      </c>
      <c r="N160" s="238" t="s">
        <v>370</v>
      </c>
      <c r="O160" s="238"/>
    </row>
    <row r="161" spans="1:15" ht="15" customHeight="1">
      <c r="A161" s="317">
        <v>44585</v>
      </c>
      <c r="B161" s="228" t="s">
        <v>257</v>
      </c>
      <c r="C161" s="229" t="s">
        <v>185</v>
      </c>
      <c r="D161" s="229" t="s">
        <v>2</v>
      </c>
      <c r="E161" s="229"/>
      <c r="F161" s="342">
        <v>1311914</v>
      </c>
      <c r="G161" s="247">
        <f t="shared" si="2"/>
        <v>20586044</v>
      </c>
      <c r="H161" s="229" t="s">
        <v>160</v>
      </c>
      <c r="I161" s="314">
        <v>3643599</v>
      </c>
      <c r="J161" s="229" t="s">
        <v>103</v>
      </c>
      <c r="K161" s="229" t="s">
        <v>358</v>
      </c>
      <c r="L161" s="229" t="s">
        <v>188</v>
      </c>
      <c r="M161" s="178" t="s">
        <v>472</v>
      </c>
      <c r="N161" s="238" t="s">
        <v>370</v>
      </c>
      <c r="O161" s="233"/>
    </row>
    <row r="162" spans="1:15" ht="15" customHeight="1">
      <c r="A162" s="317">
        <v>44585</v>
      </c>
      <c r="B162" s="228" t="s">
        <v>258</v>
      </c>
      <c r="C162" s="229" t="s">
        <v>185</v>
      </c>
      <c r="D162" s="229" t="s">
        <v>2</v>
      </c>
      <c r="E162" s="229"/>
      <c r="F162" s="342">
        <v>317494</v>
      </c>
      <c r="G162" s="247">
        <f t="shared" si="2"/>
        <v>20268550</v>
      </c>
      <c r="H162" s="229" t="s">
        <v>160</v>
      </c>
      <c r="I162" s="314">
        <v>36435603</v>
      </c>
      <c r="J162" s="229" t="s">
        <v>103</v>
      </c>
      <c r="K162" s="229" t="s">
        <v>358</v>
      </c>
      <c r="L162" s="229" t="s">
        <v>188</v>
      </c>
      <c r="M162" s="178" t="s">
        <v>473</v>
      </c>
      <c r="N162" s="229" t="s">
        <v>366</v>
      </c>
      <c r="O162" s="233"/>
    </row>
    <row r="163" spans="1:15" ht="15" customHeight="1">
      <c r="A163" s="317">
        <v>44585</v>
      </c>
      <c r="B163" s="228" t="s">
        <v>259</v>
      </c>
      <c r="C163" s="229" t="s">
        <v>185</v>
      </c>
      <c r="D163" s="229" t="s">
        <v>2</v>
      </c>
      <c r="E163" s="229"/>
      <c r="F163" s="342">
        <v>350000</v>
      </c>
      <c r="G163" s="247">
        <f t="shared" si="2"/>
        <v>19918550</v>
      </c>
      <c r="H163" s="229" t="s">
        <v>160</v>
      </c>
      <c r="I163" s="314">
        <v>36435602</v>
      </c>
      <c r="J163" s="229" t="s">
        <v>103</v>
      </c>
      <c r="K163" s="229" t="s">
        <v>358</v>
      </c>
      <c r="L163" s="229" t="s">
        <v>188</v>
      </c>
      <c r="M163" s="178" t="s">
        <v>474</v>
      </c>
      <c r="N163" s="229" t="s">
        <v>366</v>
      </c>
      <c r="O163" s="233"/>
    </row>
    <row r="164" spans="1:15" ht="15" customHeight="1">
      <c r="A164" s="317">
        <v>44585</v>
      </c>
      <c r="B164" s="228" t="s">
        <v>260</v>
      </c>
      <c r="C164" s="229" t="s">
        <v>185</v>
      </c>
      <c r="D164" s="229" t="s">
        <v>166</v>
      </c>
      <c r="E164" s="229"/>
      <c r="F164" s="342">
        <v>193600</v>
      </c>
      <c r="G164" s="247">
        <f t="shared" si="2"/>
        <v>19724950</v>
      </c>
      <c r="H164" s="229" t="s">
        <v>160</v>
      </c>
      <c r="I164" s="314">
        <v>36435605</v>
      </c>
      <c r="J164" s="229" t="s">
        <v>103</v>
      </c>
      <c r="K164" s="229" t="s">
        <v>358</v>
      </c>
      <c r="L164" s="229" t="s">
        <v>188</v>
      </c>
      <c r="M164" s="178" t="s">
        <v>475</v>
      </c>
      <c r="N164" s="229" t="s">
        <v>369</v>
      </c>
      <c r="O164" s="233"/>
    </row>
    <row r="165" spans="1:15" ht="15" customHeight="1">
      <c r="A165" s="317">
        <v>44585</v>
      </c>
      <c r="B165" s="228" t="s">
        <v>261</v>
      </c>
      <c r="C165" s="229" t="s">
        <v>185</v>
      </c>
      <c r="D165" s="229" t="s">
        <v>166</v>
      </c>
      <c r="E165" s="229"/>
      <c r="F165" s="342">
        <v>357982</v>
      </c>
      <c r="G165" s="247">
        <f t="shared" si="2"/>
        <v>19366968</v>
      </c>
      <c r="H165" s="229" t="s">
        <v>160</v>
      </c>
      <c r="I165" s="314">
        <v>36435604</v>
      </c>
      <c r="J165" s="229" t="s">
        <v>103</v>
      </c>
      <c r="K165" s="229" t="s">
        <v>358</v>
      </c>
      <c r="L165" s="229" t="s">
        <v>188</v>
      </c>
      <c r="M165" s="178" t="s">
        <v>476</v>
      </c>
      <c r="N165" s="229" t="s">
        <v>369</v>
      </c>
      <c r="O165" s="233"/>
    </row>
    <row r="166" spans="1:15" ht="16.5" customHeight="1">
      <c r="A166" s="319">
        <v>44585</v>
      </c>
      <c r="B166" s="321" t="s">
        <v>273</v>
      </c>
      <c r="C166" s="229" t="s">
        <v>189</v>
      </c>
      <c r="D166" s="229"/>
      <c r="E166" s="251">
        <v>300000</v>
      </c>
      <c r="F166" s="251"/>
      <c r="G166" s="247">
        <f t="shared" si="2"/>
        <v>19666968</v>
      </c>
      <c r="H166" s="321" t="s">
        <v>114</v>
      </c>
      <c r="I166" s="314" t="s">
        <v>245</v>
      </c>
      <c r="J166" s="229"/>
      <c r="K166" s="229"/>
      <c r="L166" s="229" t="s">
        <v>188</v>
      </c>
      <c r="M166" s="238"/>
      <c r="N166" s="238"/>
      <c r="O166" s="238"/>
    </row>
    <row r="167" spans="1:15" ht="15" customHeight="1">
      <c r="A167" s="317">
        <v>44585</v>
      </c>
      <c r="B167" s="229" t="s">
        <v>294</v>
      </c>
      <c r="C167" s="229" t="s">
        <v>278</v>
      </c>
      <c r="D167" s="228" t="s">
        <v>166</v>
      </c>
      <c r="E167" s="229"/>
      <c r="F167" s="229">
        <v>35000</v>
      </c>
      <c r="G167" s="247">
        <f t="shared" si="2"/>
        <v>19631968</v>
      </c>
      <c r="H167" s="229" t="s">
        <v>155</v>
      </c>
      <c r="I167" s="314" t="s">
        <v>217</v>
      </c>
      <c r="J167" s="229" t="s">
        <v>168</v>
      </c>
      <c r="K167" s="229" t="s">
        <v>359</v>
      </c>
      <c r="L167" s="229" t="s">
        <v>188</v>
      </c>
      <c r="M167" s="229"/>
      <c r="N167" s="233"/>
      <c r="O167" s="233"/>
    </row>
    <row r="168" spans="1:15" ht="15" customHeight="1">
      <c r="A168" s="320">
        <v>44585</v>
      </c>
      <c r="B168" s="321" t="s">
        <v>302</v>
      </c>
      <c r="C168" s="321" t="s">
        <v>303</v>
      </c>
      <c r="D168" s="321"/>
      <c r="E168" s="251">
        <v>166000</v>
      </c>
      <c r="F168" s="251"/>
      <c r="G168" s="247">
        <f t="shared" si="2"/>
        <v>19797968</v>
      </c>
      <c r="H168" s="253" t="s">
        <v>175</v>
      </c>
      <c r="I168" s="314" t="s">
        <v>245</v>
      </c>
      <c r="J168" s="229"/>
      <c r="K168" s="229"/>
      <c r="L168" s="229" t="s">
        <v>188</v>
      </c>
      <c r="M168" s="229"/>
      <c r="N168" s="229"/>
      <c r="O168" s="229"/>
    </row>
    <row r="169" spans="1:15" ht="15" customHeight="1">
      <c r="A169" s="317">
        <v>44585</v>
      </c>
      <c r="B169" s="229" t="s">
        <v>327</v>
      </c>
      <c r="C169" s="229" t="s">
        <v>76</v>
      </c>
      <c r="D169" s="229"/>
      <c r="E169" s="229">
        <v>120000</v>
      </c>
      <c r="F169" s="229"/>
      <c r="G169" s="247">
        <f t="shared" si="2"/>
        <v>19917968</v>
      </c>
      <c r="H169" s="229" t="s">
        <v>49</v>
      </c>
      <c r="I169" s="314" t="s">
        <v>245</v>
      </c>
      <c r="J169" s="229"/>
      <c r="K169" s="229"/>
      <c r="L169" s="229" t="s">
        <v>188</v>
      </c>
      <c r="M169" s="229"/>
      <c r="N169" s="229"/>
      <c r="O169" s="229"/>
    </row>
    <row r="170" spans="1:15" ht="15" customHeight="1">
      <c r="A170" s="317">
        <v>44585</v>
      </c>
      <c r="B170" s="229" t="s">
        <v>346</v>
      </c>
      <c r="C170" s="229" t="s">
        <v>159</v>
      </c>
      <c r="D170" s="229" t="s">
        <v>4</v>
      </c>
      <c r="E170" s="247"/>
      <c r="F170" s="342">
        <v>60000</v>
      </c>
      <c r="G170" s="247">
        <f t="shared" si="2"/>
        <v>19857968</v>
      </c>
      <c r="H170" s="229" t="s">
        <v>29</v>
      </c>
      <c r="I170" s="314" t="s">
        <v>245</v>
      </c>
      <c r="J170" s="229" t="s">
        <v>103</v>
      </c>
      <c r="K170" s="229" t="s">
        <v>358</v>
      </c>
      <c r="L170" s="229" t="s">
        <v>188</v>
      </c>
      <c r="M170" s="178" t="s">
        <v>477</v>
      </c>
      <c r="N170" s="229" t="s">
        <v>378</v>
      </c>
      <c r="O170" s="229"/>
    </row>
    <row r="171" spans="1:15" ht="15" customHeight="1">
      <c r="A171" s="317">
        <v>44586</v>
      </c>
      <c r="B171" s="229" t="s">
        <v>239</v>
      </c>
      <c r="C171" s="229" t="s">
        <v>76</v>
      </c>
      <c r="D171" s="229"/>
      <c r="E171" s="229">
        <v>15000</v>
      </c>
      <c r="F171" s="248"/>
      <c r="G171" s="247">
        <f t="shared" si="2"/>
        <v>19872968</v>
      </c>
      <c r="H171" s="229" t="s">
        <v>25</v>
      </c>
      <c r="I171" s="314" t="s">
        <v>245</v>
      </c>
      <c r="J171" s="229"/>
      <c r="K171" s="229"/>
      <c r="L171" s="229" t="s">
        <v>188</v>
      </c>
      <c r="M171" s="229"/>
      <c r="N171" s="229"/>
      <c r="O171" s="229"/>
    </row>
    <row r="172" spans="1:15" ht="16.5" customHeight="1">
      <c r="A172" s="317">
        <v>44586</v>
      </c>
      <c r="B172" s="229" t="s">
        <v>240</v>
      </c>
      <c r="C172" s="229" t="s">
        <v>76</v>
      </c>
      <c r="D172" s="229"/>
      <c r="E172" s="247"/>
      <c r="F172" s="247">
        <v>40000</v>
      </c>
      <c r="G172" s="247">
        <f t="shared" si="2"/>
        <v>19832968</v>
      </c>
      <c r="H172" s="229" t="s">
        <v>25</v>
      </c>
      <c r="I172" s="314" t="s">
        <v>245</v>
      </c>
      <c r="J172" s="229"/>
      <c r="K172" s="229"/>
      <c r="L172" s="229" t="s">
        <v>188</v>
      </c>
      <c r="M172" s="229"/>
      <c r="N172" s="229"/>
      <c r="O172" s="229"/>
    </row>
    <row r="173" spans="1:15" ht="15" customHeight="1">
      <c r="A173" s="329">
        <v>44586</v>
      </c>
      <c r="B173" s="330" t="s">
        <v>270</v>
      </c>
      <c r="C173" s="229" t="s">
        <v>34</v>
      </c>
      <c r="D173" s="321" t="s">
        <v>2</v>
      </c>
      <c r="E173" s="229"/>
      <c r="F173" s="342">
        <v>12500</v>
      </c>
      <c r="G173" s="247">
        <f t="shared" si="2"/>
        <v>19820468</v>
      </c>
      <c r="H173" s="331" t="s">
        <v>94</v>
      </c>
      <c r="I173" s="314" t="s">
        <v>245</v>
      </c>
      <c r="J173" s="229" t="s">
        <v>103</v>
      </c>
      <c r="K173" s="229" t="s">
        <v>358</v>
      </c>
      <c r="L173" s="229" t="s">
        <v>188</v>
      </c>
      <c r="M173" s="178" t="s">
        <v>478</v>
      </c>
      <c r="N173" s="233" t="s">
        <v>374</v>
      </c>
      <c r="O173" s="229"/>
    </row>
    <row r="174" spans="1:15" ht="15" customHeight="1">
      <c r="A174" s="317">
        <v>44586</v>
      </c>
      <c r="B174" s="229" t="s">
        <v>275</v>
      </c>
      <c r="C174" s="229" t="s">
        <v>76</v>
      </c>
      <c r="D174" s="229"/>
      <c r="E174" s="229">
        <v>40000</v>
      </c>
      <c r="F174" s="248"/>
      <c r="G174" s="247">
        <f t="shared" si="2"/>
        <v>19860468</v>
      </c>
      <c r="H174" s="229" t="s">
        <v>48</v>
      </c>
      <c r="I174" s="314" t="s">
        <v>245</v>
      </c>
      <c r="J174" s="229"/>
      <c r="K174" s="229"/>
      <c r="L174" s="229" t="s">
        <v>188</v>
      </c>
      <c r="M174" s="229"/>
      <c r="N174" s="229"/>
      <c r="O174" s="229"/>
    </row>
    <row r="175" spans="1:15" ht="15" customHeight="1">
      <c r="A175" s="317">
        <v>44586</v>
      </c>
      <c r="B175" s="229" t="s">
        <v>295</v>
      </c>
      <c r="C175" s="229" t="s">
        <v>159</v>
      </c>
      <c r="D175" s="229" t="s">
        <v>166</v>
      </c>
      <c r="E175" s="247"/>
      <c r="F175" s="342">
        <v>30000</v>
      </c>
      <c r="G175" s="247">
        <f t="shared" si="2"/>
        <v>19830468</v>
      </c>
      <c r="H175" s="229" t="s">
        <v>155</v>
      </c>
      <c r="I175" s="314" t="s">
        <v>217</v>
      </c>
      <c r="J175" s="229" t="s">
        <v>103</v>
      </c>
      <c r="K175" s="229" t="s">
        <v>358</v>
      </c>
      <c r="L175" s="229" t="s">
        <v>188</v>
      </c>
      <c r="M175" s="178" t="s">
        <v>479</v>
      </c>
      <c r="N175" s="229" t="s">
        <v>378</v>
      </c>
      <c r="O175" s="229"/>
    </row>
    <row r="176" spans="1:15" ht="15" customHeight="1">
      <c r="A176" s="317">
        <v>44586</v>
      </c>
      <c r="B176" s="229" t="s">
        <v>296</v>
      </c>
      <c r="C176" s="229" t="s">
        <v>34</v>
      </c>
      <c r="D176" s="228" t="s">
        <v>166</v>
      </c>
      <c r="E176" s="229"/>
      <c r="F176" s="342">
        <v>10000</v>
      </c>
      <c r="G176" s="247">
        <f t="shared" si="2"/>
        <v>19820468</v>
      </c>
      <c r="H176" s="229" t="s">
        <v>155</v>
      </c>
      <c r="I176" s="314" t="s">
        <v>217</v>
      </c>
      <c r="J176" s="229" t="s">
        <v>103</v>
      </c>
      <c r="K176" s="229" t="s">
        <v>358</v>
      </c>
      <c r="L176" s="229" t="s">
        <v>188</v>
      </c>
      <c r="M176" s="178" t="s">
        <v>480</v>
      </c>
      <c r="N176" s="233" t="s">
        <v>374</v>
      </c>
      <c r="O176" s="229"/>
    </row>
    <row r="177" spans="1:15" ht="15" customHeight="1">
      <c r="A177" s="317">
        <v>44586</v>
      </c>
      <c r="B177" s="229" t="s">
        <v>315</v>
      </c>
      <c r="C177" s="229" t="s">
        <v>34</v>
      </c>
      <c r="D177" s="229" t="s">
        <v>4</v>
      </c>
      <c r="E177" s="247"/>
      <c r="F177" s="229">
        <v>10000</v>
      </c>
      <c r="G177" s="247">
        <f t="shared" si="2"/>
        <v>19810468</v>
      </c>
      <c r="H177" s="229" t="s">
        <v>175</v>
      </c>
      <c r="I177" s="314" t="s">
        <v>217</v>
      </c>
      <c r="J177" s="229" t="s">
        <v>168</v>
      </c>
      <c r="K177" s="229" t="s">
        <v>359</v>
      </c>
      <c r="L177" s="229" t="s">
        <v>188</v>
      </c>
      <c r="M177" s="233"/>
      <c r="N177" s="233"/>
      <c r="O177" s="229"/>
    </row>
    <row r="178" spans="1:15" ht="15" customHeight="1">
      <c r="A178" s="317">
        <v>44586</v>
      </c>
      <c r="B178" s="229" t="s">
        <v>316</v>
      </c>
      <c r="C178" s="229" t="s">
        <v>34</v>
      </c>
      <c r="D178" s="229" t="s">
        <v>4</v>
      </c>
      <c r="E178" s="247"/>
      <c r="F178" s="229">
        <v>4000</v>
      </c>
      <c r="G178" s="247">
        <f t="shared" si="2"/>
        <v>19806468</v>
      </c>
      <c r="H178" s="229" t="s">
        <v>175</v>
      </c>
      <c r="I178" s="314" t="s">
        <v>217</v>
      </c>
      <c r="J178" s="229" t="s">
        <v>168</v>
      </c>
      <c r="K178" s="229" t="s">
        <v>359</v>
      </c>
      <c r="L178" s="229" t="s">
        <v>188</v>
      </c>
      <c r="M178" s="233"/>
      <c r="N178" s="233"/>
      <c r="O178" s="229"/>
    </row>
    <row r="179" spans="1:15" ht="15" customHeight="1">
      <c r="A179" s="317">
        <v>44586</v>
      </c>
      <c r="B179" s="229" t="s">
        <v>332</v>
      </c>
      <c r="C179" s="229" t="s">
        <v>159</v>
      </c>
      <c r="D179" s="229" t="s">
        <v>4</v>
      </c>
      <c r="E179" s="229"/>
      <c r="F179" s="349">
        <v>20000</v>
      </c>
      <c r="G179" s="247">
        <f t="shared" si="2"/>
        <v>19786468</v>
      </c>
      <c r="H179" s="229" t="s">
        <v>49</v>
      </c>
      <c r="I179" s="314" t="s">
        <v>245</v>
      </c>
      <c r="J179" s="229" t="s">
        <v>103</v>
      </c>
      <c r="K179" s="229" t="s">
        <v>358</v>
      </c>
      <c r="L179" s="229" t="s">
        <v>188</v>
      </c>
      <c r="M179" s="178" t="s">
        <v>481</v>
      </c>
      <c r="N179" s="229" t="s">
        <v>378</v>
      </c>
      <c r="O179" s="229"/>
    </row>
    <row r="180" spans="1:15" ht="15" customHeight="1">
      <c r="A180" s="317">
        <v>44586</v>
      </c>
      <c r="B180" s="229" t="s">
        <v>385</v>
      </c>
      <c r="C180" s="229" t="s">
        <v>34</v>
      </c>
      <c r="D180" s="229" t="s">
        <v>4</v>
      </c>
      <c r="E180" s="229"/>
      <c r="F180" s="349">
        <v>7000</v>
      </c>
      <c r="G180" s="247">
        <f t="shared" si="2"/>
        <v>19779468</v>
      </c>
      <c r="H180" s="229" t="s">
        <v>49</v>
      </c>
      <c r="I180" s="314" t="s">
        <v>217</v>
      </c>
      <c r="J180" s="229" t="s">
        <v>103</v>
      </c>
      <c r="K180" s="229" t="s">
        <v>358</v>
      </c>
      <c r="L180" s="229" t="s">
        <v>188</v>
      </c>
      <c r="M180" s="178" t="s">
        <v>482</v>
      </c>
      <c r="N180" s="233" t="s">
        <v>374</v>
      </c>
      <c r="O180" s="233"/>
    </row>
    <row r="181" spans="1:15" ht="14.25" customHeight="1">
      <c r="A181" s="317">
        <v>44586</v>
      </c>
      <c r="B181" s="229" t="s">
        <v>333</v>
      </c>
      <c r="C181" s="229" t="s">
        <v>34</v>
      </c>
      <c r="D181" s="229" t="s">
        <v>4</v>
      </c>
      <c r="E181" s="229"/>
      <c r="F181" s="349">
        <v>20000</v>
      </c>
      <c r="G181" s="247">
        <f t="shared" si="2"/>
        <v>19759468</v>
      </c>
      <c r="H181" s="229" t="s">
        <v>49</v>
      </c>
      <c r="I181" s="314" t="s">
        <v>217</v>
      </c>
      <c r="J181" s="229" t="s">
        <v>103</v>
      </c>
      <c r="K181" s="229" t="s">
        <v>358</v>
      </c>
      <c r="L181" s="229" t="s">
        <v>188</v>
      </c>
      <c r="M181" s="178" t="s">
        <v>483</v>
      </c>
      <c r="N181" s="233" t="s">
        <v>374</v>
      </c>
      <c r="O181" s="233"/>
    </row>
    <row r="182" spans="1:15" ht="15" customHeight="1">
      <c r="A182" s="317">
        <v>44587</v>
      </c>
      <c r="B182" s="229" t="s">
        <v>393</v>
      </c>
      <c r="C182" s="229" t="s">
        <v>3</v>
      </c>
      <c r="D182" s="229" t="s">
        <v>216</v>
      </c>
      <c r="E182" s="247"/>
      <c r="F182" s="247">
        <v>75625</v>
      </c>
      <c r="G182" s="247">
        <f t="shared" si="2"/>
        <v>19683843</v>
      </c>
      <c r="H182" s="229" t="s">
        <v>25</v>
      </c>
      <c r="I182" s="314" t="s">
        <v>217</v>
      </c>
      <c r="J182" s="229" t="s">
        <v>168</v>
      </c>
      <c r="K182" s="229" t="s">
        <v>359</v>
      </c>
      <c r="L182" s="229" t="s">
        <v>188</v>
      </c>
      <c r="M182" s="229"/>
      <c r="N182" s="229"/>
      <c r="O182" s="229"/>
    </row>
    <row r="183" spans="1:15" ht="15" customHeight="1">
      <c r="A183" s="317">
        <v>44587</v>
      </c>
      <c r="B183" s="229" t="s">
        <v>29</v>
      </c>
      <c r="C183" s="229" t="s">
        <v>76</v>
      </c>
      <c r="D183" s="229"/>
      <c r="E183" s="247"/>
      <c r="F183" s="247">
        <v>103000</v>
      </c>
      <c r="G183" s="247">
        <f t="shared" si="2"/>
        <v>19580843</v>
      </c>
      <c r="H183" s="229" t="s">
        <v>25</v>
      </c>
      <c r="I183" s="314" t="s">
        <v>245</v>
      </c>
      <c r="J183" s="229"/>
      <c r="K183" s="229"/>
      <c r="L183" s="229" t="s">
        <v>188</v>
      </c>
      <c r="M183" s="229"/>
      <c r="N183" s="229"/>
      <c r="O183" s="229"/>
    </row>
    <row r="184" spans="1:15" ht="15" customHeight="1">
      <c r="A184" s="317">
        <v>44587</v>
      </c>
      <c r="B184" s="229" t="s">
        <v>241</v>
      </c>
      <c r="C184" s="229" t="s">
        <v>187</v>
      </c>
      <c r="D184" s="229" t="s">
        <v>216</v>
      </c>
      <c r="E184" s="229"/>
      <c r="F184" s="342">
        <v>3090</v>
      </c>
      <c r="G184" s="247">
        <f t="shared" si="2"/>
        <v>19577753</v>
      </c>
      <c r="H184" s="229" t="s">
        <v>25</v>
      </c>
      <c r="I184" s="314" t="s">
        <v>217</v>
      </c>
      <c r="J184" s="229" t="s">
        <v>103</v>
      </c>
      <c r="K184" s="229" t="s">
        <v>358</v>
      </c>
      <c r="L184" s="229" t="s">
        <v>188</v>
      </c>
      <c r="M184" s="178" t="s">
        <v>484</v>
      </c>
      <c r="N184" s="229" t="s">
        <v>360</v>
      </c>
      <c r="O184" s="229"/>
    </row>
    <row r="185" spans="1:15" ht="15" customHeight="1">
      <c r="A185" s="317">
        <v>44587</v>
      </c>
      <c r="B185" s="229" t="s">
        <v>221</v>
      </c>
      <c r="C185" s="229" t="s">
        <v>76</v>
      </c>
      <c r="D185" s="229"/>
      <c r="E185" s="247"/>
      <c r="F185" s="247">
        <v>7000</v>
      </c>
      <c r="G185" s="247">
        <f t="shared" si="2"/>
        <v>19570753</v>
      </c>
      <c r="H185" s="229" t="s">
        <v>25</v>
      </c>
      <c r="I185" s="314" t="s">
        <v>245</v>
      </c>
      <c r="J185" s="229"/>
      <c r="K185" s="229"/>
      <c r="L185" s="229" t="s">
        <v>188</v>
      </c>
      <c r="M185" s="229"/>
      <c r="N185" s="229"/>
      <c r="O185" s="229"/>
    </row>
    <row r="186" spans="1:15" ht="15" customHeight="1">
      <c r="A186" s="317">
        <v>44587</v>
      </c>
      <c r="B186" s="229" t="s">
        <v>221</v>
      </c>
      <c r="C186" s="229" t="s">
        <v>76</v>
      </c>
      <c r="D186" s="229"/>
      <c r="E186" s="247"/>
      <c r="F186" s="247">
        <v>91000</v>
      </c>
      <c r="G186" s="247">
        <f t="shared" si="2"/>
        <v>19479753</v>
      </c>
      <c r="H186" s="229" t="s">
        <v>25</v>
      </c>
      <c r="I186" s="314" t="s">
        <v>245</v>
      </c>
      <c r="J186" s="229"/>
      <c r="K186" s="229"/>
      <c r="L186" s="229" t="s">
        <v>188</v>
      </c>
      <c r="M186" s="229"/>
      <c r="N186" s="229"/>
      <c r="O186" s="229"/>
    </row>
    <row r="187" spans="1:15" ht="15" customHeight="1">
      <c r="A187" s="320">
        <v>44587</v>
      </c>
      <c r="B187" s="321" t="s">
        <v>282</v>
      </c>
      <c r="C187" s="321" t="s">
        <v>278</v>
      </c>
      <c r="D187" s="229" t="s">
        <v>166</v>
      </c>
      <c r="E187" s="251"/>
      <c r="F187" s="251">
        <v>30000</v>
      </c>
      <c r="G187" s="247">
        <f t="shared" si="2"/>
        <v>19449753</v>
      </c>
      <c r="H187" s="322" t="s">
        <v>48</v>
      </c>
      <c r="I187" s="314" t="s">
        <v>217</v>
      </c>
      <c r="J187" s="229" t="s">
        <v>168</v>
      </c>
      <c r="K187" s="229" t="s">
        <v>359</v>
      </c>
      <c r="L187" s="229" t="s">
        <v>188</v>
      </c>
      <c r="M187" s="229"/>
      <c r="N187" s="229"/>
      <c r="O187" s="229"/>
    </row>
    <row r="188" spans="1:15" ht="15" customHeight="1">
      <c r="A188" s="320">
        <v>44587</v>
      </c>
      <c r="B188" s="321" t="s">
        <v>283</v>
      </c>
      <c r="C188" s="229" t="s">
        <v>278</v>
      </c>
      <c r="D188" s="229" t="s">
        <v>166</v>
      </c>
      <c r="E188" s="251"/>
      <c r="F188" s="251">
        <v>10000</v>
      </c>
      <c r="G188" s="247">
        <f t="shared" si="2"/>
        <v>19439753</v>
      </c>
      <c r="H188" s="253" t="s">
        <v>48</v>
      </c>
      <c r="I188" s="314" t="s">
        <v>217</v>
      </c>
      <c r="J188" s="229" t="s">
        <v>168</v>
      </c>
      <c r="K188" s="229" t="s">
        <v>359</v>
      </c>
      <c r="L188" s="229" t="s">
        <v>188</v>
      </c>
      <c r="M188" s="229"/>
      <c r="N188" s="229"/>
      <c r="O188" s="229"/>
    </row>
    <row r="189" spans="1:15" ht="15" customHeight="1">
      <c r="A189" s="317">
        <v>44587</v>
      </c>
      <c r="B189" s="229" t="s">
        <v>269</v>
      </c>
      <c r="C189" s="229" t="s">
        <v>76</v>
      </c>
      <c r="D189" s="228"/>
      <c r="E189" s="229">
        <v>7000</v>
      </c>
      <c r="F189" s="248"/>
      <c r="G189" s="247">
        <f t="shared" si="2"/>
        <v>19446753</v>
      </c>
      <c r="H189" s="229" t="s">
        <v>155</v>
      </c>
      <c r="I189" s="314" t="s">
        <v>245</v>
      </c>
      <c r="J189" s="229"/>
      <c r="K189" s="229"/>
      <c r="L189" s="229" t="s">
        <v>188</v>
      </c>
      <c r="M189" s="229"/>
      <c r="N189" s="229"/>
      <c r="O189" s="229"/>
    </row>
    <row r="190" spans="1:15" ht="15" customHeight="1">
      <c r="A190" s="320">
        <v>44587</v>
      </c>
      <c r="B190" s="229" t="s">
        <v>286</v>
      </c>
      <c r="C190" s="229" t="s">
        <v>76</v>
      </c>
      <c r="D190" s="229"/>
      <c r="E190" s="229">
        <v>91000</v>
      </c>
      <c r="F190" s="229"/>
      <c r="G190" s="247">
        <f t="shared" si="2"/>
        <v>19537753</v>
      </c>
      <c r="H190" s="229" t="s">
        <v>155</v>
      </c>
      <c r="I190" s="314" t="s">
        <v>245</v>
      </c>
      <c r="J190" s="229"/>
      <c r="K190" s="229"/>
      <c r="L190" s="229" t="s">
        <v>188</v>
      </c>
      <c r="M190" s="229"/>
      <c r="N190" s="229"/>
      <c r="O190" s="229"/>
    </row>
    <row r="191" spans="1:15" ht="15" customHeight="1">
      <c r="A191" s="317">
        <v>44587</v>
      </c>
      <c r="B191" s="229" t="s">
        <v>317</v>
      </c>
      <c r="C191" s="229" t="s">
        <v>306</v>
      </c>
      <c r="D191" s="229" t="s">
        <v>4</v>
      </c>
      <c r="E191" s="247"/>
      <c r="F191" s="247">
        <v>15000</v>
      </c>
      <c r="G191" s="247">
        <f t="shared" si="2"/>
        <v>19522753</v>
      </c>
      <c r="H191" s="229" t="s">
        <v>175</v>
      </c>
      <c r="I191" s="314" t="s">
        <v>217</v>
      </c>
      <c r="J191" s="229" t="s">
        <v>168</v>
      </c>
      <c r="K191" s="229" t="s">
        <v>359</v>
      </c>
      <c r="L191" s="229" t="s">
        <v>188</v>
      </c>
      <c r="M191" s="229"/>
      <c r="N191" s="229"/>
      <c r="O191" s="229"/>
    </row>
    <row r="192" spans="1:15" ht="15" customHeight="1">
      <c r="A192" s="317">
        <v>44587</v>
      </c>
      <c r="B192" s="229" t="s">
        <v>318</v>
      </c>
      <c r="C192" s="229" t="s">
        <v>34</v>
      </c>
      <c r="D192" s="229" t="s">
        <v>4</v>
      </c>
      <c r="E192" s="247"/>
      <c r="F192" s="247">
        <v>10000</v>
      </c>
      <c r="G192" s="247">
        <f t="shared" si="2"/>
        <v>19512753</v>
      </c>
      <c r="H192" s="229" t="s">
        <v>175</v>
      </c>
      <c r="I192" s="314" t="s">
        <v>217</v>
      </c>
      <c r="J192" s="229" t="s">
        <v>168</v>
      </c>
      <c r="K192" s="229" t="s">
        <v>359</v>
      </c>
      <c r="L192" s="229" t="s">
        <v>188</v>
      </c>
      <c r="M192" s="233"/>
      <c r="N192" s="233"/>
      <c r="O192" s="229"/>
    </row>
    <row r="193" spans="1:15" ht="15" customHeight="1">
      <c r="A193" s="317">
        <v>44587</v>
      </c>
      <c r="B193" s="229" t="s">
        <v>334</v>
      </c>
      <c r="C193" s="229" t="s">
        <v>323</v>
      </c>
      <c r="D193" s="229" t="s">
        <v>4</v>
      </c>
      <c r="E193" s="229"/>
      <c r="F193" s="341">
        <v>34500</v>
      </c>
      <c r="G193" s="247">
        <f t="shared" si="2"/>
        <v>19478253</v>
      </c>
      <c r="H193" s="229" t="s">
        <v>49</v>
      </c>
      <c r="I193" s="314" t="s">
        <v>245</v>
      </c>
      <c r="J193" s="229" t="s">
        <v>168</v>
      </c>
      <c r="K193" s="229" t="s">
        <v>359</v>
      </c>
      <c r="L193" s="229" t="s">
        <v>188</v>
      </c>
      <c r="M193" s="229"/>
      <c r="N193" s="229"/>
      <c r="O193" s="229"/>
    </row>
    <row r="194" spans="1:15" ht="15" customHeight="1">
      <c r="A194" s="317">
        <v>44587</v>
      </c>
      <c r="B194" s="229" t="s">
        <v>335</v>
      </c>
      <c r="C194" s="229" t="s">
        <v>159</v>
      </c>
      <c r="D194" s="229" t="s">
        <v>4</v>
      </c>
      <c r="E194" s="229"/>
      <c r="F194" s="349">
        <v>15000</v>
      </c>
      <c r="G194" s="247">
        <f t="shared" si="2"/>
        <v>19463253</v>
      </c>
      <c r="H194" s="229" t="s">
        <v>49</v>
      </c>
      <c r="I194" s="314" t="s">
        <v>217</v>
      </c>
      <c r="J194" s="229" t="s">
        <v>103</v>
      </c>
      <c r="K194" s="229" t="s">
        <v>358</v>
      </c>
      <c r="L194" s="229" t="s">
        <v>188</v>
      </c>
      <c r="M194" s="178" t="s">
        <v>485</v>
      </c>
      <c r="N194" s="229" t="s">
        <v>378</v>
      </c>
      <c r="O194" s="229"/>
    </row>
    <row r="195" spans="1:15" ht="15" customHeight="1">
      <c r="A195" s="317">
        <v>44587</v>
      </c>
      <c r="B195" s="229" t="s">
        <v>336</v>
      </c>
      <c r="C195" s="229" t="s">
        <v>34</v>
      </c>
      <c r="D195" s="229" t="s">
        <v>4</v>
      </c>
      <c r="E195" s="229"/>
      <c r="F195" s="349">
        <v>20000</v>
      </c>
      <c r="G195" s="247">
        <f t="shared" si="2"/>
        <v>19443253</v>
      </c>
      <c r="H195" s="229" t="s">
        <v>49</v>
      </c>
      <c r="I195" s="314" t="s">
        <v>217</v>
      </c>
      <c r="J195" s="229" t="s">
        <v>103</v>
      </c>
      <c r="K195" s="229" t="s">
        <v>358</v>
      </c>
      <c r="L195" s="229" t="s">
        <v>188</v>
      </c>
      <c r="M195" s="178" t="s">
        <v>486</v>
      </c>
      <c r="N195" s="233" t="s">
        <v>374</v>
      </c>
      <c r="O195" s="229"/>
    </row>
    <row r="196" spans="1:15" ht="15" customHeight="1">
      <c r="A196" s="317">
        <v>44587</v>
      </c>
      <c r="B196" s="229" t="s">
        <v>339</v>
      </c>
      <c r="C196" s="229" t="s">
        <v>76</v>
      </c>
      <c r="D196" s="321"/>
      <c r="E196" s="247">
        <v>103000</v>
      </c>
      <c r="F196" s="247"/>
      <c r="G196" s="247">
        <f t="shared" si="2"/>
        <v>19546253</v>
      </c>
      <c r="H196" s="229" t="s">
        <v>29</v>
      </c>
      <c r="I196" s="314" t="s">
        <v>245</v>
      </c>
      <c r="J196" s="229"/>
      <c r="K196" s="229"/>
      <c r="L196" s="229" t="s">
        <v>188</v>
      </c>
      <c r="M196" s="229"/>
      <c r="N196" s="229"/>
      <c r="O196" s="229"/>
    </row>
    <row r="197" spans="1:15" ht="15" customHeight="1">
      <c r="A197" s="319">
        <v>44588</v>
      </c>
      <c r="B197" s="321" t="s">
        <v>274</v>
      </c>
      <c r="C197" s="229" t="s">
        <v>34</v>
      </c>
      <c r="D197" s="229" t="s">
        <v>2</v>
      </c>
      <c r="E197" s="251"/>
      <c r="F197" s="347">
        <v>4000</v>
      </c>
      <c r="G197" s="247">
        <f t="shared" si="2"/>
        <v>19542253</v>
      </c>
      <c r="H197" s="321" t="s">
        <v>114</v>
      </c>
      <c r="I197" s="314" t="s">
        <v>245</v>
      </c>
      <c r="J197" s="229" t="s">
        <v>103</v>
      </c>
      <c r="K197" s="229" t="s">
        <v>358</v>
      </c>
      <c r="L197" s="229" t="s">
        <v>188</v>
      </c>
      <c r="M197" s="178" t="s">
        <v>487</v>
      </c>
      <c r="N197" s="233" t="s">
        <v>374</v>
      </c>
      <c r="O197" s="238"/>
    </row>
    <row r="198" spans="1:15" ht="15.75" customHeight="1">
      <c r="A198" s="317">
        <v>44588</v>
      </c>
      <c r="B198" s="229" t="s">
        <v>292</v>
      </c>
      <c r="C198" s="229" t="s">
        <v>34</v>
      </c>
      <c r="D198" s="229" t="s">
        <v>166</v>
      </c>
      <c r="E198" s="229"/>
      <c r="F198" s="342">
        <v>10000</v>
      </c>
      <c r="G198" s="247">
        <f t="shared" si="2"/>
        <v>19532253</v>
      </c>
      <c r="H198" s="229" t="s">
        <v>155</v>
      </c>
      <c r="I198" s="314" t="s">
        <v>217</v>
      </c>
      <c r="J198" s="229" t="s">
        <v>103</v>
      </c>
      <c r="K198" s="229" t="s">
        <v>358</v>
      </c>
      <c r="L198" s="229" t="s">
        <v>188</v>
      </c>
      <c r="M198" s="178" t="s">
        <v>488</v>
      </c>
      <c r="N198" s="233" t="s">
        <v>374</v>
      </c>
      <c r="O198" s="229"/>
    </row>
    <row r="199" spans="1:15" ht="15.75" customHeight="1">
      <c r="A199" s="317">
        <v>44588</v>
      </c>
      <c r="B199" s="229" t="s">
        <v>297</v>
      </c>
      <c r="C199" s="229" t="s">
        <v>159</v>
      </c>
      <c r="D199" s="229" t="s">
        <v>166</v>
      </c>
      <c r="E199" s="229"/>
      <c r="F199" s="342">
        <v>20000</v>
      </c>
      <c r="G199" s="247">
        <f t="shared" si="2"/>
        <v>19512253</v>
      </c>
      <c r="H199" s="229" t="s">
        <v>155</v>
      </c>
      <c r="I199" s="314" t="s">
        <v>245</v>
      </c>
      <c r="J199" s="229" t="s">
        <v>103</v>
      </c>
      <c r="K199" s="229" t="s">
        <v>358</v>
      </c>
      <c r="L199" s="229" t="s">
        <v>188</v>
      </c>
      <c r="M199" s="178" t="s">
        <v>489</v>
      </c>
      <c r="N199" s="229" t="s">
        <v>378</v>
      </c>
      <c r="O199" s="229"/>
    </row>
    <row r="200" spans="1:15" ht="15" customHeight="1">
      <c r="A200" s="335">
        <v>44588</v>
      </c>
      <c r="B200" s="336" t="s">
        <v>337</v>
      </c>
      <c r="C200" s="336" t="s">
        <v>159</v>
      </c>
      <c r="D200" s="337" t="s">
        <v>4</v>
      </c>
      <c r="E200" s="338"/>
      <c r="F200" s="350">
        <v>15000</v>
      </c>
      <c r="G200" s="247">
        <f t="shared" si="2"/>
        <v>19497253</v>
      </c>
      <c r="H200" s="339" t="s">
        <v>49</v>
      </c>
      <c r="I200" s="340" t="s">
        <v>217</v>
      </c>
      <c r="J200" s="337" t="s">
        <v>103</v>
      </c>
      <c r="K200" s="337" t="s">
        <v>358</v>
      </c>
      <c r="L200" s="337" t="s">
        <v>188</v>
      </c>
      <c r="M200" s="178" t="s">
        <v>490</v>
      </c>
      <c r="N200" s="337" t="s">
        <v>378</v>
      </c>
      <c r="O200" s="229"/>
    </row>
    <row r="201" spans="1:15" ht="15" customHeight="1">
      <c r="A201" s="317">
        <v>44588</v>
      </c>
      <c r="B201" s="229" t="s">
        <v>383</v>
      </c>
      <c r="C201" s="229" t="s">
        <v>34</v>
      </c>
      <c r="D201" s="229" t="s">
        <v>4</v>
      </c>
      <c r="E201" s="247"/>
      <c r="F201" s="349">
        <v>7000</v>
      </c>
      <c r="G201" s="247">
        <f t="shared" si="2"/>
        <v>19490253</v>
      </c>
      <c r="H201" s="229" t="s">
        <v>49</v>
      </c>
      <c r="I201" s="314" t="s">
        <v>217</v>
      </c>
      <c r="J201" s="229" t="s">
        <v>103</v>
      </c>
      <c r="K201" s="229" t="s">
        <v>358</v>
      </c>
      <c r="L201" s="229" t="s">
        <v>188</v>
      </c>
      <c r="M201" s="178" t="s">
        <v>491</v>
      </c>
      <c r="N201" s="233" t="s">
        <v>374</v>
      </c>
      <c r="O201" s="229"/>
    </row>
    <row r="202" spans="1:15" ht="15" customHeight="1">
      <c r="A202" s="320">
        <v>44588</v>
      </c>
      <c r="B202" s="321" t="s">
        <v>338</v>
      </c>
      <c r="C202" s="229" t="s">
        <v>34</v>
      </c>
      <c r="D202" s="229" t="s">
        <v>4</v>
      </c>
      <c r="E202" s="251"/>
      <c r="F202" s="350">
        <v>51000</v>
      </c>
      <c r="G202" s="247">
        <f t="shared" si="2"/>
        <v>19439253</v>
      </c>
      <c r="H202" s="253" t="s">
        <v>49</v>
      </c>
      <c r="I202" s="314" t="s">
        <v>245</v>
      </c>
      <c r="J202" s="229" t="s">
        <v>103</v>
      </c>
      <c r="K202" s="229" t="s">
        <v>358</v>
      </c>
      <c r="L202" s="229" t="s">
        <v>188</v>
      </c>
      <c r="M202" s="178" t="s">
        <v>492</v>
      </c>
      <c r="N202" s="233" t="s">
        <v>374</v>
      </c>
      <c r="O202" s="229"/>
    </row>
    <row r="203" spans="1:15" ht="15" customHeight="1">
      <c r="A203" s="317">
        <v>44588</v>
      </c>
      <c r="B203" s="229" t="s">
        <v>402</v>
      </c>
      <c r="C203" s="229" t="s">
        <v>34</v>
      </c>
      <c r="D203" s="229" t="s">
        <v>4</v>
      </c>
      <c r="E203" s="247"/>
      <c r="F203" s="342">
        <v>5000</v>
      </c>
      <c r="G203" s="247">
        <f t="shared" si="2"/>
        <v>19434253</v>
      </c>
      <c r="H203" s="229" t="s">
        <v>29</v>
      </c>
      <c r="I203" s="314" t="s">
        <v>217</v>
      </c>
      <c r="J203" s="229" t="s">
        <v>103</v>
      </c>
      <c r="K203" s="229" t="s">
        <v>358</v>
      </c>
      <c r="L203" s="229" t="s">
        <v>188</v>
      </c>
      <c r="M203" s="178" t="s">
        <v>493</v>
      </c>
      <c r="N203" s="233" t="s">
        <v>374</v>
      </c>
      <c r="O203" s="229"/>
    </row>
    <row r="204" spans="1:15" ht="15" customHeight="1">
      <c r="A204" s="317">
        <v>44588</v>
      </c>
      <c r="B204" s="229" t="s">
        <v>347</v>
      </c>
      <c r="C204" s="229" t="s">
        <v>159</v>
      </c>
      <c r="D204" s="229" t="s">
        <v>4</v>
      </c>
      <c r="E204" s="247"/>
      <c r="F204" s="342">
        <v>45000</v>
      </c>
      <c r="G204" s="247">
        <f t="shared" si="2"/>
        <v>19389253</v>
      </c>
      <c r="H204" s="229" t="s">
        <v>29</v>
      </c>
      <c r="I204" s="314" t="s">
        <v>217</v>
      </c>
      <c r="J204" s="229" t="s">
        <v>103</v>
      </c>
      <c r="K204" s="229" t="s">
        <v>358</v>
      </c>
      <c r="L204" s="229" t="s">
        <v>188</v>
      </c>
      <c r="M204" s="178" t="s">
        <v>494</v>
      </c>
      <c r="N204" s="229" t="s">
        <v>378</v>
      </c>
      <c r="O204" s="229"/>
    </row>
    <row r="205" spans="1:15" ht="15" customHeight="1">
      <c r="A205" s="320">
        <v>44589</v>
      </c>
      <c r="B205" s="321" t="s">
        <v>242</v>
      </c>
      <c r="C205" s="238" t="s">
        <v>76</v>
      </c>
      <c r="D205" s="229"/>
      <c r="E205" s="251">
        <v>20000</v>
      </c>
      <c r="F205" s="252"/>
      <c r="G205" s="247">
        <f t="shared" ref="G205:G234" si="3">+G204+E205-F205</f>
        <v>19409253</v>
      </c>
      <c r="H205" s="321" t="s">
        <v>25</v>
      </c>
      <c r="I205" s="314" t="s">
        <v>245</v>
      </c>
      <c r="J205" s="238"/>
      <c r="K205" s="321"/>
      <c r="L205" s="229" t="s">
        <v>188</v>
      </c>
      <c r="M205" s="238"/>
      <c r="N205" s="238"/>
      <c r="O205" s="238"/>
    </row>
    <row r="206" spans="1:15" ht="15" customHeight="1">
      <c r="A206" s="317">
        <v>44589</v>
      </c>
      <c r="B206" s="229" t="s">
        <v>284</v>
      </c>
      <c r="C206" s="229" t="s">
        <v>76</v>
      </c>
      <c r="D206" s="229"/>
      <c r="E206" s="247"/>
      <c r="F206" s="247">
        <v>20000</v>
      </c>
      <c r="G206" s="247">
        <f t="shared" si="3"/>
        <v>19389253</v>
      </c>
      <c r="H206" s="229" t="s">
        <v>48</v>
      </c>
      <c r="I206" s="314" t="s">
        <v>245</v>
      </c>
      <c r="J206" s="229"/>
      <c r="K206" s="229"/>
      <c r="L206" s="229" t="s">
        <v>188</v>
      </c>
      <c r="M206" s="229"/>
      <c r="N206" s="229"/>
      <c r="O206" s="229"/>
    </row>
    <row r="207" spans="1:15" ht="15" customHeight="1">
      <c r="A207" s="320">
        <v>44589</v>
      </c>
      <c r="B207" s="321" t="s">
        <v>298</v>
      </c>
      <c r="C207" s="321" t="s">
        <v>146</v>
      </c>
      <c r="D207" s="229" t="s">
        <v>166</v>
      </c>
      <c r="E207" s="251"/>
      <c r="F207" s="251">
        <v>29000</v>
      </c>
      <c r="G207" s="247">
        <f t="shared" si="3"/>
        <v>19360253</v>
      </c>
      <c r="H207" s="253" t="s">
        <v>155</v>
      </c>
      <c r="I207" s="314" t="s">
        <v>245</v>
      </c>
      <c r="J207" s="229" t="s">
        <v>168</v>
      </c>
      <c r="K207" s="229" t="s">
        <v>359</v>
      </c>
      <c r="L207" s="229" t="s">
        <v>188</v>
      </c>
      <c r="M207" s="229"/>
      <c r="N207" s="229"/>
      <c r="O207" s="229"/>
    </row>
    <row r="208" spans="1:15" ht="15" customHeight="1">
      <c r="A208" s="317">
        <v>44589</v>
      </c>
      <c r="B208" s="229" t="s">
        <v>299</v>
      </c>
      <c r="C208" s="229" t="s">
        <v>159</v>
      </c>
      <c r="D208" s="321" t="s">
        <v>166</v>
      </c>
      <c r="E208" s="247"/>
      <c r="F208" s="342">
        <v>30000</v>
      </c>
      <c r="G208" s="247">
        <f t="shared" si="3"/>
        <v>19330253</v>
      </c>
      <c r="H208" s="229" t="s">
        <v>155</v>
      </c>
      <c r="I208" s="314" t="s">
        <v>217</v>
      </c>
      <c r="J208" s="229" t="s">
        <v>103</v>
      </c>
      <c r="K208" s="229" t="s">
        <v>358</v>
      </c>
      <c r="L208" s="229" t="s">
        <v>188</v>
      </c>
      <c r="M208" s="178" t="s">
        <v>495</v>
      </c>
      <c r="N208" s="229" t="s">
        <v>378</v>
      </c>
      <c r="O208" s="229"/>
    </row>
    <row r="209" spans="1:15" ht="15" customHeight="1">
      <c r="A209" s="319">
        <v>44589</v>
      </c>
      <c r="B209" s="321" t="s">
        <v>319</v>
      </c>
      <c r="C209" s="229" t="s">
        <v>306</v>
      </c>
      <c r="D209" s="229" t="s">
        <v>4</v>
      </c>
      <c r="E209" s="252"/>
      <c r="F209" s="251">
        <v>30000</v>
      </c>
      <c r="G209" s="247">
        <f t="shared" si="3"/>
        <v>19300253</v>
      </c>
      <c r="H209" s="321" t="s">
        <v>175</v>
      </c>
      <c r="I209" s="314" t="s">
        <v>217</v>
      </c>
      <c r="J209" s="229" t="s">
        <v>168</v>
      </c>
      <c r="K209" s="229" t="s">
        <v>359</v>
      </c>
      <c r="L209" s="229" t="s">
        <v>188</v>
      </c>
      <c r="M209" s="229"/>
      <c r="N209" s="229"/>
      <c r="O209" s="229"/>
    </row>
    <row r="210" spans="1:15" ht="15" customHeight="1">
      <c r="A210" s="320">
        <v>44589</v>
      </c>
      <c r="B210" s="321" t="s">
        <v>320</v>
      </c>
      <c r="C210" s="321" t="s">
        <v>306</v>
      </c>
      <c r="D210" s="229" t="s">
        <v>4</v>
      </c>
      <c r="E210" s="251"/>
      <c r="F210" s="251">
        <v>40000</v>
      </c>
      <c r="G210" s="247">
        <f t="shared" si="3"/>
        <v>19260253</v>
      </c>
      <c r="H210" s="253" t="s">
        <v>175</v>
      </c>
      <c r="I210" s="314" t="s">
        <v>245</v>
      </c>
      <c r="J210" s="229" t="s">
        <v>168</v>
      </c>
      <c r="K210" s="229" t="s">
        <v>359</v>
      </c>
      <c r="L210" s="229" t="s">
        <v>188</v>
      </c>
      <c r="M210" s="229"/>
      <c r="N210" s="229"/>
      <c r="O210" s="229"/>
    </row>
    <row r="211" spans="1:15" ht="15" customHeight="1">
      <c r="A211" s="320">
        <v>44589</v>
      </c>
      <c r="B211" s="321" t="s">
        <v>321</v>
      </c>
      <c r="C211" s="229" t="s">
        <v>34</v>
      </c>
      <c r="D211" s="229" t="s">
        <v>4</v>
      </c>
      <c r="E211" s="251"/>
      <c r="F211" s="251">
        <v>10000</v>
      </c>
      <c r="G211" s="247">
        <f t="shared" si="3"/>
        <v>19250253</v>
      </c>
      <c r="H211" s="253" t="s">
        <v>175</v>
      </c>
      <c r="I211" s="314" t="s">
        <v>217</v>
      </c>
      <c r="J211" s="229" t="s">
        <v>168</v>
      </c>
      <c r="K211" s="229" t="s">
        <v>359</v>
      </c>
      <c r="L211" s="229" t="s">
        <v>188</v>
      </c>
      <c r="M211" s="233"/>
      <c r="N211" s="233"/>
      <c r="O211" s="229"/>
    </row>
    <row r="212" spans="1:15" ht="15" customHeight="1">
      <c r="A212" s="317">
        <v>44589</v>
      </c>
      <c r="B212" s="229" t="s">
        <v>381</v>
      </c>
      <c r="C212" s="229" t="s">
        <v>323</v>
      </c>
      <c r="D212" s="229" t="s">
        <v>4</v>
      </c>
      <c r="E212" s="247"/>
      <c r="F212" s="247">
        <v>86500</v>
      </c>
      <c r="G212" s="247">
        <f t="shared" si="3"/>
        <v>19163753</v>
      </c>
      <c r="H212" s="229" t="s">
        <v>175</v>
      </c>
      <c r="I212" s="314" t="s">
        <v>245</v>
      </c>
      <c r="J212" s="229" t="s">
        <v>168</v>
      </c>
      <c r="K212" s="229" t="s">
        <v>359</v>
      </c>
      <c r="L212" s="229" t="s">
        <v>188</v>
      </c>
      <c r="M212" s="229"/>
      <c r="N212" s="229"/>
      <c r="O212" s="229"/>
    </row>
    <row r="213" spans="1:15" ht="15" customHeight="1">
      <c r="A213" s="317">
        <v>44590</v>
      </c>
      <c r="B213" s="229" t="s">
        <v>300</v>
      </c>
      <c r="C213" s="229" t="s">
        <v>34</v>
      </c>
      <c r="D213" s="229" t="s">
        <v>166</v>
      </c>
      <c r="E213" s="247"/>
      <c r="F213" s="342">
        <v>10000</v>
      </c>
      <c r="G213" s="247">
        <f t="shared" si="3"/>
        <v>19153753</v>
      </c>
      <c r="H213" s="229" t="s">
        <v>155</v>
      </c>
      <c r="I213" s="314" t="s">
        <v>217</v>
      </c>
      <c r="J213" s="229" t="s">
        <v>103</v>
      </c>
      <c r="K213" s="229" t="s">
        <v>358</v>
      </c>
      <c r="L213" s="229" t="s">
        <v>188</v>
      </c>
      <c r="M213" s="178" t="s">
        <v>496</v>
      </c>
      <c r="N213" s="233" t="s">
        <v>374</v>
      </c>
      <c r="O213" s="229"/>
    </row>
    <row r="214" spans="1:15" ht="15" customHeight="1">
      <c r="A214" s="317">
        <v>44590</v>
      </c>
      <c r="B214" s="229" t="s">
        <v>324</v>
      </c>
      <c r="C214" s="229" t="s">
        <v>306</v>
      </c>
      <c r="D214" s="229" t="s">
        <v>4</v>
      </c>
      <c r="E214" s="247"/>
      <c r="F214" s="247">
        <v>15000</v>
      </c>
      <c r="G214" s="247">
        <f t="shared" si="3"/>
        <v>19138753</v>
      </c>
      <c r="H214" s="229" t="s">
        <v>175</v>
      </c>
      <c r="I214" s="314" t="s">
        <v>217</v>
      </c>
      <c r="J214" s="229" t="s">
        <v>168</v>
      </c>
      <c r="K214" s="229" t="s">
        <v>359</v>
      </c>
      <c r="L214" s="229" t="s">
        <v>188</v>
      </c>
      <c r="M214" s="229"/>
      <c r="N214" s="229"/>
      <c r="O214" s="229"/>
    </row>
    <row r="215" spans="1:15" ht="15" customHeight="1">
      <c r="A215" s="319">
        <v>44590</v>
      </c>
      <c r="B215" s="321" t="s">
        <v>325</v>
      </c>
      <c r="C215" s="229" t="s">
        <v>34</v>
      </c>
      <c r="D215" s="229" t="s">
        <v>4</v>
      </c>
      <c r="E215" s="252"/>
      <c r="F215" s="251">
        <v>4000</v>
      </c>
      <c r="G215" s="247">
        <f t="shared" si="3"/>
        <v>19134753</v>
      </c>
      <c r="H215" s="321" t="s">
        <v>175</v>
      </c>
      <c r="I215" s="314" t="s">
        <v>217</v>
      </c>
      <c r="J215" s="229" t="s">
        <v>168</v>
      </c>
      <c r="K215" s="229" t="s">
        <v>359</v>
      </c>
      <c r="L215" s="229" t="s">
        <v>188</v>
      </c>
      <c r="M215" s="233"/>
      <c r="N215" s="233"/>
      <c r="O215" s="238"/>
    </row>
    <row r="216" spans="1:15" ht="15" customHeight="1">
      <c r="A216" s="317">
        <v>44590</v>
      </c>
      <c r="B216" s="229" t="s">
        <v>314</v>
      </c>
      <c r="C216" s="229" t="s">
        <v>34</v>
      </c>
      <c r="D216" s="229" t="s">
        <v>4</v>
      </c>
      <c r="E216" s="229"/>
      <c r="F216" s="229">
        <v>10000</v>
      </c>
      <c r="G216" s="247">
        <f t="shared" si="3"/>
        <v>19124753</v>
      </c>
      <c r="H216" s="229" t="s">
        <v>175</v>
      </c>
      <c r="I216" s="314" t="s">
        <v>217</v>
      </c>
      <c r="J216" s="229" t="s">
        <v>168</v>
      </c>
      <c r="K216" s="229" t="s">
        <v>359</v>
      </c>
      <c r="L216" s="229" t="s">
        <v>188</v>
      </c>
      <c r="M216" s="233"/>
      <c r="N216" s="233"/>
      <c r="O216" s="233"/>
    </row>
    <row r="217" spans="1:15" ht="15" customHeight="1">
      <c r="A217" s="317">
        <v>44590</v>
      </c>
      <c r="B217" s="229" t="s">
        <v>390</v>
      </c>
      <c r="C217" s="229" t="s">
        <v>159</v>
      </c>
      <c r="D217" s="229" t="s">
        <v>4</v>
      </c>
      <c r="E217" s="247"/>
      <c r="F217" s="342">
        <v>30000</v>
      </c>
      <c r="G217" s="247">
        <f t="shared" si="3"/>
        <v>19094753</v>
      </c>
      <c r="H217" s="229" t="s">
        <v>29</v>
      </c>
      <c r="I217" s="314" t="s">
        <v>217</v>
      </c>
      <c r="J217" s="229" t="s">
        <v>103</v>
      </c>
      <c r="K217" s="229" t="s">
        <v>358</v>
      </c>
      <c r="L217" s="229" t="s">
        <v>188</v>
      </c>
      <c r="M217" s="178" t="s">
        <v>497</v>
      </c>
      <c r="N217" s="229" t="s">
        <v>378</v>
      </c>
      <c r="O217" s="229"/>
    </row>
    <row r="218" spans="1:15" ht="15" customHeight="1">
      <c r="A218" s="317">
        <v>44590</v>
      </c>
      <c r="B218" s="229" t="s">
        <v>403</v>
      </c>
      <c r="C218" s="229" t="s">
        <v>34</v>
      </c>
      <c r="D218" s="229" t="s">
        <v>4</v>
      </c>
      <c r="E218" s="247"/>
      <c r="F218" s="342">
        <v>5000</v>
      </c>
      <c r="G218" s="247">
        <f t="shared" si="3"/>
        <v>19089753</v>
      </c>
      <c r="H218" s="229" t="s">
        <v>29</v>
      </c>
      <c r="I218" s="314" t="s">
        <v>217</v>
      </c>
      <c r="J218" s="229" t="s">
        <v>103</v>
      </c>
      <c r="K218" s="229" t="s">
        <v>358</v>
      </c>
      <c r="L218" s="229" t="s">
        <v>188</v>
      </c>
      <c r="M218" s="178" t="s">
        <v>498</v>
      </c>
      <c r="N218" s="233" t="s">
        <v>374</v>
      </c>
      <c r="O218" s="229"/>
    </row>
    <row r="219" spans="1:15" ht="15" customHeight="1">
      <c r="A219" s="317">
        <v>44590</v>
      </c>
      <c r="B219" s="229" t="s">
        <v>348</v>
      </c>
      <c r="C219" s="229" t="s">
        <v>323</v>
      </c>
      <c r="D219" s="229" t="s">
        <v>4</v>
      </c>
      <c r="E219" s="229"/>
      <c r="F219" s="229">
        <v>36000</v>
      </c>
      <c r="G219" s="247">
        <f t="shared" si="3"/>
        <v>19053753</v>
      </c>
      <c r="H219" s="229" t="s">
        <v>29</v>
      </c>
      <c r="I219" s="314" t="s">
        <v>245</v>
      </c>
      <c r="J219" s="229" t="s">
        <v>168</v>
      </c>
      <c r="K219" s="229" t="s">
        <v>359</v>
      </c>
      <c r="L219" s="229" t="s">
        <v>188</v>
      </c>
      <c r="M219" s="229"/>
      <c r="N219" s="229"/>
      <c r="O219" s="229"/>
    </row>
    <row r="220" spans="1:15" ht="15" customHeight="1">
      <c r="A220" s="317">
        <v>44591</v>
      </c>
      <c r="B220" s="229" t="s">
        <v>349</v>
      </c>
      <c r="C220" s="229" t="s">
        <v>34</v>
      </c>
      <c r="D220" s="229" t="s">
        <v>4</v>
      </c>
      <c r="E220" s="229"/>
      <c r="F220" s="342">
        <v>49500</v>
      </c>
      <c r="G220" s="247">
        <f t="shared" si="3"/>
        <v>19004253</v>
      </c>
      <c r="H220" s="229" t="s">
        <v>29</v>
      </c>
      <c r="I220" s="314" t="s">
        <v>245</v>
      </c>
      <c r="J220" s="229" t="s">
        <v>103</v>
      </c>
      <c r="K220" s="229" t="s">
        <v>358</v>
      </c>
      <c r="L220" s="229" t="s">
        <v>188</v>
      </c>
      <c r="M220" s="178" t="s">
        <v>499</v>
      </c>
      <c r="N220" s="233" t="s">
        <v>374</v>
      </c>
      <c r="O220" s="229"/>
    </row>
    <row r="221" spans="1:15" ht="16.5" customHeight="1">
      <c r="A221" s="317">
        <v>44591</v>
      </c>
      <c r="B221" s="229" t="s">
        <v>404</v>
      </c>
      <c r="C221" s="229" t="s">
        <v>34</v>
      </c>
      <c r="D221" s="229" t="s">
        <v>4</v>
      </c>
      <c r="E221" s="229"/>
      <c r="F221" s="342">
        <v>7000</v>
      </c>
      <c r="G221" s="247">
        <f t="shared" si="3"/>
        <v>18997253</v>
      </c>
      <c r="H221" s="229" t="s">
        <v>29</v>
      </c>
      <c r="I221" s="314" t="s">
        <v>217</v>
      </c>
      <c r="J221" s="229" t="s">
        <v>103</v>
      </c>
      <c r="K221" s="229" t="s">
        <v>358</v>
      </c>
      <c r="L221" s="229" t="s">
        <v>188</v>
      </c>
      <c r="M221" s="178" t="s">
        <v>500</v>
      </c>
      <c r="N221" s="233" t="s">
        <v>374</v>
      </c>
      <c r="O221" s="233"/>
    </row>
    <row r="222" spans="1:15" ht="15" customHeight="1">
      <c r="A222" s="317">
        <v>44591</v>
      </c>
      <c r="B222" s="229" t="s">
        <v>350</v>
      </c>
      <c r="C222" s="229" t="s">
        <v>159</v>
      </c>
      <c r="D222" s="229" t="s">
        <v>4</v>
      </c>
      <c r="E222" s="229"/>
      <c r="F222" s="342">
        <v>15000</v>
      </c>
      <c r="G222" s="247">
        <f t="shared" si="3"/>
        <v>18982253</v>
      </c>
      <c r="H222" s="229" t="s">
        <v>29</v>
      </c>
      <c r="I222" s="314" t="s">
        <v>217</v>
      </c>
      <c r="J222" s="229" t="s">
        <v>103</v>
      </c>
      <c r="K222" s="229" t="s">
        <v>358</v>
      </c>
      <c r="L222" s="229" t="s">
        <v>188</v>
      </c>
      <c r="M222" s="178" t="s">
        <v>501</v>
      </c>
      <c r="N222" s="229" t="s">
        <v>378</v>
      </c>
      <c r="O222" s="233"/>
    </row>
    <row r="223" spans="1:15" ht="15" customHeight="1">
      <c r="A223" s="320">
        <v>44592</v>
      </c>
      <c r="B223" s="321" t="s">
        <v>243</v>
      </c>
      <c r="C223" s="238" t="s">
        <v>35</v>
      </c>
      <c r="D223" s="229" t="s">
        <v>216</v>
      </c>
      <c r="E223" s="251"/>
      <c r="F223" s="342">
        <v>120000</v>
      </c>
      <c r="G223" s="247">
        <f t="shared" si="3"/>
        <v>18862253</v>
      </c>
      <c r="H223" s="321" t="s">
        <v>25</v>
      </c>
      <c r="I223" s="314" t="s">
        <v>217</v>
      </c>
      <c r="J223" s="238" t="s">
        <v>103</v>
      </c>
      <c r="K223" s="321" t="s">
        <v>358</v>
      </c>
      <c r="L223" s="229" t="s">
        <v>188</v>
      </c>
      <c r="M223" s="178" t="s">
        <v>502</v>
      </c>
      <c r="N223" s="238" t="s">
        <v>365</v>
      </c>
      <c r="O223" s="238"/>
    </row>
    <row r="224" spans="1:15" ht="15" customHeight="1">
      <c r="A224" s="318">
        <v>44592</v>
      </c>
      <c r="B224" s="233" t="s">
        <v>244</v>
      </c>
      <c r="C224" s="229" t="s">
        <v>185</v>
      </c>
      <c r="D224" s="233" t="s">
        <v>167</v>
      </c>
      <c r="E224" s="249"/>
      <c r="F224" s="346">
        <v>38170</v>
      </c>
      <c r="G224" s="247">
        <f t="shared" si="3"/>
        <v>18824083</v>
      </c>
      <c r="H224" s="229" t="s">
        <v>25</v>
      </c>
      <c r="I224" s="314" t="s">
        <v>245</v>
      </c>
      <c r="J224" s="233" t="s">
        <v>103</v>
      </c>
      <c r="K224" s="229" t="s">
        <v>358</v>
      </c>
      <c r="L224" s="229" t="s">
        <v>188</v>
      </c>
      <c r="M224" s="178" t="s">
        <v>503</v>
      </c>
      <c r="N224" s="229" t="s">
        <v>368</v>
      </c>
      <c r="O224" s="233"/>
    </row>
    <row r="225" spans="1:15" ht="15" customHeight="1">
      <c r="A225" s="317">
        <v>44592</v>
      </c>
      <c r="B225" s="228" t="s">
        <v>355</v>
      </c>
      <c r="C225" s="229" t="s">
        <v>145</v>
      </c>
      <c r="D225" s="229" t="s">
        <v>166</v>
      </c>
      <c r="E225" s="229"/>
      <c r="F225" s="342">
        <v>150000</v>
      </c>
      <c r="G225" s="247">
        <f t="shared" si="3"/>
        <v>18674083</v>
      </c>
      <c r="H225" s="229" t="s">
        <v>160</v>
      </c>
      <c r="I225" s="314">
        <v>3643606</v>
      </c>
      <c r="J225" s="229" t="s">
        <v>103</v>
      </c>
      <c r="K225" s="229" t="s">
        <v>358</v>
      </c>
      <c r="L225" s="229" t="s">
        <v>188</v>
      </c>
      <c r="M225" s="178" t="s">
        <v>504</v>
      </c>
      <c r="N225" s="233" t="s">
        <v>364</v>
      </c>
      <c r="O225" s="233"/>
    </row>
    <row r="226" spans="1:15" ht="15" customHeight="1">
      <c r="A226" s="317">
        <v>44592</v>
      </c>
      <c r="B226" s="228" t="s">
        <v>262</v>
      </c>
      <c r="C226" s="229" t="s">
        <v>185</v>
      </c>
      <c r="D226" s="229" t="s">
        <v>4</v>
      </c>
      <c r="E226" s="229"/>
      <c r="F226" s="342">
        <v>415000</v>
      </c>
      <c r="G226" s="247">
        <f t="shared" si="3"/>
        <v>18259083</v>
      </c>
      <c r="H226" s="229" t="s">
        <v>160</v>
      </c>
      <c r="I226" s="314">
        <v>3643608</v>
      </c>
      <c r="J226" s="229" t="s">
        <v>103</v>
      </c>
      <c r="K226" s="229" t="s">
        <v>358</v>
      </c>
      <c r="L226" s="229" t="s">
        <v>188</v>
      </c>
      <c r="M226" s="178" t="s">
        <v>505</v>
      </c>
      <c r="N226" s="233" t="s">
        <v>367</v>
      </c>
      <c r="O226" s="233"/>
    </row>
    <row r="227" spans="1:15" ht="15" customHeight="1">
      <c r="A227" s="317">
        <v>44592</v>
      </c>
      <c r="B227" s="228" t="s">
        <v>263</v>
      </c>
      <c r="C227" s="229" t="s">
        <v>185</v>
      </c>
      <c r="D227" s="229" t="s">
        <v>4</v>
      </c>
      <c r="E227" s="229"/>
      <c r="F227" s="342">
        <v>325000</v>
      </c>
      <c r="G227" s="247">
        <f t="shared" si="3"/>
        <v>17934083</v>
      </c>
      <c r="H227" s="229" t="s">
        <v>160</v>
      </c>
      <c r="I227" s="314">
        <v>3643609</v>
      </c>
      <c r="J227" s="229" t="s">
        <v>103</v>
      </c>
      <c r="K227" s="229" t="s">
        <v>358</v>
      </c>
      <c r="L227" s="229" t="s">
        <v>188</v>
      </c>
      <c r="M227" s="178" t="s">
        <v>506</v>
      </c>
      <c r="N227" s="233" t="s">
        <v>367</v>
      </c>
      <c r="O227" s="233"/>
    </row>
    <row r="228" spans="1:15" ht="15" customHeight="1">
      <c r="A228" s="320">
        <v>44592</v>
      </c>
      <c r="B228" s="229" t="s">
        <v>354</v>
      </c>
      <c r="C228" s="229" t="s">
        <v>145</v>
      </c>
      <c r="D228" s="229" t="s">
        <v>166</v>
      </c>
      <c r="E228" s="229"/>
      <c r="F228" s="342">
        <v>200000</v>
      </c>
      <c r="G228" s="247">
        <f t="shared" si="3"/>
        <v>17734083</v>
      </c>
      <c r="H228" s="229" t="s">
        <v>160</v>
      </c>
      <c r="I228" s="314">
        <v>3643610</v>
      </c>
      <c r="J228" s="229" t="s">
        <v>103</v>
      </c>
      <c r="K228" s="229" t="s">
        <v>358</v>
      </c>
      <c r="L228" s="229" t="s">
        <v>188</v>
      </c>
      <c r="M228" s="178" t="s">
        <v>507</v>
      </c>
      <c r="N228" s="229" t="s">
        <v>363</v>
      </c>
      <c r="O228" s="229"/>
    </row>
    <row r="229" spans="1:15" ht="15" customHeight="1">
      <c r="A229" s="317">
        <v>44592</v>
      </c>
      <c r="B229" s="229" t="s">
        <v>351</v>
      </c>
      <c r="C229" s="229" t="s">
        <v>76</v>
      </c>
      <c r="D229" s="229"/>
      <c r="E229" s="247"/>
      <c r="F229" s="247">
        <v>15000</v>
      </c>
      <c r="G229" s="247">
        <f t="shared" si="3"/>
        <v>17719083</v>
      </c>
      <c r="H229" s="229" t="s">
        <v>154</v>
      </c>
      <c r="I229" s="314" t="s">
        <v>245</v>
      </c>
      <c r="J229" s="229"/>
      <c r="K229" s="229"/>
      <c r="L229" s="229" t="s">
        <v>188</v>
      </c>
      <c r="M229" s="229"/>
      <c r="N229" s="229"/>
      <c r="O229" s="229"/>
    </row>
    <row r="230" spans="1:15" ht="15" customHeight="1">
      <c r="A230" s="319">
        <v>44592</v>
      </c>
      <c r="B230" s="229" t="s">
        <v>268</v>
      </c>
      <c r="C230" s="229" t="s">
        <v>34</v>
      </c>
      <c r="D230" s="321" t="s">
        <v>2</v>
      </c>
      <c r="E230" s="229"/>
      <c r="F230" s="342">
        <v>9400</v>
      </c>
      <c r="G230" s="247">
        <f t="shared" si="3"/>
        <v>17709683</v>
      </c>
      <c r="H230" s="229" t="s">
        <v>154</v>
      </c>
      <c r="I230" s="314" t="s">
        <v>245</v>
      </c>
      <c r="J230" s="229" t="s">
        <v>103</v>
      </c>
      <c r="K230" s="229" t="s">
        <v>358</v>
      </c>
      <c r="L230" s="229" t="s">
        <v>188</v>
      </c>
      <c r="M230" s="178" t="s">
        <v>508</v>
      </c>
      <c r="N230" s="233" t="s">
        <v>374</v>
      </c>
      <c r="O230" s="229"/>
    </row>
    <row r="231" spans="1:15" ht="15" customHeight="1">
      <c r="A231" s="317">
        <v>44592</v>
      </c>
      <c r="B231" s="229" t="s">
        <v>285</v>
      </c>
      <c r="C231" s="229" t="s">
        <v>34</v>
      </c>
      <c r="D231" s="229" t="s">
        <v>2</v>
      </c>
      <c r="E231" s="247"/>
      <c r="F231" s="342">
        <v>20900</v>
      </c>
      <c r="G231" s="247">
        <f t="shared" si="3"/>
        <v>17688783</v>
      </c>
      <c r="H231" s="229" t="s">
        <v>48</v>
      </c>
      <c r="I231" s="314" t="s">
        <v>245</v>
      </c>
      <c r="J231" s="229" t="s">
        <v>103</v>
      </c>
      <c r="K231" s="229" t="s">
        <v>358</v>
      </c>
      <c r="L231" s="229" t="s">
        <v>188</v>
      </c>
      <c r="M231" s="178" t="s">
        <v>509</v>
      </c>
      <c r="N231" s="233" t="s">
        <v>374</v>
      </c>
      <c r="O231" s="229"/>
    </row>
    <row r="232" spans="1:15" ht="15" customHeight="1">
      <c r="A232" s="320">
        <v>44592</v>
      </c>
      <c r="B232" s="321" t="s">
        <v>301</v>
      </c>
      <c r="C232" s="229" t="s">
        <v>34</v>
      </c>
      <c r="D232" s="229" t="s">
        <v>166</v>
      </c>
      <c r="E232" s="251"/>
      <c r="F232" s="347">
        <v>46000</v>
      </c>
      <c r="G232" s="247">
        <f t="shared" si="3"/>
        <v>17642783</v>
      </c>
      <c r="H232" s="253" t="s">
        <v>155</v>
      </c>
      <c r="I232" s="314" t="s">
        <v>245</v>
      </c>
      <c r="J232" s="229" t="s">
        <v>103</v>
      </c>
      <c r="K232" s="229" t="s">
        <v>358</v>
      </c>
      <c r="L232" s="229" t="s">
        <v>188</v>
      </c>
      <c r="M232" s="178" t="s">
        <v>510</v>
      </c>
      <c r="N232" s="233" t="s">
        <v>374</v>
      </c>
      <c r="O232" s="229"/>
    </row>
    <row r="233" spans="1:15" ht="15" customHeight="1">
      <c r="A233" s="317">
        <v>44592</v>
      </c>
      <c r="B233" s="229" t="s">
        <v>322</v>
      </c>
      <c r="C233" s="229" t="s">
        <v>306</v>
      </c>
      <c r="D233" s="229" t="s">
        <v>4</v>
      </c>
      <c r="E233" s="229"/>
      <c r="F233" s="229">
        <v>10000</v>
      </c>
      <c r="G233" s="247">
        <f t="shared" si="3"/>
        <v>17632783</v>
      </c>
      <c r="H233" s="229" t="s">
        <v>175</v>
      </c>
      <c r="I233" s="314" t="s">
        <v>245</v>
      </c>
      <c r="J233" s="229" t="s">
        <v>168</v>
      </c>
      <c r="K233" s="229" t="s">
        <v>359</v>
      </c>
      <c r="L233" s="229" t="s">
        <v>188</v>
      </c>
      <c r="M233" s="233"/>
      <c r="N233" s="233"/>
      <c r="O233" s="233"/>
    </row>
    <row r="234" spans="1:15" ht="15" customHeight="1">
      <c r="A234" s="318">
        <v>44592</v>
      </c>
      <c r="B234" s="233" t="s">
        <v>326</v>
      </c>
      <c r="C234" s="229" t="s">
        <v>34</v>
      </c>
      <c r="D234" s="229" t="s">
        <v>4</v>
      </c>
      <c r="E234" s="249"/>
      <c r="F234" s="249">
        <v>72500</v>
      </c>
      <c r="G234" s="247">
        <f t="shared" si="3"/>
        <v>17560283</v>
      </c>
      <c r="H234" s="233" t="s">
        <v>175</v>
      </c>
      <c r="I234" s="314" t="s">
        <v>245</v>
      </c>
      <c r="J234" s="229" t="s">
        <v>168</v>
      </c>
      <c r="K234" s="229" t="s">
        <v>359</v>
      </c>
      <c r="L234" s="229" t="s">
        <v>188</v>
      </c>
      <c r="M234" s="233"/>
      <c r="N234" s="233"/>
      <c r="O234" s="233"/>
    </row>
    <row r="235" spans="1:15" s="261" customFormat="1" ht="15" customHeight="1">
      <c r="A235" s="239"/>
      <c r="B235" s="178"/>
      <c r="C235" s="178"/>
      <c r="D235" s="228"/>
      <c r="E235" s="351"/>
      <c r="F235" s="351"/>
      <c r="G235" s="201"/>
      <c r="H235" s="178"/>
      <c r="I235" s="184"/>
      <c r="J235" s="178"/>
      <c r="K235" s="178"/>
      <c r="L235" s="178"/>
      <c r="M235" s="178"/>
      <c r="N235" s="177"/>
    </row>
    <row r="236" spans="1:15" s="261" customFormat="1" ht="15" customHeight="1">
      <c r="A236" s="239"/>
      <c r="B236" s="178"/>
      <c r="C236" s="178"/>
      <c r="D236" s="228"/>
      <c r="E236" s="178"/>
      <c r="F236" s="199"/>
      <c r="G236" s="201"/>
      <c r="H236" s="178"/>
      <c r="I236" s="184"/>
      <c r="J236" s="230"/>
      <c r="K236" s="230"/>
      <c r="L236" s="178"/>
      <c r="M236" s="178"/>
      <c r="N236" s="254"/>
      <c r="O236" s="280"/>
    </row>
    <row r="237" spans="1:15" ht="15" customHeight="1">
      <c r="F237" s="246"/>
      <c r="G237" s="201"/>
      <c r="O237" s="178"/>
    </row>
    <row r="238" spans="1:15" ht="15" customHeight="1">
      <c r="A238" s="240"/>
      <c r="B238" s="185"/>
      <c r="C238" s="185"/>
      <c r="D238" s="185"/>
      <c r="E238" s="225"/>
      <c r="F238" s="253"/>
      <c r="G238" s="201"/>
      <c r="H238" s="207"/>
      <c r="K238" s="184"/>
      <c r="O238" s="178"/>
    </row>
    <row r="239" spans="1:15" ht="15" customHeight="1">
      <c r="A239" s="240"/>
      <c r="B239" s="185"/>
      <c r="E239" s="225"/>
      <c r="F239" s="213"/>
      <c r="G239" s="201"/>
      <c r="H239" s="207"/>
      <c r="O239" s="178"/>
    </row>
    <row r="240" spans="1:15" ht="15" customHeight="1">
      <c r="A240" s="240"/>
      <c r="E240" s="222"/>
      <c r="F240" s="212"/>
      <c r="G240" s="201"/>
      <c r="O240" s="178"/>
    </row>
    <row r="241" spans="1:15" ht="15" customHeight="1">
      <c r="A241" s="240"/>
      <c r="E241" s="222"/>
      <c r="F241" s="212"/>
      <c r="G241" s="201"/>
      <c r="K241" s="184"/>
      <c r="O241" s="178"/>
    </row>
    <row r="242" spans="1:15" ht="15" customHeight="1">
      <c r="A242" s="240"/>
      <c r="E242" s="222"/>
      <c r="F242" s="212"/>
      <c r="G242" s="201"/>
      <c r="K242" s="184"/>
      <c r="O242" s="178"/>
    </row>
    <row r="243" spans="1:15" s="261" customFormat="1" ht="15" customHeight="1">
      <c r="A243" s="265"/>
      <c r="B243" s="266"/>
      <c r="E243" s="267"/>
      <c r="F243" s="268"/>
      <c r="G243" s="269"/>
      <c r="H243" s="273"/>
      <c r="I243" s="271"/>
      <c r="J243" s="271"/>
      <c r="N243" s="272"/>
    </row>
    <row r="244" spans="1:15" ht="15" customHeight="1">
      <c r="A244" s="240"/>
      <c r="B244" s="185"/>
      <c r="E244" s="225"/>
      <c r="F244" s="213"/>
      <c r="G244" s="201"/>
      <c r="H244" s="207"/>
      <c r="K244" s="184"/>
      <c r="O244" s="178"/>
    </row>
    <row r="245" spans="1:15" s="261" customFormat="1" ht="15" customHeight="1">
      <c r="A245" s="274"/>
      <c r="D245" s="266"/>
      <c r="E245" s="275"/>
      <c r="F245" s="285"/>
      <c r="G245" s="269"/>
      <c r="I245" s="271"/>
      <c r="J245" s="271"/>
      <c r="N245" s="272"/>
    </row>
    <row r="246" spans="1:15" s="261" customFormat="1" ht="15" customHeight="1">
      <c r="A246" s="274"/>
      <c r="D246" s="266"/>
      <c r="E246" s="275"/>
      <c r="F246" s="285"/>
      <c r="G246" s="269"/>
      <c r="I246" s="271"/>
      <c r="J246" s="271"/>
      <c r="N246" s="272"/>
    </row>
    <row r="247" spans="1:15" ht="15" customHeight="1">
      <c r="D247" s="185"/>
      <c r="E247" s="222"/>
      <c r="F247" s="212"/>
      <c r="G247" s="201"/>
      <c r="O247" s="178"/>
    </row>
    <row r="248" spans="1:15" s="261" customFormat="1" ht="15" customHeight="1">
      <c r="A248" s="278"/>
      <c r="D248" s="266"/>
      <c r="E248" s="284"/>
      <c r="F248" s="285"/>
      <c r="G248" s="269"/>
      <c r="H248" s="269"/>
      <c r="I248" s="271"/>
      <c r="J248" s="271"/>
      <c r="N248" s="272"/>
    </row>
    <row r="249" spans="1:15" ht="15" customHeight="1">
      <c r="A249" s="242"/>
      <c r="B249" s="184"/>
      <c r="D249" s="185"/>
      <c r="E249" s="223"/>
      <c r="F249" s="212"/>
      <c r="G249" s="201"/>
      <c r="O249" s="178"/>
    </row>
    <row r="250" spans="1:15" s="261" customFormat="1" ht="15" customHeight="1">
      <c r="A250" s="274"/>
      <c r="D250" s="266"/>
      <c r="E250" s="275"/>
      <c r="F250" s="285"/>
      <c r="G250" s="269"/>
      <c r="I250" s="271"/>
      <c r="J250" s="271"/>
      <c r="N250" s="272"/>
    </row>
    <row r="251" spans="1:15" s="261" customFormat="1" ht="15" customHeight="1">
      <c r="A251" s="274"/>
      <c r="D251" s="266"/>
      <c r="E251" s="284"/>
      <c r="F251" s="276"/>
      <c r="G251" s="269"/>
      <c r="I251" s="271"/>
      <c r="J251" s="271"/>
      <c r="N251" s="272"/>
    </row>
    <row r="252" spans="1:15" s="261" customFormat="1" ht="15" customHeight="1">
      <c r="A252" s="274"/>
      <c r="D252" s="266"/>
      <c r="E252" s="284"/>
      <c r="F252" s="286"/>
      <c r="G252" s="269"/>
      <c r="I252" s="271"/>
      <c r="J252" s="271"/>
      <c r="N252" s="272"/>
    </row>
    <row r="253" spans="1:15" s="261" customFormat="1" ht="15" customHeight="1">
      <c r="A253" s="265"/>
      <c r="B253" s="266"/>
      <c r="D253" s="266"/>
      <c r="E253" s="267"/>
      <c r="F253" s="268"/>
      <c r="G253" s="269"/>
      <c r="H253" s="270"/>
      <c r="I253" s="271"/>
      <c r="J253" s="271"/>
      <c r="N253" s="272"/>
    </row>
    <row r="254" spans="1:15" ht="15" customHeight="1">
      <c r="E254" s="222"/>
      <c r="F254" s="247"/>
      <c r="G254" s="201"/>
      <c r="O254" s="178"/>
    </row>
    <row r="255" spans="1:15" ht="15" customHeight="1">
      <c r="A255" s="244"/>
      <c r="B255" s="209"/>
      <c r="D255" s="209"/>
      <c r="E255" s="226"/>
      <c r="F255" s="250"/>
      <c r="G255" s="201"/>
      <c r="H255" s="210"/>
      <c r="J255" s="218"/>
      <c r="K255" s="210"/>
      <c r="N255" s="178"/>
      <c r="O255" s="178"/>
    </row>
    <row r="256" spans="1:15" ht="15" customHeight="1">
      <c r="D256" s="231"/>
      <c r="E256" s="222"/>
      <c r="F256" s="212"/>
      <c r="G256" s="201"/>
      <c r="O256" s="178"/>
    </row>
    <row r="257" spans="1:15" s="261" customFormat="1" ht="15" customHeight="1">
      <c r="A257" s="274"/>
      <c r="D257" s="266"/>
      <c r="E257" s="275"/>
      <c r="F257" s="285"/>
      <c r="G257" s="269"/>
      <c r="I257" s="271"/>
      <c r="N257" s="272"/>
    </row>
    <row r="258" spans="1:15" ht="15" customHeight="1">
      <c r="A258" s="240"/>
      <c r="B258" s="185"/>
      <c r="D258" s="228"/>
      <c r="E258" s="225"/>
      <c r="F258" s="213"/>
      <c r="G258" s="201"/>
      <c r="H258" s="206"/>
      <c r="K258" s="184"/>
      <c r="O258" s="178"/>
    </row>
    <row r="259" spans="1:15" ht="15" customHeight="1">
      <c r="E259" s="224"/>
      <c r="F259" s="248"/>
      <c r="G259" s="201"/>
      <c r="K259" s="184"/>
      <c r="O259" s="178"/>
    </row>
    <row r="260" spans="1:15" s="261" customFormat="1" ht="15" customHeight="1">
      <c r="A260" s="274"/>
      <c r="E260" s="284"/>
      <c r="F260" s="286"/>
      <c r="G260" s="269"/>
      <c r="I260" s="271"/>
      <c r="J260" s="271"/>
      <c r="N260" s="272"/>
    </row>
    <row r="261" spans="1:15" s="261" customFormat="1" ht="15" customHeight="1">
      <c r="A261" s="296"/>
      <c r="D261" s="282"/>
      <c r="G261" s="269"/>
      <c r="H261" s="304"/>
      <c r="I261" s="271"/>
      <c r="N261" s="272"/>
    </row>
    <row r="262" spans="1:15" ht="15" customHeight="1">
      <c r="D262" s="228"/>
      <c r="E262" s="178"/>
      <c r="F262" s="199"/>
      <c r="G262" s="201"/>
      <c r="J262" s="178"/>
      <c r="N262" s="233"/>
      <c r="O262" s="230"/>
    </row>
    <row r="263" spans="1:15" ht="15" customHeight="1">
      <c r="E263" s="222"/>
      <c r="F263" s="212"/>
      <c r="G263" s="201"/>
      <c r="O263" s="178"/>
    </row>
    <row r="264" spans="1:15" ht="15" customHeight="1">
      <c r="E264" s="222"/>
      <c r="F264" s="247"/>
      <c r="G264" s="201"/>
      <c r="O264" s="178"/>
    </row>
    <row r="265" spans="1:15" s="261" customFormat="1" ht="15" customHeight="1">
      <c r="A265" s="274"/>
      <c r="D265" s="266"/>
      <c r="E265" s="275"/>
      <c r="F265" s="285"/>
      <c r="G265" s="269"/>
      <c r="I265" s="271"/>
      <c r="N265" s="272"/>
    </row>
    <row r="266" spans="1:15" s="261" customFormat="1" ht="15" customHeight="1">
      <c r="A266" s="287"/>
      <c r="B266" s="288"/>
      <c r="D266" s="266"/>
      <c r="E266" s="289"/>
      <c r="F266" s="290"/>
      <c r="G266" s="269"/>
      <c r="H266" s="291"/>
      <c r="I266" s="271"/>
      <c r="J266" s="271"/>
      <c r="N266" s="272"/>
    </row>
    <row r="267" spans="1:15" ht="15" customHeight="1">
      <c r="E267" s="222"/>
      <c r="F267" s="247"/>
      <c r="G267" s="201"/>
      <c r="O267" s="178"/>
    </row>
    <row r="268" spans="1:15" ht="15" customHeight="1">
      <c r="E268" s="222"/>
      <c r="F268" s="247"/>
      <c r="G268" s="201"/>
      <c r="O268" s="178"/>
    </row>
    <row r="269" spans="1:15" s="261" customFormat="1" ht="15" customHeight="1">
      <c r="A269" s="274"/>
      <c r="C269" s="269"/>
      <c r="D269" s="277"/>
      <c r="E269" s="275"/>
      <c r="F269" s="276"/>
      <c r="G269" s="269"/>
      <c r="I269" s="271"/>
      <c r="N269" s="272"/>
    </row>
    <row r="270" spans="1:15" ht="15" customHeight="1">
      <c r="A270" s="240"/>
      <c r="B270" s="185"/>
      <c r="E270" s="225"/>
      <c r="F270" s="251"/>
      <c r="G270" s="201"/>
      <c r="H270" s="206"/>
      <c r="O270" s="178"/>
    </row>
    <row r="271" spans="1:15" s="261" customFormat="1" ht="15" customHeight="1">
      <c r="A271" s="274"/>
      <c r="E271" s="284"/>
      <c r="F271" s="286"/>
      <c r="G271" s="269"/>
      <c r="I271" s="271"/>
      <c r="N271" s="272"/>
    </row>
    <row r="272" spans="1:15" s="261" customFormat="1" ht="18.75" customHeight="1">
      <c r="A272" s="297"/>
      <c r="B272" s="298"/>
      <c r="C272" s="299"/>
      <c r="D272" s="299"/>
      <c r="E272" s="301"/>
      <c r="F272" s="300"/>
      <c r="G272" s="269"/>
      <c r="H272" s="298"/>
      <c r="I272" s="271"/>
      <c r="J272" s="262"/>
      <c r="K272" s="298"/>
      <c r="N272" s="302"/>
      <c r="O272" s="262"/>
    </row>
    <row r="273" spans="1:15" ht="15" customHeight="1">
      <c r="A273" s="245"/>
      <c r="B273" s="234"/>
      <c r="C273" s="235"/>
      <c r="D273" s="235"/>
      <c r="E273" s="237"/>
      <c r="F273" s="236"/>
      <c r="G273" s="201"/>
      <c r="H273" s="234"/>
      <c r="J273" s="238"/>
      <c r="K273" s="234"/>
      <c r="M273" s="238"/>
      <c r="N273" s="238"/>
      <c r="O273" s="238"/>
    </row>
    <row r="274" spans="1:15" s="261" customFormat="1" ht="15" customHeight="1">
      <c r="A274" s="274"/>
      <c r="D274" s="282"/>
      <c r="F274" s="200"/>
      <c r="G274" s="269"/>
      <c r="I274" s="271"/>
      <c r="N274" s="272"/>
    </row>
    <row r="275" spans="1:15" s="261" customFormat="1" ht="15" customHeight="1">
      <c r="A275" s="274"/>
      <c r="D275" s="282"/>
      <c r="F275" s="200"/>
      <c r="G275" s="269"/>
      <c r="I275" s="271"/>
      <c r="J275" s="280"/>
      <c r="K275" s="280"/>
      <c r="N275" s="303"/>
      <c r="O275" s="280"/>
    </row>
    <row r="276" spans="1:15" ht="15" customHeight="1">
      <c r="F276" s="246"/>
      <c r="G276" s="201"/>
      <c r="O276" s="178"/>
    </row>
    <row r="277" spans="1:15" ht="15" customHeight="1">
      <c r="A277" s="240"/>
      <c r="B277" s="185"/>
      <c r="E277" s="225"/>
      <c r="F277" s="213"/>
      <c r="G277" s="201"/>
      <c r="H277" s="207"/>
      <c r="K277" s="184"/>
      <c r="O277" s="178"/>
    </row>
    <row r="278" spans="1:15" s="261" customFormat="1" ht="15" customHeight="1">
      <c r="A278" s="265"/>
      <c r="B278" s="266"/>
      <c r="E278" s="267"/>
      <c r="F278" s="268"/>
      <c r="G278" s="269"/>
      <c r="H278" s="270"/>
      <c r="I278" s="271"/>
      <c r="J278" s="271"/>
      <c r="K278" s="271"/>
      <c r="N278" s="272"/>
    </row>
    <row r="279" spans="1:15" ht="15" customHeight="1">
      <c r="A279" s="240"/>
      <c r="B279" s="185"/>
      <c r="E279" s="225"/>
      <c r="F279" s="213"/>
      <c r="G279" s="201"/>
      <c r="H279" s="207"/>
      <c r="K279" s="184"/>
      <c r="M279" s="177"/>
    </row>
    <row r="280" spans="1:15" ht="15" customHeight="1">
      <c r="A280" s="240"/>
      <c r="B280" s="209"/>
      <c r="D280" s="209"/>
      <c r="E280" s="226"/>
      <c r="F280" s="229"/>
      <c r="G280" s="201"/>
      <c r="H280" s="210"/>
      <c r="J280" s="218"/>
      <c r="K280" s="210"/>
      <c r="N280" s="178"/>
      <c r="O280" s="178"/>
    </row>
    <row r="281" spans="1:15" ht="15" customHeight="1">
      <c r="A281" s="240"/>
      <c r="C281" s="209"/>
      <c r="E281" s="224"/>
      <c r="F281" s="215"/>
      <c r="G281" s="201"/>
      <c r="H281" s="210"/>
      <c r="N281" s="178"/>
      <c r="O281" s="178"/>
    </row>
    <row r="282" spans="1:15" ht="15" customHeight="1">
      <c r="A282" s="240"/>
      <c r="E282" s="222"/>
      <c r="F282" s="212"/>
      <c r="G282" s="201"/>
      <c r="O282" s="178"/>
    </row>
    <row r="283" spans="1:15" ht="15" customHeight="1">
      <c r="A283" s="240"/>
      <c r="E283" s="222"/>
      <c r="F283" s="247"/>
      <c r="G283" s="201"/>
      <c r="O283" s="178"/>
    </row>
    <row r="284" spans="1:15" ht="15" customHeight="1">
      <c r="E284" s="222"/>
      <c r="F284" s="247"/>
      <c r="G284" s="201"/>
      <c r="O284" s="178"/>
    </row>
    <row r="285" spans="1:15" ht="15" customHeight="1">
      <c r="E285" s="222"/>
      <c r="F285" s="212"/>
      <c r="G285" s="201"/>
      <c r="O285" s="178"/>
    </row>
    <row r="286" spans="1:15" ht="15" customHeight="1">
      <c r="E286" s="224"/>
      <c r="F286" s="214"/>
      <c r="G286" s="201"/>
      <c r="O286" s="178"/>
    </row>
    <row r="287" spans="1:15" ht="15" customHeight="1">
      <c r="E287" s="224"/>
      <c r="F287" s="214"/>
      <c r="G287" s="201"/>
      <c r="O287" s="178"/>
    </row>
    <row r="288" spans="1:15" ht="15" customHeight="1">
      <c r="E288" s="224"/>
      <c r="F288" s="214"/>
      <c r="G288" s="201"/>
      <c r="O288" s="178"/>
    </row>
    <row r="289" spans="1:15" ht="15" customHeight="1">
      <c r="E289" s="224"/>
      <c r="F289" s="248"/>
      <c r="G289" s="201"/>
      <c r="O289" s="178"/>
    </row>
    <row r="290" spans="1:15" ht="15" customHeight="1">
      <c r="E290" s="224"/>
      <c r="F290" s="248"/>
      <c r="G290" s="201"/>
      <c r="K290" s="184"/>
      <c r="O290" s="178"/>
    </row>
    <row r="291" spans="1:15" ht="15" customHeight="1">
      <c r="A291" s="240"/>
      <c r="B291" s="185"/>
      <c r="D291" s="185"/>
      <c r="E291" s="225"/>
      <c r="F291" s="251"/>
      <c r="G291" s="201"/>
      <c r="H291" s="207"/>
      <c r="J291" s="217"/>
      <c r="K291" s="207"/>
      <c r="O291" s="177"/>
    </row>
    <row r="292" spans="1:15" s="261" customFormat="1" ht="15.75" customHeight="1">
      <c r="A292" s="287"/>
      <c r="B292" s="283"/>
      <c r="D292" s="266"/>
      <c r="E292" s="289"/>
      <c r="F292" s="290"/>
      <c r="G292" s="269"/>
      <c r="H292" s="291"/>
      <c r="I292" s="271"/>
      <c r="N292" s="272"/>
    </row>
    <row r="293" spans="1:15" ht="15.75" customHeight="1">
      <c r="A293" s="242"/>
      <c r="B293" s="202"/>
      <c r="C293" s="199"/>
      <c r="D293" s="212"/>
      <c r="E293" s="223"/>
      <c r="F293" s="229"/>
      <c r="G293" s="201"/>
      <c r="J293" s="178"/>
      <c r="O293" s="177"/>
    </row>
    <row r="294" spans="1:15" ht="15.75" customHeight="1">
      <c r="E294" s="224"/>
      <c r="F294" s="248"/>
      <c r="G294" s="201"/>
      <c r="K294" s="184"/>
      <c r="O294" s="178"/>
    </row>
    <row r="295" spans="1:15" ht="15.75" customHeight="1">
      <c r="A295" s="240"/>
      <c r="B295" s="185"/>
      <c r="D295" s="228"/>
      <c r="E295" s="225"/>
      <c r="F295" s="213"/>
      <c r="G295" s="201"/>
      <c r="H295" s="207"/>
      <c r="K295" s="184"/>
      <c r="O295" s="178"/>
    </row>
    <row r="296" spans="1:15" ht="15.75" customHeight="1">
      <c r="A296" s="244"/>
      <c r="B296" s="209"/>
      <c r="D296" s="228"/>
      <c r="E296" s="226"/>
      <c r="F296" s="214"/>
      <c r="G296" s="201"/>
      <c r="H296" s="210"/>
      <c r="O296" s="178"/>
    </row>
    <row r="297" spans="1:15" ht="15.75" customHeight="1">
      <c r="A297" s="241"/>
      <c r="D297" s="228"/>
      <c r="E297" s="178"/>
      <c r="F297" s="178"/>
      <c r="G297" s="201"/>
      <c r="H297" s="229"/>
      <c r="J297" s="230"/>
      <c r="K297" s="230"/>
      <c r="M297" s="230"/>
      <c r="N297" s="230"/>
      <c r="O297" s="230"/>
    </row>
    <row r="298" spans="1:15" s="261" customFormat="1" ht="15.75" customHeight="1">
      <c r="A298" s="274"/>
      <c r="D298" s="282"/>
      <c r="F298" s="200"/>
      <c r="G298" s="269"/>
      <c r="I298" s="271"/>
      <c r="J298" s="280"/>
      <c r="K298" s="280"/>
      <c r="N298" s="303"/>
      <c r="O298" s="280"/>
    </row>
    <row r="299" spans="1:15" ht="15.75" customHeight="1">
      <c r="E299" s="222"/>
      <c r="F299" s="247"/>
      <c r="G299" s="201"/>
      <c r="O299" s="178"/>
    </row>
    <row r="300" spans="1:15" ht="15.75" customHeight="1">
      <c r="E300" s="222"/>
      <c r="F300" s="247"/>
      <c r="G300" s="201"/>
      <c r="O300" s="178"/>
    </row>
    <row r="301" spans="1:15" ht="15.75" customHeight="1">
      <c r="D301" s="228"/>
      <c r="E301" s="222"/>
      <c r="F301" s="212"/>
      <c r="G301" s="201"/>
      <c r="O301" s="178"/>
    </row>
    <row r="302" spans="1:15" ht="15.75" customHeight="1">
      <c r="E302" s="222"/>
      <c r="F302" s="212"/>
      <c r="G302" s="201"/>
      <c r="O302" s="178"/>
    </row>
    <row r="303" spans="1:15" ht="15.75" customHeight="1">
      <c r="E303" s="222"/>
      <c r="F303" s="247"/>
      <c r="G303" s="201"/>
      <c r="O303" s="178"/>
    </row>
    <row r="304" spans="1:15" ht="15.75" customHeight="1">
      <c r="A304" s="240"/>
      <c r="B304" s="185"/>
      <c r="D304" s="185"/>
      <c r="E304" s="225"/>
      <c r="F304" s="251"/>
      <c r="G304" s="201"/>
      <c r="H304" s="206"/>
      <c r="O304" s="178"/>
    </row>
    <row r="305" spans="1:15" ht="15.75" customHeight="1">
      <c r="A305" s="240"/>
      <c r="B305" s="185"/>
      <c r="C305" s="185"/>
      <c r="E305" s="225"/>
      <c r="F305" s="213"/>
      <c r="G305" s="201"/>
      <c r="H305" s="206"/>
      <c r="O305" s="178"/>
    </row>
    <row r="306" spans="1:15" s="261" customFormat="1" ht="15.75" customHeight="1">
      <c r="A306" s="296"/>
      <c r="D306" s="282"/>
      <c r="G306" s="269"/>
      <c r="H306" s="304"/>
      <c r="I306" s="271"/>
      <c r="N306" s="272"/>
    </row>
    <row r="307" spans="1:15" s="261" customFormat="1" ht="15.75" customHeight="1">
      <c r="A307" s="296"/>
      <c r="D307" s="282"/>
      <c r="G307" s="269"/>
      <c r="H307" s="304"/>
      <c r="I307" s="271"/>
      <c r="J307" s="280"/>
      <c r="K307" s="280"/>
      <c r="N307" s="303"/>
      <c r="O307" s="280"/>
    </row>
    <row r="308" spans="1:15" s="261" customFormat="1" ht="15.75" customHeight="1">
      <c r="A308" s="274"/>
      <c r="D308" s="282"/>
      <c r="F308" s="200"/>
      <c r="G308" s="269"/>
      <c r="I308" s="271"/>
      <c r="N308" s="272"/>
    </row>
    <row r="309" spans="1:15" s="261" customFormat="1" ht="15.75" customHeight="1">
      <c r="A309" s="274"/>
      <c r="D309" s="282"/>
      <c r="F309" s="200"/>
      <c r="G309" s="269"/>
      <c r="I309" s="271"/>
      <c r="J309" s="280"/>
      <c r="K309" s="280"/>
      <c r="N309" s="303"/>
      <c r="O309" s="280"/>
    </row>
    <row r="310" spans="1:15" ht="15.75" customHeight="1">
      <c r="A310" s="240"/>
      <c r="B310" s="185"/>
      <c r="D310" s="228"/>
      <c r="E310" s="225"/>
      <c r="F310" s="213"/>
      <c r="G310" s="201"/>
      <c r="H310" s="207"/>
      <c r="K310" s="184"/>
      <c r="O310" s="178"/>
    </row>
    <row r="311" spans="1:15" s="261" customFormat="1" ht="15.75" customHeight="1">
      <c r="A311" s="274"/>
      <c r="D311" s="266"/>
      <c r="E311" s="275"/>
      <c r="F311" s="285"/>
      <c r="G311" s="269"/>
      <c r="I311" s="271"/>
      <c r="J311" s="271"/>
      <c r="N311" s="272"/>
    </row>
    <row r="312" spans="1:15" ht="15.75" customHeight="1">
      <c r="E312" s="222"/>
      <c r="F312" s="247"/>
      <c r="G312" s="201"/>
      <c r="O312" s="178"/>
    </row>
    <row r="313" spans="1:15" ht="15.75" customHeight="1">
      <c r="D313" s="185"/>
      <c r="E313" s="224"/>
      <c r="F313" s="214"/>
      <c r="G313" s="201"/>
      <c r="O313" s="178"/>
    </row>
    <row r="314" spans="1:15" s="261" customFormat="1" ht="15.75" customHeight="1">
      <c r="A314" s="278"/>
      <c r="C314" s="269"/>
      <c r="D314" s="277"/>
      <c r="E314" s="279"/>
      <c r="F314" s="276"/>
      <c r="G314" s="269"/>
      <c r="I314" s="271"/>
      <c r="N314" s="272"/>
    </row>
    <row r="315" spans="1:15" ht="15.75" customHeight="1">
      <c r="E315" s="222"/>
      <c r="F315" s="212"/>
      <c r="G315" s="201"/>
      <c r="O315" s="178"/>
    </row>
    <row r="316" spans="1:15" ht="15.75" customHeight="1">
      <c r="E316" s="222"/>
      <c r="F316" s="212"/>
      <c r="G316" s="201"/>
      <c r="O316" s="178"/>
    </row>
    <row r="317" spans="1:15" s="261" customFormat="1" ht="15.75" customHeight="1">
      <c r="A317" s="296"/>
      <c r="D317" s="282"/>
      <c r="G317" s="269"/>
      <c r="H317" s="304"/>
      <c r="I317" s="271"/>
      <c r="N317" s="272"/>
    </row>
    <row r="318" spans="1:15" s="262" customFormat="1" ht="15.75" customHeight="1">
      <c r="A318" s="296"/>
      <c r="B318" s="261"/>
      <c r="C318" s="261"/>
      <c r="D318" s="282"/>
      <c r="E318" s="261"/>
      <c r="F318" s="261"/>
      <c r="G318" s="269"/>
      <c r="H318" s="304"/>
      <c r="I318" s="271"/>
      <c r="J318" s="280"/>
      <c r="K318" s="280"/>
      <c r="L318" s="261"/>
      <c r="M318" s="261"/>
      <c r="N318" s="303"/>
      <c r="O318" s="280"/>
    </row>
    <row r="319" spans="1:15" s="262" customFormat="1" ht="15.75" customHeight="1">
      <c r="A319" s="296"/>
      <c r="B319" s="261"/>
      <c r="C319" s="261"/>
      <c r="D319" s="282"/>
      <c r="E319" s="261"/>
      <c r="F319" s="261"/>
      <c r="G319" s="269"/>
      <c r="H319" s="304"/>
      <c r="I319" s="271"/>
      <c r="J319" s="280"/>
      <c r="K319" s="280"/>
      <c r="L319" s="261"/>
      <c r="M319" s="261"/>
      <c r="N319" s="303"/>
      <c r="O319" s="280"/>
    </row>
    <row r="320" spans="1:15" s="238" customFormat="1" ht="15.75" customHeight="1">
      <c r="A320" s="243"/>
      <c r="B320" s="231"/>
      <c r="C320" s="231"/>
      <c r="D320" s="231"/>
      <c r="E320" s="232"/>
      <c r="F320" s="249"/>
      <c r="G320" s="201"/>
      <c r="H320" s="231"/>
      <c r="I320" s="184"/>
      <c r="J320" s="231"/>
      <c r="K320" s="231"/>
      <c r="L320" s="178"/>
      <c r="M320" s="231"/>
      <c r="N320" s="231"/>
      <c r="O320" s="231"/>
    </row>
    <row r="321" spans="1:16" s="262" customFormat="1" ht="15.75" customHeight="1">
      <c r="A321" s="274"/>
      <c r="B321" s="261"/>
      <c r="C321" s="261"/>
      <c r="D321" s="282"/>
      <c r="E321" s="261"/>
      <c r="F321" s="200"/>
      <c r="G321" s="269"/>
      <c r="H321" s="261"/>
      <c r="I321" s="271"/>
      <c r="J321" s="280"/>
      <c r="K321" s="280"/>
      <c r="L321" s="261"/>
      <c r="M321" s="261"/>
      <c r="N321" s="303"/>
      <c r="O321" s="280"/>
    </row>
    <row r="322" spans="1:16" s="262" customFormat="1" ht="15.75" customHeight="1">
      <c r="A322" s="274"/>
      <c r="B322" s="261"/>
      <c r="C322" s="261"/>
      <c r="D322" s="282"/>
      <c r="E322" s="261"/>
      <c r="F322" s="200"/>
      <c r="G322" s="269"/>
      <c r="H322" s="261"/>
      <c r="I322" s="271"/>
      <c r="J322" s="261"/>
      <c r="K322" s="261"/>
      <c r="L322" s="261"/>
      <c r="M322" s="261"/>
      <c r="N322" s="272"/>
      <c r="O322" s="261"/>
      <c r="P322" s="261"/>
    </row>
    <row r="323" spans="1:16" s="238" customFormat="1" ht="15.75" customHeight="1">
      <c r="A323" s="240"/>
      <c r="B323" s="178"/>
      <c r="C323" s="178"/>
      <c r="D323" s="178"/>
      <c r="E323" s="222"/>
      <c r="F323" s="212"/>
      <c r="G323" s="201"/>
      <c r="H323" s="178"/>
      <c r="I323" s="184"/>
      <c r="J323" s="184"/>
      <c r="K323" s="184"/>
      <c r="L323" s="178"/>
      <c r="M323" s="178"/>
      <c r="N323" s="177"/>
      <c r="O323" s="178"/>
    </row>
    <row r="324" spans="1:16" s="238" customFormat="1" ht="15.75" customHeight="1">
      <c r="A324" s="240"/>
      <c r="B324" s="178"/>
      <c r="C324" s="178"/>
      <c r="D324" s="178"/>
      <c r="E324" s="222"/>
      <c r="F324" s="212"/>
      <c r="G324" s="201"/>
      <c r="H324" s="178"/>
      <c r="I324" s="184"/>
      <c r="J324" s="184"/>
      <c r="K324" s="178"/>
      <c r="L324" s="178"/>
      <c r="M324" s="178"/>
      <c r="N324" s="177"/>
      <c r="O324" s="178"/>
    </row>
    <row r="325" spans="1:16" s="238" customFormat="1" ht="15.75" customHeight="1">
      <c r="A325" s="239"/>
      <c r="B325" s="178"/>
      <c r="C325" s="178"/>
      <c r="D325" s="178"/>
      <c r="E325" s="224"/>
      <c r="F325" s="229"/>
      <c r="G325" s="201"/>
      <c r="H325" s="178"/>
      <c r="I325" s="184"/>
      <c r="J325" s="184"/>
      <c r="K325" s="178"/>
      <c r="L325" s="178"/>
      <c r="M325" s="178"/>
      <c r="N325" s="177"/>
      <c r="O325" s="178"/>
    </row>
    <row r="326" spans="1:16" s="238" customFormat="1" ht="15.75" customHeight="1">
      <c r="A326" s="239"/>
      <c r="B326" s="178"/>
      <c r="C326" s="178"/>
      <c r="D326" s="178"/>
      <c r="E326" s="224"/>
      <c r="F326" s="229"/>
      <c r="G326" s="201"/>
      <c r="H326" s="178"/>
      <c r="I326" s="184"/>
      <c r="J326" s="184"/>
      <c r="K326" s="178"/>
      <c r="L326" s="178"/>
      <c r="M326" s="178"/>
      <c r="N326" s="177"/>
      <c r="O326" s="178"/>
    </row>
    <row r="327" spans="1:16" s="262" customFormat="1" ht="15.75" customHeight="1">
      <c r="A327" s="265"/>
      <c r="B327" s="266"/>
      <c r="C327" s="261"/>
      <c r="D327" s="266"/>
      <c r="E327" s="267"/>
      <c r="F327" s="268"/>
      <c r="G327" s="269"/>
      <c r="H327" s="270"/>
      <c r="I327" s="271"/>
      <c r="J327" s="261"/>
      <c r="K327" s="261"/>
      <c r="L327" s="261"/>
      <c r="M327" s="261"/>
      <c r="N327" s="272"/>
      <c r="O327" s="261"/>
    </row>
    <row r="328" spans="1:16" s="238" customFormat="1" ht="15.75" customHeight="1">
      <c r="A328" s="239"/>
      <c r="B328" s="178"/>
      <c r="C328" s="178"/>
      <c r="D328" s="178"/>
      <c r="E328" s="224"/>
      <c r="F328" s="229"/>
      <c r="G328" s="201"/>
      <c r="H328" s="178"/>
      <c r="I328" s="184"/>
      <c r="J328" s="184"/>
      <c r="K328" s="184"/>
      <c r="L328" s="178"/>
      <c r="M328" s="178"/>
      <c r="N328" s="177"/>
      <c r="O328" s="178"/>
    </row>
    <row r="329" spans="1:16" s="238" customFormat="1" ht="15.75" customHeight="1">
      <c r="A329" s="239"/>
      <c r="B329" s="178"/>
      <c r="C329" s="178"/>
      <c r="D329" s="178"/>
      <c r="E329" s="224"/>
      <c r="F329" s="248"/>
      <c r="G329" s="201"/>
      <c r="H329" s="178"/>
      <c r="I329" s="184"/>
      <c r="J329" s="184"/>
      <c r="K329" s="184"/>
      <c r="L329" s="178"/>
      <c r="M329" s="178"/>
      <c r="N329" s="177"/>
      <c r="O329" s="178"/>
    </row>
    <row r="330" spans="1:16" s="238" customFormat="1" ht="15.75" customHeight="1">
      <c r="A330" s="240"/>
      <c r="B330" s="185"/>
      <c r="C330" s="178"/>
      <c r="D330" s="185"/>
      <c r="E330" s="225"/>
      <c r="F330" s="251"/>
      <c r="G330" s="201"/>
      <c r="H330" s="206"/>
      <c r="I330" s="184"/>
      <c r="J330" s="184"/>
      <c r="K330" s="178"/>
      <c r="L330" s="178"/>
      <c r="M330" s="177"/>
      <c r="N330" s="177"/>
      <c r="O330" s="178"/>
    </row>
    <row r="331" spans="1:16" s="238" customFormat="1" ht="15.75" customHeight="1">
      <c r="A331" s="244"/>
      <c r="B331" s="208"/>
      <c r="C331" s="178"/>
      <c r="D331" s="209"/>
      <c r="E331" s="226"/>
      <c r="F331" s="250"/>
      <c r="G331" s="201"/>
      <c r="H331" s="210"/>
      <c r="I331" s="184"/>
      <c r="J331" s="218"/>
      <c r="K331" s="210"/>
      <c r="L331" s="178"/>
      <c r="M331" s="178"/>
      <c r="N331" s="178"/>
      <c r="O331" s="178"/>
    </row>
    <row r="332" spans="1:16" s="238" customFormat="1" ht="15.75" customHeight="1">
      <c r="A332" s="239"/>
      <c r="B332" s="178"/>
      <c r="C332" s="178"/>
      <c r="D332" s="231"/>
      <c r="E332" s="222"/>
      <c r="F332" s="212"/>
      <c r="G332" s="201"/>
      <c r="H332" s="178"/>
      <c r="I332" s="184"/>
      <c r="J332" s="184"/>
      <c r="K332" s="178"/>
      <c r="L332" s="178"/>
      <c r="M332" s="178"/>
      <c r="N332" s="177"/>
      <c r="O332" s="178"/>
    </row>
    <row r="333" spans="1:16" s="238" customFormat="1" ht="15.75" customHeight="1">
      <c r="A333" s="239"/>
      <c r="B333" s="178"/>
      <c r="C333" s="178"/>
      <c r="D333" s="231"/>
      <c r="E333" s="222"/>
      <c r="F333" s="212"/>
      <c r="G333" s="201"/>
      <c r="H333" s="178"/>
      <c r="I333" s="184"/>
      <c r="J333" s="184"/>
      <c r="K333" s="178"/>
      <c r="L333" s="178"/>
      <c r="M333" s="178"/>
      <c r="N333" s="177"/>
      <c r="O333" s="178"/>
    </row>
    <row r="334" spans="1:16" s="262" customFormat="1" ht="15.75" customHeight="1">
      <c r="A334" s="278"/>
      <c r="B334" s="261"/>
      <c r="C334" s="266"/>
      <c r="D334" s="261"/>
      <c r="E334" s="279"/>
      <c r="F334" s="276"/>
      <c r="G334" s="269"/>
      <c r="H334" s="261"/>
      <c r="I334" s="271"/>
      <c r="J334" s="261"/>
      <c r="K334" s="261"/>
      <c r="L334" s="261"/>
      <c r="M334" s="261"/>
      <c r="N334" s="272"/>
      <c r="O334" s="261"/>
    </row>
    <row r="335" spans="1:16" s="261" customFormat="1" ht="15.75" customHeight="1">
      <c r="A335" s="278"/>
      <c r="C335" s="266"/>
      <c r="D335" s="277"/>
      <c r="E335" s="279"/>
      <c r="F335" s="276"/>
      <c r="G335" s="269"/>
      <c r="I335" s="271"/>
      <c r="N335" s="272"/>
    </row>
    <row r="336" spans="1:16" s="280" customFormat="1" ht="15.75" customHeight="1">
      <c r="A336" s="278"/>
      <c r="B336" s="261"/>
      <c r="C336" s="266"/>
      <c r="D336" s="261"/>
      <c r="E336" s="279"/>
      <c r="F336" s="276"/>
      <c r="G336" s="269"/>
      <c r="H336" s="261"/>
      <c r="I336" s="271"/>
      <c r="J336" s="261"/>
      <c r="K336" s="261"/>
      <c r="L336" s="261"/>
      <c r="M336" s="261"/>
      <c r="N336" s="272"/>
      <c r="O336" s="261"/>
    </row>
    <row r="337" spans="1:15" s="261" customFormat="1" ht="15.75" customHeight="1">
      <c r="A337" s="278"/>
      <c r="C337" s="266"/>
      <c r="D337" s="281"/>
      <c r="E337" s="279"/>
      <c r="F337" s="276"/>
      <c r="G337" s="269"/>
      <c r="I337" s="271"/>
      <c r="N337" s="272"/>
    </row>
    <row r="338" spans="1:15" s="280" customFormat="1" ht="15.75" customHeight="1">
      <c r="A338" s="278"/>
      <c r="B338" s="261"/>
      <c r="C338" s="266"/>
      <c r="D338" s="282"/>
      <c r="E338" s="279"/>
      <c r="F338" s="276"/>
      <c r="G338" s="269"/>
      <c r="H338" s="261"/>
      <c r="I338" s="271"/>
      <c r="J338" s="261"/>
      <c r="K338" s="261"/>
      <c r="L338" s="261"/>
      <c r="M338" s="261"/>
      <c r="N338" s="272"/>
      <c r="O338" s="261"/>
    </row>
    <row r="339" spans="1:15" s="280" customFormat="1" ht="15.75" customHeight="1">
      <c r="A339" s="274"/>
      <c r="B339" s="283"/>
      <c r="C339" s="266"/>
      <c r="D339" s="282"/>
      <c r="E339" s="284"/>
      <c r="F339" s="276"/>
      <c r="G339" s="269"/>
      <c r="H339" s="261"/>
      <c r="I339" s="271"/>
      <c r="J339" s="261"/>
      <c r="K339" s="261"/>
      <c r="L339" s="261"/>
      <c r="M339" s="261"/>
      <c r="N339" s="272"/>
      <c r="O339" s="261"/>
    </row>
    <row r="340" spans="1:15" s="230" customFormat="1" ht="15.75" customHeight="1">
      <c r="A340" s="239"/>
      <c r="B340" s="178"/>
      <c r="C340" s="178"/>
      <c r="D340" s="178"/>
      <c r="E340" s="222"/>
      <c r="F340" s="247"/>
      <c r="G340" s="201"/>
      <c r="H340" s="178"/>
      <c r="I340" s="184"/>
      <c r="J340" s="184"/>
      <c r="K340" s="178"/>
      <c r="L340" s="178"/>
      <c r="M340" s="178"/>
      <c r="N340" s="177"/>
      <c r="O340" s="178"/>
    </row>
    <row r="341" spans="1:15" s="280" customFormat="1" ht="15.75" customHeight="1">
      <c r="A341" s="274"/>
      <c r="B341" s="261"/>
      <c r="C341" s="261"/>
      <c r="D341" s="261"/>
      <c r="E341" s="275"/>
      <c r="F341" s="285"/>
      <c r="G341" s="269"/>
      <c r="H341" s="261"/>
      <c r="I341" s="271"/>
      <c r="J341" s="271"/>
      <c r="K341" s="261"/>
      <c r="L341" s="261"/>
      <c r="M341" s="261"/>
      <c r="N341" s="272"/>
      <c r="O341" s="261"/>
    </row>
    <row r="342" spans="1:15" s="230" customFormat="1" ht="15.75" customHeight="1">
      <c r="A342" s="240"/>
      <c r="B342" s="185"/>
      <c r="C342" s="178"/>
      <c r="D342" s="228"/>
      <c r="E342" s="225"/>
      <c r="F342" s="213"/>
      <c r="G342" s="201"/>
      <c r="H342" s="207"/>
      <c r="I342" s="184"/>
      <c r="J342" s="184"/>
      <c r="K342" s="184"/>
      <c r="L342" s="178"/>
      <c r="M342" s="177"/>
      <c r="N342" s="177"/>
      <c r="O342" s="178"/>
    </row>
    <row r="343" spans="1:15" s="230" customFormat="1" ht="15.75" customHeight="1">
      <c r="A343" s="239"/>
      <c r="B343" s="178"/>
      <c r="C343" s="178"/>
      <c r="D343" s="228"/>
      <c r="E343" s="222"/>
      <c r="F343" s="212"/>
      <c r="G343" s="201"/>
      <c r="H343" s="178"/>
      <c r="I343" s="184"/>
      <c r="J343" s="184"/>
      <c r="K343" s="178"/>
      <c r="L343" s="178"/>
      <c r="M343" s="178"/>
      <c r="N343" s="177"/>
      <c r="O343" s="178"/>
    </row>
    <row r="344" spans="1:15" s="230" customFormat="1" ht="15.75" customHeight="1">
      <c r="A344" s="240"/>
      <c r="B344" s="185"/>
      <c r="C344" s="178"/>
      <c r="D344" s="178"/>
      <c r="E344" s="225"/>
      <c r="F344" s="251"/>
      <c r="G344" s="201"/>
      <c r="H344" s="206"/>
      <c r="I344" s="184"/>
      <c r="J344" s="184"/>
      <c r="K344" s="178"/>
      <c r="L344" s="178"/>
      <c r="M344" s="178"/>
      <c r="N344" s="177"/>
      <c r="O344" s="178"/>
    </row>
    <row r="345" spans="1:15" s="230" customFormat="1" ht="15.75" customHeight="1">
      <c r="A345" s="240"/>
      <c r="B345" s="185"/>
      <c r="C345" s="185"/>
      <c r="D345" s="178"/>
      <c r="E345" s="225"/>
      <c r="F345" s="251"/>
      <c r="G345" s="201"/>
      <c r="H345" s="207"/>
      <c r="I345" s="184"/>
      <c r="J345" s="184"/>
      <c r="K345" s="184"/>
      <c r="L345" s="178"/>
      <c r="M345" s="178"/>
      <c r="N345" s="177"/>
      <c r="O345" s="178"/>
    </row>
    <row r="346" spans="1:15" s="280" customFormat="1" ht="15.75" customHeight="1">
      <c r="A346" s="265"/>
      <c r="B346" s="266"/>
      <c r="C346" s="261"/>
      <c r="D346" s="261"/>
      <c r="E346" s="267"/>
      <c r="F346" s="268"/>
      <c r="G346" s="269"/>
      <c r="H346" s="270"/>
      <c r="I346" s="271"/>
      <c r="J346" s="271"/>
      <c r="K346" s="271"/>
      <c r="L346" s="261"/>
      <c r="M346" s="261"/>
      <c r="N346" s="272"/>
      <c r="O346" s="261"/>
    </row>
    <row r="347" spans="1:15" s="230" customFormat="1" ht="15.75" customHeight="1">
      <c r="A347" s="239"/>
      <c r="B347" s="178"/>
      <c r="C347" s="178"/>
      <c r="D347" s="228"/>
      <c r="E347" s="178"/>
      <c r="F347" s="199"/>
      <c r="G347" s="201"/>
      <c r="H347" s="178"/>
      <c r="I347" s="184"/>
      <c r="J347" s="178"/>
      <c r="K347" s="178"/>
      <c r="L347" s="178"/>
      <c r="M347" s="178"/>
      <c r="N347" s="233"/>
    </row>
    <row r="348" spans="1:15" s="230" customFormat="1" ht="15.75" customHeight="1">
      <c r="A348" s="239"/>
      <c r="B348" s="178"/>
      <c r="C348" s="178"/>
      <c r="D348" s="178"/>
      <c r="E348" s="196"/>
      <c r="F348" s="246"/>
      <c r="G348" s="201"/>
      <c r="H348" s="178"/>
      <c r="I348" s="184"/>
      <c r="J348" s="184"/>
      <c r="K348" s="178"/>
      <c r="L348" s="178"/>
      <c r="M348" s="178"/>
      <c r="N348" s="177"/>
      <c r="O348" s="178"/>
    </row>
    <row r="349" spans="1:15" s="230" customFormat="1" ht="15.75" customHeight="1">
      <c r="A349" s="239"/>
      <c r="B349" s="178"/>
      <c r="C349" s="178"/>
      <c r="D349" s="178"/>
      <c r="E349" s="196"/>
      <c r="F349" s="246"/>
      <c r="G349" s="201"/>
      <c r="H349" s="178"/>
      <c r="I349" s="184"/>
      <c r="J349" s="184"/>
      <c r="K349" s="178"/>
      <c r="L349" s="178"/>
      <c r="M349" s="178"/>
      <c r="N349" s="177"/>
      <c r="O349" s="178"/>
    </row>
    <row r="350" spans="1:15" s="261" customFormat="1" ht="15.75" customHeight="1">
      <c r="A350" s="274"/>
      <c r="E350" s="275"/>
      <c r="F350" s="285"/>
      <c r="G350" s="269"/>
      <c r="I350" s="271"/>
      <c r="N350" s="272"/>
    </row>
    <row r="351" spans="1:15" s="230" customFormat="1" ht="15.75" customHeight="1">
      <c r="A351" s="239"/>
      <c r="B351" s="178"/>
      <c r="C351" s="178"/>
      <c r="D351" s="178"/>
      <c r="E351" s="222"/>
      <c r="F351" s="212"/>
      <c r="G351" s="201"/>
      <c r="H351" s="178"/>
      <c r="I351" s="184"/>
      <c r="J351" s="184"/>
      <c r="K351" s="178"/>
      <c r="L351" s="178"/>
      <c r="M351" s="178"/>
      <c r="N351" s="177"/>
      <c r="O351" s="178"/>
    </row>
    <row r="352" spans="1:15" s="261" customFormat="1" ht="15.75" customHeight="1">
      <c r="A352" s="287"/>
      <c r="B352" s="293"/>
      <c r="E352" s="284"/>
      <c r="F352" s="290"/>
      <c r="G352" s="269"/>
      <c r="H352" s="291"/>
      <c r="I352" s="271"/>
      <c r="N352" s="272"/>
    </row>
    <row r="353" spans="1:15" s="230" customFormat="1" ht="15.75" customHeight="1">
      <c r="A353" s="241"/>
      <c r="B353" s="178"/>
      <c r="C353" s="178"/>
      <c r="D353" s="228"/>
      <c r="E353" s="178"/>
      <c r="F353" s="178"/>
      <c r="G353" s="201"/>
      <c r="H353" s="229"/>
      <c r="I353" s="184"/>
      <c r="L353" s="178"/>
    </row>
    <row r="354" spans="1:15" s="230" customFormat="1" ht="15.75" customHeight="1">
      <c r="A354" s="241"/>
      <c r="B354" s="178"/>
      <c r="C354" s="178"/>
      <c r="D354" s="228"/>
      <c r="E354" s="178"/>
      <c r="F354" s="178"/>
      <c r="G354" s="201"/>
      <c r="H354" s="229"/>
      <c r="I354" s="184"/>
      <c r="L354" s="178"/>
    </row>
    <row r="355" spans="1:15" s="230" customFormat="1" ht="15.75" customHeight="1">
      <c r="A355" s="239"/>
      <c r="B355" s="178"/>
      <c r="C355" s="178"/>
      <c r="D355" s="228"/>
      <c r="E355" s="178"/>
      <c r="F355" s="199"/>
      <c r="G355" s="201"/>
      <c r="H355" s="178"/>
      <c r="I355" s="184"/>
      <c r="J355" s="178"/>
      <c r="K355" s="178"/>
      <c r="L355" s="178"/>
      <c r="M355" s="178"/>
      <c r="N355" s="256"/>
    </row>
    <row r="356" spans="1:15" s="261" customFormat="1" ht="15.75" customHeight="1">
      <c r="A356" s="274"/>
      <c r="D356" s="282"/>
      <c r="F356" s="200"/>
      <c r="G356" s="269"/>
      <c r="I356" s="271"/>
      <c r="N356" s="272"/>
    </row>
    <row r="357" spans="1:15" s="230" customFormat="1" ht="15.75" customHeight="1">
      <c r="A357" s="239"/>
      <c r="B357" s="178"/>
      <c r="C357" s="178"/>
      <c r="D357" s="228"/>
      <c r="E357" s="178"/>
      <c r="F357" s="199"/>
      <c r="G357" s="201"/>
      <c r="H357" s="178"/>
      <c r="I357" s="184"/>
      <c r="J357" s="178"/>
      <c r="K357" s="178"/>
      <c r="L357" s="178"/>
      <c r="M357" s="178"/>
      <c r="N357" s="233"/>
    </row>
    <row r="358" spans="1:15" s="280" customFormat="1" ht="15.75" customHeight="1">
      <c r="A358" s="274"/>
      <c r="B358" s="261"/>
      <c r="C358" s="261"/>
      <c r="D358" s="261"/>
      <c r="E358" s="294"/>
      <c r="F358" s="305"/>
      <c r="G358" s="269"/>
      <c r="H358" s="261"/>
      <c r="I358" s="271"/>
      <c r="J358" s="271"/>
      <c r="K358" s="261"/>
      <c r="L358" s="261"/>
      <c r="M358" s="261"/>
      <c r="N358" s="272"/>
      <c r="O358" s="261"/>
    </row>
    <row r="359" spans="1:15" s="280" customFormat="1" ht="15.75" customHeight="1">
      <c r="A359" s="274"/>
      <c r="B359" s="261"/>
      <c r="C359" s="261"/>
      <c r="D359" s="261"/>
      <c r="E359" s="294"/>
      <c r="F359" s="305"/>
      <c r="G359" s="269"/>
      <c r="H359" s="261"/>
      <c r="I359" s="271"/>
      <c r="J359" s="271"/>
      <c r="K359" s="261"/>
      <c r="L359" s="261"/>
      <c r="M359" s="261"/>
      <c r="N359" s="272"/>
      <c r="O359" s="261"/>
    </row>
    <row r="360" spans="1:15" s="230" customFormat="1" ht="15.75" customHeight="1">
      <c r="A360" s="239"/>
      <c r="B360" s="178"/>
      <c r="C360" s="178"/>
      <c r="D360" s="178"/>
      <c r="E360" s="196"/>
      <c r="F360" s="246"/>
      <c r="G360" s="201"/>
      <c r="H360" s="178"/>
      <c r="I360" s="184"/>
      <c r="J360" s="184"/>
      <c r="K360" s="178"/>
      <c r="L360" s="178"/>
      <c r="M360" s="178"/>
      <c r="N360" s="177"/>
      <c r="O360" s="178"/>
    </row>
    <row r="361" spans="1:15" s="230" customFormat="1" ht="15.75" customHeight="1">
      <c r="A361" s="239"/>
      <c r="B361" s="178"/>
      <c r="C361" s="178"/>
      <c r="D361" s="178"/>
      <c r="E361" s="196"/>
      <c r="F361" s="246"/>
      <c r="G361" s="201"/>
      <c r="H361" s="178"/>
      <c r="I361" s="184"/>
      <c r="J361" s="184"/>
      <c r="K361" s="178"/>
      <c r="L361" s="178"/>
      <c r="M361" s="178"/>
      <c r="N361" s="177"/>
      <c r="O361" s="178"/>
    </row>
    <row r="362" spans="1:15" s="230" customFormat="1" ht="15.75" customHeight="1">
      <c r="A362" s="239"/>
      <c r="B362" s="178"/>
      <c r="C362" s="178"/>
      <c r="D362" s="178"/>
      <c r="E362" s="222"/>
      <c r="F362" s="212"/>
      <c r="G362" s="201"/>
      <c r="H362" s="178"/>
      <c r="I362" s="184"/>
      <c r="J362" s="184"/>
      <c r="K362" s="178"/>
      <c r="L362" s="178"/>
      <c r="M362" s="178"/>
      <c r="N362" s="177"/>
      <c r="O362" s="178"/>
    </row>
    <row r="363" spans="1:15" s="230" customFormat="1" ht="15.75" customHeight="1">
      <c r="A363" s="239"/>
      <c r="B363" s="178"/>
      <c r="C363" s="178"/>
      <c r="D363" s="178"/>
      <c r="E363" s="222"/>
      <c r="F363" s="212"/>
      <c r="G363" s="201"/>
      <c r="H363" s="178"/>
      <c r="I363" s="184"/>
      <c r="J363" s="184"/>
      <c r="K363" s="178"/>
      <c r="L363" s="178"/>
      <c r="M363" s="178"/>
      <c r="N363" s="177"/>
      <c r="O363" s="178"/>
    </row>
    <row r="364" spans="1:15" s="261" customFormat="1" ht="15.75" customHeight="1">
      <c r="A364" s="274"/>
      <c r="E364" s="275"/>
      <c r="F364" s="285"/>
      <c r="G364" s="269"/>
      <c r="I364" s="271"/>
      <c r="N364" s="272"/>
    </row>
    <row r="365" spans="1:15" s="230" customFormat="1" ht="15.75" customHeight="1">
      <c r="A365" s="244"/>
      <c r="B365" s="209"/>
      <c r="C365" s="209"/>
      <c r="D365" s="178"/>
      <c r="E365" s="224"/>
      <c r="F365" s="250"/>
      <c r="G365" s="201"/>
      <c r="H365" s="210"/>
      <c r="I365" s="184"/>
      <c r="J365" s="184"/>
      <c r="K365" s="184"/>
      <c r="L365" s="178"/>
      <c r="M365" s="178"/>
      <c r="N365" s="178"/>
      <c r="O365" s="178"/>
    </row>
    <row r="366" spans="1:15" s="230" customFormat="1" ht="15.75" customHeight="1">
      <c r="A366" s="244"/>
      <c r="B366" s="178"/>
      <c r="C366" s="178"/>
      <c r="D366" s="178"/>
      <c r="E366" s="224"/>
      <c r="F366" s="215"/>
      <c r="G366" s="201"/>
      <c r="H366" s="210"/>
      <c r="I366" s="184"/>
      <c r="J366" s="184"/>
      <c r="K366" s="178"/>
      <c r="L366" s="178"/>
      <c r="M366" s="178"/>
      <c r="N366" s="178"/>
      <c r="O366" s="178"/>
    </row>
    <row r="367" spans="1:15" s="230" customFormat="1" ht="15.75" customHeight="1">
      <c r="A367" s="240"/>
      <c r="B367" s="185"/>
      <c r="C367" s="178"/>
      <c r="D367" s="178"/>
      <c r="E367" s="225"/>
      <c r="F367" s="246"/>
      <c r="G367" s="201"/>
      <c r="H367" s="210"/>
      <c r="I367" s="184"/>
      <c r="J367" s="184"/>
      <c r="K367" s="178"/>
      <c r="L367" s="178"/>
      <c r="M367" s="178"/>
      <c r="N367" s="178"/>
      <c r="O367" s="178"/>
    </row>
    <row r="368" spans="1:15" s="230" customFormat="1" ht="15.75" customHeight="1">
      <c r="A368" s="240"/>
      <c r="B368" s="185"/>
      <c r="C368" s="178"/>
      <c r="D368" s="178"/>
      <c r="E368" s="225"/>
      <c r="F368" s="191"/>
      <c r="G368" s="201"/>
      <c r="H368" s="178"/>
      <c r="I368" s="184"/>
      <c r="J368" s="184"/>
      <c r="K368" s="178"/>
      <c r="L368" s="178"/>
      <c r="M368" s="178"/>
      <c r="N368" s="178"/>
      <c r="O368" s="178"/>
    </row>
    <row r="369" spans="1:16" s="230" customFormat="1" ht="15.75" customHeight="1">
      <c r="A369" s="240"/>
      <c r="B369" s="178"/>
      <c r="C369" s="178"/>
      <c r="D369" s="178"/>
      <c r="E369" s="196"/>
      <c r="F369" s="191"/>
      <c r="G369" s="201"/>
      <c r="H369" s="178"/>
      <c r="I369" s="184"/>
      <c r="J369" s="184"/>
      <c r="K369" s="178"/>
      <c r="L369" s="178"/>
      <c r="M369" s="178"/>
      <c r="N369" s="178"/>
      <c r="O369" s="178"/>
    </row>
    <row r="370" spans="1:16" s="231" customFormat="1" ht="15.75" customHeight="1">
      <c r="A370" s="240"/>
      <c r="B370" s="178"/>
      <c r="C370" s="178"/>
      <c r="D370" s="178"/>
      <c r="E370" s="196"/>
      <c r="F370" s="191"/>
      <c r="G370" s="201"/>
      <c r="H370" s="178"/>
      <c r="I370" s="184"/>
      <c r="J370" s="184"/>
      <c r="K370" s="178"/>
      <c r="L370" s="178"/>
      <c r="M370" s="178"/>
      <c r="N370" s="178"/>
      <c r="O370" s="178"/>
    </row>
    <row r="371" spans="1:16" s="231" customFormat="1" ht="15.75" customHeight="1">
      <c r="A371" s="240"/>
      <c r="B371" s="178"/>
      <c r="C371" s="178"/>
      <c r="D371" s="178"/>
      <c r="E371" s="196"/>
      <c r="F371" s="191"/>
      <c r="G371" s="201"/>
      <c r="H371" s="178"/>
      <c r="I371" s="184"/>
      <c r="J371" s="184"/>
      <c r="K371" s="178"/>
      <c r="L371" s="178"/>
      <c r="M371" s="178"/>
      <c r="N371" s="178"/>
      <c r="O371" s="178"/>
    </row>
    <row r="372" spans="1:16" s="263" customFormat="1" ht="15.75" customHeight="1">
      <c r="A372" s="296"/>
      <c r="B372" s="261"/>
      <c r="C372" s="261"/>
      <c r="D372" s="282"/>
      <c r="E372" s="261"/>
      <c r="F372" s="261"/>
      <c r="G372" s="269"/>
      <c r="H372" s="304"/>
      <c r="I372" s="271"/>
      <c r="J372" s="261"/>
      <c r="K372" s="261"/>
      <c r="L372" s="261"/>
      <c r="M372" s="261"/>
      <c r="N372" s="272"/>
      <c r="O372" s="261"/>
      <c r="P372" s="261"/>
    </row>
    <row r="373" spans="1:16" s="231" customFormat="1" ht="15.75" customHeight="1">
      <c r="A373" s="241"/>
      <c r="B373" s="178"/>
      <c r="C373" s="178"/>
      <c r="D373" s="178"/>
      <c r="E373" s="178"/>
      <c r="F373" s="178"/>
      <c r="G373" s="201"/>
      <c r="H373" s="229"/>
      <c r="I373" s="184"/>
      <c r="J373" s="184"/>
      <c r="K373" s="178"/>
      <c r="L373" s="178"/>
      <c r="M373" s="230"/>
      <c r="N373" s="230"/>
      <c r="O373" s="230"/>
    </row>
    <row r="374" spans="1:16" s="231" customFormat="1" ht="15.75" customHeight="1">
      <c r="A374" s="239"/>
      <c r="B374" s="178"/>
      <c r="C374" s="178"/>
      <c r="D374" s="228"/>
      <c r="E374" s="178"/>
      <c r="F374" s="199"/>
      <c r="G374" s="201"/>
      <c r="H374" s="178"/>
      <c r="I374" s="184"/>
      <c r="J374" s="178"/>
      <c r="K374" s="178"/>
      <c r="L374" s="178"/>
      <c r="M374" s="178"/>
      <c r="N374" s="233"/>
      <c r="O374" s="230"/>
    </row>
    <row r="375" spans="1:16" s="231" customFormat="1" ht="15.75" customHeight="1">
      <c r="A375" s="239"/>
      <c r="B375" s="178"/>
      <c r="C375" s="178"/>
      <c r="D375" s="228"/>
      <c r="E375" s="178"/>
      <c r="F375" s="199"/>
      <c r="G375" s="201"/>
      <c r="H375" s="178"/>
      <c r="I375" s="184"/>
      <c r="J375" s="178"/>
      <c r="K375" s="178"/>
      <c r="L375" s="178"/>
      <c r="M375" s="178"/>
      <c r="N375" s="233"/>
      <c r="O375" s="230"/>
    </row>
    <row r="376" spans="1:16" s="231" customFormat="1" ht="15.75" customHeight="1">
      <c r="A376" s="239"/>
      <c r="B376" s="178"/>
      <c r="C376" s="178"/>
      <c r="D376" s="228"/>
      <c r="E376" s="178"/>
      <c r="F376" s="199"/>
      <c r="G376" s="201"/>
      <c r="H376" s="178"/>
      <c r="I376" s="184"/>
      <c r="J376" s="184"/>
      <c r="K376" s="178"/>
      <c r="L376" s="178"/>
      <c r="M376" s="178"/>
      <c r="N376" s="233"/>
      <c r="O376" s="230"/>
    </row>
    <row r="377" spans="1:16" s="231" customFormat="1" ht="15.75" customHeight="1">
      <c r="A377" s="239"/>
      <c r="B377" s="178"/>
      <c r="C377" s="178"/>
      <c r="D377" s="178"/>
      <c r="E377" s="196"/>
      <c r="F377" s="246"/>
      <c r="G377" s="201"/>
      <c r="H377" s="178"/>
      <c r="I377" s="184"/>
      <c r="J377" s="184"/>
      <c r="K377" s="178"/>
      <c r="L377" s="178"/>
      <c r="M377" s="178"/>
      <c r="N377" s="177"/>
      <c r="O377" s="178"/>
    </row>
    <row r="378" spans="1:16" s="231" customFormat="1" ht="15.75" customHeight="1">
      <c r="A378" s="239"/>
      <c r="B378" s="178"/>
      <c r="C378" s="178"/>
      <c r="D378" s="178"/>
      <c r="E378" s="196"/>
      <c r="F378" s="246"/>
      <c r="G378" s="201"/>
      <c r="H378" s="178"/>
      <c r="I378" s="184"/>
      <c r="J378" s="184"/>
      <c r="K378" s="178"/>
      <c r="L378" s="178"/>
      <c r="M378" s="178"/>
      <c r="N378" s="177"/>
      <c r="O378" s="178"/>
    </row>
    <row r="379" spans="1:16" s="231" customFormat="1" ht="15.75" customHeight="1">
      <c r="A379" s="239"/>
      <c r="B379" s="178"/>
      <c r="C379" s="178"/>
      <c r="D379" s="178"/>
      <c r="E379" s="196"/>
      <c r="F379" s="246"/>
      <c r="G379" s="201"/>
      <c r="H379" s="178"/>
      <c r="I379" s="184"/>
      <c r="J379" s="184"/>
      <c r="K379" s="178"/>
      <c r="L379" s="178"/>
      <c r="M379" s="178"/>
      <c r="N379" s="177"/>
      <c r="O379" s="178"/>
    </row>
    <row r="380" spans="1:16" s="231" customFormat="1" ht="15.75" customHeight="1">
      <c r="A380" s="239"/>
      <c r="B380" s="178"/>
      <c r="C380" s="178"/>
      <c r="D380" s="178"/>
      <c r="E380" s="196"/>
      <c r="F380" s="246"/>
      <c r="G380" s="201"/>
      <c r="H380" s="178"/>
      <c r="I380" s="184"/>
      <c r="J380" s="184"/>
      <c r="K380" s="178"/>
      <c r="L380" s="178"/>
      <c r="M380" s="178"/>
      <c r="N380" s="177"/>
      <c r="O380" s="178"/>
    </row>
    <row r="381" spans="1:16" s="281" customFormat="1" ht="15.75" customHeight="1">
      <c r="A381" s="274"/>
      <c r="B381" s="261"/>
      <c r="C381" s="261"/>
      <c r="D381" s="261"/>
      <c r="E381" s="294"/>
      <c r="F381" s="305"/>
      <c r="G381" s="269"/>
      <c r="H381" s="261"/>
      <c r="I381" s="271"/>
      <c r="J381" s="271"/>
      <c r="K381" s="261"/>
      <c r="L381" s="261"/>
      <c r="M381" s="261"/>
      <c r="N381" s="272"/>
      <c r="O381" s="261"/>
    </row>
    <row r="382" spans="1:16" s="281" customFormat="1" ht="15.75" customHeight="1">
      <c r="A382" s="278"/>
      <c r="B382" s="266"/>
      <c r="C382" s="266"/>
      <c r="D382" s="261"/>
      <c r="E382" s="306"/>
      <c r="F382" s="268"/>
      <c r="G382" s="269"/>
      <c r="H382" s="266"/>
      <c r="I382" s="271"/>
      <c r="J382" s="271"/>
      <c r="K382" s="261"/>
      <c r="L382" s="261"/>
      <c r="M382" s="261"/>
      <c r="N382" s="272"/>
      <c r="O382" s="261"/>
    </row>
    <row r="383" spans="1:16" s="231" customFormat="1" ht="15.75" customHeight="1">
      <c r="A383" s="240"/>
      <c r="B383" s="178"/>
      <c r="C383" s="178"/>
      <c r="D383" s="178"/>
      <c r="E383" s="196"/>
      <c r="F383" s="191"/>
      <c r="G383" s="201"/>
      <c r="H383" s="178"/>
      <c r="I383" s="184"/>
      <c r="J383" s="184"/>
      <c r="K383" s="178"/>
      <c r="L383" s="178"/>
      <c r="M383" s="178"/>
      <c r="N383" s="178"/>
      <c r="O383" s="178"/>
    </row>
    <row r="384" spans="1:16" s="231" customFormat="1" ht="15.75" customHeight="1">
      <c r="A384" s="240"/>
      <c r="B384" s="178"/>
      <c r="C384" s="178"/>
      <c r="D384" s="178"/>
      <c r="E384" s="196"/>
      <c r="F384" s="191"/>
      <c r="G384" s="201"/>
      <c r="H384" s="178"/>
      <c r="I384" s="184"/>
      <c r="J384" s="184"/>
      <c r="K384" s="178"/>
      <c r="L384" s="178"/>
      <c r="M384" s="178"/>
      <c r="N384" s="178"/>
      <c r="O384" s="178"/>
    </row>
    <row r="385" spans="1:15" s="261" customFormat="1" ht="15.75" customHeight="1">
      <c r="A385" s="274"/>
      <c r="E385" s="294"/>
      <c r="F385" s="305"/>
      <c r="G385" s="269"/>
      <c r="I385" s="271"/>
      <c r="J385" s="271"/>
      <c r="N385" s="272"/>
    </row>
    <row r="386" spans="1:15" ht="15.75" customHeight="1">
      <c r="E386" s="224"/>
      <c r="F386" s="229"/>
      <c r="G386" s="201"/>
      <c r="O386" s="178"/>
    </row>
    <row r="387" spans="1:15" ht="15.75" customHeight="1">
      <c r="E387" s="224"/>
      <c r="F387" s="229"/>
      <c r="G387" s="201"/>
      <c r="O387" s="178"/>
    </row>
    <row r="388" spans="1:15" ht="15.75" customHeight="1">
      <c r="D388" s="231"/>
      <c r="E388" s="224"/>
      <c r="F388" s="214"/>
      <c r="G388" s="201"/>
      <c r="O388" s="178"/>
    </row>
    <row r="389" spans="1:15" ht="15.75" customHeight="1">
      <c r="D389" s="231"/>
      <c r="E389" s="224"/>
      <c r="F389" s="214"/>
      <c r="G389" s="201"/>
      <c r="O389" s="178"/>
    </row>
    <row r="390" spans="1:15" ht="15.75" customHeight="1">
      <c r="D390" s="231"/>
      <c r="E390" s="224"/>
      <c r="F390" s="214"/>
      <c r="G390" s="201"/>
      <c r="O390" s="178"/>
    </row>
    <row r="391" spans="1:15" ht="15.75" customHeight="1">
      <c r="E391" s="224"/>
      <c r="F391" s="229"/>
      <c r="G391" s="201"/>
      <c r="O391" s="178"/>
    </row>
    <row r="392" spans="1:15" s="261" customFormat="1" ht="15.75" customHeight="1">
      <c r="A392" s="274"/>
      <c r="D392" s="266"/>
      <c r="E392" s="284"/>
      <c r="F392" s="276"/>
      <c r="G392" s="269"/>
      <c r="I392" s="271"/>
      <c r="J392" s="271"/>
      <c r="N392" s="272"/>
    </row>
    <row r="393" spans="1:15" s="261" customFormat="1" ht="15.75" customHeight="1">
      <c r="A393" s="274"/>
      <c r="D393" s="266"/>
      <c r="E393" s="284"/>
      <c r="F393" s="286"/>
      <c r="G393" s="269"/>
      <c r="I393" s="271"/>
      <c r="J393" s="271"/>
      <c r="N393" s="272"/>
    </row>
    <row r="394" spans="1:15" ht="15.75" customHeight="1">
      <c r="E394" s="224"/>
      <c r="F394" s="229"/>
      <c r="G394" s="201"/>
      <c r="O394" s="178"/>
    </row>
    <row r="395" spans="1:15" ht="15.75" customHeight="1">
      <c r="D395" s="185"/>
      <c r="E395" s="224"/>
      <c r="F395" s="214"/>
      <c r="G395" s="201"/>
      <c r="O395" s="178"/>
    </row>
    <row r="396" spans="1:15" ht="15.75" customHeight="1">
      <c r="D396" s="214"/>
      <c r="E396" s="224"/>
      <c r="F396" s="229"/>
      <c r="G396" s="201"/>
      <c r="J396" s="178"/>
      <c r="K396" s="184"/>
      <c r="O396" s="178"/>
    </row>
    <row r="397" spans="1:15" ht="15.75" customHeight="1">
      <c r="E397" s="222"/>
      <c r="F397" s="247"/>
      <c r="G397" s="201"/>
      <c r="O397" s="178"/>
    </row>
    <row r="398" spans="1:15" ht="15.75" customHeight="1">
      <c r="A398" s="240"/>
      <c r="F398" s="191"/>
      <c r="G398" s="201"/>
      <c r="N398" s="178"/>
      <c r="O398" s="178"/>
    </row>
    <row r="399" spans="1:15" ht="15.75" customHeight="1">
      <c r="A399" s="240"/>
      <c r="F399" s="191"/>
      <c r="G399" s="201"/>
      <c r="N399" s="178"/>
      <c r="O399" s="178"/>
    </row>
    <row r="400" spans="1:15" ht="15.75" customHeight="1">
      <c r="A400" s="243"/>
      <c r="B400" s="231"/>
      <c r="C400" s="231"/>
      <c r="D400" s="231"/>
      <c r="E400" s="232"/>
      <c r="F400" s="249"/>
      <c r="G400" s="201"/>
      <c r="H400" s="231"/>
      <c r="J400" s="231"/>
      <c r="K400" s="231"/>
      <c r="M400" s="231"/>
      <c r="N400" s="231"/>
      <c r="O400" s="231"/>
    </row>
    <row r="401" spans="1:15" ht="15.75" customHeight="1">
      <c r="F401" s="246"/>
      <c r="G401" s="201"/>
      <c r="O401" s="178"/>
    </row>
    <row r="402" spans="1:15" s="261" customFormat="1" ht="15.75" customHeight="1">
      <c r="A402" s="274"/>
      <c r="D402" s="266"/>
      <c r="E402" s="284"/>
      <c r="F402" s="276"/>
      <c r="G402" s="269"/>
      <c r="I402" s="271"/>
      <c r="J402" s="271"/>
      <c r="N402" s="272"/>
    </row>
    <row r="403" spans="1:15" ht="15.75" customHeight="1">
      <c r="E403" s="224"/>
      <c r="F403" s="229"/>
      <c r="G403" s="201"/>
      <c r="O403" s="178"/>
    </row>
    <row r="404" spans="1:15" s="261" customFormat="1" ht="15.75" customHeight="1">
      <c r="A404" s="274"/>
      <c r="D404" s="266"/>
      <c r="E404" s="275"/>
      <c r="F404" s="285"/>
      <c r="G404" s="269"/>
      <c r="I404" s="271"/>
      <c r="N404" s="272"/>
    </row>
    <row r="405" spans="1:15" ht="15.75" customHeight="1">
      <c r="E405" s="222"/>
      <c r="F405" s="247"/>
      <c r="G405" s="201"/>
      <c r="O405" s="178"/>
    </row>
    <row r="406" spans="1:15" ht="15.75" customHeight="1">
      <c r="C406" s="185"/>
      <c r="E406" s="224"/>
      <c r="F406" s="214"/>
      <c r="G406" s="201"/>
      <c r="O406" s="178"/>
    </row>
    <row r="407" spans="1:15" s="261" customFormat="1" ht="15.75" customHeight="1">
      <c r="A407" s="274"/>
      <c r="E407" s="294"/>
      <c r="F407" s="305"/>
      <c r="G407" s="269"/>
      <c r="I407" s="271"/>
      <c r="J407" s="271"/>
      <c r="N407" s="272"/>
    </row>
    <row r="408" spans="1:15" ht="15.75" customHeight="1">
      <c r="D408" s="185"/>
      <c r="E408" s="224"/>
      <c r="F408" s="214"/>
      <c r="G408" s="201"/>
      <c r="O408" s="178"/>
    </row>
    <row r="409" spans="1:15" ht="15.75" customHeight="1">
      <c r="E409" s="224"/>
      <c r="F409" s="229"/>
      <c r="G409" s="201"/>
      <c r="O409" s="178"/>
    </row>
    <row r="410" spans="1:15" ht="15.75" customHeight="1">
      <c r="E410" s="224"/>
      <c r="F410" s="229"/>
      <c r="G410" s="201"/>
      <c r="O410" s="178"/>
    </row>
    <row r="411" spans="1:15" ht="15.75" customHeight="1">
      <c r="E411" s="222"/>
      <c r="F411" s="247"/>
      <c r="G411" s="201"/>
      <c r="O411" s="178"/>
    </row>
    <row r="412" spans="1:15" ht="15.75" customHeight="1">
      <c r="D412" s="228"/>
      <c r="E412" s="222"/>
      <c r="F412" s="212"/>
      <c r="G412" s="201"/>
      <c r="O412" s="178"/>
    </row>
    <row r="413" spans="1:15" ht="15.75" customHeight="1">
      <c r="A413" s="240"/>
      <c r="F413" s="246"/>
      <c r="G413" s="201"/>
      <c r="N413" s="178"/>
      <c r="O413" s="178"/>
    </row>
    <row r="414" spans="1:15" ht="15.75" customHeight="1">
      <c r="A414" s="241"/>
      <c r="D414" s="228"/>
      <c r="E414" s="178"/>
      <c r="F414" s="178"/>
      <c r="G414" s="201"/>
      <c r="H414" s="229"/>
      <c r="M414" s="230"/>
      <c r="N414" s="230"/>
      <c r="O414" s="230"/>
    </row>
    <row r="415" spans="1:15" s="261" customFormat="1" ht="15.75" customHeight="1">
      <c r="A415" s="296"/>
      <c r="D415" s="282"/>
      <c r="G415" s="269"/>
      <c r="H415" s="304"/>
      <c r="I415" s="271"/>
      <c r="J415" s="280"/>
      <c r="K415" s="280"/>
      <c r="N415" s="303"/>
      <c r="O415" s="280"/>
    </row>
    <row r="416" spans="1:15" ht="15.75" customHeight="1">
      <c r="D416" s="228"/>
      <c r="E416" s="178"/>
      <c r="F416" s="199"/>
      <c r="G416" s="201"/>
      <c r="J416" s="230"/>
      <c r="K416" s="230"/>
      <c r="N416" s="254"/>
      <c r="O416" s="230"/>
    </row>
    <row r="417" spans="1:15" s="261" customFormat="1" ht="15.75" customHeight="1">
      <c r="A417" s="265"/>
      <c r="B417" s="266"/>
      <c r="D417" s="266"/>
      <c r="E417" s="267"/>
      <c r="F417" s="268"/>
      <c r="G417" s="269"/>
      <c r="H417" s="270"/>
      <c r="I417" s="271"/>
      <c r="J417" s="292"/>
      <c r="K417" s="270"/>
      <c r="N417" s="272"/>
    </row>
    <row r="418" spans="1:15" s="261" customFormat="1" ht="15.75" customHeight="1">
      <c r="A418" s="274"/>
      <c r="D418" s="266"/>
      <c r="E418" s="275"/>
      <c r="F418" s="285"/>
      <c r="G418" s="269"/>
      <c r="I418" s="271"/>
      <c r="N418" s="272"/>
    </row>
    <row r="419" spans="1:15" ht="15.75" customHeight="1">
      <c r="D419" s="231"/>
      <c r="E419" s="222"/>
      <c r="F419" s="212"/>
      <c r="G419" s="201"/>
      <c r="O419" s="178"/>
    </row>
    <row r="420" spans="1:15" ht="15.75" customHeight="1">
      <c r="D420" s="185"/>
      <c r="E420" s="222"/>
      <c r="F420" s="212"/>
      <c r="G420" s="201"/>
      <c r="O420" s="178"/>
    </row>
    <row r="421" spans="1:15" ht="15.75" customHeight="1">
      <c r="E421" s="222"/>
      <c r="F421" s="247"/>
      <c r="G421" s="201"/>
      <c r="O421" s="178"/>
    </row>
    <row r="422" spans="1:15" ht="15.75" customHeight="1">
      <c r="A422" s="242"/>
      <c r="B422" s="185"/>
      <c r="E422" s="227"/>
      <c r="F422" s="213"/>
      <c r="G422" s="201"/>
      <c r="H422" s="185"/>
      <c r="O422" s="178"/>
    </row>
    <row r="423" spans="1:15" ht="15.75" customHeight="1">
      <c r="D423" s="228"/>
      <c r="E423" s="222"/>
      <c r="F423" s="212"/>
      <c r="G423" s="201"/>
      <c r="K423" s="184"/>
      <c r="O423" s="178"/>
    </row>
    <row r="424" spans="1:15" ht="15.75" customHeight="1">
      <c r="D424" s="228"/>
      <c r="E424" s="222"/>
      <c r="F424" s="212"/>
      <c r="G424" s="201"/>
      <c r="O424" s="178"/>
    </row>
    <row r="425" spans="1:15" ht="15.75" customHeight="1">
      <c r="E425" s="222"/>
      <c r="F425" s="247"/>
      <c r="G425" s="201"/>
      <c r="O425" s="178"/>
    </row>
    <row r="426" spans="1:15" ht="15.75" customHeight="1">
      <c r="A426" s="240"/>
      <c r="F426" s="191"/>
      <c r="G426" s="201"/>
      <c r="N426" s="178"/>
      <c r="O426" s="178"/>
    </row>
    <row r="427" spans="1:15" s="261" customFormat="1" ht="15.75" customHeight="1">
      <c r="A427" s="265"/>
      <c r="E427" s="294"/>
      <c r="F427" s="295"/>
      <c r="G427" s="269"/>
      <c r="I427" s="271"/>
      <c r="J427" s="271"/>
      <c r="N427" s="272"/>
    </row>
    <row r="428" spans="1:15" ht="15.75" customHeight="1">
      <c r="A428" s="243"/>
      <c r="B428" s="231"/>
      <c r="C428" s="231"/>
      <c r="D428" s="231"/>
      <c r="E428" s="232"/>
      <c r="F428" s="232"/>
      <c r="G428" s="201"/>
      <c r="H428" s="231"/>
      <c r="J428" s="231"/>
      <c r="K428" s="231"/>
      <c r="N428" s="256"/>
      <c r="O428" s="231"/>
    </row>
    <row r="429" spans="1:15" ht="15.75" customHeight="1">
      <c r="E429" s="224"/>
      <c r="F429" s="214"/>
      <c r="G429" s="201"/>
      <c r="M429" s="177"/>
      <c r="O429" s="178"/>
    </row>
    <row r="430" spans="1:15" ht="15.75" customHeight="1">
      <c r="E430" s="222"/>
      <c r="F430" s="212"/>
      <c r="G430" s="201"/>
      <c r="O430" s="178"/>
    </row>
    <row r="431" spans="1:15" ht="15.75" customHeight="1">
      <c r="E431" s="222"/>
      <c r="F431" s="212"/>
      <c r="G431" s="201"/>
      <c r="O431" s="178"/>
    </row>
    <row r="432" spans="1:15" ht="15.75" customHeight="1">
      <c r="E432" s="222"/>
      <c r="F432" s="212"/>
      <c r="G432" s="201"/>
      <c r="O432" s="178"/>
    </row>
    <row r="433" spans="1:15" ht="15.75" customHeight="1">
      <c r="C433" s="185"/>
      <c r="E433" s="222"/>
      <c r="F433" s="212"/>
      <c r="G433" s="201"/>
      <c r="O433" s="178"/>
    </row>
    <row r="434" spans="1:15" ht="15.75" customHeight="1">
      <c r="C434" s="185"/>
      <c r="D434" s="231"/>
      <c r="E434" s="222"/>
      <c r="F434" s="212"/>
      <c r="G434" s="201"/>
      <c r="O434" s="178"/>
    </row>
    <row r="435" spans="1:15" ht="15.75" customHeight="1">
      <c r="C435" s="185"/>
      <c r="D435" s="221"/>
      <c r="E435" s="222"/>
      <c r="F435" s="212"/>
      <c r="G435" s="201"/>
    </row>
    <row r="436" spans="1:15" ht="15.75" customHeight="1">
      <c r="E436" s="222"/>
      <c r="F436" s="247"/>
      <c r="G436" s="201"/>
      <c r="O436" s="178"/>
    </row>
    <row r="437" spans="1:15" ht="15.75" customHeight="1">
      <c r="A437" s="240"/>
      <c r="B437" s="185"/>
      <c r="D437" s="185"/>
      <c r="E437" s="225"/>
      <c r="F437" s="251"/>
      <c r="G437" s="201"/>
      <c r="H437" s="207"/>
      <c r="J437" s="211"/>
      <c r="O437" s="178"/>
    </row>
    <row r="438" spans="1:15" ht="15.75" customHeight="1">
      <c r="A438" s="242"/>
      <c r="B438" s="185"/>
      <c r="D438" s="206"/>
      <c r="E438" s="225"/>
      <c r="F438" s="252"/>
      <c r="G438" s="201"/>
      <c r="H438" s="185"/>
      <c r="O438" s="178"/>
    </row>
    <row r="439" spans="1:15" s="261" customFormat="1" ht="15.75" customHeight="1">
      <c r="A439" s="265"/>
      <c r="E439" s="294"/>
      <c r="F439" s="295"/>
      <c r="G439" s="269"/>
      <c r="I439" s="271"/>
      <c r="N439" s="272"/>
    </row>
    <row r="440" spans="1:15" ht="15.75" customHeight="1">
      <c r="A440" s="240"/>
      <c r="F440" s="191"/>
      <c r="G440" s="201"/>
      <c r="O440" s="178"/>
    </row>
    <row r="441" spans="1:15" ht="15.75" customHeight="1">
      <c r="A441" s="240"/>
      <c r="F441" s="246"/>
      <c r="G441" s="201"/>
      <c r="N441" s="178"/>
      <c r="O441" s="178"/>
    </row>
    <row r="443" spans="1:15">
      <c r="F443" s="345"/>
    </row>
  </sheetData>
  <autoFilter ref="A11:P441">
    <filterColumn colId="2"/>
    <filterColumn colId="7"/>
    <filterColumn colId="10"/>
    <sortState ref="A12:P441">
      <sortCondition ref="A11:A441"/>
    </sortState>
  </autoFilter>
  <sortState ref="A12:P196">
    <sortCondition ref="M18"/>
  </sortState>
  <mergeCells count="1">
    <mergeCell ref="A1:O1"/>
  </mergeCells>
  <dataValidations count="1">
    <dataValidation type="list" allowBlank="1" showInputMessage="1" showErrorMessage="1" sqref="O385:O422">
      <formula1>"typeDD"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Récapitulatif</vt:lpstr>
      <vt:lpstr>Donateurs</vt:lpstr>
      <vt:lpstr>Feuil3</vt:lpstr>
      <vt:lpstr>Feuil5</vt:lpstr>
      <vt:lpstr>Feuil1</vt:lpstr>
      <vt:lpstr>DATA  Janvier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CJ2018-3</cp:lastModifiedBy>
  <cp:lastPrinted>2021-06-11T09:45:49Z</cp:lastPrinted>
  <dcterms:created xsi:type="dcterms:W3CDTF">2020-09-02T13:35:58Z</dcterms:created>
  <dcterms:modified xsi:type="dcterms:W3CDTF">2022-02-25T11:48:41Z</dcterms:modified>
</cp:coreProperties>
</file>